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M_IMPORTAR" sheetId="1" r:id="rId5"/>
  </sheets>
  <definedNames/>
  <calcPr/>
</workbook>
</file>

<file path=xl/sharedStrings.xml><?xml version="1.0" encoding="utf-8"?>
<sst xmlns="http://schemas.openxmlformats.org/spreadsheetml/2006/main" count="9" uniqueCount="2">
  <si>
    <t>Foto</t>
  </si>
  <si>
    <t>SIN FOTO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</si>
</sst>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3">
    <font>
      <sz val="10.0"/>
      <color rgb="FF000000"/>
      <name val="Arial"/>
      <scheme val="minor"/>
    </font>
    <font>
      <b/>
      <color rgb="FFFFFFFF"/>
      <name val="Arial"/>
      <scheme val="minor"/>
    </font>
    <font>
      <sz val="11.0"/>
      <color theme="1"/>
      <name val="Carlito"/>
    </font>
  </fonts>
  <fills count="3">
    <fill>
      <patternFill patternType="none"/>
    </fill>
    <fill>
      <patternFill patternType="lightGray"/>
    </fill>
    <fill>
      <patternFill patternType="solid">
        <fgColor rgb="FF1F4E79"/>
        <bgColor rgb="FF1F4E79"/>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0"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horizontal="center" vertical="center"/>
    </xf>
    <xf borderId="0" fillId="0" fontId="2" numFmtId="2" xfId="0" applyAlignment="1" applyFont="1" applyNumberFormat="1">
      <alignment vertical="center"/>
    </xf>
    <xf borderId="0" fillId="0" fontId="2" numFmtId="164"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90" Type="http://schemas.openxmlformats.org/officeDocument/2006/relationships/image" Target="../media/image179.jpg"/><Relationship Id="rId194" Type="http://schemas.openxmlformats.org/officeDocument/2006/relationships/image" Target="../media/image171.jpg"/><Relationship Id="rId193" Type="http://schemas.openxmlformats.org/officeDocument/2006/relationships/image" Target="../media/image172.jpg"/><Relationship Id="rId192" Type="http://schemas.openxmlformats.org/officeDocument/2006/relationships/image" Target="../media/image180.jpg"/><Relationship Id="rId191" Type="http://schemas.openxmlformats.org/officeDocument/2006/relationships/image" Target="../media/image181.jpg"/><Relationship Id="rId187" Type="http://schemas.openxmlformats.org/officeDocument/2006/relationships/image" Target="../media/image175.jpg"/><Relationship Id="rId186" Type="http://schemas.openxmlformats.org/officeDocument/2006/relationships/image" Target="../media/image168.jpg"/><Relationship Id="rId185" Type="http://schemas.openxmlformats.org/officeDocument/2006/relationships/image" Target="../media/image166.jpg"/><Relationship Id="rId184" Type="http://schemas.openxmlformats.org/officeDocument/2006/relationships/image" Target="../media/image188.jpg"/><Relationship Id="rId189" Type="http://schemas.openxmlformats.org/officeDocument/2006/relationships/image" Target="../media/image209.jpg"/><Relationship Id="rId188" Type="http://schemas.openxmlformats.org/officeDocument/2006/relationships/image" Target="../media/image226.jpg"/><Relationship Id="rId183" Type="http://schemas.openxmlformats.org/officeDocument/2006/relationships/image" Target="../media/image182.jpg"/><Relationship Id="rId182" Type="http://schemas.openxmlformats.org/officeDocument/2006/relationships/image" Target="../media/image169.jpg"/><Relationship Id="rId181" Type="http://schemas.openxmlformats.org/officeDocument/2006/relationships/image" Target="../media/image164.jpg"/><Relationship Id="rId180" Type="http://schemas.openxmlformats.org/officeDocument/2006/relationships/image" Target="../media/image200.jpg"/><Relationship Id="rId176" Type="http://schemas.openxmlformats.org/officeDocument/2006/relationships/image" Target="../media/image203.jpg"/><Relationship Id="rId175" Type="http://schemas.openxmlformats.org/officeDocument/2006/relationships/image" Target="../media/image157.jpg"/><Relationship Id="rId174" Type="http://schemas.openxmlformats.org/officeDocument/2006/relationships/image" Target="../media/image189.jpg"/><Relationship Id="rId173" Type="http://schemas.openxmlformats.org/officeDocument/2006/relationships/image" Target="../media/image177.jpg"/><Relationship Id="rId179" Type="http://schemas.openxmlformats.org/officeDocument/2006/relationships/image" Target="../media/image160.jpg"/><Relationship Id="rId178" Type="http://schemas.openxmlformats.org/officeDocument/2006/relationships/image" Target="../media/image185.jpg"/><Relationship Id="rId177" Type="http://schemas.openxmlformats.org/officeDocument/2006/relationships/image" Target="../media/image167.jpg"/><Relationship Id="rId198" Type="http://schemas.openxmlformats.org/officeDocument/2006/relationships/image" Target="../media/image191.jpg"/><Relationship Id="rId197" Type="http://schemas.openxmlformats.org/officeDocument/2006/relationships/image" Target="../media/image194.jpg"/><Relationship Id="rId196" Type="http://schemas.openxmlformats.org/officeDocument/2006/relationships/image" Target="../media/image173.jpg"/><Relationship Id="rId195" Type="http://schemas.openxmlformats.org/officeDocument/2006/relationships/image" Target="../media/image275.jpg"/><Relationship Id="rId199" Type="http://schemas.openxmlformats.org/officeDocument/2006/relationships/image" Target="../media/image183.jpg"/><Relationship Id="rId150" Type="http://schemas.openxmlformats.org/officeDocument/2006/relationships/image" Target="../media/image142.jpg"/><Relationship Id="rId392" Type="http://schemas.openxmlformats.org/officeDocument/2006/relationships/image" Target="../media/image358.jpg"/><Relationship Id="rId391" Type="http://schemas.openxmlformats.org/officeDocument/2006/relationships/image" Target="../media/image362.jpg"/><Relationship Id="rId390" Type="http://schemas.openxmlformats.org/officeDocument/2006/relationships/image" Target="../media/image391.jpg"/><Relationship Id="rId1" Type="http://schemas.openxmlformats.org/officeDocument/2006/relationships/image" Target="../media/image5.jpg"/><Relationship Id="rId2" Type="http://schemas.openxmlformats.org/officeDocument/2006/relationships/image" Target="../media/image39.jpg"/><Relationship Id="rId3" Type="http://schemas.openxmlformats.org/officeDocument/2006/relationships/image" Target="../media/image2.jpg"/><Relationship Id="rId149" Type="http://schemas.openxmlformats.org/officeDocument/2006/relationships/image" Target="../media/image144.jpg"/><Relationship Id="rId4" Type="http://schemas.openxmlformats.org/officeDocument/2006/relationships/image" Target="../media/image14.jpg"/><Relationship Id="rId148" Type="http://schemas.openxmlformats.org/officeDocument/2006/relationships/image" Target="../media/image145.jpg"/><Relationship Id="rId1090" Type="http://schemas.openxmlformats.org/officeDocument/2006/relationships/image" Target="../media/image1097.jpg"/><Relationship Id="rId1091" Type="http://schemas.openxmlformats.org/officeDocument/2006/relationships/image" Target="../media/image1061.jpg"/><Relationship Id="rId1092" Type="http://schemas.openxmlformats.org/officeDocument/2006/relationships/image" Target="../media/image1092.jpg"/><Relationship Id="rId1093" Type="http://schemas.openxmlformats.org/officeDocument/2006/relationships/image" Target="../media/image1072.jpg"/><Relationship Id="rId1094" Type="http://schemas.openxmlformats.org/officeDocument/2006/relationships/image" Target="../media/image1069.jpg"/><Relationship Id="rId9" Type="http://schemas.openxmlformats.org/officeDocument/2006/relationships/image" Target="../media/image19.jpg"/><Relationship Id="rId143" Type="http://schemas.openxmlformats.org/officeDocument/2006/relationships/image" Target="../media/image159.jpg"/><Relationship Id="rId385" Type="http://schemas.openxmlformats.org/officeDocument/2006/relationships/image" Target="../media/image378.jpg"/><Relationship Id="rId1095" Type="http://schemas.openxmlformats.org/officeDocument/2006/relationships/image" Target="../media/image1076.jpg"/><Relationship Id="rId142" Type="http://schemas.openxmlformats.org/officeDocument/2006/relationships/image" Target="../media/image125.jpg"/><Relationship Id="rId384" Type="http://schemas.openxmlformats.org/officeDocument/2006/relationships/image" Target="../media/image377.jpg"/><Relationship Id="rId1096" Type="http://schemas.openxmlformats.org/officeDocument/2006/relationships/image" Target="../media/image1067.jpg"/><Relationship Id="rId141" Type="http://schemas.openxmlformats.org/officeDocument/2006/relationships/image" Target="../media/image165.jpg"/><Relationship Id="rId383" Type="http://schemas.openxmlformats.org/officeDocument/2006/relationships/image" Target="../media/image353.jpg"/><Relationship Id="rId1097" Type="http://schemas.openxmlformats.org/officeDocument/2006/relationships/image" Target="../media/image1084.jpg"/><Relationship Id="rId140" Type="http://schemas.openxmlformats.org/officeDocument/2006/relationships/image" Target="../media/image132.jpg"/><Relationship Id="rId382" Type="http://schemas.openxmlformats.org/officeDocument/2006/relationships/image" Target="../media/image356.jpg"/><Relationship Id="rId1098" Type="http://schemas.openxmlformats.org/officeDocument/2006/relationships/image" Target="../media/image1066.jpg"/><Relationship Id="rId5" Type="http://schemas.openxmlformats.org/officeDocument/2006/relationships/image" Target="../media/image4.jpg"/><Relationship Id="rId147" Type="http://schemas.openxmlformats.org/officeDocument/2006/relationships/image" Target="../media/image135.jpg"/><Relationship Id="rId389" Type="http://schemas.openxmlformats.org/officeDocument/2006/relationships/image" Target="../media/image398.jpg"/><Relationship Id="rId1099" Type="http://schemas.openxmlformats.org/officeDocument/2006/relationships/image" Target="../media/image1071.jpg"/><Relationship Id="rId6" Type="http://schemas.openxmlformats.org/officeDocument/2006/relationships/image" Target="../media/image13.jpg"/><Relationship Id="rId146" Type="http://schemas.openxmlformats.org/officeDocument/2006/relationships/image" Target="../media/image139.jpg"/><Relationship Id="rId388" Type="http://schemas.openxmlformats.org/officeDocument/2006/relationships/image" Target="../media/image449.jpg"/><Relationship Id="rId7" Type="http://schemas.openxmlformats.org/officeDocument/2006/relationships/image" Target="../media/image21.jpg"/><Relationship Id="rId145" Type="http://schemas.openxmlformats.org/officeDocument/2006/relationships/image" Target="../media/image161.jpg"/><Relationship Id="rId387" Type="http://schemas.openxmlformats.org/officeDocument/2006/relationships/image" Target="../media/image382.jpg"/><Relationship Id="rId8" Type="http://schemas.openxmlformats.org/officeDocument/2006/relationships/image" Target="../media/image28.jpg"/><Relationship Id="rId144" Type="http://schemas.openxmlformats.org/officeDocument/2006/relationships/image" Target="../media/image134.jpg"/><Relationship Id="rId386" Type="http://schemas.openxmlformats.org/officeDocument/2006/relationships/image" Target="../media/image461.jpg"/><Relationship Id="rId381" Type="http://schemas.openxmlformats.org/officeDocument/2006/relationships/image" Target="../media/image365.jpg"/><Relationship Id="rId380" Type="http://schemas.openxmlformats.org/officeDocument/2006/relationships/image" Target="../media/image368.jpg"/><Relationship Id="rId139" Type="http://schemas.openxmlformats.org/officeDocument/2006/relationships/image" Target="../media/image120.jpg"/><Relationship Id="rId138" Type="http://schemas.openxmlformats.org/officeDocument/2006/relationships/image" Target="../media/image146.jpg"/><Relationship Id="rId137" Type="http://schemas.openxmlformats.org/officeDocument/2006/relationships/image" Target="../media/image123.jpg"/><Relationship Id="rId379" Type="http://schemas.openxmlformats.org/officeDocument/2006/relationships/image" Target="../media/image456.jpg"/><Relationship Id="rId1080" Type="http://schemas.openxmlformats.org/officeDocument/2006/relationships/image" Target="../media/image1060.jpg"/><Relationship Id="rId1081" Type="http://schemas.openxmlformats.org/officeDocument/2006/relationships/image" Target="../media/image1052.jpg"/><Relationship Id="rId1082" Type="http://schemas.openxmlformats.org/officeDocument/2006/relationships/image" Target="../media/image1146.jpg"/><Relationship Id="rId1083" Type="http://schemas.openxmlformats.org/officeDocument/2006/relationships/image" Target="../media/image1056.jpg"/><Relationship Id="rId132" Type="http://schemas.openxmlformats.org/officeDocument/2006/relationships/image" Target="../media/image113.jpg"/><Relationship Id="rId374" Type="http://schemas.openxmlformats.org/officeDocument/2006/relationships/image" Target="../media/image429.jpg"/><Relationship Id="rId1084" Type="http://schemas.openxmlformats.org/officeDocument/2006/relationships/image" Target="../media/image1065.jpg"/><Relationship Id="rId131" Type="http://schemas.openxmlformats.org/officeDocument/2006/relationships/image" Target="../media/image119.jpg"/><Relationship Id="rId373" Type="http://schemas.openxmlformats.org/officeDocument/2006/relationships/image" Target="../media/image349.jpg"/><Relationship Id="rId1085" Type="http://schemas.openxmlformats.org/officeDocument/2006/relationships/image" Target="../media/image1137.jpg"/><Relationship Id="rId130" Type="http://schemas.openxmlformats.org/officeDocument/2006/relationships/image" Target="../media/image114.jpg"/><Relationship Id="rId372" Type="http://schemas.openxmlformats.org/officeDocument/2006/relationships/image" Target="../media/image390.jpg"/><Relationship Id="rId1086" Type="http://schemas.openxmlformats.org/officeDocument/2006/relationships/image" Target="../media/image1053.jpg"/><Relationship Id="rId371" Type="http://schemas.openxmlformats.org/officeDocument/2006/relationships/image" Target="../media/image392.jpg"/><Relationship Id="rId1087" Type="http://schemas.openxmlformats.org/officeDocument/2006/relationships/image" Target="../media/image1062.jpg"/><Relationship Id="rId136" Type="http://schemas.openxmlformats.org/officeDocument/2006/relationships/image" Target="../media/image121.jpg"/><Relationship Id="rId378" Type="http://schemas.openxmlformats.org/officeDocument/2006/relationships/image" Target="../media/image504.jpg"/><Relationship Id="rId1088" Type="http://schemas.openxmlformats.org/officeDocument/2006/relationships/image" Target="../media/image1099.jpg"/><Relationship Id="rId135" Type="http://schemas.openxmlformats.org/officeDocument/2006/relationships/image" Target="../media/image118.jpg"/><Relationship Id="rId377" Type="http://schemas.openxmlformats.org/officeDocument/2006/relationships/image" Target="../media/image359.jpg"/><Relationship Id="rId1089" Type="http://schemas.openxmlformats.org/officeDocument/2006/relationships/image" Target="../media/image1082.jpg"/><Relationship Id="rId134" Type="http://schemas.openxmlformats.org/officeDocument/2006/relationships/image" Target="../media/image155.jpg"/><Relationship Id="rId376" Type="http://schemas.openxmlformats.org/officeDocument/2006/relationships/image" Target="../media/image395.jpg"/><Relationship Id="rId133" Type="http://schemas.openxmlformats.org/officeDocument/2006/relationships/image" Target="../media/image140.jpg"/><Relationship Id="rId375" Type="http://schemas.openxmlformats.org/officeDocument/2006/relationships/image" Target="../media/image366.jpg"/><Relationship Id="rId172" Type="http://schemas.openxmlformats.org/officeDocument/2006/relationships/image" Target="../media/image152.jpg"/><Relationship Id="rId171" Type="http://schemas.openxmlformats.org/officeDocument/2006/relationships/image" Target="../media/image154.jpg"/><Relationship Id="rId170" Type="http://schemas.openxmlformats.org/officeDocument/2006/relationships/image" Target="../media/image195.jpg"/><Relationship Id="rId165" Type="http://schemas.openxmlformats.org/officeDocument/2006/relationships/image" Target="../media/image201.jpg"/><Relationship Id="rId164" Type="http://schemas.openxmlformats.org/officeDocument/2006/relationships/image" Target="../media/image174.jpg"/><Relationship Id="rId163" Type="http://schemas.openxmlformats.org/officeDocument/2006/relationships/image" Target="../media/image170.jpg"/><Relationship Id="rId162" Type="http://schemas.openxmlformats.org/officeDocument/2006/relationships/image" Target="../media/image153.jpg"/><Relationship Id="rId169" Type="http://schemas.openxmlformats.org/officeDocument/2006/relationships/image" Target="../media/image149.jpg"/><Relationship Id="rId168" Type="http://schemas.openxmlformats.org/officeDocument/2006/relationships/image" Target="../media/image151.jpg"/><Relationship Id="rId167" Type="http://schemas.openxmlformats.org/officeDocument/2006/relationships/image" Target="../media/image143.jpg"/><Relationship Id="rId166" Type="http://schemas.openxmlformats.org/officeDocument/2006/relationships/image" Target="../media/image192.jpg"/><Relationship Id="rId161" Type="http://schemas.openxmlformats.org/officeDocument/2006/relationships/image" Target="../media/image178.jpg"/><Relationship Id="rId160" Type="http://schemas.openxmlformats.org/officeDocument/2006/relationships/image" Target="../media/image162.jpg"/><Relationship Id="rId159" Type="http://schemas.openxmlformats.org/officeDocument/2006/relationships/image" Target="../media/image196.jpg"/><Relationship Id="rId154" Type="http://schemas.openxmlformats.org/officeDocument/2006/relationships/image" Target="../media/image176.jpg"/><Relationship Id="rId396" Type="http://schemas.openxmlformats.org/officeDocument/2006/relationships/image" Target="../media/image372.jpg"/><Relationship Id="rId153" Type="http://schemas.openxmlformats.org/officeDocument/2006/relationships/image" Target="../media/image136.jpg"/><Relationship Id="rId395" Type="http://schemas.openxmlformats.org/officeDocument/2006/relationships/image" Target="../media/image363.jpg"/><Relationship Id="rId152" Type="http://schemas.openxmlformats.org/officeDocument/2006/relationships/image" Target="../media/image163.jpg"/><Relationship Id="rId394" Type="http://schemas.openxmlformats.org/officeDocument/2006/relationships/image" Target="../media/image361.jpg"/><Relationship Id="rId151" Type="http://schemas.openxmlformats.org/officeDocument/2006/relationships/image" Target="../media/image150.jpg"/><Relationship Id="rId393" Type="http://schemas.openxmlformats.org/officeDocument/2006/relationships/image" Target="../media/image376.jpg"/><Relationship Id="rId158" Type="http://schemas.openxmlformats.org/officeDocument/2006/relationships/image" Target="../media/image148.jpg"/><Relationship Id="rId157" Type="http://schemas.openxmlformats.org/officeDocument/2006/relationships/image" Target="../media/image147.jpg"/><Relationship Id="rId399" Type="http://schemas.openxmlformats.org/officeDocument/2006/relationships/image" Target="../media/image387.jpg"/><Relationship Id="rId156" Type="http://schemas.openxmlformats.org/officeDocument/2006/relationships/image" Target="../media/image184.jpg"/><Relationship Id="rId398" Type="http://schemas.openxmlformats.org/officeDocument/2006/relationships/image" Target="../media/image422.jpg"/><Relationship Id="rId155" Type="http://schemas.openxmlformats.org/officeDocument/2006/relationships/image" Target="../media/image141.jpg"/><Relationship Id="rId397" Type="http://schemas.openxmlformats.org/officeDocument/2006/relationships/image" Target="../media/image357.jpg"/><Relationship Id="rId808" Type="http://schemas.openxmlformats.org/officeDocument/2006/relationships/image" Target="../media/image797.jpg"/><Relationship Id="rId807" Type="http://schemas.openxmlformats.org/officeDocument/2006/relationships/image" Target="../media/image815.jpg"/><Relationship Id="rId806" Type="http://schemas.openxmlformats.org/officeDocument/2006/relationships/image" Target="../media/image833.jpg"/><Relationship Id="rId805" Type="http://schemas.openxmlformats.org/officeDocument/2006/relationships/image" Target="../media/image825.jpg"/><Relationship Id="rId809" Type="http://schemas.openxmlformats.org/officeDocument/2006/relationships/image" Target="../media/image800.jpg"/><Relationship Id="rId800" Type="http://schemas.openxmlformats.org/officeDocument/2006/relationships/image" Target="../media/image808.jpg"/><Relationship Id="rId804" Type="http://schemas.openxmlformats.org/officeDocument/2006/relationships/image" Target="../media/image810.jpg"/><Relationship Id="rId803" Type="http://schemas.openxmlformats.org/officeDocument/2006/relationships/image" Target="../media/image782.jpg"/><Relationship Id="rId802" Type="http://schemas.openxmlformats.org/officeDocument/2006/relationships/image" Target="../media/image790.jpg"/><Relationship Id="rId801" Type="http://schemas.openxmlformats.org/officeDocument/2006/relationships/image" Target="../media/image789.jpg"/><Relationship Id="rId40" Type="http://schemas.openxmlformats.org/officeDocument/2006/relationships/image" Target="../media/image76.jpg"/><Relationship Id="rId42" Type="http://schemas.openxmlformats.org/officeDocument/2006/relationships/image" Target="../media/image7.jpg"/><Relationship Id="rId41" Type="http://schemas.openxmlformats.org/officeDocument/2006/relationships/image" Target="../media/image20.jpg"/><Relationship Id="rId44" Type="http://schemas.openxmlformats.org/officeDocument/2006/relationships/image" Target="../media/image32.jpg"/><Relationship Id="rId43" Type="http://schemas.openxmlformats.org/officeDocument/2006/relationships/image" Target="../media/image27.jpg"/><Relationship Id="rId46" Type="http://schemas.openxmlformats.org/officeDocument/2006/relationships/image" Target="../media/image10.jpg"/><Relationship Id="rId45" Type="http://schemas.openxmlformats.org/officeDocument/2006/relationships/image" Target="../media/image16.jpg"/><Relationship Id="rId509" Type="http://schemas.openxmlformats.org/officeDocument/2006/relationships/image" Target="../media/image508.jpg"/><Relationship Id="rId508" Type="http://schemas.openxmlformats.org/officeDocument/2006/relationships/image" Target="../media/image481.jpg"/><Relationship Id="rId503" Type="http://schemas.openxmlformats.org/officeDocument/2006/relationships/image" Target="../media/image515.jpg"/><Relationship Id="rId745" Type="http://schemas.openxmlformats.org/officeDocument/2006/relationships/image" Target="../media/image746.jpg"/><Relationship Id="rId987" Type="http://schemas.openxmlformats.org/officeDocument/2006/relationships/image" Target="../media/image952.jpg"/><Relationship Id="rId502" Type="http://schemas.openxmlformats.org/officeDocument/2006/relationships/image" Target="../media/image518.jpg"/><Relationship Id="rId744" Type="http://schemas.openxmlformats.org/officeDocument/2006/relationships/image" Target="../media/image742.jpg"/><Relationship Id="rId986" Type="http://schemas.openxmlformats.org/officeDocument/2006/relationships/image" Target="../media/image953.jpg"/><Relationship Id="rId501" Type="http://schemas.openxmlformats.org/officeDocument/2006/relationships/image" Target="../media/image467.jpg"/><Relationship Id="rId743" Type="http://schemas.openxmlformats.org/officeDocument/2006/relationships/image" Target="../media/image741.jpg"/><Relationship Id="rId985" Type="http://schemas.openxmlformats.org/officeDocument/2006/relationships/image" Target="../media/image963.jpg"/><Relationship Id="rId500" Type="http://schemas.openxmlformats.org/officeDocument/2006/relationships/image" Target="../media/image517.jpg"/><Relationship Id="rId742" Type="http://schemas.openxmlformats.org/officeDocument/2006/relationships/image" Target="../media/image745.jpg"/><Relationship Id="rId984" Type="http://schemas.openxmlformats.org/officeDocument/2006/relationships/image" Target="../media/image989.jpg"/><Relationship Id="rId507" Type="http://schemas.openxmlformats.org/officeDocument/2006/relationships/image" Target="../media/image486.jpg"/><Relationship Id="rId749" Type="http://schemas.openxmlformats.org/officeDocument/2006/relationships/image" Target="../media/image772.jpg"/><Relationship Id="rId506" Type="http://schemas.openxmlformats.org/officeDocument/2006/relationships/image" Target="../media/image477.jpg"/><Relationship Id="rId748" Type="http://schemas.openxmlformats.org/officeDocument/2006/relationships/image" Target="../media/image786.jpg"/><Relationship Id="rId505" Type="http://schemas.openxmlformats.org/officeDocument/2006/relationships/image" Target="../media/image487.jpg"/><Relationship Id="rId747" Type="http://schemas.openxmlformats.org/officeDocument/2006/relationships/image" Target="../media/image744.jpg"/><Relationship Id="rId989" Type="http://schemas.openxmlformats.org/officeDocument/2006/relationships/image" Target="../media/image958.jpg"/><Relationship Id="rId504" Type="http://schemas.openxmlformats.org/officeDocument/2006/relationships/image" Target="../media/image470.jpg"/><Relationship Id="rId746" Type="http://schemas.openxmlformats.org/officeDocument/2006/relationships/image" Target="../media/image743.jpg"/><Relationship Id="rId988" Type="http://schemas.openxmlformats.org/officeDocument/2006/relationships/image" Target="../media/image988.jpg"/><Relationship Id="rId48" Type="http://schemas.openxmlformats.org/officeDocument/2006/relationships/image" Target="../media/image23.jpg"/><Relationship Id="rId47" Type="http://schemas.openxmlformats.org/officeDocument/2006/relationships/image" Target="../media/image17.jpg"/><Relationship Id="rId49" Type="http://schemas.openxmlformats.org/officeDocument/2006/relationships/image" Target="../media/image36.jpg"/><Relationship Id="rId741" Type="http://schemas.openxmlformats.org/officeDocument/2006/relationships/image" Target="../media/image739.jpg"/><Relationship Id="rId983" Type="http://schemas.openxmlformats.org/officeDocument/2006/relationships/image" Target="../media/image960.jpg"/><Relationship Id="rId740" Type="http://schemas.openxmlformats.org/officeDocument/2006/relationships/image" Target="../media/image740.jpg"/><Relationship Id="rId982" Type="http://schemas.openxmlformats.org/officeDocument/2006/relationships/image" Target="../media/image977.jpg"/><Relationship Id="rId981" Type="http://schemas.openxmlformats.org/officeDocument/2006/relationships/image" Target="../media/image962.jpg"/><Relationship Id="rId980" Type="http://schemas.openxmlformats.org/officeDocument/2006/relationships/image" Target="../media/image964.jpg"/><Relationship Id="rId31" Type="http://schemas.openxmlformats.org/officeDocument/2006/relationships/image" Target="../media/image8.jpg"/><Relationship Id="rId30" Type="http://schemas.openxmlformats.org/officeDocument/2006/relationships/image" Target="../media/image42.jpg"/><Relationship Id="rId33" Type="http://schemas.openxmlformats.org/officeDocument/2006/relationships/image" Target="../media/image41.jpg"/><Relationship Id="rId32" Type="http://schemas.openxmlformats.org/officeDocument/2006/relationships/image" Target="../media/image37.jpg"/><Relationship Id="rId35" Type="http://schemas.openxmlformats.org/officeDocument/2006/relationships/image" Target="../media/image35.jpg"/><Relationship Id="rId34" Type="http://schemas.openxmlformats.org/officeDocument/2006/relationships/image" Target="../media/image57.jpg"/><Relationship Id="rId739" Type="http://schemas.openxmlformats.org/officeDocument/2006/relationships/image" Target="../media/image736.jpg"/><Relationship Id="rId734" Type="http://schemas.openxmlformats.org/officeDocument/2006/relationships/image" Target="../media/image719.jpg"/><Relationship Id="rId976" Type="http://schemas.openxmlformats.org/officeDocument/2006/relationships/image" Target="../media/image991.jpg"/><Relationship Id="rId733" Type="http://schemas.openxmlformats.org/officeDocument/2006/relationships/image" Target="../media/image728.jpg"/><Relationship Id="rId975" Type="http://schemas.openxmlformats.org/officeDocument/2006/relationships/image" Target="../media/image1011.jpg"/><Relationship Id="rId732" Type="http://schemas.openxmlformats.org/officeDocument/2006/relationships/image" Target="../media/image716.jpg"/><Relationship Id="rId974" Type="http://schemas.openxmlformats.org/officeDocument/2006/relationships/image" Target="../media/image969.jpg"/><Relationship Id="rId731" Type="http://schemas.openxmlformats.org/officeDocument/2006/relationships/image" Target="../media/image724.jpg"/><Relationship Id="rId973" Type="http://schemas.openxmlformats.org/officeDocument/2006/relationships/image" Target="../media/image1030.jpg"/><Relationship Id="rId738" Type="http://schemas.openxmlformats.org/officeDocument/2006/relationships/image" Target="../media/image722.jpg"/><Relationship Id="rId737" Type="http://schemas.openxmlformats.org/officeDocument/2006/relationships/image" Target="../media/image734.jpg"/><Relationship Id="rId979" Type="http://schemas.openxmlformats.org/officeDocument/2006/relationships/image" Target="../media/image954.jpg"/><Relationship Id="rId736" Type="http://schemas.openxmlformats.org/officeDocument/2006/relationships/image" Target="../media/image726.jpg"/><Relationship Id="rId978" Type="http://schemas.openxmlformats.org/officeDocument/2006/relationships/image" Target="../media/image951.jpg"/><Relationship Id="rId735" Type="http://schemas.openxmlformats.org/officeDocument/2006/relationships/image" Target="../media/image720.jpg"/><Relationship Id="rId977" Type="http://schemas.openxmlformats.org/officeDocument/2006/relationships/image" Target="../media/image1000.jpg"/><Relationship Id="rId37" Type="http://schemas.openxmlformats.org/officeDocument/2006/relationships/image" Target="../media/image38.jpg"/><Relationship Id="rId36" Type="http://schemas.openxmlformats.org/officeDocument/2006/relationships/image" Target="../media/image30.jpg"/><Relationship Id="rId39" Type="http://schemas.openxmlformats.org/officeDocument/2006/relationships/image" Target="../media/image22.jpg"/><Relationship Id="rId38" Type="http://schemas.openxmlformats.org/officeDocument/2006/relationships/image" Target="../media/image53.jpg"/><Relationship Id="rId730" Type="http://schemas.openxmlformats.org/officeDocument/2006/relationships/image" Target="../media/image725.jpg"/><Relationship Id="rId972" Type="http://schemas.openxmlformats.org/officeDocument/2006/relationships/image" Target="../media/image949.jpg"/><Relationship Id="rId971" Type="http://schemas.openxmlformats.org/officeDocument/2006/relationships/image" Target="../media/image998.jpg"/><Relationship Id="rId970" Type="http://schemas.openxmlformats.org/officeDocument/2006/relationships/image" Target="../media/image978.jpg"/><Relationship Id="rId1114" Type="http://schemas.openxmlformats.org/officeDocument/2006/relationships/image" Target="../media/image1083.jpg"/><Relationship Id="rId1115" Type="http://schemas.openxmlformats.org/officeDocument/2006/relationships/image" Target="../media/image1085.jpg"/><Relationship Id="rId20" Type="http://schemas.openxmlformats.org/officeDocument/2006/relationships/image" Target="../media/image46.jpg"/><Relationship Id="rId1116" Type="http://schemas.openxmlformats.org/officeDocument/2006/relationships/image" Target="../media/image1238.jpg"/><Relationship Id="rId1117" Type="http://schemas.openxmlformats.org/officeDocument/2006/relationships/image" Target="../media/image1102.jpg"/><Relationship Id="rId22" Type="http://schemas.openxmlformats.org/officeDocument/2006/relationships/image" Target="../media/image1.jpg"/><Relationship Id="rId1118" Type="http://schemas.openxmlformats.org/officeDocument/2006/relationships/image" Target="../media/image1210.jpg"/><Relationship Id="rId21" Type="http://schemas.openxmlformats.org/officeDocument/2006/relationships/image" Target="../media/image34.jpg"/><Relationship Id="rId1119" Type="http://schemas.openxmlformats.org/officeDocument/2006/relationships/image" Target="../media/image1158.jpg"/><Relationship Id="rId24" Type="http://schemas.openxmlformats.org/officeDocument/2006/relationships/image" Target="../media/image43.jpg"/><Relationship Id="rId23" Type="http://schemas.openxmlformats.org/officeDocument/2006/relationships/image" Target="../media/image9.jpg"/><Relationship Id="rId525" Type="http://schemas.openxmlformats.org/officeDocument/2006/relationships/image" Target="../media/image551.jpg"/><Relationship Id="rId767" Type="http://schemas.openxmlformats.org/officeDocument/2006/relationships/image" Target="../media/image763.jpg"/><Relationship Id="rId524" Type="http://schemas.openxmlformats.org/officeDocument/2006/relationships/image" Target="../media/image501.jpg"/><Relationship Id="rId766" Type="http://schemas.openxmlformats.org/officeDocument/2006/relationships/image" Target="../media/image756.jpg"/><Relationship Id="rId523" Type="http://schemas.openxmlformats.org/officeDocument/2006/relationships/image" Target="../media/image499.jpg"/><Relationship Id="rId765" Type="http://schemas.openxmlformats.org/officeDocument/2006/relationships/image" Target="../media/image758.jpg"/><Relationship Id="rId522" Type="http://schemas.openxmlformats.org/officeDocument/2006/relationships/image" Target="../media/image505.jpg"/><Relationship Id="rId764" Type="http://schemas.openxmlformats.org/officeDocument/2006/relationships/image" Target="../media/image764.jpg"/><Relationship Id="rId529" Type="http://schemas.openxmlformats.org/officeDocument/2006/relationships/image" Target="../media/image531.jpg"/><Relationship Id="rId528" Type="http://schemas.openxmlformats.org/officeDocument/2006/relationships/image" Target="../media/image502.jpg"/><Relationship Id="rId527" Type="http://schemas.openxmlformats.org/officeDocument/2006/relationships/image" Target="../media/image609.jpg"/><Relationship Id="rId769" Type="http://schemas.openxmlformats.org/officeDocument/2006/relationships/image" Target="../media/image767.jpg"/><Relationship Id="rId526" Type="http://schemas.openxmlformats.org/officeDocument/2006/relationships/image" Target="../media/image550.jpg"/><Relationship Id="rId768" Type="http://schemas.openxmlformats.org/officeDocument/2006/relationships/image" Target="../media/image760.jpg"/><Relationship Id="rId26" Type="http://schemas.openxmlformats.org/officeDocument/2006/relationships/image" Target="../media/image45.jpg"/><Relationship Id="rId25" Type="http://schemas.openxmlformats.org/officeDocument/2006/relationships/image" Target="../media/image33.jpg"/><Relationship Id="rId28" Type="http://schemas.openxmlformats.org/officeDocument/2006/relationships/image" Target="../media/image31.jpg"/><Relationship Id="rId27" Type="http://schemas.openxmlformats.org/officeDocument/2006/relationships/image" Target="../media/image92.jpg"/><Relationship Id="rId521" Type="http://schemas.openxmlformats.org/officeDocument/2006/relationships/image" Target="../media/image491.jpg"/><Relationship Id="rId763" Type="http://schemas.openxmlformats.org/officeDocument/2006/relationships/image" Target="../media/image770.jpg"/><Relationship Id="rId1110" Type="http://schemas.openxmlformats.org/officeDocument/2006/relationships/image" Target="../media/image1091.jpg"/><Relationship Id="rId29" Type="http://schemas.openxmlformats.org/officeDocument/2006/relationships/image" Target="../media/image18.jpg"/><Relationship Id="rId520" Type="http://schemas.openxmlformats.org/officeDocument/2006/relationships/image" Target="../media/image485.jpg"/><Relationship Id="rId762" Type="http://schemas.openxmlformats.org/officeDocument/2006/relationships/image" Target="../media/image765.jpg"/><Relationship Id="rId1111" Type="http://schemas.openxmlformats.org/officeDocument/2006/relationships/image" Target="../media/image1112.jpg"/><Relationship Id="rId761" Type="http://schemas.openxmlformats.org/officeDocument/2006/relationships/image" Target="../media/image755.jpg"/><Relationship Id="rId1112" Type="http://schemas.openxmlformats.org/officeDocument/2006/relationships/image" Target="../media/image1229.jpg"/><Relationship Id="rId760" Type="http://schemas.openxmlformats.org/officeDocument/2006/relationships/image" Target="../media/image747.jpg"/><Relationship Id="rId1113" Type="http://schemas.openxmlformats.org/officeDocument/2006/relationships/image" Target="../media/image1120.jpg"/><Relationship Id="rId1103" Type="http://schemas.openxmlformats.org/officeDocument/2006/relationships/image" Target="../media/image1073.jpg"/><Relationship Id="rId1104" Type="http://schemas.openxmlformats.org/officeDocument/2006/relationships/image" Target="../media/image1098.jpg"/><Relationship Id="rId1105" Type="http://schemas.openxmlformats.org/officeDocument/2006/relationships/image" Target="../media/image1151.jpg"/><Relationship Id="rId1106" Type="http://schemas.openxmlformats.org/officeDocument/2006/relationships/image" Target="../media/image1105.jpg"/><Relationship Id="rId11" Type="http://schemas.openxmlformats.org/officeDocument/2006/relationships/image" Target="../media/image12.jpg"/><Relationship Id="rId1107" Type="http://schemas.openxmlformats.org/officeDocument/2006/relationships/image" Target="../media/image1088.jpg"/><Relationship Id="rId10" Type="http://schemas.openxmlformats.org/officeDocument/2006/relationships/image" Target="../media/image68.jpg"/><Relationship Id="rId1108" Type="http://schemas.openxmlformats.org/officeDocument/2006/relationships/image" Target="../media/image1109.jpg"/><Relationship Id="rId13" Type="http://schemas.openxmlformats.org/officeDocument/2006/relationships/image" Target="../media/image6.jpg"/><Relationship Id="rId1109" Type="http://schemas.openxmlformats.org/officeDocument/2006/relationships/image" Target="../media/image1077.jpg"/><Relationship Id="rId12" Type="http://schemas.openxmlformats.org/officeDocument/2006/relationships/image" Target="../media/image11.jpg"/><Relationship Id="rId519" Type="http://schemas.openxmlformats.org/officeDocument/2006/relationships/image" Target="../media/image561.jpg"/><Relationship Id="rId514" Type="http://schemas.openxmlformats.org/officeDocument/2006/relationships/image" Target="../media/image557.jpg"/><Relationship Id="rId756" Type="http://schemas.openxmlformats.org/officeDocument/2006/relationships/image" Target="../media/image766.jpg"/><Relationship Id="rId998" Type="http://schemas.openxmlformats.org/officeDocument/2006/relationships/image" Target="../media/image979.jpg"/><Relationship Id="rId513" Type="http://schemas.openxmlformats.org/officeDocument/2006/relationships/image" Target="../media/image496.jpg"/><Relationship Id="rId755" Type="http://schemas.openxmlformats.org/officeDocument/2006/relationships/image" Target="../media/image753.jpg"/><Relationship Id="rId997" Type="http://schemas.openxmlformats.org/officeDocument/2006/relationships/image" Target="../media/image967.jpg"/><Relationship Id="rId512" Type="http://schemas.openxmlformats.org/officeDocument/2006/relationships/image" Target="../media/image610.jpg"/><Relationship Id="rId754" Type="http://schemas.openxmlformats.org/officeDocument/2006/relationships/image" Target="../media/image750.jpg"/><Relationship Id="rId996" Type="http://schemas.openxmlformats.org/officeDocument/2006/relationships/image" Target="../media/image1038.jpg"/><Relationship Id="rId511" Type="http://schemas.openxmlformats.org/officeDocument/2006/relationships/image" Target="../media/image480.jpg"/><Relationship Id="rId753" Type="http://schemas.openxmlformats.org/officeDocument/2006/relationships/image" Target="../media/image752.jpg"/><Relationship Id="rId995" Type="http://schemas.openxmlformats.org/officeDocument/2006/relationships/image" Target="../media/image984.jpg"/><Relationship Id="rId518" Type="http://schemas.openxmlformats.org/officeDocument/2006/relationships/image" Target="../media/image498.jpg"/><Relationship Id="rId517" Type="http://schemas.openxmlformats.org/officeDocument/2006/relationships/image" Target="../media/image483.jpg"/><Relationship Id="rId759" Type="http://schemas.openxmlformats.org/officeDocument/2006/relationships/image" Target="../media/image759.jpg"/><Relationship Id="rId516" Type="http://schemas.openxmlformats.org/officeDocument/2006/relationships/image" Target="../media/image534.jpg"/><Relationship Id="rId758" Type="http://schemas.openxmlformats.org/officeDocument/2006/relationships/image" Target="../media/image748.jpg"/><Relationship Id="rId515" Type="http://schemas.openxmlformats.org/officeDocument/2006/relationships/image" Target="../media/image569.jpg"/><Relationship Id="rId757" Type="http://schemas.openxmlformats.org/officeDocument/2006/relationships/image" Target="../media/image754.jpg"/><Relationship Id="rId999" Type="http://schemas.openxmlformats.org/officeDocument/2006/relationships/image" Target="../media/image985.jpg"/><Relationship Id="rId15" Type="http://schemas.openxmlformats.org/officeDocument/2006/relationships/image" Target="../media/image44.jpg"/><Relationship Id="rId990" Type="http://schemas.openxmlformats.org/officeDocument/2006/relationships/image" Target="../media/image956.jpg"/><Relationship Id="rId14" Type="http://schemas.openxmlformats.org/officeDocument/2006/relationships/image" Target="../media/image29.jpg"/><Relationship Id="rId17" Type="http://schemas.openxmlformats.org/officeDocument/2006/relationships/image" Target="../media/image15.jpg"/><Relationship Id="rId16" Type="http://schemas.openxmlformats.org/officeDocument/2006/relationships/image" Target="../media/image138.jpg"/><Relationship Id="rId19" Type="http://schemas.openxmlformats.org/officeDocument/2006/relationships/image" Target="../media/image3.jpg"/><Relationship Id="rId510" Type="http://schemas.openxmlformats.org/officeDocument/2006/relationships/image" Target="../media/image583.jpg"/><Relationship Id="rId752" Type="http://schemas.openxmlformats.org/officeDocument/2006/relationships/image" Target="../media/image749.jpg"/><Relationship Id="rId994" Type="http://schemas.openxmlformats.org/officeDocument/2006/relationships/image" Target="../media/image1010.jpg"/><Relationship Id="rId18" Type="http://schemas.openxmlformats.org/officeDocument/2006/relationships/image" Target="../media/image26.jpg"/><Relationship Id="rId751" Type="http://schemas.openxmlformats.org/officeDocument/2006/relationships/image" Target="../media/image751.jpg"/><Relationship Id="rId993" Type="http://schemas.openxmlformats.org/officeDocument/2006/relationships/image" Target="../media/image973.jpg"/><Relationship Id="rId1100" Type="http://schemas.openxmlformats.org/officeDocument/2006/relationships/image" Target="../media/image1125.jpg"/><Relationship Id="rId750" Type="http://schemas.openxmlformats.org/officeDocument/2006/relationships/image" Target="../media/image757.jpg"/><Relationship Id="rId992" Type="http://schemas.openxmlformats.org/officeDocument/2006/relationships/image" Target="../media/image982.jpg"/><Relationship Id="rId1101" Type="http://schemas.openxmlformats.org/officeDocument/2006/relationships/image" Target="../media/image1089.jpg"/><Relationship Id="rId991" Type="http://schemas.openxmlformats.org/officeDocument/2006/relationships/image" Target="../media/image986.jpg"/><Relationship Id="rId1102" Type="http://schemas.openxmlformats.org/officeDocument/2006/relationships/image" Target="../media/image1078.jpg"/><Relationship Id="rId84" Type="http://schemas.openxmlformats.org/officeDocument/2006/relationships/image" Target="../media/image156.jpg"/><Relationship Id="rId83" Type="http://schemas.openxmlformats.org/officeDocument/2006/relationships/image" Target="../media/image65.jpg"/><Relationship Id="rId86" Type="http://schemas.openxmlformats.org/officeDocument/2006/relationships/image" Target="../media/image75.jpg"/><Relationship Id="rId85" Type="http://schemas.openxmlformats.org/officeDocument/2006/relationships/image" Target="../media/image66.jpg"/><Relationship Id="rId88" Type="http://schemas.openxmlformats.org/officeDocument/2006/relationships/image" Target="../media/image86.jpg"/><Relationship Id="rId87" Type="http://schemas.openxmlformats.org/officeDocument/2006/relationships/image" Target="../media/image104.jpg"/><Relationship Id="rId89" Type="http://schemas.openxmlformats.org/officeDocument/2006/relationships/image" Target="../media/image78.jpg"/><Relationship Id="rId709" Type="http://schemas.openxmlformats.org/officeDocument/2006/relationships/image" Target="../media/image735.jpg"/><Relationship Id="rId708" Type="http://schemas.openxmlformats.org/officeDocument/2006/relationships/image" Target="../media/image695.jpg"/><Relationship Id="rId707" Type="http://schemas.openxmlformats.org/officeDocument/2006/relationships/image" Target="../media/image690.jpg"/><Relationship Id="rId949" Type="http://schemas.openxmlformats.org/officeDocument/2006/relationships/image" Target="../media/image970.jpg"/><Relationship Id="rId706" Type="http://schemas.openxmlformats.org/officeDocument/2006/relationships/image" Target="../media/image687.jpg"/><Relationship Id="rId948" Type="http://schemas.openxmlformats.org/officeDocument/2006/relationships/image" Target="../media/image993.jpg"/><Relationship Id="rId80" Type="http://schemas.openxmlformats.org/officeDocument/2006/relationships/image" Target="../media/image77.jpg"/><Relationship Id="rId82" Type="http://schemas.openxmlformats.org/officeDocument/2006/relationships/image" Target="../media/image72.jpg"/><Relationship Id="rId81" Type="http://schemas.openxmlformats.org/officeDocument/2006/relationships/image" Target="../media/image96.jpg"/><Relationship Id="rId701" Type="http://schemas.openxmlformats.org/officeDocument/2006/relationships/image" Target="../media/image692.jpg"/><Relationship Id="rId943" Type="http://schemas.openxmlformats.org/officeDocument/2006/relationships/image" Target="../media/image935.jpg"/><Relationship Id="rId700" Type="http://schemas.openxmlformats.org/officeDocument/2006/relationships/image" Target="../media/image678.jpg"/><Relationship Id="rId942" Type="http://schemas.openxmlformats.org/officeDocument/2006/relationships/image" Target="../media/image939.jpg"/><Relationship Id="rId941" Type="http://schemas.openxmlformats.org/officeDocument/2006/relationships/image" Target="../media/image945.jpg"/><Relationship Id="rId940" Type="http://schemas.openxmlformats.org/officeDocument/2006/relationships/image" Target="../media/image923.jpg"/><Relationship Id="rId705" Type="http://schemas.openxmlformats.org/officeDocument/2006/relationships/image" Target="../media/image696.jpg"/><Relationship Id="rId947" Type="http://schemas.openxmlformats.org/officeDocument/2006/relationships/image" Target="../media/image992.jpg"/><Relationship Id="rId704" Type="http://schemas.openxmlformats.org/officeDocument/2006/relationships/image" Target="../media/image686.jpg"/><Relationship Id="rId946" Type="http://schemas.openxmlformats.org/officeDocument/2006/relationships/image" Target="../media/image942.jpg"/><Relationship Id="rId703" Type="http://schemas.openxmlformats.org/officeDocument/2006/relationships/image" Target="../media/image727.jpg"/><Relationship Id="rId945" Type="http://schemas.openxmlformats.org/officeDocument/2006/relationships/image" Target="../media/image983.jpg"/><Relationship Id="rId702" Type="http://schemas.openxmlformats.org/officeDocument/2006/relationships/image" Target="../media/image681.jpg"/><Relationship Id="rId944" Type="http://schemas.openxmlformats.org/officeDocument/2006/relationships/image" Target="../media/image980.jpg"/><Relationship Id="rId73" Type="http://schemas.openxmlformats.org/officeDocument/2006/relationships/image" Target="../media/image110.jpg"/><Relationship Id="rId72" Type="http://schemas.openxmlformats.org/officeDocument/2006/relationships/image" Target="../media/image58.jpg"/><Relationship Id="rId75" Type="http://schemas.openxmlformats.org/officeDocument/2006/relationships/image" Target="../media/image69.jpg"/><Relationship Id="rId74" Type="http://schemas.openxmlformats.org/officeDocument/2006/relationships/image" Target="../media/image61.jpg"/><Relationship Id="rId77" Type="http://schemas.openxmlformats.org/officeDocument/2006/relationships/image" Target="../media/image67.jpg"/><Relationship Id="rId76" Type="http://schemas.openxmlformats.org/officeDocument/2006/relationships/image" Target="../media/image88.jpg"/><Relationship Id="rId79" Type="http://schemas.openxmlformats.org/officeDocument/2006/relationships/image" Target="../media/image70.jpg"/><Relationship Id="rId78" Type="http://schemas.openxmlformats.org/officeDocument/2006/relationships/image" Target="../media/image117.jpg"/><Relationship Id="rId939" Type="http://schemas.openxmlformats.org/officeDocument/2006/relationships/image" Target="../media/image919.jpg"/><Relationship Id="rId938" Type="http://schemas.openxmlformats.org/officeDocument/2006/relationships/image" Target="../media/image920.jpg"/><Relationship Id="rId937" Type="http://schemas.openxmlformats.org/officeDocument/2006/relationships/image" Target="../media/image924.jpg"/><Relationship Id="rId71" Type="http://schemas.openxmlformats.org/officeDocument/2006/relationships/image" Target="../media/image60.jpg"/><Relationship Id="rId70" Type="http://schemas.openxmlformats.org/officeDocument/2006/relationships/image" Target="../media/image56.jpg"/><Relationship Id="rId932" Type="http://schemas.openxmlformats.org/officeDocument/2006/relationships/image" Target="../media/image914.jpg"/><Relationship Id="rId931" Type="http://schemas.openxmlformats.org/officeDocument/2006/relationships/image" Target="../media/image921.jpg"/><Relationship Id="rId930" Type="http://schemas.openxmlformats.org/officeDocument/2006/relationships/image" Target="../media/image913.jpg"/><Relationship Id="rId936" Type="http://schemas.openxmlformats.org/officeDocument/2006/relationships/image" Target="../media/image928.jpg"/><Relationship Id="rId935" Type="http://schemas.openxmlformats.org/officeDocument/2006/relationships/image" Target="../media/image916.jpg"/><Relationship Id="rId934" Type="http://schemas.openxmlformats.org/officeDocument/2006/relationships/image" Target="../media/image917.jpg"/><Relationship Id="rId933" Type="http://schemas.openxmlformats.org/officeDocument/2006/relationships/image" Target="../media/image932.jpg"/><Relationship Id="rId62" Type="http://schemas.openxmlformats.org/officeDocument/2006/relationships/image" Target="../media/image50.jpg"/><Relationship Id="rId61" Type="http://schemas.openxmlformats.org/officeDocument/2006/relationships/image" Target="../media/image71.jpg"/><Relationship Id="rId64" Type="http://schemas.openxmlformats.org/officeDocument/2006/relationships/image" Target="../media/image62.jpg"/><Relationship Id="rId63" Type="http://schemas.openxmlformats.org/officeDocument/2006/relationships/image" Target="../media/image47.jpg"/><Relationship Id="rId66" Type="http://schemas.openxmlformats.org/officeDocument/2006/relationships/image" Target="../media/image64.jpg"/><Relationship Id="rId65" Type="http://schemas.openxmlformats.org/officeDocument/2006/relationships/image" Target="../media/image49.jpg"/><Relationship Id="rId68" Type="http://schemas.openxmlformats.org/officeDocument/2006/relationships/image" Target="../media/image54.jpg"/><Relationship Id="rId67" Type="http://schemas.openxmlformats.org/officeDocument/2006/relationships/image" Target="../media/image190.jpg"/><Relationship Id="rId729" Type="http://schemas.openxmlformats.org/officeDocument/2006/relationships/image" Target="../media/image712.jpg"/><Relationship Id="rId728" Type="http://schemas.openxmlformats.org/officeDocument/2006/relationships/image" Target="../media/image718.jpg"/><Relationship Id="rId60" Type="http://schemas.openxmlformats.org/officeDocument/2006/relationships/image" Target="../media/image59.jpg"/><Relationship Id="rId723" Type="http://schemas.openxmlformats.org/officeDocument/2006/relationships/image" Target="../media/image707.jpg"/><Relationship Id="rId965" Type="http://schemas.openxmlformats.org/officeDocument/2006/relationships/image" Target="../media/image987.jpg"/><Relationship Id="rId722" Type="http://schemas.openxmlformats.org/officeDocument/2006/relationships/image" Target="../media/image715.jpg"/><Relationship Id="rId964" Type="http://schemas.openxmlformats.org/officeDocument/2006/relationships/image" Target="../media/image955.jpg"/><Relationship Id="rId721" Type="http://schemas.openxmlformats.org/officeDocument/2006/relationships/image" Target="../media/image701.jpg"/><Relationship Id="rId963" Type="http://schemas.openxmlformats.org/officeDocument/2006/relationships/image" Target="../media/image1032.jpg"/><Relationship Id="rId720" Type="http://schemas.openxmlformats.org/officeDocument/2006/relationships/image" Target="../media/image730.jpg"/><Relationship Id="rId962" Type="http://schemas.openxmlformats.org/officeDocument/2006/relationships/image" Target="../media/image959.jpg"/><Relationship Id="rId727" Type="http://schemas.openxmlformats.org/officeDocument/2006/relationships/image" Target="../media/image717.jpg"/><Relationship Id="rId969" Type="http://schemas.openxmlformats.org/officeDocument/2006/relationships/image" Target="../media/image996.jpg"/><Relationship Id="rId726" Type="http://schemas.openxmlformats.org/officeDocument/2006/relationships/image" Target="../media/image733.jpg"/><Relationship Id="rId968" Type="http://schemas.openxmlformats.org/officeDocument/2006/relationships/image" Target="../media/image948.jpg"/><Relationship Id="rId725" Type="http://schemas.openxmlformats.org/officeDocument/2006/relationships/image" Target="../media/image738.jpg"/><Relationship Id="rId967" Type="http://schemas.openxmlformats.org/officeDocument/2006/relationships/image" Target="../media/image957.jpg"/><Relationship Id="rId724" Type="http://schemas.openxmlformats.org/officeDocument/2006/relationships/image" Target="../media/image721.jpg"/><Relationship Id="rId966" Type="http://schemas.openxmlformats.org/officeDocument/2006/relationships/image" Target="../media/image971.jpg"/><Relationship Id="rId69" Type="http://schemas.openxmlformats.org/officeDocument/2006/relationships/image" Target="../media/image85.jpg"/><Relationship Id="rId961" Type="http://schemas.openxmlformats.org/officeDocument/2006/relationships/image" Target="../media/image1162.jpg"/><Relationship Id="rId960" Type="http://schemas.openxmlformats.org/officeDocument/2006/relationships/image" Target="../media/image1031.jpg"/><Relationship Id="rId51" Type="http://schemas.openxmlformats.org/officeDocument/2006/relationships/image" Target="../media/image116.jpg"/><Relationship Id="rId50" Type="http://schemas.openxmlformats.org/officeDocument/2006/relationships/image" Target="../media/image24.jpg"/><Relationship Id="rId53" Type="http://schemas.openxmlformats.org/officeDocument/2006/relationships/image" Target="../media/image40.jpg"/><Relationship Id="rId52" Type="http://schemas.openxmlformats.org/officeDocument/2006/relationships/image" Target="../media/image25.jpg"/><Relationship Id="rId55" Type="http://schemas.openxmlformats.org/officeDocument/2006/relationships/image" Target="../media/image55.jpg"/><Relationship Id="rId54" Type="http://schemas.openxmlformats.org/officeDocument/2006/relationships/image" Target="../media/image51.jpg"/><Relationship Id="rId57" Type="http://schemas.openxmlformats.org/officeDocument/2006/relationships/image" Target="../media/image48.jpg"/><Relationship Id="rId56" Type="http://schemas.openxmlformats.org/officeDocument/2006/relationships/image" Target="../media/image73.jpg"/><Relationship Id="rId719" Type="http://schemas.openxmlformats.org/officeDocument/2006/relationships/image" Target="../media/image732.jpg"/><Relationship Id="rId718" Type="http://schemas.openxmlformats.org/officeDocument/2006/relationships/image" Target="../media/image737.jpg"/><Relationship Id="rId717" Type="http://schemas.openxmlformats.org/officeDocument/2006/relationships/image" Target="../media/image708.jpg"/><Relationship Id="rId959" Type="http://schemas.openxmlformats.org/officeDocument/2006/relationships/image" Target="../media/image947.jpg"/><Relationship Id="rId712" Type="http://schemas.openxmlformats.org/officeDocument/2006/relationships/image" Target="../media/image713.jpg"/><Relationship Id="rId954" Type="http://schemas.openxmlformats.org/officeDocument/2006/relationships/image" Target="../media/image950.jpg"/><Relationship Id="rId711" Type="http://schemas.openxmlformats.org/officeDocument/2006/relationships/image" Target="../media/image729.jpg"/><Relationship Id="rId953" Type="http://schemas.openxmlformats.org/officeDocument/2006/relationships/image" Target="../media/image999.jpg"/><Relationship Id="rId710" Type="http://schemas.openxmlformats.org/officeDocument/2006/relationships/image" Target="../media/image699.jpg"/><Relationship Id="rId952" Type="http://schemas.openxmlformats.org/officeDocument/2006/relationships/image" Target="../media/image941.jpg"/><Relationship Id="rId951" Type="http://schemas.openxmlformats.org/officeDocument/2006/relationships/image" Target="../media/image976.jpg"/><Relationship Id="rId716" Type="http://schemas.openxmlformats.org/officeDocument/2006/relationships/image" Target="../media/image709.jpg"/><Relationship Id="rId958" Type="http://schemas.openxmlformats.org/officeDocument/2006/relationships/image" Target="../media/image1027.jpg"/><Relationship Id="rId715" Type="http://schemas.openxmlformats.org/officeDocument/2006/relationships/image" Target="../media/image710.jpg"/><Relationship Id="rId957" Type="http://schemas.openxmlformats.org/officeDocument/2006/relationships/image" Target="../media/image961.jpg"/><Relationship Id="rId714" Type="http://schemas.openxmlformats.org/officeDocument/2006/relationships/image" Target="../media/image731.jpg"/><Relationship Id="rId956" Type="http://schemas.openxmlformats.org/officeDocument/2006/relationships/image" Target="../media/image944.jpg"/><Relationship Id="rId713" Type="http://schemas.openxmlformats.org/officeDocument/2006/relationships/image" Target="../media/image704.jpg"/><Relationship Id="rId955" Type="http://schemas.openxmlformats.org/officeDocument/2006/relationships/image" Target="../media/image1016.jpg"/><Relationship Id="rId59" Type="http://schemas.openxmlformats.org/officeDocument/2006/relationships/image" Target="../media/image52.jpg"/><Relationship Id="rId58" Type="http://schemas.openxmlformats.org/officeDocument/2006/relationships/image" Target="../media/image63.jpg"/><Relationship Id="rId950" Type="http://schemas.openxmlformats.org/officeDocument/2006/relationships/image" Target="../media/image997.jpg"/><Relationship Id="rId590" Type="http://schemas.openxmlformats.org/officeDocument/2006/relationships/image" Target="../media/image579.jpg"/><Relationship Id="rId107" Type="http://schemas.openxmlformats.org/officeDocument/2006/relationships/image" Target="../media/image87.jpg"/><Relationship Id="rId349" Type="http://schemas.openxmlformats.org/officeDocument/2006/relationships/image" Target="../media/image328.jpg"/><Relationship Id="rId106" Type="http://schemas.openxmlformats.org/officeDocument/2006/relationships/image" Target="../media/image137.jpg"/><Relationship Id="rId348" Type="http://schemas.openxmlformats.org/officeDocument/2006/relationships/image" Target="../media/image327.jpg"/><Relationship Id="rId105" Type="http://schemas.openxmlformats.org/officeDocument/2006/relationships/image" Target="../media/image91.jpg"/><Relationship Id="rId347" Type="http://schemas.openxmlformats.org/officeDocument/2006/relationships/image" Target="../media/image325.jpg"/><Relationship Id="rId589" Type="http://schemas.openxmlformats.org/officeDocument/2006/relationships/image" Target="../media/image598.jpg"/><Relationship Id="rId104" Type="http://schemas.openxmlformats.org/officeDocument/2006/relationships/image" Target="../media/image100.jpg"/><Relationship Id="rId346" Type="http://schemas.openxmlformats.org/officeDocument/2006/relationships/image" Target="../media/image346.jpg"/><Relationship Id="rId588" Type="http://schemas.openxmlformats.org/officeDocument/2006/relationships/image" Target="../media/image566.jpg"/><Relationship Id="rId109" Type="http://schemas.openxmlformats.org/officeDocument/2006/relationships/image" Target="../media/image128.jpg"/><Relationship Id="rId1170" Type="http://schemas.openxmlformats.org/officeDocument/2006/relationships/image" Target="../media/image1144.jpg"/><Relationship Id="rId108" Type="http://schemas.openxmlformats.org/officeDocument/2006/relationships/image" Target="../media/image89.jpg"/><Relationship Id="rId1171" Type="http://schemas.openxmlformats.org/officeDocument/2006/relationships/image" Target="../media/image1172.jpg"/><Relationship Id="rId341" Type="http://schemas.openxmlformats.org/officeDocument/2006/relationships/image" Target="../media/image348.jpg"/><Relationship Id="rId583" Type="http://schemas.openxmlformats.org/officeDocument/2006/relationships/image" Target="../media/image560.jpg"/><Relationship Id="rId1172" Type="http://schemas.openxmlformats.org/officeDocument/2006/relationships/image" Target="../media/image1176.jpg"/><Relationship Id="rId340" Type="http://schemas.openxmlformats.org/officeDocument/2006/relationships/image" Target="../media/image320.jpg"/><Relationship Id="rId582" Type="http://schemas.openxmlformats.org/officeDocument/2006/relationships/image" Target="../media/image575.jpg"/><Relationship Id="rId1173" Type="http://schemas.openxmlformats.org/officeDocument/2006/relationships/image" Target="../media/image1167.jpg"/><Relationship Id="rId581" Type="http://schemas.openxmlformats.org/officeDocument/2006/relationships/image" Target="../media/image554.jpg"/><Relationship Id="rId1174" Type="http://schemas.openxmlformats.org/officeDocument/2006/relationships/image" Target="../media/image1150.jpg"/><Relationship Id="rId580" Type="http://schemas.openxmlformats.org/officeDocument/2006/relationships/image" Target="../media/image562.jpg"/><Relationship Id="rId1175" Type="http://schemas.openxmlformats.org/officeDocument/2006/relationships/image" Target="../media/image1219.jpg"/><Relationship Id="rId103" Type="http://schemas.openxmlformats.org/officeDocument/2006/relationships/image" Target="../media/image84.jpg"/><Relationship Id="rId345" Type="http://schemas.openxmlformats.org/officeDocument/2006/relationships/image" Target="../media/image331.jpg"/><Relationship Id="rId587" Type="http://schemas.openxmlformats.org/officeDocument/2006/relationships/image" Target="../media/image578.jpg"/><Relationship Id="rId1176" Type="http://schemas.openxmlformats.org/officeDocument/2006/relationships/image" Target="../media/image1212.jpg"/><Relationship Id="rId102" Type="http://schemas.openxmlformats.org/officeDocument/2006/relationships/image" Target="../media/image102.jpg"/><Relationship Id="rId344" Type="http://schemas.openxmlformats.org/officeDocument/2006/relationships/image" Target="../media/image350.jpg"/><Relationship Id="rId586" Type="http://schemas.openxmlformats.org/officeDocument/2006/relationships/image" Target="../media/image605.jpg"/><Relationship Id="rId1177" Type="http://schemas.openxmlformats.org/officeDocument/2006/relationships/image" Target="../media/image1152.jpg"/><Relationship Id="rId101" Type="http://schemas.openxmlformats.org/officeDocument/2006/relationships/image" Target="../media/image112.jpg"/><Relationship Id="rId343" Type="http://schemas.openxmlformats.org/officeDocument/2006/relationships/image" Target="../media/image337.jpg"/><Relationship Id="rId585" Type="http://schemas.openxmlformats.org/officeDocument/2006/relationships/image" Target="../media/image602.jpg"/><Relationship Id="rId1178" Type="http://schemas.openxmlformats.org/officeDocument/2006/relationships/image" Target="../media/image1153.jpg"/><Relationship Id="rId100" Type="http://schemas.openxmlformats.org/officeDocument/2006/relationships/image" Target="../media/image82.jpg"/><Relationship Id="rId342" Type="http://schemas.openxmlformats.org/officeDocument/2006/relationships/image" Target="../media/image330.jpg"/><Relationship Id="rId584" Type="http://schemas.openxmlformats.org/officeDocument/2006/relationships/image" Target="../media/image571.jpg"/><Relationship Id="rId1179" Type="http://schemas.openxmlformats.org/officeDocument/2006/relationships/image" Target="../media/image1213.jpg"/><Relationship Id="rId1169" Type="http://schemas.openxmlformats.org/officeDocument/2006/relationships/image" Target="../media/image1142.jpg"/><Relationship Id="rId338" Type="http://schemas.openxmlformats.org/officeDocument/2006/relationships/image" Target="../media/image326.jpg"/><Relationship Id="rId337" Type="http://schemas.openxmlformats.org/officeDocument/2006/relationships/image" Target="../media/image367.jpg"/><Relationship Id="rId579" Type="http://schemas.openxmlformats.org/officeDocument/2006/relationships/image" Target="../media/image549.jpg"/><Relationship Id="rId336" Type="http://schemas.openxmlformats.org/officeDocument/2006/relationships/image" Target="../media/image345.jpg"/><Relationship Id="rId578" Type="http://schemas.openxmlformats.org/officeDocument/2006/relationships/image" Target="../media/image654.jpg"/><Relationship Id="rId335" Type="http://schemas.openxmlformats.org/officeDocument/2006/relationships/image" Target="../media/image323.jpg"/><Relationship Id="rId577" Type="http://schemas.openxmlformats.org/officeDocument/2006/relationships/image" Target="../media/image556.jpg"/><Relationship Id="rId339" Type="http://schemas.openxmlformats.org/officeDocument/2006/relationships/image" Target="../media/image329.jpg"/><Relationship Id="rId1160" Type="http://schemas.openxmlformats.org/officeDocument/2006/relationships/image" Target="../media/image1135.jpg"/><Relationship Id="rId330" Type="http://schemas.openxmlformats.org/officeDocument/2006/relationships/image" Target="../media/image347.jpg"/><Relationship Id="rId572" Type="http://schemas.openxmlformats.org/officeDocument/2006/relationships/image" Target="../media/image581.jpg"/><Relationship Id="rId1161" Type="http://schemas.openxmlformats.org/officeDocument/2006/relationships/image" Target="../media/image1138.jpg"/><Relationship Id="rId571" Type="http://schemas.openxmlformats.org/officeDocument/2006/relationships/image" Target="../media/image545.jpg"/><Relationship Id="rId1162" Type="http://schemas.openxmlformats.org/officeDocument/2006/relationships/image" Target="../media/image1156.jpg"/><Relationship Id="rId570" Type="http://schemas.openxmlformats.org/officeDocument/2006/relationships/image" Target="../media/image543.jpg"/><Relationship Id="rId1163" Type="http://schemas.openxmlformats.org/officeDocument/2006/relationships/image" Target="../media/image1139.jpg"/><Relationship Id="rId1164" Type="http://schemas.openxmlformats.org/officeDocument/2006/relationships/image" Target="../media/image1141.jpg"/><Relationship Id="rId334" Type="http://schemas.openxmlformats.org/officeDocument/2006/relationships/image" Target="../media/image314.jpg"/><Relationship Id="rId576" Type="http://schemas.openxmlformats.org/officeDocument/2006/relationships/image" Target="../media/image555.jpg"/><Relationship Id="rId1165" Type="http://schemas.openxmlformats.org/officeDocument/2006/relationships/image" Target="../media/image1190.jpg"/><Relationship Id="rId333" Type="http://schemas.openxmlformats.org/officeDocument/2006/relationships/image" Target="../media/image312.jpg"/><Relationship Id="rId575" Type="http://schemas.openxmlformats.org/officeDocument/2006/relationships/image" Target="../media/image547.jpg"/><Relationship Id="rId1166" Type="http://schemas.openxmlformats.org/officeDocument/2006/relationships/image" Target="../media/image1155.jpg"/><Relationship Id="rId332" Type="http://schemas.openxmlformats.org/officeDocument/2006/relationships/image" Target="../media/image394.jpg"/><Relationship Id="rId574" Type="http://schemas.openxmlformats.org/officeDocument/2006/relationships/image" Target="../media/image576.jpg"/><Relationship Id="rId1167" Type="http://schemas.openxmlformats.org/officeDocument/2006/relationships/image" Target="../media/image1145.jpg"/><Relationship Id="rId331" Type="http://schemas.openxmlformats.org/officeDocument/2006/relationships/image" Target="../media/image316.jpg"/><Relationship Id="rId573" Type="http://schemas.openxmlformats.org/officeDocument/2006/relationships/image" Target="../media/image552.jpg"/><Relationship Id="rId1168" Type="http://schemas.openxmlformats.org/officeDocument/2006/relationships/image" Target="../media/image1164.jpg"/><Relationship Id="rId370" Type="http://schemas.openxmlformats.org/officeDocument/2006/relationships/image" Target="../media/image386.jpg"/><Relationship Id="rId129" Type="http://schemas.openxmlformats.org/officeDocument/2006/relationships/image" Target="../media/image108.jpg"/><Relationship Id="rId128" Type="http://schemas.openxmlformats.org/officeDocument/2006/relationships/image" Target="../media/image124.jpg"/><Relationship Id="rId127" Type="http://schemas.openxmlformats.org/officeDocument/2006/relationships/image" Target="../media/image106.jpg"/><Relationship Id="rId369" Type="http://schemas.openxmlformats.org/officeDocument/2006/relationships/image" Target="../media/image379.jpg"/><Relationship Id="rId126" Type="http://schemas.openxmlformats.org/officeDocument/2006/relationships/image" Target="../media/image158.jpg"/><Relationship Id="rId368" Type="http://schemas.openxmlformats.org/officeDocument/2006/relationships/image" Target="../media/image344.jpg"/><Relationship Id="rId1190" Type="http://schemas.openxmlformats.org/officeDocument/2006/relationships/image" Target="../media/image1163.jpg"/><Relationship Id="rId1191" Type="http://schemas.openxmlformats.org/officeDocument/2006/relationships/image" Target="../media/image1168.jpg"/><Relationship Id="rId1192" Type="http://schemas.openxmlformats.org/officeDocument/2006/relationships/image" Target="../media/image1183.jpg"/><Relationship Id="rId1193" Type="http://schemas.openxmlformats.org/officeDocument/2006/relationships/image" Target="../media/image1188.jpg"/><Relationship Id="rId121" Type="http://schemas.openxmlformats.org/officeDocument/2006/relationships/image" Target="../media/image111.jpg"/><Relationship Id="rId363" Type="http://schemas.openxmlformats.org/officeDocument/2006/relationships/image" Target="../media/image339.jpg"/><Relationship Id="rId1194" Type="http://schemas.openxmlformats.org/officeDocument/2006/relationships/image" Target="../media/image1196.jpg"/><Relationship Id="rId120" Type="http://schemas.openxmlformats.org/officeDocument/2006/relationships/image" Target="../media/image103.jpg"/><Relationship Id="rId362" Type="http://schemas.openxmlformats.org/officeDocument/2006/relationships/image" Target="../media/image338.jpg"/><Relationship Id="rId1195" Type="http://schemas.openxmlformats.org/officeDocument/2006/relationships/image" Target="../media/image1231.jpg"/><Relationship Id="rId361" Type="http://schemas.openxmlformats.org/officeDocument/2006/relationships/image" Target="../media/image380.jpg"/><Relationship Id="rId1196" Type="http://schemas.openxmlformats.org/officeDocument/2006/relationships/image" Target="../media/image1220.jpg"/><Relationship Id="rId360" Type="http://schemas.openxmlformats.org/officeDocument/2006/relationships/image" Target="../media/image343.jpg"/><Relationship Id="rId1197" Type="http://schemas.openxmlformats.org/officeDocument/2006/relationships/image" Target="../media/image1181.jpg"/><Relationship Id="rId125" Type="http://schemas.openxmlformats.org/officeDocument/2006/relationships/image" Target="../media/image131.jpg"/><Relationship Id="rId367" Type="http://schemas.openxmlformats.org/officeDocument/2006/relationships/image" Target="../media/image416.jpg"/><Relationship Id="rId1198" Type="http://schemas.openxmlformats.org/officeDocument/2006/relationships/image" Target="../media/image1169.jpg"/><Relationship Id="rId124" Type="http://schemas.openxmlformats.org/officeDocument/2006/relationships/image" Target="../media/image122.jpg"/><Relationship Id="rId366" Type="http://schemas.openxmlformats.org/officeDocument/2006/relationships/image" Target="../media/image364.jpg"/><Relationship Id="rId1199" Type="http://schemas.openxmlformats.org/officeDocument/2006/relationships/image" Target="../media/image1186.jpg"/><Relationship Id="rId123" Type="http://schemas.openxmlformats.org/officeDocument/2006/relationships/image" Target="../media/image133.jpg"/><Relationship Id="rId365" Type="http://schemas.openxmlformats.org/officeDocument/2006/relationships/image" Target="../media/image369.jpg"/><Relationship Id="rId122" Type="http://schemas.openxmlformats.org/officeDocument/2006/relationships/image" Target="../media/image99.jpg"/><Relationship Id="rId364" Type="http://schemas.openxmlformats.org/officeDocument/2006/relationships/image" Target="../media/image340.jpg"/><Relationship Id="rId95" Type="http://schemas.openxmlformats.org/officeDocument/2006/relationships/image" Target="../media/image90.jpg"/><Relationship Id="rId94" Type="http://schemas.openxmlformats.org/officeDocument/2006/relationships/image" Target="../media/image74.jpg"/><Relationship Id="rId97" Type="http://schemas.openxmlformats.org/officeDocument/2006/relationships/image" Target="../media/image95.jpg"/><Relationship Id="rId96" Type="http://schemas.openxmlformats.org/officeDocument/2006/relationships/image" Target="../media/image105.jpg"/><Relationship Id="rId99" Type="http://schemas.openxmlformats.org/officeDocument/2006/relationships/image" Target="../media/image83.jpg"/><Relationship Id="rId98" Type="http://schemas.openxmlformats.org/officeDocument/2006/relationships/image" Target="../media/image81.jpg"/><Relationship Id="rId91" Type="http://schemas.openxmlformats.org/officeDocument/2006/relationships/image" Target="../media/image130.jpg"/><Relationship Id="rId90" Type="http://schemas.openxmlformats.org/officeDocument/2006/relationships/image" Target="../media/image79.jpg"/><Relationship Id="rId93" Type="http://schemas.openxmlformats.org/officeDocument/2006/relationships/image" Target="../media/image98.jpg"/><Relationship Id="rId92" Type="http://schemas.openxmlformats.org/officeDocument/2006/relationships/image" Target="../media/image80.jpg"/><Relationship Id="rId118" Type="http://schemas.openxmlformats.org/officeDocument/2006/relationships/image" Target="../media/image126.jpg"/><Relationship Id="rId117" Type="http://schemas.openxmlformats.org/officeDocument/2006/relationships/image" Target="../media/image127.jpg"/><Relationship Id="rId359" Type="http://schemas.openxmlformats.org/officeDocument/2006/relationships/image" Target="../media/image399.jpg"/><Relationship Id="rId116" Type="http://schemas.openxmlformats.org/officeDocument/2006/relationships/image" Target="../media/image101.jpg"/><Relationship Id="rId358" Type="http://schemas.openxmlformats.org/officeDocument/2006/relationships/image" Target="../media/image355.jpg"/><Relationship Id="rId115" Type="http://schemas.openxmlformats.org/officeDocument/2006/relationships/image" Target="../media/image94.jpg"/><Relationship Id="rId357" Type="http://schemas.openxmlformats.org/officeDocument/2006/relationships/image" Target="../media/image335.jpg"/><Relationship Id="rId599" Type="http://schemas.openxmlformats.org/officeDocument/2006/relationships/image" Target="../media/image632.jpg"/><Relationship Id="rId1180" Type="http://schemas.openxmlformats.org/officeDocument/2006/relationships/image" Target="../media/image1224.jpg"/><Relationship Id="rId1181" Type="http://schemas.openxmlformats.org/officeDocument/2006/relationships/image" Target="../media/image1165.jpg"/><Relationship Id="rId119" Type="http://schemas.openxmlformats.org/officeDocument/2006/relationships/image" Target="../media/image129.jpg"/><Relationship Id="rId1182" Type="http://schemas.openxmlformats.org/officeDocument/2006/relationships/image" Target="../media/image1173.jpg"/><Relationship Id="rId110" Type="http://schemas.openxmlformats.org/officeDocument/2006/relationships/image" Target="../media/image115.jpg"/><Relationship Id="rId352" Type="http://schemas.openxmlformats.org/officeDocument/2006/relationships/image" Target="../media/image324.jpg"/><Relationship Id="rId594" Type="http://schemas.openxmlformats.org/officeDocument/2006/relationships/image" Target="../media/image574.jpg"/><Relationship Id="rId1183" Type="http://schemas.openxmlformats.org/officeDocument/2006/relationships/image" Target="../media/image1161.jpg"/><Relationship Id="rId351" Type="http://schemas.openxmlformats.org/officeDocument/2006/relationships/image" Target="../media/image427.jpg"/><Relationship Id="rId593" Type="http://schemas.openxmlformats.org/officeDocument/2006/relationships/image" Target="../media/image568.jpg"/><Relationship Id="rId1184" Type="http://schemas.openxmlformats.org/officeDocument/2006/relationships/image" Target="../media/image1205.jpg"/><Relationship Id="rId350" Type="http://schemas.openxmlformats.org/officeDocument/2006/relationships/image" Target="../media/image405.jpg"/><Relationship Id="rId592" Type="http://schemas.openxmlformats.org/officeDocument/2006/relationships/image" Target="../media/image572.jpg"/><Relationship Id="rId1185" Type="http://schemas.openxmlformats.org/officeDocument/2006/relationships/image" Target="../media/image1222.jpg"/><Relationship Id="rId591" Type="http://schemas.openxmlformats.org/officeDocument/2006/relationships/image" Target="../media/image570.jpg"/><Relationship Id="rId1186" Type="http://schemas.openxmlformats.org/officeDocument/2006/relationships/image" Target="../media/image1179.jpg"/><Relationship Id="rId114" Type="http://schemas.openxmlformats.org/officeDocument/2006/relationships/image" Target="../media/image93.jpg"/><Relationship Id="rId356" Type="http://schemas.openxmlformats.org/officeDocument/2006/relationships/image" Target="../media/image354.jpg"/><Relationship Id="rId598" Type="http://schemas.openxmlformats.org/officeDocument/2006/relationships/image" Target="../media/image587.jpg"/><Relationship Id="rId1187" Type="http://schemas.openxmlformats.org/officeDocument/2006/relationships/image" Target="../media/image1175.jpg"/><Relationship Id="rId113" Type="http://schemas.openxmlformats.org/officeDocument/2006/relationships/image" Target="../media/image97.jpg"/><Relationship Id="rId355" Type="http://schemas.openxmlformats.org/officeDocument/2006/relationships/image" Target="../media/image351.jpg"/><Relationship Id="rId597" Type="http://schemas.openxmlformats.org/officeDocument/2006/relationships/image" Target="../media/image595.jpg"/><Relationship Id="rId1188" Type="http://schemas.openxmlformats.org/officeDocument/2006/relationships/image" Target="../media/image1185.jpg"/><Relationship Id="rId112" Type="http://schemas.openxmlformats.org/officeDocument/2006/relationships/image" Target="../media/image107.jpg"/><Relationship Id="rId354" Type="http://schemas.openxmlformats.org/officeDocument/2006/relationships/image" Target="../media/image332.jpg"/><Relationship Id="rId596" Type="http://schemas.openxmlformats.org/officeDocument/2006/relationships/image" Target="../media/image585.jpg"/><Relationship Id="rId1189" Type="http://schemas.openxmlformats.org/officeDocument/2006/relationships/image" Target="../media/image1177.jpg"/><Relationship Id="rId111" Type="http://schemas.openxmlformats.org/officeDocument/2006/relationships/image" Target="../media/image109.jpg"/><Relationship Id="rId353" Type="http://schemas.openxmlformats.org/officeDocument/2006/relationships/image" Target="../media/image371.jpg"/><Relationship Id="rId595" Type="http://schemas.openxmlformats.org/officeDocument/2006/relationships/image" Target="../media/image573.jpg"/><Relationship Id="rId1136" Type="http://schemas.openxmlformats.org/officeDocument/2006/relationships/image" Target="../media/image1116.jpg"/><Relationship Id="rId1137" Type="http://schemas.openxmlformats.org/officeDocument/2006/relationships/image" Target="../media/image1115.jpg"/><Relationship Id="rId1138" Type="http://schemas.openxmlformats.org/officeDocument/2006/relationships/image" Target="../media/image1136.jpg"/><Relationship Id="rId1139" Type="http://schemas.openxmlformats.org/officeDocument/2006/relationships/image" Target="../media/image1129.jpg"/><Relationship Id="rId305" Type="http://schemas.openxmlformats.org/officeDocument/2006/relationships/image" Target="../media/image370.jpg"/><Relationship Id="rId547" Type="http://schemas.openxmlformats.org/officeDocument/2006/relationships/image" Target="../media/image584.jpg"/><Relationship Id="rId789" Type="http://schemas.openxmlformats.org/officeDocument/2006/relationships/image" Target="../media/image806.jpg"/><Relationship Id="rId304" Type="http://schemas.openxmlformats.org/officeDocument/2006/relationships/image" Target="../media/image280.jpg"/><Relationship Id="rId546" Type="http://schemas.openxmlformats.org/officeDocument/2006/relationships/image" Target="../media/image546.jpg"/><Relationship Id="rId788" Type="http://schemas.openxmlformats.org/officeDocument/2006/relationships/image" Target="../media/image777.jpg"/><Relationship Id="rId303" Type="http://schemas.openxmlformats.org/officeDocument/2006/relationships/image" Target="../media/image279.jpg"/><Relationship Id="rId545" Type="http://schemas.openxmlformats.org/officeDocument/2006/relationships/image" Target="../media/image510.jpg"/><Relationship Id="rId787" Type="http://schemas.openxmlformats.org/officeDocument/2006/relationships/image" Target="../media/image816.jpg"/><Relationship Id="rId302" Type="http://schemas.openxmlformats.org/officeDocument/2006/relationships/image" Target="../media/image333.jpg"/><Relationship Id="rId544" Type="http://schemas.openxmlformats.org/officeDocument/2006/relationships/image" Target="../media/image532.jpg"/><Relationship Id="rId786" Type="http://schemas.openxmlformats.org/officeDocument/2006/relationships/image" Target="../media/image795.jpg"/><Relationship Id="rId309" Type="http://schemas.openxmlformats.org/officeDocument/2006/relationships/image" Target="../media/image299.jpg"/><Relationship Id="rId308" Type="http://schemas.openxmlformats.org/officeDocument/2006/relationships/image" Target="../media/image393.jpg"/><Relationship Id="rId307" Type="http://schemas.openxmlformats.org/officeDocument/2006/relationships/image" Target="../media/image313.jpg"/><Relationship Id="rId549" Type="http://schemas.openxmlformats.org/officeDocument/2006/relationships/image" Target="../media/image514.jpg"/><Relationship Id="rId306" Type="http://schemas.openxmlformats.org/officeDocument/2006/relationships/image" Target="../media/image336.jpg"/><Relationship Id="rId548" Type="http://schemas.openxmlformats.org/officeDocument/2006/relationships/image" Target="../media/image525.jpg"/><Relationship Id="rId781" Type="http://schemas.openxmlformats.org/officeDocument/2006/relationships/image" Target="../media/image781.jpg"/><Relationship Id="rId780" Type="http://schemas.openxmlformats.org/officeDocument/2006/relationships/image" Target="../media/image780.jpg"/><Relationship Id="rId1130" Type="http://schemas.openxmlformats.org/officeDocument/2006/relationships/image" Target="../media/image1113.jpg"/><Relationship Id="rId1131" Type="http://schemas.openxmlformats.org/officeDocument/2006/relationships/image" Target="../media/image1160.jpg"/><Relationship Id="rId301" Type="http://schemas.openxmlformats.org/officeDocument/2006/relationships/image" Target="../media/image271.jpg"/><Relationship Id="rId543" Type="http://schemas.openxmlformats.org/officeDocument/2006/relationships/image" Target="../media/image520.jpg"/><Relationship Id="rId785" Type="http://schemas.openxmlformats.org/officeDocument/2006/relationships/image" Target="../media/image775.jpg"/><Relationship Id="rId1132" Type="http://schemas.openxmlformats.org/officeDocument/2006/relationships/image" Target="../media/image1170.jpg"/><Relationship Id="rId300" Type="http://schemas.openxmlformats.org/officeDocument/2006/relationships/image" Target="../media/image375.jpg"/><Relationship Id="rId542" Type="http://schemas.openxmlformats.org/officeDocument/2006/relationships/image" Target="../media/image516.jpg"/><Relationship Id="rId784" Type="http://schemas.openxmlformats.org/officeDocument/2006/relationships/image" Target="../media/image796.jpg"/><Relationship Id="rId1133" Type="http://schemas.openxmlformats.org/officeDocument/2006/relationships/image" Target="../media/image1110.jpg"/><Relationship Id="rId541" Type="http://schemas.openxmlformats.org/officeDocument/2006/relationships/image" Target="../media/image522.jpg"/><Relationship Id="rId783" Type="http://schemas.openxmlformats.org/officeDocument/2006/relationships/image" Target="../media/image783.jpg"/><Relationship Id="rId1134" Type="http://schemas.openxmlformats.org/officeDocument/2006/relationships/image" Target="../media/image1114.jpg"/><Relationship Id="rId540" Type="http://schemas.openxmlformats.org/officeDocument/2006/relationships/image" Target="../media/image524.jpg"/><Relationship Id="rId782" Type="http://schemas.openxmlformats.org/officeDocument/2006/relationships/image" Target="../media/image776.jpg"/><Relationship Id="rId1135" Type="http://schemas.openxmlformats.org/officeDocument/2006/relationships/image" Target="../media/image1111.jpg"/><Relationship Id="rId1125" Type="http://schemas.openxmlformats.org/officeDocument/2006/relationships/image" Target="../media/image1106.jpg"/><Relationship Id="rId1126" Type="http://schemas.openxmlformats.org/officeDocument/2006/relationships/image" Target="../media/image1108.jpg"/><Relationship Id="rId1127" Type="http://schemas.openxmlformats.org/officeDocument/2006/relationships/image" Target="../media/image1227.jpg"/><Relationship Id="rId1128" Type="http://schemas.openxmlformats.org/officeDocument/2006/relationships/image" Target="../media/image1149.jpg"/><Relationship Id="rId1129" Type="http://schemas.openxmlformats.org/officeDocument/2006/relationships/image" Target="../media/image1103.jpg"/><Relationship Id="rId536" Type="http://schemas.openxmlformats.org/officeDocument/2006/relationships/image" Target="../media/image527.jpg"/><Relationship Id="rId778" Type="http://schemas.openxmlformats.org/officeDocument/2006/relationships/image" Target="../media/image768.jpg"/><Relationship Id="rId535" Type="http://schemas.openxmlformats.org/officeDocument/2006/relationships/image" Target="../media/image523.jpg"/><Relationship Id="rId777" Type="http://schemas.openxmlformats.org/officeDocument/2006/relationships/image" Target="../media/image773.jpg"/><Relationship Id="rId534" Type="http://schemas.openxmlformats.org/officeDocument/2006/relationships/image" Target="../media/image509.jpg"/><Relationship Id="rId776" Type="http://schemas.openxmlformats.org/officeDocument/2006/relationships/image" Target="../media/image784.jpg"/><Relationship Id="rId533" Type="http://schemas.openxmlformats.org/officeDocument/2006/relationships/image" Target="../media/image519.jpg"/><Relationship Id="rId775" Type="http://schemas.openxmlformats.org/officeDocument/2006/relationships/image" Target="../media/image774.jpg"/><Relationship Id="rId539" Type="http://schemas.openxmlformats.org/officeDocument/2006/relationships/image" Target="../media/image593.jpg"/><Relationship Id="rId538" Type="http://schemas.openxmlformats.org/officeDocument/2006/relationships/image" Target="../media/image513.jpg"/><Relationship Id="rId537" Type="http://schemas.openxmlformats.org/officeDocument/2006/relationships/image" Target="../media/image503.jpg"/><Relationship Id="rId779" Type="http://schemas.openxmlformats.org/officeDocument/2006/relationships/image" Target="../media/image771.jpg"/><Relationship Id="rId770" Type="http://schemas.openxmlformats.org/officeDocument/2006/relationships/image" Target="../media/image761.jpg"/><Relationship Id="rId1120" Type="http://schemas.openxmlformats.org/officeDocument/2006/relationships/image" Target="../media/image1159.jpg"/><Relationship Id="rId532" Type="http://schemas.openxmlformats.org/officeDocument/2006/relationships/image" Target="../media/image507.jpg"/><Relationship Id="rId774" Type="http://schemas.openxmlformats.org/officeDocument/2006/relationships/image" Target="../media/image788.jpg"/><Relationship Id="rId1121" Type="http://schemas.openxmlformats.org/officeDocument/2006/relationships/image" Target="../media/image1090.jpg"/><Relationship Id="rId531" Type="http://schemas.openxmlformats.org/officeDocument/2006/relationships/image" Target="../media/image497.jpg"/><Relationship Id="rId773" Type="http://schemas.openxmlformats.org/officeDocument/2006/relationships/image" Target="../media/image785.jpg"/><Relationship Id="rId1122" Type="http://schemas.openxmlformats.org/officeDocument/2006/relationships/image" Target="../media/image1140.jpg"/><Relationship Id="rId530" Type="http://schemas.openxmlformats.org/officeDocument/2006/relationships/image" Target="../media/image624.jpg"/><Relationship Id="rId772" Type="http://schemas.openxmlformats.org/officeDocument/2006/relationships/image" Target="../media/image791.jpg"/><Relationship Id="rId1123" Type="http://schemas.openxmlformats.org/officeDocument/2006/relationships/image" Target="../media/image1096.jpg"/><Relationship Id="rId771" Type="http://schemas.openxmlformats.org/officeDocument/2006/relationships/image" Target="../media/image762.jpg"/><Relationship Id="rId1124" Type="http://schemas.openxmlformats.org/officeDocument/2006/relationships/image" Target="../media/image1107.jpg"/><Relationship Id="rId1158" Type="http://schemas.openxmlformats.org/officeDocument/2006/relationships/image" Target="../media/image1143.jpg"/><Relationship Id="rId1159" Type="http://schemas.openxmlformats.org/officeDocument/2006/relationships/image" Target="../media/image1171.jpg"/><Relationship Id="rId327" Type="http://schemas.openxmlformats.org/officeDocument/2006/relationships/image" Target="../media/image309.jpg"/><Relationship Id="rId569" Type="http://schemas.openxmlformats.org/officeDocument/2006/relationships/image" Target="../media/image567.jpg"/><Relationship Id="rId326" Type="http://schemas.openxmlformats.org/officeDocument/2006/relationships/image" Target="../media/image311.jpg"/><Relationship Id="rId568" Type="http://schemas.openxmlformats.org/officeDocument/2006/relationships/image" Target="../media/image553.jpg"/><Relationship Id="rId325" Type="http://schemas.openxmlformats.org/officeDocument/2006/relationships/image" Target="../media/image318.jpg"/><Relationship Id="rId567" Type="http://schemas.openxmlformats.org/officeDocument/2006/relationships/image" Target="../media/image577.jpg"/><Relationship Id="rId324" Type="http://schemas.openxmlformats.org/officeDocument/2006/relationships/image" Target="../media/image322.jpg"/><Relationship Id="rId566" Type="http://schemas.openxmlformats.org/officeDocument/2006/relationships/image" Target="../media/image769.jpg"/><Relationship Id="rId329" Type="http://schemas.openxmlformats.org/officeDocument/2006/relationships/image" Target="../media/image306.jpg"/><Relationship Id="rId328" Type="http://schemas.openxmlformats.org/officeDocument/2006/relationships/image" Target="../media/image352.jpg"/><Relationship Id="rId561" Type="http://schemas.openxmlformats.org/officeDocument/2006/relationships/image" Target="../media/image652.jpg"/><Relationship Id="rId1150" Type="http://schemas.openxmlformats.org/officeDocument/2006/relationships/image" Target="../media/image1127.jpg"/><Relationship Id="rId560" Type="http://schemas.openxmlformats.org/officeDocument/2006/relationships/image" Target="../media/image542.jpg"/><Relationship Id="rId1151" Type="http://schemas.openxmlformats.org/officeDocument/2006/relationships/image" Target="../media/image1157.jpg"/><Relationship Id="rId1152" Type="http://schemas.openxmlformats.org/officeDocument/2006/relationships/image" Target="../media/image1121.jpg"/><Relationship Id="rId1153" Type="http://schemas.openxmlformats.org/officeDocument/2006/relationships/image" Target="../media/image1154.jpg"/><Relationship Id="rId323" Type="http://schemas.openxmlformats.org/officeDocument/2006/relationships/image" Target="../media/image315.jpg"/><Relationship Id="rId565" Type="http://schemas.openxmlformats.org/officeDocument/2006/relationships/image" Target="../media/image538.jpg"/><Relationship Id="rId1154" Type="http://schemas.openxmlformats.org/officeDocument/2006/relationships/image" Target="../media/image1178.jpg"/><Relationship Id="rId322" Type="http://schemas.openxmlformats.org/officeDocument/2006/relationships/image" Target="../media/image319.jpg"/><Relationship Id="rId564" Type="http://schemas.openxmlformats.org/officeDocument/2006/relationships/image" Target="../media/image636.jpg"/><Relationship Id="rId1155" Type="http://schemas.openxmlformats.org/officeDocument/2006/relationships/image" Target="../media/image1166.jpg"/><Relationship Id="rId321" Type="http://schemas.openxmlformats.org/officeDocument/2006/relationships/image" Target="../media/image307.jpg"/><Relationship Id="rId563" Type="http://schemas.openxmlformats.org/officeDocument/2006/relationships/image" Target="../media/image539.jpg"/><Relationship Id="rId1156" Type="http://schemas.openxmlformats.org/officeDocument/2006/relationships/image" Target="../media/image1130.jpg"/><Relationship Id="rId320" Type="http://schemas.openxmlformats.org/officeDocument/2006/relationships/image" Target="../media/image308.jpg"/><Relationship Id="rId562" Type="http://schemas.openxmlformats.org/officeDocument/2006/relationships/image" Target="../media/image559.jpg"/><Relationship Id="rId1157" Type="http://schemas.openxmlformats.org/officeDocument/2006/relationships/image" Target="../media/image1133.jpg"/><Relationship Id="rId1147" Type="http://schemas.openxmlformats.org/officeDocument/2006/relationships/image" Target="../media/image1124.jpg"/><Relationship Id="rId1148" Type="http://schemas.openxmlformats.org/officeDocument/2006/relationships/image" Target="../media/image1122.jpg"/><Relationship Id="rId1149" Type="http://schemas.openxmlformats.org/officeDocument/2006/relationships/image" Target="../media/image1132.jpg"/><Relationship Id="rId316" Type="http://schemas.openxmlformats.org/officeDocument/2006/relationships/image" Target="../media/image292.jpg"/><Relationship Id="rId558" Type="http://schemas.openxmlformats.org/officeDocument/2006/relationships/image" Target="../media/image558.jpg"/><Relationship Id="rId315" Type="http://schemas.openxmlformats.org/officeDocument/2006/relationships/image" Target="../media/image288.jpg"/><Relationship Id="rId557" Type="http://schemas.openxmlformats.org/officeDocument/2006/relationships/image" Target="../media/image564.jpg"/><Relationship Id="rId799" Type="http://schemas.openxmlformats.org/officeDocument/2006/relationships/image" Target="../media/image803.jpg"/><Relationship Id="rId314" Type="http://schemas.openxmlformats.org/officeDocument/2006/relationships/image" Target="../media/image302.jpg"/><Relationship Id="rId556" Type="http://schemas.openxmlformats.org/officeDocument/2006/relationships/image" Target="../media/image535.jpg"/><Relationship Id="rId798" Type="http://schemas.openxmlformats.org/officeDocument/2006/relationships/image" Target="../media/image824.jpg"/><Relationship Id="rId313" Type="http://schemas.openxmlformats.org/officeDocument/2006/relationships/image" Target="../media/image285.jpg"/><Relationship Id="rId555" Type="http://schemas.openxmlformats.org/officeDocument/2006/relationships/image" Target="../media/image563.jpg"/><Relationship Id="rId797" Type="http://schemas.openxmlformats.org/officeDocument/2006/relationships/image" Target="../media/image779.jpg"/><Relationship Id="rId319" Type="http://schemas.openxmlformats.org/officeDocument/2006/relationships/image" Target="../media/image301.jpg"/><Relationship Id="rId318" Type="http://schemas.openxmlformats.org/officeDocument/2006/relationships/image" Target="../media/image334.jpg"/><Relationship Id="rId317" Type="http://schemas.openxmlformats.org/officeDocument/2006/relationships/image" Target="../media/image293.jpg"/><Relationship Id="rId559" Type="http://schemas.openxmlformats.org/officeDocument/2006/relationships/image" Target="../media/image537.jpg"/><Relationship Id="rId550" Type="http://schemas.openxmlformats.org/officeDocument/2006/relationships/image" Target="../media/image667.jpg"/><Relationship Id="rId792" Type="http://schemas.openxmlformats.org/officeDocument/2006/relationships/image" Target="../media/image793.jpg"/><Relationship Id="rId791" Type="http://schemas.openxmlformats.org/officeDocument/2006/relationships/image" Target="../media/image787.jpg"/><Relationship Id="rId1140" Type="http://schemas.openxmlformats.org/officeDocument/2006/relationships/image" Target="../media/image1126.jpg"/><Relationship Id="rId790" Type="http://schemas.openxmlformats.org/officeDocument/2006/relationships/image" Target="../media/image792.jpg"/><Relationship Id="rId1141" Type="http://schemas.openxmlformats.org/officeDocument/2006/relationships/image" Target="../media/image1117.jpg"/><Relationship Id="rId1142" Type="http://schemas.openxmlformats.org/officeDocument/2006/relationships/image" Target="../media/image1148.jpg"/><Relationship Id="rId312" Type="http://schemas.openxmlformats.org/officeDocument/2006/relationships/image" Target="../media/image287.jpg"/><Relationship Id="rId554" Type="http://schemas.openxmlformats.org/officeDocument/2006/relationships/image" Target="../media/image530.jpg"/><Relationship Id="rId796" Type="http://schemas.openxmlformats.org/officeDocument/2006/relationships/image" Target="../media/image778.jpg"/><Relationship Id="rId1143" Type="http://schemas.openxmlformats.org/officeDocument/2006/relationships/image" Target="../media/image1123.jpg"/><Relationship Id="rId311" Type="http://schemas.openxmlformats.org/officeDocument/2006/relationships/image" Target="../media/image286.jpg"/><Relationship Id="rId553" Type="http://schemas.openxmlformats.org/officeDocument/2006/relationships/image" Target="../media/image541.jpg"/><Relationship Id="rId795" Type="http://schemas.openxmlformats.org/officeDocument/2006/relationships/image" Target="../media/image822.jpg"/><Relationship Id="rId1144" Type="http://schemas.openxmlformats.org/officeDocument/2006/relationships/image" Target="../media/image1131.jpg"/><Relationship Id="rId310" Type="http://schemas.openxmlformats.org/officeDocument/2006/relationships/image" Target="../media/image310.jpg"/><Relationship Id="rId552" Type="http://schemas.openxmlformats.org/officeDocument/2006/relationships/image" Target="../media/image540.jpg"/><Relationship Id="rId794" Type="http://schemas.openxmlformats.org/officeDocument/2006/relationships/image" Target="../media/image821.jpg"/><Relationship Id="rId1145" Type="http://schemas.openxmlformats.org/officeDocument/2006/relationships/image" Target="../media/image1128.jpg"/><Relationship Id="rId551" Type="http://schemas.openxmlformats.org/officeDocument/2006/relationships/image" Target="../media/image536.jpg"/><Relationship Id="rId793" Type="http://schemas.openxmlformats.org/officeDocument/2006/relationships/image" Target="../media/image794.jpg"/><Relationship Id="rId1146" Type="http://schemas.openxmlformats.org/officeDocument/2006/relationships/image" Target="../media/image1134.jpg"/><Relationship Id="rId297" Type="http://schemas.openxmlformats.org/officeDocument/2006/relationships/image" Target="../media/image341.jpg"/><Relationship Id="rId296" Type="http://schemas.openxmlformats.org/officeDocument/2006/relationships/image" Target="../media/image283.jpg"/><Relationship Id="rId295" Type="http://schemas.openxmlformats.org/officeDocument/2006/relationships/image" Target="../media/image291.jpg"/><Relationship Id="rId294" Type="http://schemas.openxmlformats.org/officeDocument/2006/relationships/image" Target="../media/image276.jpg"/><Relationship Id="rId299" Type="http://schemas.openxmlformats.org/officeDocument/2006/relationships/image" Target="../media/image289.jpg"/><Relationship Id="rId298" Type="http://schemas.openxmlformats.org/officeDocument/2006/relationships/image" Target="../media/image290.jpg"/><Relationship Id="rId271" Type="http://schemas.openxmlformats.org/officeDocument/2006/relationships/image" Target="../media/image262.jpg"/><Relationship Id="rId270" Type="http://schemas.openxmlformats.org/officeDocument/2006/relationships/image" Target="../media/image254.jpg"/><Relationship Id="rId269" Type="http://schemas.openxmlformats.org/officeDocument/2006/relationships/image" Target="../media/image321.jpg"/><Relationship Id="rId264" Type="http://schemas.openxmlformats.org/officeDocument/2006/relationships/image" Target="../media/image303.jpg"/><Relationship Id="rId263" Type="http://schemas.openxmlformats.org/officeDocument/2006/relationships/image" Target="../media/image304.jpg"/><Relationship Id="rId262" Type="http://schemas.openxmlformats.org/officeDocument/2006/relationships/image" Target="../media/image244.jpg"/><Relationship Id="rId261" Type="http://schemas.openxmlformats.org/officeDocument/2006/relationships/image" Target="../media/image282.jpg"/><Relationship Id="rId268" Type="http://schemas.openxmlformats.org/officeDocument/2006/relationships/image" Target="../media/image258.jpg"/><Relationship Id="rId267" Type="http://schemas.openxmlformats.org/officeDocument/2006/relationships/image" Target="../media/image281.jpg"/><Relationship Id="rId266" Type="http://schemas.openxmlformats.org/officeDocument/2006/relationships/image" Target="../media/image257.jpg"/><Relationship Id="rId265" Type="http://schemas.openxmlformats.org/officeDocument/2006/relationships/image" Target="../media/image249.jpg"/><Relationship Id="rId260" Type="http://schemas.openxmlformats.org/officeDocument/2006/relationships/image" Target="../media/image246.jpg"/><Relationship Id="rId259" Type="http://schemas.openxmlformats.org/officeDocument/2006/relationships/image" Target="../media/image247.jpg"/><Relationship Id="rId258" Type="http://schemas.openxmlformats.org/officeDocument/2006/relationships/image" Target="../media/image243.jpg"/><Relationship Id="rId253" Type="http://schemas.openxmlformats.org/officeDocument/2006/relationships/image" Target="../media/image342.jpg"/><Relationship Id="rId495" Type="http://schemas.openxmlformats.org/officeDocument/2006/relationships/image" Target="../media/image490.jpg"/><Relationship Id="rId252" Type="http://schemas.openxmlformats.org/officeDocument/2006/relationships/image" Target="../media/image267.jpg"/><Relationship Id="rId494" Type="http://schemas.openxmlformats.org/officeDocument/2006/relationships/image" Target="../media/image472.jpg"/><Relationship Id="rId251" Type="http://schemas.openxmlformats.org/officeDocument/2006/relationships/image" Target="../media/image231.jpg"/><Relationship Id="rId493" Type="http://schemas.openxmlformats.org/officeDocument/2006/relationships/image" Target="../media/image494.jpg"/><Relationship Id="rId250" Type="http://schemas.openxmlformats.org/officeDocument/2006/relationships/image" Target="../media/image297.jpg"/><Relationship Id="rId492" Type="http://schemas.openxmlformats.org/officeDocument/2006/relationships/image" Target="../media/image465.jpg"/><Relationship Id="rId257" Type="http://schemas.openxmlformats.org/officeDocument/2006/relationships/image" Target="../media/image242.jpg"/><Relationship Id="rId499" Type="http://schemas.openxmlformats.org/officeDocument/2006/relationships/image" Target="../media/image512.jpg"/><Relationship Id="rId256" Type="http://schemas.openxmlformats.org/officeDocument/2006/relationships/image" Target="../media/image241.jpg"/><Relationship Id="rId498" Type="http://schemas.openxmlformats.org/officeDocument/2006/relationships/image" Target="../media/image544.jpg"/><Relationship Id="rId255" Type="http://schemas.openxmlformats.org/officeDocument/2006/relationships/image" Target="../media/image239.jpg"/><Relationship Id="rId497" Type="http://schemas.openxmlformats.org/officeDocument/2006/relationships/image" Target="../media/image479.jpg"/><Relationship Id="rId254" Type="http://schemas.openxmlformats.org/officeDocument/2006/relationships/image" Target="../media/image233.jpg"/><Relationship Id="rId496" Type="http://schemas.openxmlformats.org/officeDocument/2006/relationships/image" Target="../media/image493.jpg"/><Relationship Id="rId293" Type="http://schemas.openxmlformats.org/officeDocument/2006/relationships/image" Target="../media/image277.jpg"/><Relationship Id="rId292" Type="http://schemas.openxmlformats.org/officeDocument/2006/relationships/image" Target="../media/image385.jpg"/><Relationship Id="rId291" Type="http://schemas.openxmlformats.org/officeDocument/2006/relationships/image" Target="../media/image270.jpg"/><Relationship Id="rId290" Type="http://schemas.openxmlformats.org/officeDocument/2006/relationships/image" Target="../media/image317.jpg"/><Relationship Id="rId286" Type="http://schemas.openxmlformats.org/officeDocument/2006/relationships/image" Target="../media/image305.jpg"/><Relationship Id="rId285" Type="http://schemas.openxmlformats.org/officeDocument/2006/relationships/image" Target="../media/image274.jpg"/><Relationship Id="rId284" Type="http://schemas.openxmlformats.org/officeDocument/2006/relationships/image" Target="../media/image272.jpg"/><Relationship Id="rId283" Type="http://schemas.openxmlformats.org/officeDocument/2006/relationships/image" Target="../media/image266.jpg"/><Relationship Id="rId289" Type="http://schemas.openxmlformats.org/officeDocument/2006/relationships/image" Target="../media/image296.jpg"/><Relationship Id="rId288" Type="http://schemas.openxmlformats.org/officeDocument/2006/relationships/image" Target="../media/image265.jpg"/><Relationship Id="rId287" Type="http://schemas.openxmlformats.org/officeDocument/2006/relationships/image" Target="../media/image268.jpg"/><Relationship Id="rId282" Type="http://schemas.openxmlformats.org/officeDocument/2006/relationships/image" Target="../media/image284.jpg"/><Relationship Id="rId281" Type="http://schemas.openxmlformats.org/officeDocument/2006/relationships/image" Target="../media/image269.jpg"/><Relationship Id="rId280" Type="http://schemas.openxmlformats.org/officeDocument/2006/relationships/image" Target="../media/image295.jpg"/><Relationship Id="rId275" Type="http://schemas.openxmlformats.org/officeDocument/2006/relationships/image" Target="../media/image260.jpg"/><Relationship Id="rId274" Type="http://schemas.openxmlformats.org/officeDocument/2006/relationships/image" Target="../media/image300.jpg"/><Relationship Id="rId273" Type="http://schemas.openxmlformats.org/officeDocument/2006/relationships/image" Target="../media/image263.jpg"/><Relationship Id="rId272" Type="http://schemas.openxmlformats.org/officeDocument/2006/relationships/image" Target="../media/image253.jpg"/><Relationship Id="rId279" Type="http://schemas.openxmlformats.org/officeDocument/2006/relationships/image" Target="../media/image264.jpg"/><Relationship Id="rId278" Type="http://schemas.openxmlformats.org/officeDocument/2006/relationships/image" Target="../media/image298.jpg"/><Relationship Id="rId277" Type="http://schemas.openxmlformats.org/officeDocument/2006/relationships/image" Target="../media/image255.jpg"/><Relationship Id="rId276" Type="http://schemas.openxmlformats.org/officeDocument/2006/relationships/image" Target="../media/image273.jpg"/><Relationship Id="rId907" Type="http://schemas.openxmlformats.org/officeDocument/2006/relationships/image" Target="../media/image902.jpg"/><Relationship Id="rId906" Type="http://schemas.openxmlformats.org/officeDocument/2006/relationships/image" Target="../media/image938.jpg"/><Relationship Id="rId905" Type="http://schemas.openxmlformats.org/officeDocument/2006/relationships/image" Target="../media/image930.jpg"/><Relationship Id="rId904" Type="http://schemas.openxmlformats.org/officeDocument/2006/relationships/image" Target="../media/image892.jpg"/><Relationship Id="rId909" Type="http://schemas.openxmlformats.org/officeDocument/2006/relationships/image" Target="../media/image896.jpg"/><Relationship Id="rId908" Type="http://schemas.openxmlformats.org/officeDocument/2006/relationships/image" Target="../media/image943.jpg"/><Relationship Id="rId903" Type="http://schemas.openxmlformats.org/officeDocument/2006/relationships/image" Target="../media/image940.jpg"/><Relationship Id="rId902" Type="http://schemas.openxmlformats.org/officeDocument/2006/relationships/image" Target="../media/image888.jpg"/><Relationship Id="rId901" Type="http://schemas.openxmlformats.org/officeDocument/2006/relationships/image" Target="../media/image908.jpg"/><Relationship Id="rId900" Type="http://schemas.openxmlformats.org/officeDocument/2006/relationships/image" Target="../media/image906.jpg"/><Relationship Id="rId929" Type="http://schemas.openxmlformats.org/officeDocument/2006/relationships/image" Target="../media/image929.jpg"/><Relationship Id="rId928" Type="http://schemas.openxmlformats.org/officeDocument/2006/relationships/image" Target="../media/image911.jpg"/><Relationship Id="rId927" Type="http://schemas.openxmlformats.org/officeDocument/2006/relationships/image" Target="../media/image934.jpg"/><Relationship Id="rId926" Type="http://schemas.openxmlformats.org/officeDocument/2006/relationships/image" Target="../media/image933.jpg"/><Relationship Id="rId921" Type="http://schemas.openxmlformats.org/officeDocument/2006/relationships/image" Target="../media/image904.jpg"/><Relationship Id="rId920" Type="http://schemas.openxmlformats.org/officeDocument/2006/relationships/image" Target="../media/image926.jpg"/><Relationship Id="rId925" Type="http://schemas.openxmlformats.org/officeDocument/2006/relationships/image" Target="../media/image937.jpg"/><Relationship Id="rId924" Type="http://schemas.openxmlformats.org/officeDocument/2006/relationships/image" Target="../media/image905.jpg"/><Relationship Id="rId923" Type="http://schemas.openxmlformats.org/officeDocument/2006/relationships/image" Target="../media/image912.jpg"/><Relationship Id="rId922" Type="http://schemas.openxmlformats.org/officeDocument/2006/relationships/image" Target="../media/image946.jpg"/><Relationship Id="rId918" Type="http://schemas.openxmlformats.org/officeDocument/2006/relationships/image" Target="../media/image910.jpg"/><Relationship Id="rId917" Type="http://schemas.openxmlformats.org/officeDocument/2006/relationships/image" Target="../media/image922.jpg"/><Relationship Id="rId916" Type="http://schemas.openxmlformats.org/officeDocument/2006/relationships/image" Target="../media/image903.jpg"/><Relationship Id="rId915" Type="http://schemas.openxmlformats.org/officeDocument/2006/relationships/image" Target="../media/image918.jpg"/><Relationship Id="rId919" Type="http://schemas.openxmlformats.org/officeDocument/2006/relationships/image" Target="../media/image927.jpg"/><Relationship Id="rId910" Type="http://schemas.openxmlformats.org/officeDocument/2006/relationships/image" Target="../media/image899.jpg"/><Relationship Id="rId914" Type="http://schemas.openxmlformats.org/officeDocument/2006/relationships/image" Target="../media/image915.jpg"/><Relationship Id="rId913" Type="http://schemas.openxmlformats.org/officeDocument/2006/relationships/image" Target="../media/image909.jpg"/><Relationship Id="rId912" Type="http://schemas.openxmlformats.org/officeDocument/2006/relationships/image" Target="../media/image936.jpg"/><Relationship Id="rId911" Type="http://schemas.openxmlformats.org/officeDocument/2006/relationships/image" Target="../media/image898.jpg"/><Relationship Id="rId1213" Type="http://schemas.openxmlformats.org/officeDocument/2006/relationships/image" Target="../media/image1206.jpg"/><Relationship Id="rId1214" Type="http://schemas.openxmlformats.org/officeDocument/2006/relationships/image" Target="../media/image1199.jpg"/><Relationship Id="rId1215" Type="http://schemas.openxmlformats.org/officeDocument/2006/relationships/image" Target="../media/image1195.jpg"/><Relationship Id="rId1216" Type="http://schemas.openxmlformats.org/officeDocument/2006/relationships/image" Target="../media/image1209.jpg"/><Relationship Id="rId1217" Type="http://schemas.openxmlformats.org/officeDocument/2006/relationships/image" Target="../media/image1217.jpg"/><Relationship Id="rId1218" Type="http://schemas.openxmlformats.org/officeDocument/2006/relationships/image" Target="../media/image1193.jpg"/><Relationship Id="rId1219" Type="http://schemas.openxmlformats.org/officeDocument/2006/relationships/image" Target="../media/image1189.jpg"/><Relationship Id="rId629" Type="http://schemas.openxmlformats.org/officeDocument/2006/relationships/image" Target="../media/image629.jpg"/><Relationship Id="rId624" Type="http://schemas.openxmlformats.org/officeDocument/2006/relationships/image" Target="../media/image627.jpg"/><Relationship Id="rId866" Type="http://schemas.openxmlformats.org/officeDocument/2006/relationships/image" Target="../media/image864.jpg"/><Relationship Id="rId623" Type="http://schemas.openxmlformats.org/officeDocument/2006/relationships/image" Target="../media/image604.jpg"/><Relationship Id="rId865" Type="http://schemas.openxmlformats.org/officeDocument/2006/relationships/image" Target="../media/image867.jpg"/><Relationship Id="rId622" Type="http://schemas.openxmlformats.org/officeDocument/2006/relationships/image" Target="../media/image620.jpg"/><Relationship Id="rId864" Type="http://schemas.openxmlformats.org/officeDocument/2006/relationships/image" Target="../media/image901.jpg"/><Relationship Id="rId621" Type="http://schemas.openxmlformats.org/officeDocument/2006/relationships/image" Target="../media/image599.jpg"/><Relationship Id="rId863" Type="http://schemas.openxmlformats.org/officeDocument/2006/relationships/image" Target="../media/image866.jpg"/><Relationship Id="rId628" Type="http://schemas.openxmlformats.org/officeDocument/2006/relationships/image" Target="../media/image630.jpg"/><Relationship Id="rId627" Type="http://schemas.openxmlformats.org/officeDocument/2006/relationships/image" Target="../media/image608.jpg"/><Relationship Id="rId869" Type="http://schemas.openxmlformats.org/officeDocument/2006/relationships/image" Target="../media/image860.jpg"/><Relationship Id="rId626" Type="http://schemas.openxmlformats.org/officeDocument/2006/relationships/image" Target="../media/image634.jpg"/><Relationship Id="rId868" Type="http://schemas.openxmlformats.org/officeDocument/2006/relationships/image" Target="../media/image876.jpg"/><Relationship Id="rId625" Type="http://schemas.openxmlformats.org/officeDocument/2006/relationships/image" Target="../media/image612.jpg"/><Relationship Id="rId867" Type="http://schemas.openxmlformats.org/officeDocument/2006/relationships/image" Target="../media/image854.jpg"/><Relationship Id="rId620" Type="http://schemas.openxmlformats.org/officeDocument/2006/relationships/image" Target="../media/image607.jpg"/><Relationship Id="rId862" Type="http://schemas.openxmlformats.org/officeDocument/2006/relationships/image" Target="../media/image851.jpg"/><Relationship Id="rId861" Type="http://schemas.openxmlformats.org/officeDocument/2006/relationships/image" Target="../media/image848.jpg"/><Relationship Id="rId1210" Type="http://schemas.openxmlformats.org/officeDocument/2006/relationships/image" Target="../media/image1221.jpg"/><Relationship Id="rId860" Type="http://schemas.openxmlformats.org/officeDocument/2006/relationships/image" Target="../media/image890.jpg"/><Relationship Id="rId1211" Type="http://schemas.openxmlformats.org/officeDocument/2006/relationships/image" Target="../media/image1187.jpg"/><Relationship Id="rId1212" Type="http://schemas.openxmlformats.org/officeDocument/2006/relationships/image" Target="../media/image1218.jpg"/><Relationship Id="rId1202" Type="http://schemas.openxmlformats.org/officeDocument/2006/relationships/image" Target="../media/image1174.jpg"/><Relationship Id="rId1203" Type="http://schemas.openxmlformats.org/officeDocument/2006/relationships/image" Target="../media/image1214.jpg"/><Relationship Id="rId1204" Type="http://schemas.openxmlformats.org/officeDocument/2006/relationships/image" Target="../media/image1208.jpg"/><Relationship Id="rId1205" Type="http://schemas.openxmlformats.org/officeDocument/2006/relationships/image" Target="../media/image1180.jpg"/><Relationship Id="rId1206" Type="http://schemas.openxmlformats.org/officeDocument/2006/relationships/image" Target="../media/image1236.jpg"/><Relationship Id="rId1207" Type="http://schemas.openxmlformats.org/officeDocument/2006/relationships/image" Target="../media/image1228.jpg"/><Relationship Id="rId1208" Type="http://schemas.openxmlformats.org/officeDocument/2006/relationships/image" Target="../media/image1182.jpg"/><Relationship Id="rId1209" Type="http://schemas.openxmlformats.org/officeDocument/2006/relationships/image" Target="../media/image1191.jpg"/><Relationship Id="rId619" Type="http://schemas.openxmlformats.org/officeDocument/2006/relationships/image" Target="../media/image597.jpg"/><Relationship Id="rId618" Type="http://schemas.openxmlformats.org/officeDocument/2006/relationships/image" Target="../media/image648.jpg"/><Relationship Id="rId613" Type="http://schemas.openxmlformats.org/officeDocument/2006/relationships/image" Target="../media/image592.jpg"/><Relationship Id="rId855" Type="http://schemas.openxmlformats.org/officeDocument/2006/relationships/image" Target="../media/image840.jpg"/><Relationship Id="rId612" Type="http://schemas.openxmlformats.org/officeDocument/2006/relationships/image" Target="../media/image606.jpg"/><Relationship Id="rId854" Type="http://schemas.openxmlformats.org/officeDocument/2006/relationships/image" Target="../media/image868.jpg"/><Relationship Id="rId611" Type="http://schemas.openxmlformats.org/officeDocument/2006/relationships/image" Target="../media/image601.jpg"/><Relationship Id="rId853" Type="http://schemas.openxmlformats.org/officeDocument/2006/relationships/image" Target="../media/image856.jpg"/><Relationship Id="rId610" Type="http://schemas.openxmlformats.org/officeDocument/2006/relationships/image" Target="../media/image590.jpg"/><Relationship Id="rId852" Type="http://schemas.openxmlformats.org/officeDocument/2006/relationships/image" Target="../media/image850.jpg"/><Relationship Id="rId617" Type="http://schemas.openxmlformats.org/officeDocument/2006/relationships/image" Target="../media/image594.jpg"/><Relationship Id="rId859" Type="http://schemas.openxmlformats.org/officeDocument/2006/relationships/image" Target="../media/image907.jpg"/><Relationship Id="rId616" Type="http://schemas.openxmlformats.org/officeDocument/2006/relationships/image" Target="../media/image600.jpg"/><Relationship Id="rId858" Type="http://schemas.openxmlformats.org/officeDocument/2006/relationships/image" Target="../media/image870.jpg"/><Relationship Id="rId615" Type="http://schemas.openxmlformats.org/officeDocument/2006/relationships/image" Target="../media/image596.jpg"/><Relationship Id="rId857" Type="http://schemas.openxmlformats.org/officeDocument/2006/relationships/image" Target="../media/image842.jpg"/><Relationship Id="rId614" Type="http://schemas.openxmlformats.org/officeDocument/2006/relationships/image" Target="../media/image646.jpg"/><Relationship Id="rId856" Type="http://schemas.openxmlformats.org/officeDocument/2006/relationships/image" Target="../media/image846.jpg"/><Relationship Id="rId851" Type="http://schemas.openxmlformats.org/officeDocument/2006/relationships/image" Target="../media/image887.jpg"/><Relationship Id="rId850" Type="http://schemas.openxmlformats.org/officeDocument/2006/relationships/image" Target="../media/image839.jpg"/><Relationship Id="rId1200" Type="http://schemas.openxmlformats.org/officeDocument/2006/relationships/image" Target="../media/image1223.jpg"/><Relationship Id="rId1201" Type="http://schemas.openxmlformats.org/officeDocument/2006/relationships/image" Target="../media/image1194.jpg"/><Relationship Id="rId1235" Type="http://schemas.openxmlformats.org/officeDocument/2006/relationships/image" Target="../media/image1230.jpg"/><Relationship Id="rId1236" Type="http://schemas.openxmlformats.org/officeDocument/2006/relationships/image" Target="../media/image1215.jpg"/><Relationship Id="rId1237" Type="http://schemas.openxmlformats.org/officeDocument/2006/relationships/image" Target="../media/image1235.jpg"/><Relationship Id="rId1238" Type="http://schemas.openxmlformats.org/officeDocument/2006/relationships/image" Target="../media/image1226.jpg"/><Relationship Id="rId409" Type="http://schemas.openxmlformats.org/officeDocument/2006/relationships/image" Target="../media/image400.jpg"/><Relationship Id="rId404" Type="http://schemas.openxmlformats.org/officeDocument/2006/relationships/image" Target="../media/image374.jpg"/><Relationship Id="rId646" Type="http://schemas.openxmlformats.org/officeDocument/2006/relationships/image" Target="../media/image622.jpg"/><Relationship Id="rId888" Type="http://schemas.openxmlformats.org/officeDocument/2006/relationships/image" Target="../media/image900.jpg"/><Relationship Id="rId403" Type="http://schemas.openxmlformats.org/officeDocument/2006/relationships/image" Target="../media/image403.jpg"/><Relationship Id="rId645" Type="http://schemas.openxmlformats.org/officeDocument/2006/relationships/image" Target="../media/image623.jpg"/><Relationship Id="rId887" Type="http://schemas.openxmlformats.org/officeDocument/2006/relationships/image" Target="../media/image871.jpg"/><Relationship Id="rId402" Type="http://schemas.openxmlformats.org/officeDocument/2006/relationships/image" Target="../media/image383.jpg"/><Relationship Id="rId644" Type="http://schemas.openxmlformats.org/officeDocument/2006/relationships/image" Target="../media/image641.jpg"/><Relationship Id="rId886" Type="http://schemas.openxmlformats.org/officeDocument/2006/relationships/image" Target="../media/image885.jpg"/><Relationship Id="rId401" Type="http://schemas.openxmlformats.org/officeDocument/2006/relationships/image" Target="../media/image451.jpg"/><Relationship Id="rId643" Type="http://schemas.openxmlformats.org/officeDocument/2006/relationships/image" Target="../media/image617.jpg"/><Relationship Id="rId885" Type="http://schemas.openxmlformats.org/officeDocument/2006/relationships/image" Target="../media/image925.jpg"/><Relationship Id="rId408" Type="http://schemas.openxmlformats.org/officeDocument/2006/relationships/image" Target="../media/image373.jpg"/><Relationship Id="rId407" Type="http://schemas.openxmlformats.org/officeDocument/2006/relationships/image" Target="../media/image452.jpg"/><Relationship Id="rId649" Type="http://schemas.openxmlformats.org/officeDocument/2006/relationships/image" Target="../media/image625.jpg"/><Relationship Id="rId406" Type="http://schemas.openxmlformats.org/officeDocument/2006/relationships/image" Target="../media/image473.jpg"/><Relationship Id="rId648" Type="http://schemas.openxmlformats.org/officeDocument/2006/relationships/image" Target="../media/image619.jpg"/><Relationship Id="rId405" Type="http://schemas.openxmlformats.org/officeDocument/2006/relationships/image" Target="../media/image396.jpg"/><Relationship Id="rId647" Type="http://schemas.openxmlformats.org/officeDocument/2006/relationships/image" Target="../media/image633.jpg"/><Relationship Id="rId889" Type="http://schemas.openxmlformats.org/officeDocument/2006/relationships/image" Target="../media/image877.jpg"/><Relationship Id="rId880" Type="http://schemas.openxmlformats.org/officeDocument/2006/relationships/image" Target="../media/image897.jpg"/><Relationship Id="rId1230" Type="http://schemas.openxmlformats.org/officeDocument/2006/relationships/image" Target="../media/image1204.jpg"/><Relationship Id="rId400" Type="http://schemas.openxmlformats.org/officeDocument/2006/relationships/image" Target="../media/image360.jpg"/><Relationship Id="rId642" Type="http://schemas.openxmlformats.org/officeDocument/2006/relationships/image" Target="../media/image628.jpg"/><Relationship Id="rId884" Type="http://schemas.openxmlformats.org/officeDocument/2006/relationships/image" Target="../media/image883.jpg"/><Relationship Id="rId1231" Type="http://schemas.openxmlformats.org/officeDocument/2006/relationships/image" Target="../media/image1234.jpg"/><Relationship Id="rId641" Type="http://schemas.openxmlformats.org/officeDocument/2006/relationships/image" Target="../media/image613.jpg"/><Relationship Id="rId883" Type="http://schemas.openxmlformats.org/officeDocument/2006/relationships/image" Target="../media/image869.jpg"/><Relationship Id="rId1232" Type="http://schemas.openxmlformats.org/officeDocument/2006/relationships/image" Target="../media/image1232.jpg"/><Relationship Id="rId640" Type="http://schemas.openxmlformats.org/officeDocument/2006/relationships/image" Target="../media/image651.jpg"/><Relationship Id="rId882" Type="http://schemas.openxmlformats.org/officeDocument/2006/relationships/image" Target="../media/image859.jpg"/><Relationship Id="rId1233" Type="http://schemas.openxmlformats.org/officeDocument/2006/relationships/image" Target="../media/image1202.jpg"/><Relationship Id="rId881" Type="http://schemas.openxmlformats.org/officeDocument/2006/relationships/image" Target="../media/image862.jpg"/><Relationship Id="rId1234" Type="http://schemas.openxmlformats.org/officeDocument/2006/relationships/image" Target="../media/image1201.jpg"/><Relationship Id="rId1224" Type="http://schemas.openxmlformats.org/officeDocument/2006/relationships/image" Target="../media/image1216.jpg"/><Relationship Id="rId1225" Type="http://schemas.openxmlformats.org/officeDocument/2006/relationships/image" Target="../media/image1198.jpg"/><Relationship Id="rId1226" Type="http://schemas.openxmlformats.org/officeDocument/2006/relationships/image" Target="../media/image1225.jpg"/><Relationship Id="rId1227" Type="http://schemas.openxmlformats.org/officeDocument/2006/relationships/image" Target="../media/image1207.jpg"/><Relationship Id="rId1228" Type="http://schemas.openxmlformats.org/officeDocument/2006/relationships/image" Target="../media/image1203.jpg"/><Relationship Id="rId1229" Type="http://schemas.openxmlformats.org/officeDocument/2006/relationships/image" Target="../media/image1200.jpg"/><Relationship Id="rId635" Type="http://schemas.openxmlformats.org/officeDocument/2006/relationships/image" Target="../media/image706.jpg"/><Relationship Id="rId877" Type="http://schemas.openxmlformats.org/officeDocument/2006/relationships/image" Target="../media/image861.jpg"/><Relationship Id="rId634" Type="http://schemas.openxmlformats.org/officeDocument/2006/relationships/image" Target="../media/image611.jpg"/><Relationship Id="rId876" Type="http://schemas.openxmlformats.org/officeDocument/2006/relationships/image" Target="../media/image894.jpg"/><Relationship Id="rId633" Type="http://schemas.openxmlformats.org/officeDocument/2006/relationships/image" Target="../media/image631.jpg"/><Relationship Id="rId875" Type="http://schemas.openxmlformats.org/officeDocument/2006/relationships/image" Target="../media/image857.jpg"/><Relationship Id="rId632" Type="http://schemas.openxmlformats.org/officeDocument/2006/relationships/image" Target="../media/image614.jpg"/><Relationship Id="rId874" Type="http://schemas.openxmlformats.org/officeDocument/2006/relationships/image" Target="../media/image863.jpg"/><Relationship Id="rId639" Type="http://schemas.openxmlformats.org/officeDocument/2006/relationships/image" Target="../media/image626.jpg"/><Relationship Id="rId638" Type="http://schemas.openxmlformats.org/officeDocument/2006/relationships/image" Target="../media/image621.jpg"/><Relationship Id="rId637" Type="http://schemas.openxmlformats.org/officeDocument/2006/relationships/image" Target="../media/image616.jpg"/><Relationship Id="rId879" Type="http://schemas.openxmlformats.org/officeDocument/2006/relationships/image" Target="../media/image884.jpg"/><Relationship Id="rId636" Type="http://schemas.openxmlformats.org/officeDocument/2006/relationships/image" Target="../media/image656.jpg"/><Relationship Id="rId878" Type="http://schemas.openxmlformats.org/officeDocument/2006/relationships/image" Target="../media/image873.jpg"/><Relationship Id="rId631" Type="http://schemas.openxmlformats.org/officeDocument/2006/relationships/image" Target="../media/image618.jpg"/><Relationship Id="rId873" Type="http://schemas.openxmlformats.org/officeDocument/2006/relationships/image" Target="../media/image865.jpg"/><Relationship Id="rId1220" Type="http://schemas.openxmlformats.org/officeDocument/2006/relationships/image" Target="../media/image1237.jpg"/><Relationship Id="rId630" Type="http://schemas.openxmlformats.org/officeDocument/2006/relationships/image" Target="../media/image642.jpg"/><Relationship Id="rId872" Type="http://schemas.openxmlformats.org/officeDocument/2006/relationships/image" Target="../media/image855.jpg"/><Relationship Id="rId1221" Type="http://schemas.openxmlformats.org/officeDocument/2006/relationships/image" Target="../media/image1211.jpg"/><Relationship Id="rId871" Type="http://schemas.openxmlformats.org/officeDocument/2006/relationships/image" Target="../media/image875.jpg"/><Relationship Id="rId1222" Type="http://schemas.openxmlformats.org/officeDocument/2006/relationships/image" Target="../media/image1197.jpg"/><Relationship Id="rId870" Type="http://schemas.openxmlformats.org/officeDocument/2006/relationships/image" Target="../media/image878.jpg"/><Relationship Id="rId1223" Type="http://schemas.openxmlformats.org/officeDocument/2006/relationships/image" Target="../media/image1233.jpg"/><Relationship Id="rId829" Type="http://schemas.openxmlformats.org/officeDocument/2006/relationships/image" Target="../media/image811.jpg"/><Relationship Id="rId828" Type="http://schemas.openxmlformats.org/officeDocument/2006/relationships/image" Target="../media/image804.jpg"/><Relationship Id="rId827" Type="http://schemas.openxmlformats.org/officeDocument/2006/relationships/image" Target="../media/image807.jpg"/><Relationship Id="rId822" Type="http://schemas.openxmlformats.org/officeDocument/2006/relationships/image" Target="../media/image812.jpg"/><Relationship Id="rId821" Type="http://schemas.openxmlformats.org/officeDocument/2006/relationships/image" Target="../media/image814.jpg"/><Relationship Id="rId820" Type="http://schemas.openxmlformats.org/officeDocument/2006/relationships/image" Target="../media/image823.jpg"/><Relationship Id="rId826" Type="http://schemas.openxmlformats.org/officeDocument/2006/relationships/image" Target="../media/image844.jpg"/><Relationship Id="rId825" Type="http://schemas.openxmlformats.org/officeDocument/2006/relationships/image" Target="../media/image818.jpg"/><Relationship Id="rId824" Type="http://schemas.openxmlformats.org/officeDocument/2006/relationships/image" Target="../media/image830.jpg"/><Relationship Id="rId823" Type="http://schemas.openxmlformats.org/officeDocument/2006/relationships/image" Target="../media/image847.jpg"/><Relationship Id="rId819" Type="http://schemas.openxmlformats.org/officeDocument/2006/relationships/image" Target="../media/image829.jpg"/><Relationship Id="rId818" Type="http://schemas.openxmlformats.org/officeDocument/2006/relationships/image" Target="../media/image805.jpg"/><Relationship Id="rId817" Type="http://schemas.openxmlformats.org/officeDocument/2006/relationships/image" Target="../media/image852.jpg"/><Relationship Id="rId816" Type="http://schemas.openxmlformats.org/officeDocument/2006/relationships/image" Target="../media/image802.jpg"/><Relationship Id="rId811" Type="http://schemas.openxmlformats.org/officeDocument/2006/relationships/image" Target="../media/image801.jpg"/><Relationship Id="rId810" Type="http://schemas.openxmlformats.org/officeDocument/2006/relationships/image" Target="../media/image813.jpg"/><Relationship Id="rId815" Type="http://schemas.openxmlformats.org/officeDocument/2006/relationships/image" Target="../media/image799.jpg"/><Relationship Id="rId814" Type="http://schemas.openxmlformats.org/officeDocument/2006/relationships/image" Target="../media/image809.jpg"/><Relationship Id="rId813" Type="http://schemas.openxmlformats.org/officeDocument/2006/relationships/image" Target="../media/image841.jpg"/><Relationship Id="rId812" Type="http://schemas.openxmlformats.org/officeDocument/2006/relationships/image" Target="../media/image798.jpg"/><Relationship Id="rId609" Type="http://schemas.openxmlformats.org/officeDocument/2006/relationships/image" Target="../media/image589.jpg"/><Relationship Id="rId608" Type="http://schemas.openxmlformats.org/officeDocument/2006/relationships/image" Target="../media/image665.jpg"/><Relationship Id="rId607" Type="http://schemas.openxmlformats.org/officeDocument/2006/relationships/image" Target="../media/image588.jpg"/><Relationship Id="rId849" Type="http://schemas.openxmlformats.org/officeDocument/2006/relationships/image" Target="../media/image838.jpg"/><Relationship Id="rId602" Type="http://schemas.openxmlformats.org/officeDocument/2006/relationships/image" Target="../media/image638.jpg"/><Relationship Id="rId844" Type="http://schemas.openxmlformats.org/officeDocument/2006/relationships/image" Target="../media/image836.jpg"/><Relationship Id="rId601" Type="http://schemas.openxmlformats.org/officeDocument/2006/relationships/image" Target="../media/image586.jpg"/><Relationship Id="rId843" Type="http://schemas.openxmlformats.org/officeDocument/2006/relationships/image" Target="../media/image835.jpg"/><Relationship Id="rId600" Type="http://schemas.openxmlformats.org/officeDocument/2006/relationships/image" Target="../media/image580.jpg"/><Relationship Id="rId842" Type="http://schemas.openxmlformats.org/officeDocument/2006/relationships/image" Target="../media/image827.jpg"/><Relationship Id="rId841" Type="http://schemas.openxmlformats.org/officeDocument/2006/relationships/image" Target="../media/image845.jpg"/><Relationship Id="rId606" Type="http://schemas.openxmlformats.org/officeDocument/2006/relationships/image" Target="../media/image635.jpg"/><Relationship Id="rId848" Type="http://schemas.openxmlformats.org/officeDocument/2006/relationships/image" Target="../media/image843.jpg"/><Relationship Id="rId605" Type="http://schemas.openxmlformats.org/officeDocument/2006/relationships/image" Target="../media/image603.jpg"/><Relationship Id="rId847" Type="http://schemas.openxmlformats.org/officeDocument/2006/relationships/image" Target="../media/image837.jpg"/><Relationship Id="rId604" Type="http://schemas.openxmlformats.org/officeDocument/2006/relationships/image" Target="../media/image591.jpg"/><Relationship Id="rId846" Type="http://schemas.openxmlformats.org/officeDocument/2006/relationships/image" Target="../media/image832.jpg"/><Relationship Id="rId603" Type="http://schemas.openxmlformats.org/officeDocument/2006/relationships/image" Target="../media/image582.jpg"/><Relationship Id="rId845" Type="http://schemas.openxmlformats.org/officeDocument/2006/relationships/image" Target="../media/image826.jpg"/><Relationship Id="rId840" Type="http://schemas.openxmlformats.org/officeDocument/2006/relationships/image" Target="../media/image834.jpg"/><Relationship Id="rId839" Type="http://schemas.openxmlformats.org/officeDocument/2006/relationships/image" Target="../media/image853.jpg"/><Relationship Id="rId838" Type="http://schemas.openxmlformats.org/officeDocument/2006/relationships/image" Target="../media/image819.jpg"/><Relationship Id="rId833" Type="http://schemas.openxmlformats.org/officeDocument/2006/relationships/image" Target="../media/image817.jpg"/><Relationship Id="rId832" Type="http://schemas.openxmlformats.org/officeDocument/2006/relationships/image" Target="../media/image872.jpg"/><Relationship Id="rId831" Type="http://schemas.openxmlformats.org/officeDocument/2006/relationships/image" Target="../media/image828.jpg"/><Relationship Id="rId830" Type="http://schemas.openxmlformats.org/officeDocument/2006/relationships/image" Target="../media/image831.jpg"/><Relationship Id="rId837" Type="http://schemas.openxmlformats.org/officeDocument/2006/relationships/image" Target="../media/image820.jpg"/><Relationship Id="rId836" Type="http://schemas.openxmlformats.org/officeDocument/2006/relationships/image" Target="../media/image849.jpg"/><Relationship Id="rId835" Type="http://schemas.openxmlformats.org/officeDocument/2006/relationships/image" Target="../media/image858.jpg"/><Relationship Id="rId834" Type="http://schemas.openxmlformats.org/officeDocument/2006/relationships/image" Target="../media/image886.jpg"/><Relationship Id="rId1059" Type="http://schemas.openxmlformats.org/officeDocument/2006/relationships/image" Target="../media/image1036.jpg"/><Relationship Id="rId228" Type="http://schemas.openxmlformats.org/officeDocument/2006/relationships/image" Target="../media/image234.jpg"/><Relationship Id="rId227" Type="http://schemas.openxmlformats.org/officeDocument/2006/relationships/image" Target="../media/image207.jpg"/><Relationship Id="rId469" Type="http://schemas.openxmlformats.org/officeDocument/2006/relationships/image" Target="../media/image437.jpg"/><Relationship Id="rId226" Type="http://schemas.openxmlformats.org/officeDocument/2006/relationships/image" Target="../media/image222.jpg"/><Relationship Id="rId468" Type="http://schemas.openxmlformats.org/officeDocument/2006/relationships/image" Target="../media/image476.jpg"/><Relationship Id="rId225" Type="http://schemas.openxmlformats.org/officeDocument/2006/relationships/image" Target="../media/image206.jpg"/><Relationship Id="rId467" Type="http://schemas.openxmlformats.org/officeDocument/2006/relationships/image" Target="../media/image482.jpg"/><Relationship Id="rId229" Type="http://schemas.openxmlformats.org/officeDocument/2006/relationships/image" Target="../media/image433.jpg"/><Relationship Id="rId1050" Type="http://schemas.openxmlformats.org/officeDocument/2006/relationships/image" Target="../media/image1037.jpg"/><Relationship Id="rId220" Type="http://schemas.openxmlformats.org/officeDocument/2006/relationships/image" Target="../media/image217.jpg"/><Relationship Id="rId462" Type="http://schemas.openxmlformats.org/officeDocument/2006/relationships/image" Target="../media/image445.jpg"/><Relationship Id="rId1051" Type="http://schemas.openxmlformats.org/officeDocument/2006/relationships/image" Target="../media/image1192.jpg"/><Relationship Id="rId461" Type="http://schemas.openxmlformats.org/officeDocument/2006/relationships/image" Target="../media/image489.jpg"/><Relationship Id="rId1052" Type="http://schemas.openxmlformats.org/officeDocument/2006/relationships/image" Target="../media/image1075.jpg"/><Relationship Id="rId460" Type="http://schemas.openxmlformats.org/officeDocument/2006/relationships/image" Target="../media/image446.jpg"/><Relationship Id="rId1053" Type="http://schemas.openxmlformats.org/officeDocument/2006/relationships/image" Target="../media/image1079.jpg"/><Relationship Id="rId1054" Type="http://schemas.openxmlformats.org/officeDocument/2006/relationships/image" Target="../media/image1057.jpg"/><Relationship Id="rId224" Type="http://schemas.openxmlformats.org/officeDocument/2006/relationships/image" Target="../media/image205.jpg"/><Relationship Id="rId466" Type="http://schemas.openxmlformats.org/officeDocument/2006/relationships/image" Target="../media/image521.jpg"/><Relationship Id="rId1055" Type="http://schemas.openxmlformats.org/officeDocument/2006/relationships/image" Target="../media/image1068.jpg"/><Relationship Id="rId223" Type="http://schemas.openxmlformats.org/officeDocument/2006/relationships/image" Target="../media/image236.jpg"/><Relationship Id="rId465" Type="http://schemas.openxmlformats.org/officeDocument/2006/relationships/image" Target="../media/image442.jpg"/><Relationship Id="rId1056" Type="http://schemas.openxmlformats.org/officeDocument/2006/relationships/image" Target="../media/image1055.jpg"/><Relationship Id="rId222" Type="http://schemas.openxmlformats.org/officeDocument/2006/relationships/image" Target="../media/image248.jpg"/><Relationship Id="rId464" Type="http://schemas.openxmlformats.org/officeDocument/2006/relationships/image" Target="../media/image457.jpg"/><Relationship Id="rId1057" Type="http://schemas.openxmlformats.org/officeDocument/2006/relationships/image" Target="../media/image1047.jpg"/><Relationship Id="rId221" Type="http://schemas.openxmlformats.org/officeDocument/2006/relationships/image" Target="../media/image216.jpg"/><Relationship Id="rId463" Type="http://schemas.openxmlformats.org/officeDocument/2006/relationships/image" Target="../media/image448.jpg"/><Relationship Id="rId1058" Type="http://schemas.openxmlformats.org/officeDocument/2006/relationships/image" Target="../media/image1101.jpg"/><Relationship Id="rId1048" Type="http://schemas.openxmlformats.org/officeDocument/2006/relationships/image" Target="../media/image1049.jpg"/><Relationship Id="rId1049" Type="http://schemas.openxmlformats.org/officeDocument/2006/relationships/image" Target="../media/image1044.jpg"/><Relationship Id="rId217" Type="http://schemas.openxmlformats.org/officeDocument/2006/relationships/image" Target="../media/image210.jpg"/><Relationship Id="rId459" Type="http://schemas.openxmlformats.org/officeDocument/2006/relationships/image" Target="../media/image431.jpg"/><Relationship Id="rId216" Type="http://schemas.openxmlformats.org/officeDocument/2006/relationships/image" Target="../media/image213.jpg"/><Relationship Id="rId458" Type="http://schemas.openxmlformats.org/officeDocument/2006/relationships/image" Target="../media/image474.jpg"/><Relationship Id="rId215" Type="http://schemas.openxmlformats.org/officeDocument/2006/relationships/image" Target="../media/image232.jpg"/><Relationship Id="rId457" Type="http://schemas.openxmlformats.org/officeDocument/2006/relationships/image" Target="../media/image447.jpg"/><Relationship Id="rId699" Type="http://schemas.openxmlformats.org/officeDocument/2006/relationships/image" Target="../media/image697.jpg"/><Relationship Id="rId214" Type="http://schemas.openxmlformats.org/officeDocument/2006/relationships/image" Target="../media/image221.jpg"/><Relationship Id="rId456" Type="http://schemas.openxmlformats.org/officeDocument/2006/relationships/image" Target="../media/image425.jpg"/><Relationship Id="rId698" Type="http://schemas.openxmlformats.org/officeDocument/2006/relationships/image" Target="../media/image702.jpg"/><Relationship Id="rId219" Type="http://schemas.openxmlformats.org/officeDocument/2006/relationships/image" Target="../media/image278.jpg"/><Relationship Id="rId218" Type="http://schemas.openxmlformats.org/officeDocument/2006/relationships/image" Target="../media/image212.jpg"/><Relationship Id="rId451" Type="http://schemas.openxmlformats.org/officeDocument/2006/relationships/image" Target="../media/image421.jpg"/><Relationship Id="rId693" Type="http://schemas.openxmlformats.org/officeDocument/2006/relationships/image" Target="../media/image694.jpg"/><Relationship Id="rId1040" Type="http://schemas.openxmlformats.org/officeDocument/2006/relationships/image" Target="../media/image1029.jpg"/><Relationship Id="rId450" Type="http://schemas.openxmlformats.org/officeDocument/2006/relationships/image" Target="../media/image430.jpg"/><Relationship Id="rId692" Type="http://schemas.openxmlformats.org/officeDocument/2006/relationships/image" Target="../media/image682.jpg"/><Relationship Id="rId1041" Type="http://schemas.openxmlformats.org/officeDocument/2006/relationships/image" Target="../media/image1064.jpg"/><Relationship Id="rId691" Type="http://schemas.openxmlformats.org/officeDocument/2006/relationships/image" Target="../media/image677.jpg"/><Relationship Id="rId1042" Type="http://schemas.openxmlformats.org/officeDocument/2006/relationships/image" Target="../media/image1041.jpg"/><Relationship Id="rId690" Type="http://schemas.openxmlformats.org/officeDocument/2006/relationships/image" Target="../media/image693.jpg"/><Relationship Id="rId1043" Type="http://schemas.openxmlformats.org/officeDocument/2006/relationships/image" Target="../media/image1034.jpg"/><Relationship Id="rId213" Type="http://schemas.openxmlformats.org/officeDocument/2006/relationships/image" Target="../media/image202.jpg"/><Relationship Id="rId455" Type="http://schemas.openxmlformats.org/officeDocument/2006/relationships/image" Target="../media/image548.jpg"/><Relationship Id="rId697" Type="http://schemas.openxmlformats.org/officeDocument/2006/relationships/image" Target="../media/image683.jpg"/><Relationship Id="rId1044" Type="http://schemas.openxmlformats.org/officeDocument/2006/relationships/image" Target="../media/image1033.jpg"/><Relationship Id="rId212" Type="http://schemas.openxmlformats.org/officeDocument/2006/relationships/image" Target="../media/image211.jpg"/><Relationship Id="rId454" Type="http://schemas.openxmlformats.org/officeDocument/2006/relationships/image" Target="../media/image462.jpg"/><Relationship Id="rId696" Type="http://schemas.openxmlformats.org/officeDocument/2006/relationships/image" Target="../media/image703.jpg"/><Relationship Id="rId1045" Type="http://schemas.openxmlformats.org/officeDocument/2006/relationships/image" Target="../media/image1028.jpg"/><Relationship Id="rId211" Type="http://schemas.openxmlformats.org/officeDocument/2006/relationships/image" Target="../media/image220.jpg"/><Relationship Id="rId453" Type="http://schemas.openxmlformats.org/officeDocument/2006/relationships/image" Target="../media/image454.jpg"/><Relationship Id="rId695" Type="http://schemas.openxmlformats.org/officeDocument/2006/relationships/image" Target="../media/image698.jpg"/><Relationship Id="rId1046" Type="http://schemas.openxmlformats.org/officeDocument/2006/relationships/image" Target="../media/image1025.jpg"/><Relationship Id="rId210" Type="http://schemas.openxmlformats.org/officeDocument/2006/relationships/image" Target="../media/image238.jpg"/><Relationship Id="rId452" Type="http://schemas.openxmlformats.org/officeDocument/2006/relationships/image" Target="../media/image471.jpg"/><Relationship Id="rId694" Type="http://schemas.openxmlformats.org/officeDocument/2006/relationships/image" Target="../media/image714.jpg"/><Relationship Id="rId1047" Type="http://schemas.openxmlformats.org/officeDocument/2006/relationships/image" Target="../media/image1051.jpg"/><Relationship Id="rId491" Type="http://schemas.openxmlformats.org/officeDocument/2006/relationships/image" Target="../media/image469.jpg"/><Relationship Id="rId490" Type="http://schemas.openxmlformats.org/officeDocument/2006/relationships/image" Target="../media/image464.jpg"/><Relationship Id="rId249" Type="http://schemas.openxmlformats.org/officeDocument/2006/relationships/image" Target="../media/image224.jpg"/><Relationship Id="rId248" Type="http://schemas.openxmlformats.org/officeDocument/2006/relationships/image" Target="../media/image225.jpg"/><Relationship Id="rId247" Type="http://schemas.openxmlformats.org/officeDocument/2006/relationships/image" Target="../media/image235.jpg"/><Relationship Id="rId489" Type="http://schemas.openxmlformats.org/officeDocument/2006/relationships/image" Target="../media/image511.jpg"/><Relationship Id="rId1070" Type="http://schemas.openxmlformats.org/officeDocument/2006/relationships/image" Target="../media/image1046.jpg"/><Relationship Id="rId1071" Type="http://schemas.openxmlformats.org/officeDocument/2006/relationships/image" Target="../media/image1043.jpg"/><Relationship Id="rId1072" Type="http://schemas.openxmlformats.org/officeDocument/2006/relationships/image" Target="../media/image1086.jpg"/><Relationship Id="rId242" Type="http://schemas.openxmlformats.org/officeDocument/2006/relationships/image" Target="../media/image252.jpg"/><Relationship Id="rId484" Type="http://schemas.openxmlformats.org/officeDocument/2006/relationships/image" Target="../media/image463.jpg"/><Relationship Id="rId1073" Type="http://schemas.openxmlformats.org/officeDocument/2006/relationships/image" Target="../media/image1045.jpg"/><Relationship Id="rId241" Type="http://schemas.openxmlformats.org/officeDocument/2006/relationships/image" Target="../media/image229.jpg"/><Relationship Id="rId483" Type="http://schemas.openxmlformats.org/officeDocument/2006/relationships/image" Target="../media/image615.jpg"/><Relationship Id="rId1074" Type="http://schemas.openxmlformats.org/officeDocument/2006/relationships/image" Target="../media/image1048.jpg"/><Relationship Id="rId240" Type="http://schemas.openxmlformats.org/officeDocument/2006/relationships/image" Target="../media/image261.jpg"/><Relationship Id="rId482" Type="http://schemas.openxmlformats.org/officeDocument/2006/relationships/image" Target="../media/image460.jpg"/><Relationship Id="rId1075" Type="http://schemas.openxmlformats.org/officeDocument/2006/relationships/image" Target="../media/image1093.jpg"/><Relationship Id="rId481" Type="http://schemas.openxmlformats.org/officeDocument/2006/relationships/image" Target="../media/image495.jpg"/><Relationship Id="rId1076" Type="http://schemas.openxmlformats.org/officeDocument/2006/relationships/image" Target="../media/image1081.jpg"/><Relationship Id="rId246" Type="http://schemas.openxmlformats.org/officeDocument/2006/relationships/image" Target="../media/image230.jpg"/><Relationship Id="rId488" Type="http://schemas.openxmlformats.org/officeDocument/2006/relationships/image" Target="../media/image526.jpg"/><Relationship Id="rId1077" Type="http://schemas.openxmlformats.org/officeDocument/2006/relationships/image" Target="../media/image1070.jpg"/><Relationship Id="rId245" Type="http://schemas.openxmlformats.org/officeDocument/2006/relationships/image" Target="../media/image294.jpg"/><Relationship Id="rId487" Type="http://schemas.openxmlformats.org/officeDocument/2006/relationships/image" Target="../media/image529.jpg"/><Relationship Id="rId1078" Type="http://schemas.openxmlformats.org/officeDocument/2006/relationships/image" Target="../media/image1118.jpg"/><Relationship Id="rId244" Type="http://schemas.openxmlformats.org/officeDocument/2006/relationships/image" Target="../media/image237.jpg"/><Relationship Id="rId486" Type="http://schemas.openxmlformats.org/officeDocument/2006/relationships/image" Target="../media/image500.jpg"/><Relationship Id="rId1079" Type="http://schemas.openxmlformats.org/officeDocument/2006/relationships/image" Target="../media/image1050.jpg"/><Relationship Id="rId243" Type="http://schemas.openxmlformats.org/officeDocument/2006/relationships/image" Target="../media/image250.jpg"/><Relationship Id="rId485" Type="http://schemas.openxmlformats.org/officeDocument/2006/relationships/image" Target="../media/image528.jpg"/><Relationship Id="rId480" Type="http://schemas.openxmlformats.org/officeDocument/2006/relationships/image" Target="../media/image458.jpg"/><Relationship Id="rId239" Type="http://schemas.openxmlformats.org/officeDocument/2006/relationships/image" Target="../media/image218.jpg"/><Relationship Id="rId238" Type="http://schemas.openxmlformats.org/officeDocument/2006/relationships/image" Target="../media/image219.jpg"/><Relationship Id="rId237" Type="http://schemas.openxmlformats.org/officeDocument/2006/relationships/image" Target="../media/image256.jpg"/><Relationship Id="rId479" Type="http://schemas.openxmlformats.org/officeDocument/2006/relationships/image" Target="../media/image565.jpg"/><Relationship Id="rId236" Type="http://schemas.openxmlformats.org/officeDocument/2006/relationships/image" Target="../media/image214.jpg"/><Relationship Id="rId478" Type="http://schemas.openxmlformats.org/officeDocument/2006/relationships/image" Target="../media/image484.jpg"/><Relationship Id="rId1060" Type="http://schemas.openxmlformats.org/officeDocument/2006/relationships/image" Target="../media/image1058.jpg"/><Relationship Id="rId1061" Type="http://schemas.openxmlformats.org/officeDocument/2006/relationships/image" Target="../media/image1063.jpg"/><Relationship Id="rId231" Type="http://schemas.openxmlformats.org/officeDocument/2006/relationships/image" Target="../media/image251.jpg"/><Relationship Id="rId473" Type="http://schemas.openxmlformats.org/officeDocument/2006/relationships/image" Target="../media/image466.jpg"/><Relationship Id="rId1062" Type="http://schemas.openxmlformats.org/officeDocument/2006/relationships/image" Target="../media/image1074.jpg"/><Relationship Id="rId230" Type="http://schemas.openxmlformats.org/officeDocument/2006/relationships/image" Target="../media/image240.jpg"/><Relationship Id="rId472" Type="http://schemas.openxmlformats.org/officeDocument/2006/relationships/image" Target="../media/image444.jpg"/><Relationship Id="rId1063" Type="http://schemas.openxmlformats.org/officeDocument/2006/relationships/image" Target="../media/image1039.jpg"/><Relationship Id="rId471" Type="http://schemas.openxmlformats.org/officeDocument/2006/relationships/image" Target="../media/image475.jpg"/><Relationship Id="rId1064" Type="http://schemas.openxmlformats.org/officeDocument/2006/relationships/image" Target="../media/image1184.jpg"/><Relationship Id="rId470" Type="http://schemas.openxmlformats.org/officeDocument/2006/relationships/image" Target="../media/image488.jpg"/><Relationship Id="rId1065" Type="http://schemas.openxmlformats.org/officeDocument/2006/relationships/image" Target="../media/image1080.jpg"/><Relationship Id="rId235" Type="http://schemas.openxmlformats.org/officeDocument/2006/relationships/image" Target="../media/image215.jpg"/><Relationship Id="rId477" Type="http://schemas.openxmlformats.org/officeDocument/2006/relationships/image" Target="../media/image468.jpg"/><Relationship Id="rId1066" Type="http://schemas.openxmlformats.org/officeDocument/2006/relationships/image" Target="../media/image1042.jpg"/><Relationship Id="rId234" Type="http://schemas.openxmlformats.org/officeDocument/2006/relationships/image" Target="../media/image227.jpg"/><Relationship Id="rId476" Type="http://schemas.openxmlformats.org/officeDocument/2006/relationships/image" Target="../media/image436.jpg"/><Relationship Id="rId1067" Type="http://schemas.openxmlformats.org/officeDocument/2006/relationships/image" Target="../media/image1059.jpg"/><Relationship Id="rId233" Type="http://schemas.openxmlformats.org/officeDocument/2006/relationships/image" Target="../media/image228.jpg"/><Relationship Id="rId475" Type="http://schemas.openxmlformats.org/officeDocument/2006/relationships/image" Target="../media/image506.jpg"/><Relationship Id="rId1068" Type="http://schemas.openxmlformats.org/officeDocument/2006/relationships/image" Target="../media/image1095.jpg"/><Relationship Id="rId232" Type="http://schemas.openxmlformats.org/officeDocument/2006/relationships/image" Target="../media/image245.jpg"/><Relationship Id="rId474" Type="http://schemas.openxmlformats.org/officeDocument/2006/relationships/image" Target="../media/image441.jpg"/><Relationship Id="rId1069" Type="http://schemas.openxmlformats.org/officeDocument/2006/relationships/image" Target="../media/image1100.jpg"/><Relationship Id="rId1015" Type="http://schemas.openxmlformats.org/officeDocument/2006/relationships/image" Target="../media/image1087.jpg"/><Relationship Id="rId1016" Type="http://schemas.openxmlformats.org/officeDocument/2006/relationships/image" Target="../media/image1005.jpg"/><Relationship Id="rId1017" Type="http://schemas.openxmlformats.org/officeDocument/2006/relationships/image" Target="../media/image1007.jpg"/><Relationship Id="rId1018" Type="http://schemas.openxmlformats.org/officeDocument/2006/relationships/image" Target="../media/image1004.jpg"/><Relationship Id="rId1019" Type="http://schemas.openxmlformats.org/officeDocument/2006/relationships/image" Target="../media/image1015.jpg"/><Relationship Id="rId426" Type="http://schemas.openxmlformats.org/officeDocument/2006/relationships/image" Target="../media/image417.jpg"/><Relationship Id="rId668" Type="http://schemas.openxmlformats.org/officeDocument/2006/relationships/image" Target="../media/image684.jpg"/><Relationship Id="rId425" Type="http://schemas.openxmlformats.org/officeDocument/2006/relationships/image" Target="../media/image407.jpg"/><Relationship Id="rId667" Type="http://schemas.openxmlformats.org/officeDocument/2006/relationships/image" Target="../media/image649.jpg"/><Relationship Id="rId424" Type="http://schemas.openxmlformats.org/officeDocument/2006/relationships/image" Target="../media/image415.jpg"/><Relationship Id="rId666" Type="http://schemas.openxmlformats.org/officeDocument/2006/relationships/image" Target="../media/image668.jpg"/><Relationship Id="rId423" Type="http://schemas.openxmlformats.org/officeDocument/2006/relationships/image" Target="../media/image402.jpg"/><Relationship Id="rId665" Type="http://schemas.openxmlformats.org/officeDocument/2006/relationships/image" Target="../media/image644.jpg"/><Relationship Id="rId429" Type="http://schemas.openxmlformats.org/officeDocument/2006/relationships/image" Target="../media/image424.jpg"/><Relationship Id="rId428" Type="http://schemas.openxmlformats.org/officeDocument/2006/relationships/image" Target="../media/image404.jpg"/><Relationship Id="rId427" Type="http://schemas.openxmlformats.org/officeDocument/2006/relationships/image" Target="../media/image492.jpg"/><Relationship Id="rId669" Type="http://schemas.openxmlformats.org/officeDocument/2006/relationships/image" Target="../media/image643.jpg"/><Relationship Id="rId660" Type="http://schemas.openxmlformats.org/officeDocument/2006/relationships/image" Target="../media/image650.jpg"/><Relationship Id="rId1010" Type="http://schemas.openxmlformats.org/officeDocument/2006/relationships/image" Target="../media/image1009.jpg"/><Relationship Id="rId422" Type="http://schemas.openxmlformats.org/officeDocument/2006/relationships/image" Target="../media/image401.jpg"/><Relationship Id="rId664" Type="http://schemas.openxmlformats.org/officeDocument/2006/relationships/image" Target="../media/image640.jpg"/><Relationship Id="rId1011" Type="http://schemas.openxmlformats.org/officeDocument/2006/relationships/image" Target="../media/image1001.jpg"/><Relationship Id="rId421" Type="http://schemas.openxmlformats.org/officeDocument/2006/relationships/image" Target="../media/image455.jpg"/><Relationship Id="rId663" Type="http://schemas.openxmlformats.org/officeDocument/2006/relationships/image" Target="../media/image689.jpg"/><Relationship Id="rId1012" Type="http://schemas.openxmlformats.org/officeDocument/2006/relationships/image" Target="../media/image1003.jpg"/><Relationship Id="rId420" Type="http://schemas.openxmlformats.org/officeDocument/2006/relationships/image" Target="../media/image453.jpg"/><Relationship Id="rId662" Type="http://schemas.openxmlformats.org/officeDocument/2006/relationships/image" Target="../media/image639.jpg"/><Relationship Id="rId1013" Type="http://schemas.openxmlformats.org/officeDocument/2006/relationships/image" Target="../media/image1014.jpg"/><Relationship Id="rId661" Type="http://schemas.openxmlformats.org/officeDocument/2006/relationships/image" Target="../media/image662.jpg"/><Relationship Id="rId1014" Type="http://schemas.openxmlformats.org/officeDocument/2006/relationships/image" Target="../media/image990.jpg"/><Relationship Id="rId1004" Type="http://schemas.openxmlformats.org/officeDocument/2006/relationships/image" Target="../media/image994.jpg"/><Relationship Id="rId1005" Type="http://schemas.openxmlformats.org/officeDocument/2006/relationships/image" Target="../media/image974.jpg"/><Relationship Id="rId1006" Type="http://schemas.openxmlformats.org/officeDocument/2006/relationships/image" Target="../media/image968.jpg"/><Relationship Id="rId1007" Type="http://schemas.openxmlformats.org/officeDocument/2006/relationships/image" Target="../media/image1002.jpg"/><Relationship Id="rId1008" Type="http://schemas.openxmlformats.org/officeDocument/2006/relationships/image" Target="../media/image972.jpg"/><Relationship Id="rId1009" Type="http://schemas.openxmlformats.org/officeDocument/2006/relationships/image" Target="../media/image981.jpg"/><Relationship Id="rId415" Type="http://schemas.openxmlformats.org/officeDocument/2006/relationships/image" Target="../media/image408.jpg"/><Relationship Id="rId657" Type="http://schemas.openxmlformats.org/officeDocument/2006/relationships/image" Target="../media/image659.jpg"/><Relationship Id="rId899" Type="http://schemas.openxmlformats.org/officeDocument/2006/relationships/image" Target="../media/image882.jpg"/><Relationship Id="rId414" Type="http://schemas.openxmlformats.org/officeDocument/2006/relationships/image" Target="../media/image381.jpg"/><Relationship Id="rId656" Type="http://schemas.openxmlformats.org/officeDocument/2006/relationships/image" Target="../media/image657.jpg"/><Relationship Id="rId898" Type="http://schemas.openxmlformats.org/officeDocument/2006/relationships/image" Target="../media/image893.jpg"/><Relationship Id="rId413" Type="http://schemas.openxmlformats.org/officeDocument/2006/relationships/image" Target="../media/image384.jpg"/><Relationship Id="rId655" Type="http://schemas.openxmlformats.org/officeDocument/2006/relationships/image" Target="../media/image658.jpg"/><Relationship Id="rId897" Type="http://schemas.openxmlformats.org/officeDocument/2006/relationships/image" Target="../media/image880.jpg"/><Relationship Id="rId412" Type="http://schemas.openxmlformats.org/officeDocument/2006/relationships/image" Target="../media/image389.jpg"/><Relationship Id="rId654" Type="http://schemas.openxmlformats.org/officeDocument/2006/relationships/image" Target="../media/image670.jpg"/><Relationship Id="rId896" Type="http://schemas.openxmlformats.org/officeDocument/2006/relationships/image" Target="../media/image879.jpg"/><Relationship Id="rId419" Type="http://schemas.openxmlformats.org/officeDocument/2006/relationships/image" Target="../media/image459.jpg"/><Relationship Id="rId418" Type="http://schemas.openxmlformats.org/officeDocument/2006/relationships/image" Target="../media/image388.jpg"/><Relationship Id="rId417" Type="http://schemas.openxmlformats.org/officeDocument/2006/relationships/image" Target="../media/image397.jpg"/><Relationship Id="rId659" Type="http://schemas.openxmlformats.org/officeDocument/2006/relationships/image" Target="../media/image637.jpg"/><Relationship Id="rId416" Type="http://schemas.openxmlformats.org/officeDocument/2006/relationships/image" Target="../media/image412.jpg"/><Relationship Id="rId658" Type="http://schemas.openxmlformats.org/officeDocument/2006/relationships/image" Target="../media/image663.jpg"/><Relationship Id="rId891" Type="http://schemas.openxmlformats.org/officeDocument/2006/relationships/image" Target="../media/image895.jpg"/><Relationship Id="rId890" Type="http://schemas.openxmlformats.org/officeDocument/2006/relationships/image" Target="../media/image874.jpg"/><Relationship Id="rId411" Type="http://schemas.openxmlformats.org/officeDocument/2006/relationships/image" Target="../media/image411.jpg"/><Relationship Id="rId653" Type="http://schemas.openxmlformats.org/officeDocument/2006/relationships/image" Target="../media/image655.jpg"/><Relationship Id="rId895" Type="http://schemas.openxmlformats.org/officeDocument/2006/relationships/image" Target="../media/image931.jpg"/><Relationship Id="rId1000" Type="http://schemas.openxmlformats.org/officeDocument/2006/relationships/image" Target="../media/image965.jpg"/><Relationship Id="rId410" Type="http://schemas.openxmlformats.org/officeDocument/2006/relationships/image" Target="../media/image478.jpg"/><Relationship Id="rId652" Type="http://schemas.openxmlformats.org/officeDocument/2006/relationships/image" Target="../media/image691.jpg"/><Relationship Id="rId894" Type="http://schemas.openxmlformats.org/officeDocument/2006/relationships/image" Target="../media/image891.jpg"/><Relationship Id="rId1001" Type="http://schemas.openxmlformats.org/officeDocument/2006/relationships/image" Target="../media/image966.jpg"/><Relationship Id="rId651" Type="http://schemas.openxmlformats.org/officeDocument/2006/relationships/image" Target="../media/image645.jpg"/><Relationship Id="rId893" Type="http://schemas.openxmlformats.org/officeDocument/2006/relationships/image" Target="../media/image881.jpg"/><Relationship Id="rId1002" Type="http://schemas.openxmlformats.org/officeDocument/2006/relationships/image" Target="../media/image995.jpg"/><Relationship Id="rId650" Type="http://schemas.openxmlformats.org/officeDocument/2006/relationships/image" Target="../media/image647.jpg"/><Relationship Id="rId892" Type="http://schemas.openxmlformats.org/officeDocument/2006/relationships/image" Target="../media/image889.jpg"/><Relationship Id="rId1003" Type="http://schemas.openxmlformats.org/officeDocument/2006/relationships/image" Target="../media/image975.jpg"/><Relationship Id="rId1037" Type="http://schemas.openxmlformats.org/officeDocument/2006/relationships/image" Target="../media/image1035.jpg"/><Relationship Id="rId1038" Type="http://schemas.openxmlformats.org/officeDocument/2006/relationships/image" Target="../media/image1021.jpg"/><Relationship Id="rId1039" Type="http://schemas.openxmlformats.org/officeDocument/2006/relationships/image" Target="../media/image1022.jpg"/><Relationship Id="rId206" Type="http://schemas.openxmlformats.org/officeDocument/2006/relationships/image" Target="../media/image193.jpg"/><Relationship Id="rId448" Type="http://schemas.openxmlformats.org/officeDocument/2006/relationships/image" Target="../media/image420.jpg"/><Relationship Id="rId205" Type="http://schemas.openxmlformats.org/officeDocument/2006/relationships/image" Target="../media/image208.jpg"/><Relationship Id="rId447" Type="http://schemas.openxmlformats.org/officeDocument/2006/relationships/image" Target="../media/image418.jpg"/><Relationship Id="rId689" Type="http://schemas.openxmlformats.org/officeDocument/2006/relationships/image" Target="../media/image676.jpg"/><Relationship Id="rId204" Type="http://schemas.openxmlformats.org/officeDocument/2006/relationships/image" Target="../media/image204.jpg"/><Relationship Id="rId446" Type="http://schemas.openxmlformats.org/officeDocument/2006/relationships/image" Target="../media/image450.jpg"/><Relationship Id="rId688" Type="http://schemas.openxmlformats.org/officeDocument/2006/relationships/image" Target="../media/image674.jpg"/><Relationship Id="rId203" Type="http://schemas.openxmlformats.org/officeDocument/2006/relationships/image" Target="../media/image186.jpg"/><Relationship Id="rId445" Type="http://schemas.openxmlformats.org/officeDocument/2006/relationships/image" Target="../media/image419.jpg"/><Relationship Id="rId687" Type="http://schemas.openxmlformats.org/officeDocument/2006/relationships/image" Target="../media/image700.jpg"/><Relationship Id="rId209" Type="http://schemas.openxmlformats.org/officeDocument/2006/relationships/image" Target="../media/image223.jpg"/><Relationship Id="rId208" Type="http://schemas.openxmlformats.org/officeDocument/2006/relationships/image" Target="../media/image199.jpg"/><Relationship Id="rId207" Type="http://schemas.openxmlformats.org/officeDocument/2006/relationships/image" Target="../media/image259.jpg"/><Relationship Id="rId449" Type="http://schemas.openxmlformats.org/officeDocument/2006/relationships/image" Target="../media/image423.jpg"/><Relationship Id="rId440" Type="http://schemas.openxmlformats.org/officeDocument/2006/relationships/image" Target="../media/image414.jpg"/><Relationship Id="rId682" Type="http://schemas.openxmlformats.org/officeDocument/2006/relationships/image" Target="../media/image666.jpg"/><Relationship Id="rId681" Type="http://schemas.openxmlformats.org/officeDocument/2006/relationships/image" Target="../media/image723.jpg"/><Relationship Id="rId1030" Type="http://schemas.openxmlformats.org/officeDocument/2006/relationships/image" Target="../media/image1019.jpg"/><Relationship Id="rId680" Type="http://schemas.openxmlformats.org/officeDocument/2006/relationships/image" Target="../media/image679.jpg"/><Relationship Id="rId1031" Type="http://schemas.openxmlformats.org/officeDocument/2006/relationships/image" Target="../media/image1147.jpg"/><Relationship Id="rId1032" Type="http://schemas.openxmlformats.org/officeDocument/2006/relationships/image" Target="../media/image1119.jpg"/><Relationship Id="rId202" Type="http://schemas.openxmlformats.org/officeDocument/2006/relationships/image" Target="../media/image198.jpg"/><Relationship Id="rId444" Type="http://schemas.openxmlformats.org/officeDocument/2006/relationships/image" Target="../media/image435.jpg"/><Relationship Id="rId686" Type="http://schemas.openxmlformats.org/officeDocument/2006/relationships/image" Target="../media/image688.jpg"/><Relationship Id="rId1033" Type="http://schemas.openxmlformats.org/officeDocument/2006/relationships/image" Target="../media/image1023.jpg"/><Relationship Id="rId201" Type="http://schemas.openxmlformats.org/officeDocument/2006/relationships/image" Target="../media/image187.jpg"/><Relationship Id="rId443" Type="http://schemas.openxmlformats.org/officeDocument/2006/relationships/image" Target="../media/image428.jpg"/><Relationship Id="rId685" Type="http://schemas.openxmlformats.org/officeDocument/2006/relationships/image" Target="../media/image711.jpg"/><Relationship Id="rId1034" Type="http://schemas.openxmlformats.org/officeDocument/2006/relationships/image" Target="../media/image1020.jpg"/><Relationship Id="rId200" Type="http://schemas.openxmlformats.org/officeDocument/2006/relationships/image" Target="../media/image197.jpg"/><Relationship Id="rId442" Type="http://schemas.openxmlformats.org/officeDocument/2006/relationships/image" Target="../media/image410.jpg"/><Relationship Id="rId684" Type="http://schemas.openxmlformats.org/officeDocument/2006/relationships/image" Target="../media/image680.jpg"/><Relationship Id="rId1035" Type="http://schemas.openxmlformats.org/officeDocument/2006/relationships/image" Target="../media/image1104.jpg"/><Relationship Id="rId441" Type="http://schemas.openxmlformats.org/officeDocument/2006/relationships/image" Target="../media/image432.jpg"/><Relationship Id="rId683" Type="http://schemas.openxmlformats.org/officeDocument/2006/relationships/image" Target="../media/image673.jpg"/><Relationship Id="rId1036" Type="http://schemas.openxmlformats.org/officeDocument/2006/relationships/image" Target="../media/image1018.jpg"/><Relationship Id="rId1026" Type="http://schemas.openxmlformats.org/officeDocument/2006/relationships/image" Target="../media/image1094.jpg"/><Relationship Id="rId1027" Type="http://schemas.openxmlformats.org/officeDocument/2006/relationships/image" Target="../media/image1040.jpg"/><Relationship Id="rId1028" Type="http://schemas.openxmlformats.org/officeDocument/2006/relationships/image" Target="../media/image1024.jpg"/><Relationship Id="rId1029" Type="http://schemas.openxmlformats.org/officeDocument/2006/relationships/image" Target="../media/image1013.jpg"/><Relationship Id="rId437" Type="http://schemas.openxmlformats.org/officeDocument/2006/relationships/image" Target="../media/image443.jpg"/><Relationship Id="rId679" Type="http://schemas.openxmlformats.org/officeDocument/2006/relationships/image" Target="../media/image672.jpg"/><Relationship Id="rId436" Type="http://schemas.openxmlformats.org/officeDocument/2006/relationships/image" Target="../media/image434.jpg"/><Relationship Id="rId678" Type="http://schemas.openxmlformats.org/officeDocument/2006/relationships/image" Target="../media/image675.jpg"/><Relationship Id="rId435" Type="http://schemas.openxmlformats.org/officeDocument/2006/relationships/image" Target="../media/image439.jpg"/><Relationship Id="rId677" Type="http://schemas.openxmlformats.org/officeDocument/2006/relationships/image" Target="../media/image705.jpg"/><Relationship Id="rId434" Type="http://schemas.openxmlformats.org/officeDocument/2006/relationships/image" Target="../media/image440.jpg"/><Relationship Id="rId676" Type="http://schemas.openxmlformats.org/officeDocument/2006/relationships/image" Target="../media/image671.jpg"/><Relationship Id="rId439" Type="http://schemas.openxmlformats.org/officeDocument/2006/relationships/image" Target="../media/image426.jpg"/><Relationship Id="rId438" Type="http://schemas.openxmlformats.org/officeDocument/2006/relationships/image" Target="../media/image533.jpg"/><Relationship Id="rId671" Type="http://schemas.openxmlformats.org/officeDocument/2006/relationships/image" Target="../media/image685.jpg"/><Relationship Id="rId670" Type="http://schemas.openxmlformats.org/officeDocument/2006/relationships/image" Target="../media/image664.jpg"/><Relationship Id="rId1020" Type="http://schemas.openxmlformats.org/officeDocument/2006/relationships/image" Target="../media/image1012.jpg"/><Relationship Id="rId1021" Type="http://schemas.openxmlformats.org/officeDocument/2006/relationships/image" Target="../media/image1026.jpg"/><Relationship Id="rId433" Type="http://schemas.openxmlformats.org/officeDocument/2006/relationships/image" Target="../media/image409.jpg"/><Relationship Id="rId675" Type="http://schemas.openxmlformats.org/officeDocument/2006/relationships/image" Target="../media/image661.jpg"/><Relationship Id="rId1022" Type="http://schemas.openxmlformats.org/officeDocument/2006/relationships/image" Target="../media/image1054.jpg"/><Relationship Id="rId432" Type="http://schemas.openxmlformats.org/officeDocument/2006/relationships/image" Target="../media/image406.jpg"/><Relationship Id="rId674" Type="http://schemas.openxmlformats.org/officeDocument/2006/relationships/image" Target="../media/image669.jpg"/><Relationship Id="rId1023" Type="http://schemas.openxmlformats.org/officeDocument/2006/relationships/image" Target="../media/image1008.jpg"/><Relationship Id="rId431" Type="http://schemas.openxmlformats.org/officeDocument/2006/relationships/image" Target="../media/image413.jpg"/><Relationship Id="rId673" Type="http://schemas.openxmlformats.org/officeDocument/2006/relationships/image" Target="../media/image660.jpg"/><Relationship Id="rId1024" Type="http://schemas.openxmlformats.org/officeDocument/2006/relationships/image" Target="../media/image1006.jpg"/><Relationship Id="rId430" Type="http://schemas.openxmlformats.org/officeDocument/2006/relationships/image" Target="../media/image438.jpg"/><Relationship Id="rId672" Type="http://schemas.openxmlformats.org/officeDocument/2006/relationships/image" Target="../media/image653.jpg"/><Relationship Id="rId1025" Type="http://schemas.openxmlformats.org/officeDocument/2006/relationships/image" Target="../media/image1017.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1</xdr:row>
      <xdr:rowOff>38100</xdr:rowOff>
    </xdr:from>
    <xdr:ext cx="523875" cy="514350"/>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38100</xdr:colOff>
      <xdr:row>2</xdr:row>
      <xdr:rowOff>38100</xdr:rowOff>
    </xdr:from>
    <xdr:ext cx="514350" cy="514350"/>
    <xdr:pic>
      <xdr:nvPicPr>
        <xdr:cNvPr id="0" name="image39.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38100</xdr:colOff>
      <xdr:row>3</xdr:row>
      <xdr:rowOff>38100</xdr:rowOff>
    </xdr:from>
    <xdr:ext cx="514350" cy="514350"/>
    <xdr:pic>
      <xdr:nvPicPr>
        <xdr:cNvPr id="0" name="image39.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38100</xdr:colOff>
      <xdr:row>4</xdr:row>
      <xdr:rowOff>38100</xdr:rowOff>
    </xdr:from>
    <xdr:ext cx="361950" cy="514350"/>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5</xdr:row>
      <xdr:rowOff>38100</xdr:rowOff>
    </xdr:from>
    <xdr:ext cx="485775" cy="514350"/>
    <xdr:pic>
      <xdr:nvPicPr>
        <xdr:cNvPr id="0" name="image14.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38100</xdr:colOff>
      <xdr:row>6</xdr:row>
      <xdr:rowOff>38100</xdr:rowOff>
    </xdr:from>
    <xdr:ext cx="485775" cy="514350"/>
    <xdr:pic>
      <xdr:nvPicPr>
        <xdr:cNvPr id="0" name="image14.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38100</xdr:colOff>
      <xdr:row>7</xdr:row>
      <xdr:rowOff>38100</xdr:rowOff>
    </xdr:from>
    <xdr:ext cx="523875" cy="514350"/>
    <xdr:pic>
      <xdr:nvPicPr>
        <xdr:cNvPr id="0" name="image4.jp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38100</xdr:colOff>
      <xdr:row>8</xdr:row>
      <xdr:rowOff>38100</xdr:rowOff>
    </xdr:from>
    <xdr:ext cx="485775" cy="514350"/>
    <xdr:pic>
      <xdr:nvPicPr>
        <xdr:cNvPr id="0" name="image13.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38100</xdr:colOff>
      <xdr:row>9</xdr:row>
      <xdr:rowOff>38100</xdr:rowOff>
    </xdr:from>
    <xdr:ext cx="485775" cy="514350"/>
    <xdr:pic>
      <xdr:nvPicPr>
        <xdr:cNvPr id="0" name="image13.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38100</xdr:colOff>
      <xdr:row>10</xdr:row>
      <xdr:rowOff>38100</xdr:rowOff>
    </xdr:from>
    <xdr:ext cx="381000" cy="514350"/>
    <xdr:pic>
      <xdr:nvPicPr>
        <xdr:cNvPr id="0" name="image21.jp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38100</xdr:colOff>
      <xdr:row>11</xdr:row>
      <xdr:rowOff>38100</xdr:rowOff>
    </xdr:from>
    <xdr:ext cx="476250" cy="514350"/>
    <xdr:pic>
      <xdr:nvPicPr>
        <xdr:cNvPr id="0" name="image28.jp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38100</xdr:colOff>
      <xdr:row>12</xdr:row>
      <xdr:rowOff>38100</xdr:rowOff>
    </xdr:from>
    <xdr:ext cx="552450" cy="514350"/>
    <xdr:pic>
      <xdr:nvPicPr>
        <xdr:cNvPr id="0" name="image19.jp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38100</xdr:colOff>
      <xdr:row>13</xdr:row>
      <xdr:rowOff>38100</xdr:rowOff>
    </xdr:from>
    <xdr:ext cx="552450" cy="514350"/>
    <xdr:pic>
      <xdr:nvPicPr>
        <xdr:cNvPr id="0" name="image19.jp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38100</xdr:colOff>
      <xdr:row>14</xdr:row>
      <xdr:rowOff>38100</xdr:rowOff>
    </xdr:from>
    <xdr:ext cx="647700" cy="476250"/>
    <xdr:pic>
      <xdr:nvPicPr>
        <xdr:cNvPr id="0" name="image68.jp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38100</xdr:colOff>
      <xdr:row>15</xdr:row>
      <xdr:rowOff>38100</xdr:rowOff>
    </xdr:from>
    <xdr:ext cx="552450" cy="514350"/>
    <xdr:pic>
      <xdr:nvPicPr>
        <xdr:cNvPr id="0" name="image19.jp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38100</xdr:colOff>
      <xdr:row>16</xdr:row>
      <xdr:rowOff>38100</xdr:rowOff>
    </xdr:from>
    <xdr:ext cx="352425" cy="409575"/>
    <xdr:pic>
      <xdr:nvPicPr>
        <xdr:cNvPr id="0" name="image12.jp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38100</xdr:colOff>
      <xdr:row>17</xdr:row>
      <xdr:rowOff>38100</xdr:rowOff>
    </xdr:from>
    <xdr:ext cx="647700" cy="304800"/>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38100</xdr:colOff>
      <xdr:row>18</xdr:row>
      <xdr:rowOff>38100</xdr:rowOff>
    </xdr:from>
    <xdr:ext cx="647700" cy="485775"/>
    <xdr:pic>
      <xdr:nvPicPr>
        <xdr:cNvPr id="0" name="image6.jp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38100</xdr:colOff>
      <xdr:row>19</xdr:row>
      <xdr:rowOff>38100</xdr:rowOff>
    </xdr:from>
    <xdr:ext cx="285750" cy="514350"/>
    <xdr:pic>
      <xdr:nvPicPr>
        <xdr:cNvPr id="0" name="image29.jp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38100</xdr:colOff>
      <xdr:row>20</xdr:row>
      <xdr:rowOff>38100</xdr:rowOff>
    </xdr:from>
    <xdr:ext cx="609600" cy="514350"/>
    <xdr:pic>
      <xdr:nvPicPr>
        <xdr:cNvPr id="0" name="image44.jp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38100</xdr:colOff>
      <xdr:row>21</xdr:row>
      <xdr:rowOff>38100</xdr:rowOff>
    </xdr:from>
    <xdr:ext cx="647700" cy="428625"/>
    <xdr:pic>
      <xdr:nvPicPr>
        <xdr:cNvPr id="0" name="image138.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38100</xdr:colOff>
      <xdr:row>22</xdr:row>
      <xdr:rowOff>38100</xdr:rowOff>
    </xdr:from>
    <xdr:ext cx="647700" cy="428625"/>
    <xdr:pic>
      <xdr:nvPicPr>
        <xdr:cNvPr id="0" name="image138.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38100</xdr:colOff>
      <xdr:row>23</xdr:row>
      <xdr:rowOff>38100</xdr:rowOff>
    </xdr:from>
    <xdr:ext cx="542925" cy="514350"/>
    <xdr:pic>
      <xdr:nvPicPr>
        <xdr:cNvPr id="0" name="image15.jp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38100</xdr:colOff>
      <xdr:row>24</xdr:row>
      <xdr:rowOff>38100</xdr:rowOff>
    </xdr:from>
    <xdr:ext cx="314325" cy="514350"/>
    <xdr:pic>
      <xdr:nvPicPr>
        <xdr:cNvPr id="0" name="image26.jp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38100</xdr:colOff>
      <xdr:row>25</xdr:row>
      <xdr:rowOff>38100</xdr:rowOff>
    </xdr:from>
    <xdr:ext cx="457200" cy="514350"/>
    <xdr:pic>
      <xdr:nvPicPr>
        <xdr:cNvPr id="0" name="image3.jpg"/>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38100</xdr:colOff>
      <xdr:row>26</xdr:row>
      <xdr:rowOff>38100</xdr:rowOff>
    </xdr:from>
    <xdr:ext cx="647700" cy="457200"/>
    <xdr:pic>
      <xdr:nvPicPr>
        <xdr:cNvPr id="0" name="image46.jp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38100</xdr:colOff>
      <xdr:row>27</xdr:row>
      <xdr:rowOff>38100</xdr:rowOff>
    </xdr:from>
    <xdr:ext cx="485775" cy="514350"/>
    <xdr:pic>
      <xdr:nvPicPr>
        <xdr:cNvPr id="0" name="image34.jp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38100</xdr:colOff>
      <xdr:row>28</xdr:row>
      <xdr:rowOff>38100</xdr:rowOff>
    </xdr:from>
    <xdr:ext cx="647700" cy="361950"/>
    <xdr:pic>
      <xdr:nvPicPr>
        <xdr:cNvPr id="0" name="image1.jpg"/>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38100</xdr:colOff>
      <xdr:row>29</xdr:row>
      <xdr:rowOff>38100</xdr:rowOff>
    </xdr:from>
    <xdr:ext cx="647700" cy="409575"/>
    <xdr:pic>
      <xdr:nvPicPr>
        <xdr:cNvPr id="0" name="image9.jp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38100</xdr:colOff>
      <xdr:row>30</xdr:row>
      <xdr:rowOff>38100</xdr:rowOff>
    </xdr:from>
    <xdr:ext cx="438150" cy="514350"/>
    <xdr:pic>
      <xdr:nvPicPr>
        <xdr:cNvPr id="0" name="image43.jp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38100</xdr:colOff>
      <xdr:row>31</xdr:row>
      <xdr:rowOff>38100</xdr:rowOff>
    </xdr:from>
    <xdr:ext cx="371475" cy="514350"/>
    <xdr:pic>
      <xdr:nvPicPr>
        <xdr:cNvPr id="0" name="image33.jpg"/>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38100</xdr:colOff>
      <xdr:row>32</xdr:row>
      <xdr:rowOff>38100</xdr:rowOff>
    </xdr:from>
    <xdr:ext cx="485775" cy="457200"/>
    <xdr:pic>
      <xdr:nvPicPr>
        <xdr:cNvPr id="0" name="image45.jp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38100</xdr:colOff>
      <xdr:row>33</xdr:row>
      <xdr:rowOff>38100</xdr:rowOff>
    </xdr:from>
    <xdr:ext cx="523875" cy="514350"/>
    <xdr:pic>
      <xdr:nvPicPr>
        <xdr:cNvPr id="0" name="image92.jpg"/>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38100</xdr:colOff>
      <xdr:row>34</xdr:row>
      <xdr:rowOff>38100</xdr:rowOff>
    </xdr:from>
    <xdr:ext cx="257175" cy="514350"/>
    <xdr:pic>
      <xdr:nvPicPr>
        <xdr:cNvPr id="0" name="image31.jpg"/>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38100</xdr:colOff>
      <xdr:row>35</xdr:row>
      <xdr:rowOff>38100</xdr:rowOff>
    </xdr:from>
    <xdr:ext cx="609600" cy="514350"/>
    <xdr:pic>
      <xdr:nvPicPr>
        <xdr:cNvPr id="0" name="image18.jp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38100</xdr:colOff>
      <xdr:row>36</xdr:row>
      <xdr:rowOff>38100</xdr:rowOff>
    </xdr:from>
    <xdr:ext cx="647700" cy="419100"/>
    <xdr:pic>
      <xdr:nvPicPr>
        <xdr:cNvPr id="0" name="image42.jpg"/>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38100</xdr:colOff>
      <xdr:row>37</xdr:row>
      <xdr:rowOff>38100</xdr:rowOff>
    </xdr:from>
    <xdr:ext cx="400050" cy="514350"/>
    <xdr:pic>
      <xdr:nvPicPr>
        <xdr:cNvPr id="0" name="image8.jpg"/>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38100</xdr:colOff>
      <xdr:row>38</xdr:row>
      <xdr:rowOff>38100</xdr:rowOff>
    </xdr:from>
    <xdr:ext cx="419100" cy="514350"/>
    <xdr:pic>
      <xdr:nvPicPr>
        <xdr:cNvPr id="0" name="image37.jp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38100</xdr:colOff>
      <xdr:row>39</xdr:row>
      <xdr:rowOff>38100</xdr:rowOff>
    </xdr:from>
    <xdr:ext cx="419100" cy="514350"/>
    <xdr:pic>
      <xdr:nvPicPr>
        <xdr:cNvPr id="0" name="image37.jp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38100</xdr:colOff>
      <xdr:row>40</xdr:row>
      <xdr:rowOff>38100</xdr:rowOff>
    </xdr:from>
    <xdr:ext cx="533400" cy="447675"/>
    <xdr:pic>
      <xdr:nvPicPr>
        <xdr:cNvPr id="0" name="image41.jpg"/>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38100</xdr:colOff>
      <xdr:row>41</xdr:row>
      <xdr:rowOff>38100</xdr:rowOff>
    </xdr:from>
    <xdr:ext cx="533400" cy="447675"/>
    <xdr:pic>
      <xdr:nvPicPr>
        <xdr:cNvPr id="0" name="image41.jpg"/>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38100</xdr:colOff>
      <xdr:row>42</xdr:row>
      <xdr:rowOff>38100</xdr:rowOff>
    </xdr:from>
    <xdr:ext cx="647700" cy="361950"/>
    <xdr:pic>
      <xdr:nvPicPr>
        <xdr:cNvPr id="0" name="image57.jpg"/>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38100</xdr:colOff>
      <xdr:row>43</xdr:row>
      <xdr:rowOff>38100</xdr:rowOff>
    </xdr:from>
    <xdr:ext cx="514350" cy="514350"/>
    <xdr:pic>
      <xdr:nvPicPr>
        <xdr:cNvPr id="0" name="image35.jp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38100</xdr:colOff>
      <xdr:row>44</xdr:row>
      <xdr:rowOff>38100</xdr:rowOff>
    </xdr:from>
    <xdr:ext cx="638175" cy="476250"/>
    <xdr:pic>
      <xdr:nvPicPr>
        <xdr:cNvPr id="0" name="image30.jpg"/>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38100</xdr:colOff>
      <xdr:row>45</xdr:row>
      <xdr:rowOff>38100</xdr:rowOff>
    </xdr:from>
    <xdr:ext cx="552450" cy="514350"/>
    <xdr:pic>
      <xdr:nvPicPr>
        <xdr:cNvPr id="0" name="image38.jpg"/>
        <xdr:cNvPicPr preferRelativeResize="0"/>
      </xdr:nvPicPr>
      <xdr:blipFill>
        <a:blip cstate="print" r:embed="rId37"/>
        <a:stretch>
          <a:fillRect/>
        </a:stretch>
      </xdr:blipFill>
      <xdr:spPr>
        <a:prstGeom prst="rect">
          <a:avLst/>
        </a:prstGeom>
        <a:noFill/>
      </xdr:spPr>
    </xdr:pic>
    <xdr:clientData fLocksWithSheet="0"/>
  </xdr:oneCellAnchor>
  <xdr:oneCellAnchor>
    <xdr:from>
      <xdr:col>6</xdr:col>
      <xdr:colOff>38100</xdr:colOff>
      <xdr:row>46</xdr:row>
      <xdr:rowOff>38100</xdr:rowOff>
    </xdr:from>
    <xdr:ext cx="390525" cy="514350"/>
    <xdr:pic>
      <xdr:nvPicPr>
        <xdr:cNvPr id="0" name="image53.jp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38100</xdr:colOff>
      <xdr:row>47</xdr:row>
      <xdr:rowOff>38100</xdr:rowOff>
    </xdr:from>
    <xdr:ext cx="447675" cy="495300"/>
    <xdr:pic>
      <xdr:nvPicPr>
        <xdr:cNvPr id="0" name="image22.jpg"/>
        <xdr:cNvPicPr preferRelativeResize="0"/>
      </xdr:nvPicPr>
      <xdr:blipFill>
        <a:blip cstate="print" r:embed="rId39"/>
        <a:stretch>
          <a:fillRect/>
        </a:stretch>
      </xdr:blipFill>
      <xdr:spPr>
        <a:prstGeom prst="rect">
          <a:avLst/>
        </a:prstGeom>
        <a:noFill/>
      </xdr:spPr>
    </xdr:pic>
    <xdr:clientData fLocksWithSheet="0"/>
  </xdr:oneCellAnchor>
  <xdr:oneCellAnchor>
    <xdr:from>
      <xdr:col>6</xdr:col>
      <xdr:colOff>38100</xdr:colOff>
      <xdr:row>48</xdr:row>
      <xdr:rowOff>38100</xdr:rowOff>
    </xdr:from>
    <xdr:ext cx="342900" cy="409575"/>
    <xdr:pic>
      <xdr:nvPicPr>
        <xdr:cNvPr id="0" name="image76.jpg"/>
        <xdr:cNvPicPr preferRelativeResize="0"/>
      </xdr:nvPicPr>
      <xdr:blipFill>
        <a:blip cstate="print" r:embed="rId40"/>
        <a:stretch>
          <a:fillRect/>
        </a:stretch>
      </xdr:blipFill>
      <xdr:spPr>
        <a:prstGeom prst="rect">
          <a:avLst/>
        </a:prstGeom>
        <a:noFill/>
      </xdr:spPr>
    </xdr:pic>
    <xdr:clientData fLocksWithSheet="0"/>
  </xdr:oneCellAnchor>
  <xdr:oneCellAnchor>
    <xdr:from>
      <xdr:col>6</xdr:col>
      <xdr:colOff>38100</xdr:colOff>
      <xdr:row>49</xdr:row>
      <xdr:rowOff>38100</xdr:rowOff>
    </xdr:from>
    <xdr:ext cx="390525" cy="514350"/>
    <xdr:pic>
      <xdr:nvPicPr>
        <xdr:cNvPr id="0" name="image20.jp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38100</xdr:colOff>
      <xdr:row>50</xdr:row>
      <xdr:rowOff>38100</xdr:rowOff>
    </xdr:from>
    <xdr:ext cx="390525" cy="514350"/>
    <xdr:pic>
      <xdr:nvPicPr>
        <xdr:cNvPr id="0" name="image53.jp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38100</xdr:colOff>
      <xdr:row>51</xdr:row>
      <xdr:rowOff>38100</xdr:rowOff>
    </xdr:from>
    <xdr:ext cx="333375" cy="514350"/>
    <xdr:pic>
      <xdr:nvPicPr>
        <xdr:cNvPr id="0" name="image7.jpg"/>
        <xdr:cNvPicPr preferRelativeResize="0"/>
      </xdr:nvPicPr>
      <xdr:blipFill>
        <a:blip cstate="print" r:embed="rId42"/>
        <a:stretch>
          <a:fillRect/>
        </a:stretch>
      </xdr:blipFill>
      <xdr:spPr>
        <a:prstGeom prst="rect">
          <a:avLst/>
        </a:prstGeom>
        <a:noFill/>
      </xdr:spPr>
    </xdr:pic>
    <xdr:clientData fLocksWithSheet="0"/>
  </xdr:oneCellAnchor>
  <xdr:oneCellAnchor>
    <xdr:from>
      <xdr:col>6</xdr:col>
      <xdr:colOff>38100</xdr:colOff>
      <xdr:row>52</xdr:row>
      <xdr:rowOff>38100</xdr:rowOff>
    </xdr:from>
    <xdr:ext cx="314325" cy="514350"/>
    <xdr:pic>
      <xdr:nvPicPr>
        <xdr:cNvPr id="0" name="image27.jpg"/>
        <xdr:cNvPicPr preferRelativeResize="0"/>
      </xdr:nvPicPr>
      <xdr:blipFill>
        <a:blip cstate="print" r:embed="rId43"/>
        <a:stretch>
          <a:fillRect/>
        </a:stretch>
      </xdr:blipFill>
      <xdr:spPr>
        <a:prstGeom prst="rect">
          <a:avLst/>
        </a:prstGeom>
        <a:noFill/>
      </xdr:spPr>
    </xdr:pic>
    <xdr:clientData fLocksWithSheet="0"/>
  </xdr:oneCellAnchor>
  <xdr:oneCellAnchor>
    <xdr:from>
      <xdr:col>6</xdr:col>
      <xdr:colOff>38100</xdr:colOff>
      <xdr:row>53</xdr:row>
      <xdr:rowOff>38100</xdr:rowOff>
    </xdr:from>
    <xdr:ext cx="381000" cy="447675"/>
    <xdr:pic>
      <xdr:nvPicPr>
        <xdr:cNvPr id="0" name="image32.jpg"/>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38100</xdr:colOff>
      <xdr:row>54</xdr:row>
      <xdr:rowOff>38100</xdr:rowOff>
    </xdr:from>
    <xdr:ext cx="533400" cy="495300"/>
    <xdr:pic>
      <xdr:nvPicPr>
        <xdr:cNvPr id="0" name="image16.jp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38100</xdr:colOff>
      <xdr:row>55</xdr:row>
      <xdr:rowOff>38100</xdr:rowOff>
    </xdr:from>
    <xdr:ext cx="457200" cy="514350"/>
    <xdr:pic>
      <xdr:nvPicPr>
        <xdr:cNvPr id="0" name="image10.jpg"/>
        <xdr:cNvPicPr preferRelativeResize="0"/>
      </xdr:nvPicPr>
      <xdr:blipFill>
        <a:blip cstate="print" r:embed="rId46"/>
        <a:stretch>
          <a:fillRect/>
        </a:stretch>
      </xdr:blipFill>
      <xdr:spPr>
        <a:prstGeom prst="rect">
          <a:avLst/>
        </a:prstGeom>
        <a:noFill/>
      </xdr:spPr>
    </xdr:pic>
    <xdr:clientData fLocksWithSheet="0"/>
  </xdr:oneCellAnchor>
  <xdr:oneCellAnchor>
    <xdr:from>
      <xdr:col>6</xdr:col>
      <xdr:colOff>38100</xdr:colOff>
      <xdr:row>56</xdr:row>
      <xdr:rowOff>38100</xdr:rowOff>
    </xdr:from>
    <xdr:ext cx="495300" cy="514350"/>
    <xdr:pic>
      <xdr:nvPicPr>
        <xdr:cNvPr id="0" name="image17.jp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38100</xdr:colOff>
      <xdr:row>57</xdr:row>
      <xdr:rowOff>38100</xdr:rowOff>
    </xdr:from>
    <xdr:ext cx="647700" cy="457200"/>
    <xdr:pic>
      <xdr:nvPicPr>
        <xdr:cNvPr id="0" name="image23.jp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38100</xdr:colOff>
      <xdr:row>58</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59</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60</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61</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62</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63</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64</xdr:row>
      <xdr:rowOff>38100</xdr:rowOff>
    </xdr:from>
    <xdr:ext cx="647700" cy="314325"/>
    <xdr:pic>
      <xdr:nvPicPr>
        <xdr:cNvPr id="0" name="image24.jpg"/>
        <xdr:cNvPicPr preferRelativeResize="0"/>
      </xdr:nvPicPr>
      <xdr:blipFill>
        <a:blip cstate="print" r:embed="rId50"/>
        <a:stretch>
          <a:fillRect/>
        </a:stretch>
      </xdr:blipFill>
      <xdr:spPr>
        <a:prstGeom prst="rect">
          <a:avLst/>
        </a:prstGeom>
        <a:noFill/>
      </xdr:spPr>
    </xdr:pic>
    <xdr:clientData fLocksWithSheet="0"/>
  </xdr:oneCellAnchor>
  <xdr:oneCellAnchor>
    <xdr:from>
      <xdr:col>6</xdr:col>
      <xdr:colOff>38100</xdr:colOff>
      <xdr:row>65</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66</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67</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68</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69</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70</xdr:row>
      <xdr:rowOff>38100</xdr:rowOff>
    </xdr:from>
    <xdr:ext cx="638175" cy="514350"/>
    <xdr:pic>
      <xdr:nvPicPr>
        <xdr:cNvPr id="0" name="image116.jpg"/>
        <xdr:cNvPicPr preferRelativeResize="0"/>
      </xdr:nvPicPr>
      <xdr:blipFill>
        <a:blip cstate="print" r:embed="rId51"/>
        <a:stretch>
          <a:fillRect/>
        </a:stretch>
      </xdr:blipFill>
      <xdr:spPr>
        <a:prstGeom prst="rect">
          <a:avLst/>
        </a:prstGeom>
        <a:noFill/>
      </xdr:spPr>
    </xdr:pic>
    <xdr:clientData fLocksWithSheet="0"/>
  </xdr:oneCellAnchor>
  <xdr:oneCellAnchor>
    <xdr:from>
      <xdr:col>6</xdr:col>
      <xdr:colOff>38100</xdr:colOff>
      <xdr:row>71</xdr:row>
      <xdr:rowOff>38100</xdr:rowOff>
    </xdr:from>
    <xdr:ext cx="476250" cy="514350"/>
    <xdr:pic>
      <xdr:nvPicPr>
        <xdr:cNvPr id="0" name="image25.jp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38100</xdr:colOff>
      <xdr:row>72</xdr:row>
      <xdr:rowOff>38100</xdr:rowOff>
    </xdr:from>
    <xdr:ext cx="476250" cy="514350"/>
    <xdr:pic>
      <xdr:nvPicPr>
        <xdr:cNvPr id="0" name="image25.jp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38100</xdr:colOff>
      <xdr:row>73</xdr:row>
      <xdr:rowOff>38100</xdr:rowOff>
    </xdr:from>
    <xdr:ext cx="476250" cy="514350"/>
    <xdr:pic>
      <xdr:nvPicPr>
        <xdr:cNvPr id="0" name="image25.jp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38100</xdr:colOff>
      <xdr:row>74</xdr:row>
      <xdr:rowOff>38100</xdr:rowOff>
    </xdr:from>
    <xdr:ext cx="476250" cy="514350"/>
    <xdr:pic>
      <xdr:nvPicPr>
        <xdr:cNvPr id="0" name="image25.jp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38100</xdr:colOff>
      <xdr:row>75</xdr:row>
      <xdr:rowOff>38100</xdr:rowOff>
    </xdr:from>
    <xdr:ext cx="514350" cy="514350"/>
    <xdr:pic>
      <xdr:nvPicPr>
        <xdr:cNvPr id="0" name="image40.jp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38100</xdr:colOff>
      <xdr:row>76</xdr:row>
      <xdr:rowOff>38100</xdr:rowOff>
    </xdr:from>
    <xdr:ext cx="476250" cy="514350"/>
    <xdr:pic>
      <xdr:nvPicPr>
        <xdr:cNvPr id="0" name="image25.jp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38100</xdr:colOff>
      <xdr:row>77</xdr:row>
      <xdr:rowOff>38100</xdr:rowOff>
    </xdr:from>
    <xdr:ext cx="514350" cy="514350"/>
    <xdr:pic>
      <xdr:nvPicPr>
        <xdr:cNvPr id="0" name="image40.jp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38100</xdr:colOff>
      <xdr:row>78</xdr:row>
      <xdr:rowOff>38100</xdr:rowOff>
    </xdr:from>
    <xdr:ext cx="514350" cy="514350"/>
    <xdr:pic>
      <xdr:nvPicPr>
        <xdr:cNvPr id="0" name="image40.jp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38100</xdr:colOff>
      <xdr:row>79</xdr:row>
      <xdr:rowOff>38100</xdr:rowOff>
    </xdr:from>
    <xdr:ext cx="476250" cy="514350"/>
    <xdr:pic>
      <xdr:nvPicPr>
        <xdr:cNvPr id="0" name="image25.jp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38100</xdr:colOff>
      <xdr:row>80</xdr:row>
      <xdr:rowOff>38100</xdr:rowOff>
    </xdr:from>
    <xdr:ext cx="514350" cy="514350"/>
    <xdr:pic>
      <xdr:nvPicPr>
        <xdr:cNvPr id="0" name="image40.jp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38100</xdr:colOff>
      <xdr:row>81</xdr:row>
      <xdr:rowOff>38100</xdr:rowOff>
    </xdr:from>
    <xdr:ext cx="514350" cy="514350"/>
    <xdr:pic>
      <xdr:nvPicPr>
        <xdr:cNvPr id="0" name="image40.jp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38100</xdr:colOff>
      <xdr:row>82</xdr:row>
      <xdr:rowOff>38100</xdr:rowOff>
    </xdr:from>
    <xdr:ext cx="514350" cy="514350"/>
    <xdr:pic>
      <xdr:nvPicPr>
        <xdr:cNvPr id="0" name="image40.jp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38100</xdr:colOff>
      <xdr:row>83</xdr:row>
      <xdr:rowOff>38100</xdr:rowOff>
    </xdr:from>
    <xdr:ext cx="476250" cy="514350"/>
    <xdr:pic>
      <xdr:nvPicPr>
        <xdr:cNvPr id="0" name="image25.jp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38100</xdr:colOff>
      <xdr:row>84</xdr:row>
      <xdr:rowOff>38100</xdr:rowOff>
    </xdr:from>
    <xdr:ext cx="647700" cy="400050"/>
    <xdr:pic>
      <xdr:nvPicPr>
        <xdr:cNvPr id="0" name="image51.jpg"/>
        <xdr:cNvPicPr preferRelativeResize="0"/>
      </xdr:nvPicPr>
      <xdr:blipFill>
        <a:blip cstate="print" r:embed="rId54"/>
        <a:stretch>
          <a:fillRect/>
        </a:stretch>
      </xdr:blipFill>
      <xdr:spPr>
        <a:prstGeom prst="rect">
          <a:avLst/>
        </a:prstGeom>
        <a:noFill/>
      </xdr:spPr>
    </xdr:pic>
    <xdr:clientData fLocksWithSheet="0"/>
  </xdr:oneCellAnchor>
  <xdr:oneCellAnchor>
    <xdr:from>
      <xdr:col>6</xdr:col>
      <xdr:colOff>38100</xdr:colOff>
      <xdr:row>85</xdr:row>
      <xdr:rowOff>38100</xdr:rowOff>
    </xdr:from>
    <xdr:ext cx="647700" cy="400050"/>
    <xdr:pic>
      <xdr:nvPicPr>
        <xdr:cNvPr id="0" name="image51.jpg"/>
        <xdr:cNvPicPr preferRelativeResize="0"/>
      </xdr:nvPicPr>
      <xdr:blipFill>
        <a:blip cstate="print" r:embed="rId54"/>
        <a:stretch>
          <a:fillRect/>
        </a:stretch>
      </xdr:blipFill>
      <xdr:spPr>
        <a:prstGeom prst="rect">
          <a:avLst/>
        </a:prstGeom>
        <a:noFill/>
      </xdr:spPr>
    </xdr:pic>
    <xdr:clientData fLocksWithSheet="0"/>
  </xdr:oneCellAnchor>
  <xdr:oneCellAnchor>
    <xdr:from>
      <xdr:col>6</xdr:col>
      <xdr:colOff>38100</xdr:colOff>
      <xdr:row>86</xdr:row>
      <xdr:rowOff>38100</xdr:rowOff>
    </xdr:from>
    <xdr:ext cx="647700" cy="400050"/>
    <xdr:pic>
      <xdr:nvPicPr>
        <xdr:cNvPr id="0" name="image51.jpg"/>
        <xdr:cNvPicPr preferRelativeResize="0"/>
      </xdr:nvPicPr>
      <xdr:blipFill>
        <a:blip cstate="print" r:embed="rId54"/>
        <a:stretch>
          <a:fillRect/>
        </a:stretch>
      </xdr:blipFill>
      <xdr:spPr>
        <a:prstGeom prst="rect">
          <a:avLst/>
        </a:prstGeom>
        <a:noFill/>
      </xdr:spPr>
    </xdr:pic>
    <xdr:clientData fLocksWithSheet="0"/>
  </xdr:oneCellAnchor>
  <xdr:oneCellAnchor>
    <xdr:from>
      <xdr:col>6</xdr:col>
      <xdr:colOff>38100</xdr:colOff>
      <xdr:row>87</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88</xdr:row>
      <xdr:rowOff>38100</xdr:rowOff>
    </xdr:from>
    <xdr:ext cx="647700" cy="400050"/>
    <xdr:pic>
      <xdr:nvPicPr>
        <xdr:cNvPr id="0" name="image51.jpg"/>
        <xdr:cNvPicPr preferRelativeResize="0"/>
      </xdr:nvPicPr>
      <xdr:blipFill>
        <a:blip cstate="print" r:embed="rId54"/>
        <a:stretch>
          <a:fillRect/>
        </a:stretch>
      </xdr:blipFill>
      <xdr:spPr>
        <a:prstGeom prst="rect">
          <a:avLst/>
        </a:prstGeom>
        <a:noFill/>
      </xdr:spPr>
    </xdr:pic>
    <xdr:clientData fLocksWithSheet="0"/>
  </xdr:oneCellAnchor>
  <xdr:oneCellAnchor>
    <xdr:from>
      <xdr:col>6</xdr:col>
      <xdr:colOff>38100</xdr:colOff>
      <xdr:row>89</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90</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91</xdr:row>
      <xdr:rowOff>38100</xdr:rowOff>
    </xdr:from>
    <xdr:ext cx="647700" cy="266700"/>
    <xdr:pic>
      <xdr:nvPicPr>
        <xdr:cNvPr id="0" name="image73.jp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38100</xdr:colOff>
      <xdr:row>92</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93</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94</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95</xdr:row>
      <xdr:rowOff>38100</xdr:rowOff>
    </xdr:from>
    <xdr:ext cx="647700" cy="266700"/>
    <xdr:pic>
      <xdr:nvPicPr>
        <xdr:cNvPr id="0" name="image73.jp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38100</xdr:colOff>
      <xdr:row>96</xdr:row>
      <xdr:rowOff>38100</xdr:rowOff>
    </xdr:from>
    <xdr:ext cx="476250" cy="514350"/>
    <xdr:pic>
      <xdr:nvPicPr>
        <xdr:cNvPr id="0" name="image25.jp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38100</xdr:colOff>
      <xdr:row>97</xdr:row>
      <xdr:rowOff>38100</xdr:rowOff>
    </xdr:from>
    <xdr:ext cx="514350" cy="514350"/>
    <xdr:pic>
      <xdr:nvPicPr>
        <xdr:cNvPr id="0" name="image40.jp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38100</xdr:colOff>
      <xdr:row>98</xdr:row>
      <xdr:rowOff>38100</xdr:rowOff>
    </xdr:from>
    <xdr:ext cx="514350" cy="514350"/>
    <xdr:pic>
      <xdr:nvPicPr>
        <xdr:cNvPr id="0" name="image40.jp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38100</xdr:colOff>
      <xdr:row>99</xdr:row>
      <xdr:rowOff>38100</xdr:rowOff>
    </xdr:from>
    <xdr:ext cx="514350" cy="514350"/>
    <xdr:pic>
      <xdr:nvPicPr>
        <xdr:cNvPr id="0" name="image40.jp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38100</xdr:colOff>
      <xdr:row>100</xdr:row>
      <xdr:rowOff>38100</xdr:rowOff>
    </xdr:from>
    <xdr:ext cx="514350" cy="514350"/>
    <xdr:pic>
      <xdr:nvPicPr>
        <xdr:cNvPr id="0" name="image40.jp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38100</xdr:colOff>
      <xdr:row>101</xdr:row>
      <xdr:rowOff>38100</xdr:rowOff>
    </xdr:from>
    <xdr:ext cx="476250" cy="514350"/>
    <xdr:pic>
      <xdr:nvPicPr>
        <xdr:cNvPr id="0" name="image25.jp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38100</xdr:colOff>
      <xdr:row>102</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103</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104</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105</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106</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107</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108</xdr:row>
      <xdr:rowOff>38100</xdr:rowOff>
    </xdr:from>
    <xdr:ext cx="647700" cy="400050"/>
    <xdr:pic>
      <xdr:nvPicPr>
        <xdr:cNvPr id="0" name="image55.jp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38100</xdr:colOff>
      <xdr:row>109</xdr:row>
      <xdr:rowOff>38100</xdr:rowOff>
    </xdr:from>
    <xdr:ext cx="609600" cy="514350"/>
    <xdr:pic>
      <xdr:nvPicPr>
        <xdr:cNvPr id="0" name="image48.jpg"/>
        <xdr:cNvPicPr preferRelativeResize="0"/>
      </xdr:nvPicPr>
      <xdr:blipFill>
        <a:blip cstate="print" r:embed="rId57"/>
        <a:stretch>
          <a:fillRect/>
        </a:stretch>
      </xdr:blipFill>
      <xdr:spPr>
        <a:prstGeom prst="rect">
          <a:avLst/>
        </a:prstGeom>
        <a:noFill/>
      </xdr:spPr>
    </xdr:pic>
    <xdr:clientData fLocksWithSheet="0"/>
  </xdr:oneCellAnchor>
  <xdr:oneCellAnchor>
    <xdr:from>
      <xdr:col>6</xdr:col>
      <xdr:colOff>38100</xdr:colOff>
      <xdr:row>110</xdr:row>
      <xdr:rowOff>38100</xdr:rowOff>
    </xdr:from>
    <xdr:ext cx="514350" cy="514350"/>
    <xdr:pic>
      <xdr:nvPicPr>
        <xdr:cNvPr id="0" name="image63.jpg"/>
        <xdr:cNvPicPr preferRelativeResize="0"/>
      </xdr:nvPicPr>
      <xdr:blipFill>
        <a:blip cstate="print" r:embed="rId58"/>
        <a:stretch>
          <a:fillRect/>
        </a:stretch>
      </xdr:blipFill>
      <xdr:spPr>
        <a:prstGeom prst="rect">
          <a:avLst/>
        </a:prstGeom>
        <a:noFill/>
      </xdr:spPr>
    </xdr:pic>
    <xdr:clientData fLocksWithSheet="0"/>
  </xdr:oneCellAnchor>
  <xdr:oneCellAnchor>
    <xdr:from>
      <xdr:col>6</xdr:col>
      <xdr:colOff>38100</xdr:colOff>
      <xdr:row>111</xdr:row>
      <xdr:rowOff>38100</xdr:rowOff>
    </xdr:from>
    <xdr:ext cx="647700" cy="333375"/>
    <xdr:pic>
      <xdr:nvPicPr>
        <xdr:cNvPr id="0" name="image52.jpg"/>
        <xdr:cNvPicPr preferRelativeResize="0"/>
      </xdr:nvPicPr>
      <xdr:blipFill>
        <a:blip cstate="print" r:embed="rId59"/>
        <a:stretch>
          <a:fillRect/>
        </a:stretch>
      </xdr:blipFill>
      <xdr:spPr>
        <a:prstGeom prst="rect">
          <a:avLst/>
        </a:prstGeom>
        <a:noFill/>
      </xdr:spPr>
    </xdr:pic>
    <xdr:clientData fLocksWithSheet="0"/>
  </xdr:oneCellAnchor>
  <xdr:oneCellAnchor>
    <xdr:from>
      <xdr:col>6</xdr:col>
      <xdr:colOff>38100</xdr:colOff>
      <xdr:row>112</xdr:row>
      <xdr:rowOff>38100</xdr:rowOff>
    </xdr:from>
    <xdr:ext cx="571500" cy="514350"/>
    <xdr:pic>
      <xdr:nvPicPr>
        <xdr:cNvPr id="0" name="image59.jpg"/>
        <xdr:cNvPicPr preferRelativeResize="0"/>
      </xdr:nvPicPr>
      <xdr:blipFill>
        <a:blip cstate="print" r:embed="rId60"/>
        <a:stretch>
          <a:fillRect/>
        </a:stretch>
      </xdr:blipFill>
      <xdr:spPr>
        <a:prstGeom prst="rect">
          <a:avLst/>
        </a:prstGeom>
        <a:noFill/>
      </xdr:spPr>
    </xdr:pic>
    <xdr:clientData fLocksWithSheet="0"/>
  </xdr:oneCellAnchor>
  <xdr:oneCellAnchor>
    <xdr:from>
      <xdr:col>6</xdr:col>
      <xdr:colOff>38100</xdr:colOff>
      <xdr:row>113</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114</xdr:row>
      <xdr:rowOff>38100</xdr:rowOff>
    </xdr:from>
    <xdr:ext cx="647700" cy="504825"/>
    <xdr:pic>
      <xdr:nvPicPr>
        <xdr:cNvPr id="0" name="image71.jp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38100</xdr:colOff>
      <xdr:row>115</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116</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117</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118</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119</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120</xdr:row>
      <xdr:rowOff>38100</xdr:rowOff>
    </xdr:from>
    <xdr:ext cx="647700" cy="504825"/>
    <xdr:pic>
      <xdr:nvPicPr>
        <xdr:cNvPr id="0" name="image71.jp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38100</xdr:colOff>
      <xdr:row>121</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122</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123</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124</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125</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126</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127</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128</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129</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130</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131</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132</xdr:row>
      <xdr:rowOff>38100</xdr:rowOff>
    </xdr:from>
    <xdr:ext cx="571500" cy="190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38100</xdr:colOff>
      <xdr:row>133</xdr:row>
      <xdr:rowOff>38100</xdr:rowOff>
    </xdr:from>
    <xdr:ext cx="504825" cy="514350"/>
    <xdr:pic>
      <xdr:nvPicPr>
        <xdr:cNvPr id="0" name="image50.jp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38100</xdr:colOff>
      <xdr:row>134</xdr:row>
      <xdr:rowOff>38100</xdr:rowOff>
    </xdr:from>
    <xdr:ext cx="504825" cy="514350"/>
    <xdr:pic>
      <xdr:nvPicPr>
        <xdr:cNvPr id="0" name="image50.jp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38100</xdr:colOff>
      <xdr:row>135</xdr:row>
      <xdr:rowOff>38100</xdr:rowOff>
    </xdr:from>
    <xdr:ext cx="523875" cy="514350"/>
    <xdr:pic>
      <xdr:nvPicPr>
        <xdr:cNvPr id="0" name="image47.jpg"/>
        <xdr:cNvPicPr preferRelativeResize="0"/>
      </xdr:nvPicPr>
      <xdr:blipFill>
        <a:blip cstate="print" r:embed="rId63"/>
        <a:stretch>
          <a:fillRect/>
        </a:stretch>
      </xdr:blipFill>
      <xdr:spPr>
        <a:prstGeom prst="rect">
          <a:avLst/>
        </a:prstGeom>
        <a:noFill/>
      </xdr:spPr>
    </xdr:pic>
    <xdr:clientData fLocksWithSheet="0"/>
  </xdr:oneCellAnchor>
  <xdr:oneCellAnchor>
    <xdr:from>
      <xdr:col>6</xdr:col>
      <xdr:colOff>38100</xdr:colOff>
      <xdr:row>136</xdr:row>
      <xdr:rowOff>38100</xdr:rowOff>
    </xdr:from>
    <xdr:ext cx="523875" cy="514350"/>
    <xdr:pic>
      <xdr:nvPicPr>
        <xdr:cNvPr id="0" name="image47.jpg"/>
        <xdr:cNvPicPr preferRelativeResize="0"/>
      </xdr:nvPicPr>
      <xdr:blipFill>
        <a:blip cstate="print" r:embed="rId63"/>
        <a:stretch>
          <a:fillRect/>
        </a:stretch>
      </xdr:blipFill>
      <xdr:spPr>
        <a:prstGeom prst="rect">
          <a:avLst/>
        </a:prstGeom>
        <a:noFill/>
      </xdr:spPr>
    </xdr:pic>
    <xdr:clientData fLocksWithSheet="0"/>
  </xdr:oneCellAnchor>
  <xdr:oneCellAnchor>
    <xdr:from>
      <xdr:col>6</xdr:col>
      <xdr:colOff>38100</xdr:colOff>
      <xdr:row>137</xdr:row>
      <xdr:rowOff>38100</xdr:rowOff>
    </xdr:from>
    <xdr:ext cx="419100" cy="514350"/>
    <xdr:pic>
      <xdr:nvPicPr>
        <xdr:cNvPr id="0" name="image62.jpg"/>
        <xdr:cNvPicPr preferRelativeResize="0"/>
      </xdr:nvPicPr>
      <xdr:blipFill>
        <a:blip cstate="print" r:embed="rId64"/>
        <a:stretch>
          <a:fillRect/>
        </a:stretch>
      </xdr:blipFill>
      <xdr:spPr>
        <a:prstGeom prst="rect">
          <a:avLst/>
        </a:prstGeom>
        <a:noFill/>
      </xdr:spPr>
    </xdr:pic>
    <xdr:clientData fLocksWithSheet="0"/>
  </xdr:oneCellAnchor>
  <xdr:oneCellAnchor>
    <xdr:from>
      <xdr:col>6</xdr:col>
      <xdr:colOff>38100</xdr:colOff>
      <xdr:row>138</xdr:row>
      <xdr:rowOff>38100</xdr:rowOff>
    </xdr:from>
    <xdr:ext cx="533400" cy="438150"/>
    <xdr:pic>
      <xdr:nvPicPr>
        <xdr:cNvPr id="0" name="image49.jpg"/>
        <xdr:cNvPicPr preferRelativeResize="0"/>
      </xdr:nvPicPr>
      <xdr:blipFill>
        <a:blip cstate="print" r:embed="rId65"/>
        <a:stretch>
          <a:fillRect/>
        </a:stretch>
      </xdr:blipFill>
      <xdr:spPr>
        <a:prstGeom prst="rect">
          <a:avLst/>
        </a:prstGeom>
        <a:noFill/>
      </xdr:spPr>
    </xdr:pic>
    <xdr:clientData fLocksWithSheet="0"/>
  </xdr:oneCellAnchor>
  <xdr:oneCellAnchor>
    <xdr:from>
      <xdr:col>6</xdr:col>
      <xdr:colOff>38100</xdr:colOff>
      <xdr:row>139</xdr:row>
      <xdr:rowOff>38100</xdr:rowOff>
    </xdr:from>
    <xdr:ext cx="533400" cy="438150"/>
    <xdr:pic>
      <xdr:nvPicPr>
        <xdr:cNvPr id="0" name="image49.jpg"/>
        <xdr:cNvPicPr preferRelativeResize="0"/>
      </xdr:nvPicPr>
      <xdr:blipFill>
        <a:blip cstate="print" r:embed="rId65"/>
        <a:stretch>
          <a:fillRect/>
        </a:stretch>
      </xdr:blipFill>
      <xdr:spPr>
        <a:prstGeom prst="rect">
          <a:avLst/>
        </a:prstGeom>
        <a:noFill/>
      </xdr:spPr>
    </xdr:pic>
    <xdr:clientData fLocksWithSheet="0"/>
  </xdr:oneCellAnchor>
  <xdr:oneCellAnchor>
    <xdr:from>
      <xdr:col>6</xdr:col>
      <xdr:colOff>38100</xdr:colOff>
      <xdr:row>140</xdr:row>
      <xdr:rowOff>38100</xdr:rowOff>
    </xdr:from>
    <xdr:ext cx="514350" cy="514350"/>
    <xdr:pic>
      <xdr:nvPicPr>
        <xdr:cNvPr id="0" name="image64.jp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38100</xdr:colOff>
      <xdr:row>141</xdr:row>
      <xdr:rowOff>38100</xdr:rowOff>
    </xdr:from>
    <xdr:ext cx="514350" cy="514350"/>
    <xdr:pic>
      <xdr:nvPicPr>
        <xdr:cNvPr id="0" name="image64.jp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38100</xdr:colOff>
      <xdr:row>142</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143</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144</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145</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146</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147</xdr:row>
      <xdr:rowOff>38100</xdr:rowOff>
    </xdr:from>
    <xdr:ext cx="552450" cy="485775"/>
    <xdr:pic>
      <xdr:nvPicPr>
        <xdr:cNvPr id="0" name="image54.jp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38100</xdr:colOff>
      <xdr:row>148</xdr:row>
      <xdr:rowOff>38100</xdr:rowOff>
    </xdr:from>
    <xdr:ext cx="552450" cy="485775"/>
    <xdr:pic>
      <xdr:nvPicPr>
        <xdr:cNvPr id="0" name="image54.jp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38100</xdr:colOff>
      <xdr:row>149</xdr:row>
      <xdr:rowOff>38100</xdr:rowOff>
    </xdr:from>
    <xdr:ext cx="542925" cy="514350"/>
    <xdr:pic>
      <xdr:nvPicPr>
        <xdr:cNvPr id="0" name="image85.jp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38100</xdr:colOff>
      <xdr:row>150</xdr:row>
      <xdr:rowOff>38100</xdr:rowOff>
    </xdr:from>
    <xdr:ext cx="542925" cy="514350"/>
    <xdr:pic>
      <xdr:nvPicPr>
        <xdr:cNvPr id="0" name="image85.jp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38100</xdr:colOff>
      <xdr:row>151</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152</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153</xdr:row>
      <xdr:rowOff>38100</xdr:rowOff>
    </xdr:from>
    <xdr:ext cx="466725" cy="419100"/>
    <xdr:pic>
      <xdr:nvPicPr>
        <xdr:cNvPr id="0" name="image56.jp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38100</xdr:colOff>
      <xdr:row>154</xdr:row>
      <xdr:rowOff>38100</xdr:rowOff>
    </xdr:from>
    <xdr:ext cx="466725" cy="419100"/>
    <xdr:pic>
      <xdr:nvPicPr>
        <xdr:cNvPr id="0" name="image56.jp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38100</xdr:colOff>
      <xdr:row>155</xdr:row>
      <xdr:rowOff>38100</xdr:rowOff>
    </xdr:from>
    <xdr:ext cx="552450" cy="485775"/>
    <xdr:pic>
      <xdr:nvPicPr>
        <xdr:cNvPr id="0" name="image54.jp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38100</xdr:colOff>
      <xdr:row>156</xdr:row>
      <xdr:rowOff>38100</xdr:rowOff>
    </xdr:from>
    <xdr:ext cx="466725" cy="419100"/>
    <xdr:pic>
      <xdr:nvPicPr>
        <xdr:cNvPr id="0" name="image56.jp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38100</xdr:colOff>
      <xdr:row>157</xdr:row>
      <xdr:rowOff>38100</xdr:rowOff>
    </xdr:from>
    <xdr:ext cx="466725" cy="419100"/>
    <xdr:pic>
      <xdr:nvPicPr>
        <xdr:cNvPr id="0" name="image56.jp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38100</xdr:colOff>
      <xdr:row>158</xdr:row>
      <xdr:rowOff>38100</xdr:rowOff>
    </xdr:from>
    <xdr:ext cx="552450" cy="485775"/>
    <xdr:pic>
      <xdr:nvPicPr>
        <xdr:cNvPr id="0" name="image54.jp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38100</xdr:colOff>
      <xdr:row>159</xdr:row>
      <xdr:rowOff>38100</xdr:rowOff>
    </xdr:from>
    <xdr:ext cx="647700" cy="314325"/>
    <xdr:pic>
      <xdr:nvPicPr>
        <xdr:cNvPr id="0" name="image60.jp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38100</xdr:colOff>
      <xdr:row>160</xdr:row>
      <xdr:rowOff>38100</xdr:rowOff>
    </xdr:from>
    <xdr:ext cx="647700" cy="314325"/>
    <xdr:pic>
      <xdr:nvPicPr>
        <xdr:cNvPr id="0" name="image60.jp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38100</xdr:colOff>
      <xdr:row>161</xdr:row>
      <xdr:rowOff>38100</xdr:rowOff>
    </xdr:from>
    <xdr:ext cx="647700" cy="314325"/>
    <xdr:pic>
      <xdr:nvPicPr>
        <xdr:cNvPr id="0" name="image60.jp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38100</xdr:colOff>
      <xdr:row>162</xdr:row>
      <xdr:rowOff>38100</xdr:rowOff>
    </xdr:from>
    <xdr:ext cx="647700" cy="400050"/>
    <xdr:pic>
      <xdr:nvPicPr>
        <xdr:cNvPr id="0" name="image58.jpg"/>
        <xdr:cNvPicPr preferRelativeResize="0"/>
      </xdr:nvPicPr>
      <xdr:blipFill>
        <a:blip cstate="print" r:embed="rId72"/>
        <a:stretch>
          <a:fillRect/>
        </a:stretch>
      </xdr:blipFill>
      <xdr:spPr>
        <a:prstGeom prst="rect">
          <a:avLst/>
        </a:prstGeom>
        <a:noFill/>
      </xdr:spPr>
    </xdr:pic>
    <xdr:clientData fLocksWithSheet="0"/>
  </xdr:oneCellAnchor>
  <xdr:oneCellAnchor>
    <xdr:from>
      <xdr:col>6</xdr:col>
      <xdr:colOff>38100</xdr:colOff>
      <xdr:row>163</xdr:row>
      <xdr:rowOff>38100</xdr:rowOff>
    </xdr:from>
    <xdr:ext cx="647700" cy="314325"/>
    <xdr:pic>
      <xdr:nvPicPr>
        <xdr:cNvPr id="0" name="image60.jp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38100</xdr:colOff>
      <xdr:row>164</xdr:row>
      <xdr:rowOff>38100</xdr:rowOff>
    </xdr:from>
    <xdr:ext cx="647700" cy="400050"/>
    <xdr:pic>
      <xdr:nvPicPr>
        <xdr:cNvPr id="0" name="image58.jpg"/>
        <xdr:cNvPicPr preferRelativeResize="0"/>
      </xdr:nvPicPr>
      <xdr:blipFill>
        <a:blip cstate="print" r:embed="rId72"/>
        <a:stretch>
          <a:fillRect/>
        </a:stretch>
      </xdr:blipFill>
      <xdr:spPr>
        <a:prstGeom prst="rect">
          <a:avLst/>
        </a:prstGeom>
        <a:noFill/>
      </xdr:spPr>
    </xdr:pic>
    <xdr:clientData fLocksWithSheet="0"/>
  </xdr:oneCellAnchor>
  <xdr:oneCellAnchor>
    <xdr:from>
      <xdr:col>6</xdr:col>
      <xdr:colOff>38100</xdr:colOff>
      <xdr:row>165</xdr:row>
      <xdr:rowOff>38100</xdr:rowOff>
    </xdr:from>
    <xdr:ext cx="457200" cy="314325"/>
    <xdr:pic>
      <xdr:nvPicPr>
        <xdr:cNvPr id="0" name="image110.jpg"/>
        <xdr:cNvPicPr preferRelativeResize="0"/>
      </xdr:nvPicPr>
      <xdr:blipFill>
        <a:blip cstate="print" r:embed="rId73"/>
        <a:stretch>
          <a:fillRect/>
        </a:stretch>
      </xdr:blipFill>
      <xdr:spPr>
        <a:prstGeom prst="rect">
          <a:avLst/>
        </a:prstGeom>
        <a:noFill/>
      </xdr:spPr>
    </xdr:pic>
    <xdr:clientData fLocksWithSheet="0"/>
  </xdr:oneCellAnchor>
  <xdr:oneCellAnchor>
    <xdr:from>
      <xdr:col>6</xdr:col>
      <xdr:colOff>38100</xdr:colOff>
      <xdr:row>166</xdr:row>
      <xdr:rowOff>38100</xdr:rowOff>
    </xdr:from>
    <xdr:ext cx="619125" cy="514350"/>
    <xdr:pic>
      <xdr:nvPicPr>
        <xdr:cNvPr id="0" name="image61.jpg"/>
        <xdr:cNvPicPr preferRelativeResize="0"/>
      </xdr:nvPicPr>
      <xdr:blipFill>
        <a:blip cstate="print" r:embed="rId74"/>
        <a:stretch>
          <a:fillRect/>
        </a:stretch>
      </xdr:blipFill>
      <xdr:spPr>
        <a:prstGeom prst="rect">
          <a:avLst/>
        </a:prstGeom>
        <a:noFill/>
      </xdr:spPr>
    </xdr:pic>
    <xdr:clientData fLocksWithSheet="0"/>
  </xdr:oneCellAnchor>
  <xdr:oneCellAnchor>
    <xdr:from>
      <xdr:col>6</xdr:col>
      <xdr:colOff>38100</xdr:colOff>
      <xdr:row>167</xdr:row>
      <xdr:rowOff>38100</xdr:rowOff>
    </xdr:from>
    <xdr:ext cx="619125" cy="514350"/>
    <xdr:pic>
      <xdr:nvPicPr>
        <xdr:cNvPr id="0" name="image61.jpg"/>
        <xdr:cNvPicPr preferRelativeResize="0"/>
      </xdr:nvPicPr>
      <xdr:blipFill>
        <a:blip cstate="print" r:embed="rId74"/>
        <a:stretch>
          <a:fillRect/>
        </a:stretch>
      </xdr:blipFill>
      <xdr:spPr>
        <a:prstGeom prst="rect">
          <a:avLst/>
        </a:prstGeom>
        <a:noFill/>
      </xdr:spPr>
    </xdr:pic>
    <xdr:clientData fLocksWithSheet="0"/>
  </xdr:oneCellAnchor>
  <xdr:oneCellAnchor>
    <xdr:from>
      <xdr:col>6</xdr:col>
      <xdr:colOff>38100</xdr:colOff>
      <xdr:row>168</xdr:row>
      <xdr:rowOff>38100</xdr:rowOff>
    </xdr:from>
    <xdr:ext cx="647700" cy="266700"/>
    <xdr:pic>
      <xdr:nvPicPr>
        <xdr:cNvPr id="0" name="image69.jpg"/>
        <xdr:cNvPicPr preferRelativeResize="0"/>
      </xdr:nvPicPr>
      <xdr:blipFill>
        <a:blip cstate="print" r:embed="rId75"/>
        <a:stretch>
          <a:fillRect/>
        </a:stretch>
      </xdr:blipFill>
      <xdr:spPr>
        <a:prstGeom prst="rect">
          <a:avLst/>
        </a:prstGeom>
        <a:noFill/>
      </xdr:spPr>
    </xdr:pic>
    <xdr:clientData fLocksWithSheet="0"/>
  </xdr:oneCellAnchor>
  <xdr:oneCellAnchor>
    <xdr:from>
      <xdr:col>6</xdr:col>
      <xdr:colOff>38100</xdr:colOff>
      <xdr:row>169</xdr:row>
      <xdr:rowOff>38100</xdr:rowOff>
    </xdr:from>
    <xdr:ext cx="647700" cy="295275"/>
    <xdr:pic>
      <xdr:nvPicPr>
        <xdr:cNvPr id="0" name="image88.jp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38100</xdr:colOff>
      <xdr:row>170</xdr:row>
      <xdr:rowOff>38100</xdr:rowOff>
    </xdr:from>
    <xdr:ext cx="647700" cy="295275"/>
    <xdr:pic>
      <xdr:nvPicPr>
        <xdr:cNvPr id="0" name="image88.jp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38100</xdr:colOff>
      <xdr:row>171</xdr:row>
      <xdr:rowOff>38100</xdr:rowOff>
    </xdr:from>
    <xdr:ext cx="552450" cy="485775"/>
    <xdr:pic>
      <xdr:nvPicPr>
        <xdr:cNvPr id="0" name="image54.jp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38100</xdr:colOff>
      <xdr:row>172</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173</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174</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175</xdr:row>
      <xdr:rowOff>38100</xdr:rowOff>
    </xdr:from>
    <xdr:ext cx="552450" cy="485775"/>
    <xdr:pic>
      <xdr:nvPicPr>
        <xdr:cNvPr id="0" name="image54.jp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38100</xdr:colOff>
      <xdr:row>176</xdr:row>
      <xdr:rowOff>38100</xdr:rowOff>
    </xdr:from>
    <xdr:ext cx="552450" cy="485775"/>
    <xdr:pic>
      <xdr:nvPicPr>
        <xdr:cNvPr id="0" name="image54.jp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38100</xdr:colOff>
      <xdr:row>177</xdr:row>
      <xdr:rowOff>38100</xdr:rowOff>
    </xdr:from>
    <xdr:ext cx="533400" cy="514350"/>
    <xdr:pic>
      <xdr:nvPicPr>
        <xdr:cNvPr id="0" name="image190.jp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38100</xdr:colOff>
      <xdr:row>178</xdr:row>
      <xdr:rowOff>38100</xdr:rowOff>
    </xdr:from>
    <xdr:ext cx="466725" cy="419100"/>
    <xdr:pic>
      <xdr:nvPicPr>
        <xdr:cNvPr id="0" name="image56.jp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38100</xdr:colOff>
      <xdr:row>179</xdr:row>
      <xdr:rowOff>38100</xdr:rowOff>
    </xdr:from>
    <xdr:ext cx="466725" cy="419100"/>
    <xdr:pic>
      <xdr:nvPicPr>
        <xdr:cNvPr id="0" name="image56.jp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38100</xdr:colOff>
      <xdr:row>182</xdr:row>
      <xdr:rowOff>38100</xdr:rowOff>
    </xdr:from>
    <xdr:ext cx="647700" cy="314325"/>
    <xdr:pic>
      <xdr:nvPicPr>
        <xdr:cNvPr id="0" name="image60.jp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38100</xdr:colOff>
      <xdr:row>183</xdr:row>
      <xdr:rowOff>38100</xdr:rowOff>
    </xdr:from>
    <xdr:ext cx="647700" cy="314325"/>
    <xdr:pic>
      <xdr:nvPicPr>
        <xdr:cNvPr id="0" name="image60.jp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38100</xdr:colOff>
      <xdr:row>184</xdr:row>
      <xdr:rowOff>38100</xdr:rowOff>
    </xdr:from>
    <xdr:ext cx="647700" cy="314325"/>
    <xdr:pic>
      <xdr:nvPicPr>
        <xdr:cNvPr id="0" name="image60.jp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38100</xdr:colOff>
      <xdr:row>185</xdr:row>
      <xdr:rowOff>38100</xdr:rowOff>
    </xdr:from>
    <xdr:ext cx="647700" cy="419100"/>
    <xdr:pic>
      <xdr:nvPicPr>
        <xdr:cNvPr id="0" name="image67.jpg"/>
        <xdr:cNvPicPr preferRelativeResize="0"/>
      </xdr:nvPicPr>
      <xdr:blipFill>
        <a:blip cstate="print" r:embed="rId77"/>
        <a:stretch>
          <a:fillRect/>
        </a:stretch>
      </xdr:blipFill>
      <xdr:spPr>
        <a:prstGeom prst="rect">
          <a:avLst/>
        </a:prstGeom>
        <a:noFill/>
      </xdr:spPr>
    </xdr:pic>
    <xdr:clientData fLocksWithSheet="0"/>
  </xdr:oneCellAnchor>
  <xdr:oneCellAnchor>
    <xdr:from>
      <xdr:col>6</xdr:col>
      <xdr:colOff>38100</xdr:colOff>
      <xdr:row>186</xdr:row>
      <xdr:rowOff>38100</xdr:rowOff>
    </xdr:from>
    <xdr:ext cx="647700" cy="314325"/>
    <xdr:pic>
      <xdr:nvPicPr>
        <xdr:cNvPr id="0" name="image60.jp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38100</xdr:colOff>
      <xdr:row>187</xdr:row>
      <xdr:rowOff>38100</xdr:rowOff>
    </xdr:from>
    <xdr:ext cx="647700" cy="352425"/>
    <xdr:pic>
      <xdr:nvPicPr>
        <xdr:cNvPr id="0" name="image117.jpg"/>
        <xdr:cNvPicPr preferRelativeResize="0"/>
      </xdr:nvPicPr>
      <xdr:blipFill>
        <a:blip cstate="print" r:embed="rId78"/>
        <a:stretch>
          <a:fillRect/>
        </a:stretch>
      </xdr:blipFill>
      <xdr:spPr>
        <a:prstGeom prst="rect">
          <a:avLst/>
        </a:prstGeom>
        <a:noFill/>
      </xdr:spPr>
    </xdr:pic>
    <xdr:clientData fLocksWithSheet="0"/>
  </xdr:oneCellAnchor>
  <xdr:oneCellAnchor>
    <xdr:from>
      <xdr:col>6</xdr:col>
      <xdr:colOff>38100</xdr:colOff>
      <xdr:row>188</xdr:row>
      <xdr:rowOff>38100</xdr:rowOff>
    </xdr:from>
    <xdr:ext cx="514350" cy="371475"/>
    <xdr:pic>
      <xdr:nvPicPr>
        <xdr:cNvPr id="0" name="image70.jpg"/>
        <xdr:cNvPicPr preferRelativeResize="0"/>
      </xdr:nvPicPr>
      <xdr:blipFill>
        <a:blip cstate="print" r:embed="rId79"/>
        <a:stretch>
          <a:fillRect/>
        </a:stretch>
      </xdr:blipFill>
      <xdr:spPr>
        <a:prstGeom prst="rect">
          <a:avLst/>
        </a:prstGeom>
        <a:noFill/>
      </xdr:spPr>
    </xdr:pic>
    <xdr:clientData fLocksWithSheet="0"/>
  </xdr:oneCellAnchor>
  <xdr:oneCellAnchor>
    <xdr:from>
      <xdr:col>6</xdr:col>
      <xdr:colOff>38100</xdr:colOff>
      <xdr:row>189</xdr:row>
      <xdr:rowOff>38100</xdr:rowOff>
    </xdr:from>
    <xdr:ext cx="619125" cy="514350"/>
    <xdr:pic>
      <xdr:nvPicPr>
        <xdr:cNvPr id="0" name="image61.jpg"/>
        <xdr:cNvPicPr preferRelativeResize="0"/>
      </xdr:nvPicPr>
      <xdr:blipFill>
        <a:blip cstate="print" r:embed="rId74"/>
        <a:stretch>
          <a:fillRect/>
        </a:stretch>
      </xdr:blipFill>
      <xdr:spPr>
        <a:prstGeom prst="rect">
          <a:avLst/>
        </a:prstGeom>
        <a:noFill/>
      </xdr:spPr>
    </xdr:pic>
    <xdr:clientData fLocksWithSheet="0"/>
  </xdr:oneCellAnchor>
  <xdr:oneCellAnchor>
    <xdr:from>
      <xdr:col>6</xdr:col>
      <xdr:colOff>38100</xdr:colOff>
      <xdr:row>190</xdr:row>
      <xdr:rowOff>38100</xdr:rowOff>
    </xdr:from>
    <xdr:ext cx="647700" cy="390525"/>
    <xdr:pic>
      <xdr:nvPicPr>
        <xdr:cNvPr id="0" name="image77.jp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38100</xdr:colOff>
      <xdr:row>191</xdr:row>
      <xdr:rowOff>38100</xdr:rowOff>
    </xdr:from>
    <xdr:ext cx="647700" cy="390525"/>
    <xdr:pic>
      <xdr:nvPicPr>
        <xdr:cNvPr id="0" name="image77.jp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38100</xdr:colOff>
      <xdr:row>192</xdr:row>
      <xdr:rowOff>38100</xdr:rowOff>
    </xdr:from>
    <xdr:ext cx="647700" cy="390525"/>
    <xdr:pic>
      <xdr:nvPicPr>
        <xdr:cNvPr id="0" name="image77.jp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38100</xdr:colOff>
      <xdr:row>193</xdr:row>
      <xdr:rowOff>38100</xdr:rowOff>
    </xdr:from>
    <xdr:ext cx="647700" cy="247650"/>
    <xdr:pic>
      <xdr:nvPicPr>
        <xdr:cNvPr id="0" name="image96.jpg"/>
        <xdr:cNvPicPr preferRelativeResize="0"/>
      </xdr:nvPicPr>
      <xdr:blipFill>
        <a:blip cstate="print" r:embed="rId81"/>
        <a:stretch>
          <a:fillRect/>
        </a:stretch>
      </xdr:blipFill>
      <xdr:spPr>
        <a:prstGeom prst="rect">
          <a:avLst/>
        </a:prstGeom>
        <a:noFill/>
      </xdr:spPr>
    </xdr:pic>
    <xdr:clientData fLocksWithSheet="0"/>
  </xdr:oneCellAnchor>
  <xdr:oneCellAnchor>
    <xdr:from>
      <xdr:col>6</xdr:col>
      <xdr:colOff>38100</xdr:colOff>
      <xdr:row>196</xdr:row>
      <xdr:rowOff>38100</xdr:rowOff>
    </xdr:from>
    <xdr:ext cx="647700" cy="276225"/>
    <xdr:pic>
      <xdr:nvPicPr>
        <xdr:cNvPr id="0" name="image72.jpg"/>
        <xdr:cNvPicPr preferRelativeResize="0"/>
      </xdr:nvPicPr>
      <xdr:blipFill>
        <a:blip cstate="print" r:embed="rId82"/>
        <a:stretch>
          <a:fillRect/>
        </a:stretch>
      </xdr:blipFill>
      <xdr:spPr>
        <a:prstGeom prst="rect">
          <a:avLst/>
        </a:prstGeom>
        <a:noFill/>
      </xdr:spPr>
    </xdr:pic>
    <xdr:clientData fLocksWithSheet="0"/>
  </xdr:oneCellAnchor>
  <xdr:oneCellAnchor>
    <xdr:from>
      <xdr:col>6</xdr:col>
      <xdr:colOff>38100</xdr:colOff>
      <xdr:row>197</xdr:row>
      <xdr:rowOff>38100</xdr:rowOff>
    </xdr:from>
    <xdr:ext cx="552450" cy="514350"/>
    <xdr:pic>
      <xdr:nvPicPr>
        <xdr:cNvPr id="0" name="image65.jpg"/>
        <xdr:cNvPicPr preferRelativeResize="0"/>
      </xdr:nvPicPr>
      <xdr:blipFill>
        <a:blip cstate="print" r:embed="rId83"/>
        <a:stretch>
          <a:fillRect/>
        </a:stretch>
      </xdr:blipFill>
      <xdr:spPr>
        <a:prstGeom prst="rect">
          <a:avLst/>
        </a:prstGeom>
        <a:noFill/>
      </xdr:spPr>
    </xdr:pic>
    <xdr:clientData fLocksWithSheet="0"/>
  </xdr:oneCellAnchor>
  <xdr:oneCellAnchor>
    <xdr:from>
      <xdr:col>6</xdr:col>
      <xdr:colOff>38100</xdr:colOff>
      <xdr:row>198</xdr:row>
      <xdr:rowOff>38100</xdr:rowOff>
    </xdr:from>
    <xdr:ext cx="409575" cy="514350"/>
    <xdr:pic>
      <xdr:nvPicPr>
        <xdr:cNvPr id="0" name="image156.jpg"/>
        <xdr:cNvPicPr preferRelativeResize="0"/>
      </xdr:nvPicPr>
      <xdr:blipFill>
        <a:blip cstate="print" r:embed="rId84"/>
        <a:stretch>
          <a:fillRect/>
        </a:stretch>
      </xdr:blipFill>
      <xdr:spPr>
        <a:prstGeom prst="rect">
          <a:avLst/>
        </a:prstGeom>
        <a:noFill/>
      </xdr:spPr>
    </xdr:pic>
    <xdr:clientData fLocksWithSheet="0"/>
  </xdr:oneCellAnchor>
  <xdr:oneCellAnchor>
    <xdr:from>
      <xdr:col>6</xdr:col>
      <xdr:colOff>38100</xdr:colOff>
      <xdr:row>199</xdr:row>
      <xdr:rowOff>38100</xdr:rowOff>
    </xdr:from>
    <xdr:ext cx="333375" cy="514350"/>
    <xdr:pic>
      <xdr:nvPicPr>
        <xdr:cNvPr id="0" name="image66.jp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38100</xdr:colOff>
      <xdr:row>200</xdr:row>
      <xdr:rowOff>38100</xdr:rowOff>
    </xdr:from>
    <xdr:ext cx="333375" cy="514350"/>
    <xdr:pic>
      <xdr:nvPicPr>
        <xdr:cNvPr id="0" name="image66.jp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38100</xdr:colOff>
      <xdr:row>201</xdr:row>
      <xdr:rowOff>38100</xdr:rowOff>
    </xdr:from>
    <xdr:ext cx="333375" cy="514350"/>
    <xdr:pic>
      <xdr:nvPicPr>
        <xdr:cNvPr id="0" name="image66.jp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38100</xdr:colOff>
      <xdr:row>202</xdr:row>
      <xdr:rowOff>38100</xdr:rowOff>
    </xdr:from>
    <xdr:ext cx="333375" cy="514350"/>
    <xdr:pic>
      <xdr:nvPicPr>
        <xdr:cNvPr id="0" name="image66.jp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38100</xdr:colOff>
      <xdr:row>203</xdr:row>
      <xdr:rowOff>38100</xdr:rowOff>
    </xdr:from>
    <xdr:ext cx="333375" cy="514350"/>
    <xdr:pic>
      <xdr:nvPicPr>
        <xdr:cNvPr id="0" name="image66.jp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38100</xdr:colOff>
      <xdr:row>204</xdr:row>
      <xdr:rowOff>38100</xdr:rowOff>
    </xdr:from>
    <xdr:ext cx="333375" cy="514350"/>
    <xdr:pic>
      <xdr:nvPicPr>
        <xdr:cNvPr id="0" name="image66.jp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38100</xdr:colOff>
      <xdr:row>205</xdr:row>
      <xdr:rowOff>38100</xdr:rowOff>
    </xdr:from>
    <xdr:ext cx="304800" cy="514350"/>
    <xdr:pic>
      <xdr:nvPicPr>
        <xdr:cNvPr id="0" name="image75.jpg"/>
        <xdr:cNvPicPr preferRelativeResize="0"/>
      </xdr:nvPicPr>
      <xdr:blipFill>
        <a:blip cstate="print" r:embed="rId86"/>
        <a:stretch>
          <a:fillRect/>
        </a:stretch>
      </xdr:blipFill>
      <xdr:spPr>
        <a:prstGeom prst="rect">
          <a:avLst/>
        </a:prstGeom>
        <a:noFill/>
      </xdr:spPr>
    </xdr:pic>
    <xdr:clientData fLocksWithSheet="0"/>
  </xdr:oneCellAnchor>
  <xdr:oneCellAnchor>
    <xdr:from>
      <xdr:col>6</xdr:col>
      <xdr:colOff>38100</xdr:colOff>
      <xdr:row>206</xdr:row>
      <xdr:rowOff>38100</xdr:rowOff>
    </xdr:from>
    <xdr:ext cx="400050" cy="514350"/>
    <xdr:pic>
      <xdr:nvPicPr>
        <xdr:cNvPr id="0" name="image104.jpg"/>
        <xdr:cNvPicPr preferRelativeResize="0"/>
      </xdr:nvPicPr>
      <xdr:blipFill>
        <a:blip cstate="print" r:embed="rId87"/>
        <a:stretch>
          <a:fillRect/>
        </a:stretch>
      </xdr:blipFill>
      <xdr:spPr>
        <a:prstGeom prst="rect">
          <a:avLst/>
        </a:prstGeom>
        <a:noFill/>
      </xdr:spPr>
    </xdr:pic>
    <xdr:clientData fLocksWithSheet="0"/>
  </xdr:oneCellAnchor>
  <xdr:oneCellAnchor>
    <xdr:from>
      <xdr:col>6</xdr:col>
      <xdr:colOff>38100</xdr:colOff>
      <xdr:row>207</xdr:row>
      <xdr:rowOff>38100</xdr:rowOff>
    </xdr:from>
    <xdr:ext cx="333375" cy="514350"/>
    <xdr:pic>
      <xdr:nvPicPr>
        <xdr:cNvPr id="0" name="image86.jpg"/>
        <xdr:cNvPicPr preferRelativeResize="0"/>
      </xdr:nvPicPr>
      <xdr:blipFill>
        <a:blip cstate="print" r:embed="rId88"/>
        <a:stretch>
          <a:fillRect/>
        </a:stretch>
      </xdr:blipFill>
      <xdr:spPr>
        <a:prstGeom prst="rect">
          <a:avLst/>
        </a:prstGeom>
        <a:noFill/>
      </xdr:spPr>
    </xdr:pic>
    <xdr:clientData fLocksWithSheet="0"/>
  </xdr:oneCellAnchor>
  <xdr:oneCellAnchor>
    <xdr:from>
      <xdr:col>6</xdr:col>
      <xdr:colOff>38100</xdr:colOff>
      <xdr:row>208</xdr:row>
      <xdr:rowOff>38100</xdr:rowOff>
    </xdr:from>
    <xdr:ext cx="409575" cy="514350"/>
    <xdr:pic>
      <xdr:nvPicPr>
        <xdr:cNvPr id="0" name="image78.jpg"/>
        <xdr:cNvPicPr preferRelativeResize="0"/>
      </xdr:nvPicPr>
      <xdr:blipFill>
        <a:blip cstate="print" r:embed="rId89"/>
        <a:stretch>
          <a:fillRect/>
        </a:stretch>
      </xdr:blipFill>
      <xdr:spPr>
        <a:prstGeom prst="rect">
          <a:avLst/>
        </a:prstGeom>
        <a:noFill/>
      </xdr:spPr>
    </xdr:pic>
    <xdr:clientData fLocksWithSheet="0"/>
  </xdr:oneCellAnchor>
  <xdr:oneCellAnchor>
    <xdr:from>
      <xdr:col>6</xdr:col>
      <xdr:colOff>38100</xdr:colOff>
      <xdr:row>209</xdr:row>
      <xdr:rowOff>38100</xdr:rowOff>
    </xdr:from>
    <xdr:ext cx="514350" cy="514350"/>
    <xdr:pic>
      <xdr:nvPicPr>
        <xdr:cNvPr id="0" name="image79.jpg"/>
        <xdr:cNvPicPr preferRelativeResize="0"/>
      </xdr:nvPicPr>
      <xdr:blipFill>
        <a:blip cstate="print" r:embed="rId90"/>
        <a:stretch>
          <a:fillRect/>
        </a:stretch>
      </xdr:blipFill>
      <xdr:spPr>
        <a:prstGeom prst="rect">
          <a:avLst/>
        </a:prstGeom>
        <a:noFill/>
      </xdr:spPr>
    </xdr:pic>
    <xdr:clientData fLocksWithSheet="0"/>
  </xdr:oneCellAnchor>
  <xdr:oneCellAnchor>
    <xdr:from>
      <xdr:col>6</xdr:col>
      <xdr:colOff>38100</xdr:colOff>
      <xdr:row>210</xdr:row>
      <xdr:rowOff>38100</xdr:rowOff>
    </xdr:from>
    <xdr:ext cx="514350" cy="514350"/>
    <xdr:pic>
      <xdr:nvPicPr>
        <xdr:cNvPr id="0" name="image130.jpg"/>
        <xdr:cNvPicPr preferRelativeResize="0"/>
      </xdr:nvPicPr>
      <xdr:blipFill>
        <a:blip cstate="print" r:embed="rId91"/>
        <a:stretch>
          <a:fillRect/>
        </a:stretch>
      </xdr:blipFill>
      <xdr:spPr>
        <a:prstGeom prst="rect">
          <a:avLst/>
        </a:prstGeom>
        <a:noFill/>
      </xdr:spPr>
    </xdr:pic>
    <xdr:clientData fLocksWithSheet="0"/>
  </xdr:oneCellAnchor>
  <xdr:oneCellAnchor>
    <xdr:from>
      <xdr:col>6</xdr:col>
      <xdr:colOff>38100</xdr:colOff>
      <xdr:row>211</xdr:row>
      <xdr:rowOff>38100</xdr:rowOff>
    </xdr:from>
    <xdr:ext cx="514350" cy="514350"/>
    <xdr:pic>
      <xdr:nvPicPr>
        <xdr:cNvPr id="0" name="image130.jpg"/>
        <xdr:cNvPicPr preferRelativeResize="0"/>
      </xdr:nvPicPr>
      <xdr:blipFill>
        <a:blip cstate="print" r:embed="rId91"/>
        <a:stretch>
          <a:fillRect/>
        </a:stretch>
      </xdr:blipFill>
      <xdr:spPr>
        <a:prstGeom prst="rect">
          <a:avLst/>
        </a:prstGeom>
        <a:noFill/>
      </xdr:spPr>
    </xdr:pic>
    <xdr:clientData fLocksWithSheet="0"/>
  </xdr:oneCellAnchor>
  <xdr:oneCellAnchor>
    <xdr:from>
      <xdr:col>6</xdr:col>
      <xdr:colOff>38100</xdr:colOff>
      <xdr:row>212</xdr:row>
      <xdr:rowOff>38100</xdr:rowOff>
    </xdr:from>
    <xdr:ext cx="476250" cy="514350"/>
    <xdr:pic>
      <xdr:nvPicPr>
        <xdr:cNvPr id="0" name="image80.jpg"/>
        <xdr:cNvPicPr preferRelativeResize="0"/>
      </xdr:nvPicPr>
      <xdr:blipFill>
        <a:blip cstate="print" r:embed="rId92"/>
        <a:stretch>
          <a:fillRect/>
        </a:stretch>
      </xdr:blipFill>
      <xdr:spPr>
        <a:prstGeom prst="rect">
          <a:avLst/>
        </a:prstGeom>
        <a:noFill/>
      </xdr:spPr>
    </xdr:pic>
    <xdr:clientData fLocksWithSheet="0"/>
  </xdr:oneCellAnchor>
  <xdr:oneCellAnchor>
    <xdr:from>
      <xdr:col>6</xdr:col>
      <xdr:colOff>38100</xdr:colOff>
      <xdr:row>213</xdr:row>
      <xdr:rowOff>38100</xdr:rowOff>
    </xdr:from>
    <xdr:ext cx="647700" cy="390525"/>
    <xdr:pic>
      <xdr:nvPicPr>
        <xdr:cNvPr id="0" name="image77.jp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38100</xdr:colOff>
      <xdr:row>214</xdr:row>
      <xdr:rowOff>38100</xdr:rowOff>
    </xdr:from>
    <xdr:ext cx="647700" cy="390525"/>
    <xdr:pic>
      <xdr:nvPicPr>
        <xdr:cNvPr id="0" name="image77.jp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38100</xdr:colOff>
      <xdr:row>215</xdr:row>
      <xdr:rowOff>38100</xdr:rowOff>
    </xdr:from>
    <xdr:ext cx="409575" cy="514350"/>
    <xdr:pic>
      <xdr:nvPicPr>
        <xdr:cNvPr id="0" name="image98.jpg"/>
        <xdr:cNvPicPr preferRelativeResize="0"/>
      </xdr:nvPicPr>
      <xdr:blipFill>
        <a:blip cstate="print" r:embed="rId93"/>
        <a:stretch>
          <a:fillRect/>
        </a:stretch>
      </xdr:blipFill>
      <xdr:spPr>
        <a:prstGeom prst="rect">
          <a:avLst/>
        </a:prstGeom>
        <a:noFill/>
      </xdr:spPr>
    </xdr:pic>
    <xdr:clientData fLocksWithSheet="0"/>
  </xdr:oneCellAnchor>
  <xdr:oneCellAnchor>
    <xdr:from>
      <xdr:col>6</xdr:col>
      <xdr:colOff>38100</xdr:colOff>
      <xdr:row>216</xdr:row>
      <xdr:rowOff>38100</xdr:rowOff>
    </xdr:from>
    <xdr:ext cx="400050" cy="504825"/>
    <xdr:pic>
      <xdr:nvPicPr>
        <xdr:cNvPr id="0" name="image74.jpg"/>
        <xdr:cNvPicPr preferRelativeResize="0"/>
      </xdr:nvPicPr>
      <xdr:blipFill>
        <a:blip cstate="print" r:embed="rId94"/>
        <a:stretch>
          <a:fillRect/>
        </a:stretch>
      </xdr:blipFill>
      <xdr:spPr>
        <a:prstGeom prst="rect">
          <a:avLst/>
        </a:prstGeom>
        <a:noFill/>
      </xdr:spPr>
    </xdr:pic>
    <xdr:clientData fLocksWithSheet="0"/>
  </xdr:oneCellAnchor>
  <xdr:oneCellAnchor>
    <xdr:from>
      <xdr:col>6</xdr:col>
      <xdr:colOff>38100</xdr:colOff>
      <xdr:row>217</xdr:row>
      <xdr:rowOff>38100</xdr:rowOff>
    </xdr:from>
    <xdr:ext cx="409575" cy="514350"/>
    <xdr:pic>
      <xdr:nvPicPr>
        <xdr:cNvPr id="0" name="image98.jpg"/>
        <xdr:cNvPicPr preferRelativeResize="0"/>
      </xdr:nvPicPr>
      <xdr:blipFill>
        <a:blip cstate="print" r:embed="rId93"/>
        <a:stretch>
          <a:fillRect/>
        </a:stretch>
      </xdr:blipFill>
      <xdr:spPr>
        <a:prstGeom prst="rect">
          <a:avLst/>
        </a:prstGeom>
        <a:noFill/>
      </xdr:spPr>
    </xdr:pic>
    <xdr:clientData fLocksWithSheet="0"/>
  </xdr:oneCellAnchor>
  <xdr:oneCellAnchor>
    <xdr:from>
      <xdr:col>6</xdr:col>
      <xdr:colOff>38100</xdr:colOff>
      <xdr:row>218</xdr:row>
      <xdr:rowOff>38100</xdr:rowOff>
    </xdr:from>
    <xdr:ext cx="647700" cy="295275"/>
    <xdr:pic>
      <xdr:nvPicPr>
        <xdr:cNvPr id="0" name="image90.jp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38100</xdr:colOff>
      <xdr:row>219</xdr:row>
      <xdr:rowOff>38100</xdr:rowOff>
    </xdr:from>
    <xdr:ext cx="647700" cy="295275"/>
    <xdr:pic>
      <xdr:nvPicPr>
        <xdr:cNvPr id="0" name="image90.jp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38100</xdr:colOff>
      <xdr:row>220</xdr:row>
      <xdr:rowOff>38100</xdr:rowOff>
    </xdr:from>
    <xdr:ext cx="647700" cy="447675"/>
    <xdr:pic>
      <xdr:nvPicPr>
        <xdr:cNvPr id="0" name="image105.jpg"/>
        <xdr:cNvPicPr preferRelativeResize="0"/>
      </xdr:nvPicPr>
      <xdr:blipFill>
        <a:blip cstate="print" r:embed="rId96"/>
        <a:stretch>
          <a:fillRect/>
        </a:stretch>
      </xdr:blipFill>
      <xdr:spPr>
        <a:prstGeom prst="rect">
          <a:avLst/>
        </a:prstGeom>
        <a:noFill/>
      </xdr:spPr>
    </xdr:pic>
    <xdr:clientData fLocksWithSheet="0"/>
  </xdr:oneCellAnchor>
  <xdr:oneCellAnchor>
    <xdr:from>
      <xdr:col>6</xdr:col>
      <xdr:colOff>38100</xdr:colOff>
      <xdr:row>221</xdr:row>
      <xdr:rowOff>38100</xdr:rowOff>
    </xdr:from>
    <xdr:ext cx="647700" cy="409575"/>
    <xdr:pic>
      <xdr:nvPicPr>
        <xdr:cNvPr id="0" name="image95.jp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38100</xdr:colOff>
      <xdr:row>222</xdr:row>
      <xdr:rowOff>38100</xdr:rowOff>
    </xdr:from>
    <xdr:ext cx="457200" cy="390525"/>
    <xdr:pic>
      <xdr:nvPicPr>
        <xdr:cNvPr id="0" name="image81.jpg"/>
        <xdr:cNvPicPr preferRelativeResize="0"/>
      </xdr:nvPicPr>
      <xdr:blipFill>
        <a:blip cstate="print" r:embed="rId98"/>
        <a:stretch>
          <a:fillRect/>
        </a:stretch>
      </xdr:blipFill>
      <xdr:spPr>
        <a:prstGeom prst="rect">
          <a:avLst/>
        </a:prstGeom>
        <a:noFill/>
      </xdr:spPr>
    </xdr:pic>
    <xdr:clientData fLocksWithSheet="0"/>
  </xdr:oneCellAnchor>
  <xdr:oneCellAnchor>
    <xdr:from>
      <xdr:col>6</xdr:col>
      <xdr:colOff>38100</xdr:colOff>
      <xdr:row>223</xdr:row>
      <xdr:rowOff>38100</xdr:rowOff>
    </xdr:from>
    <xdr:ext cx="514350" cy="514350"/>
    <xdr:pic>
      <xdr:nvPicPr>
        <xdr:cNvPr id="0" name="image83.jpg"/>
        <xdr:cNvPicPr preferRelativeResize="0"/>
      </xdr:nvPicPr>
      <xdr:blipFill>
        <a:blip cstate="print" r:embed="rId99"/>
        <a:stretch>
          <a:fillRect/>
        </a:stretch>
      </xdr:blipFill>
      <xdr:spPr>
        <a:prstGeom prst="rect">
          <a:avLst/>
        </a:prstGeom>
        <a:noFill/>
      </xdr:spPr>
    </xdr:pic>
    <xdr:clientData fLocksWithSheet="0"/>
  </xdr:oneCellAnchor>
  <xdr:oneCellAnchor>
    <xdr:from>
      <xdr:col>6</xdr:col>
      <xdr:colOff>38100</xdr:colOff>
      <xdr:row>224</xdr:row>
      <xdr:rowOff>38100</xdr:rowOff>
    </xdr:from>
    <xdr:ext cx="647700" cy="428625"/>
    <xdr:pic>
      <xdr:nvPicPr>
        <xdr:cNvPr id="0" name="image82.jpg"/>
        <xdr:cNvPicPr preferRelativeResize="0"/>
      </xdr:nvPicPr>
      <xdr:blipFill>
        <a:blip cstate="print" r:embed="rId100"/>
        <a:stretch>
          <a:fillRect/>
        </a:stretch>
      </xdr:blipFill>
      <xdr:spPr>
        <a:prstGeom prst="rect">
          <a:avLst/>
        </a:prstGeom>
        <a:noFill/>
      </xdr:spPr>
    </xdr:pic>
    <xdr:clientData fLocksWithSheet="0"/>
  </xdr:oneCellAnchor>
  <xdr:oneCellAnchor>
    <xdr:from>
      <xdr:col>6</xdr:col>
      <xdr:colOff>38100</xdr:colOff>
      <xdr:row>225</xdr:row>
      <xdr:rowOff>38100</xdr:rowOff>
    </xdr:from>
    <xdr:ext cx="257175" cy="514350"/>
    <xdr:pic>
      <xdr:nvPicPr>
        <xdr:cNvPr id="0" name="image112.jp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38100</xdr:colOff>
      <xdr:row>226</xdr:row>
      <xdr:rowOff>38100</xdr:rowOff>
    </xdr:from>
    <xdr:ext cx="533400" cy="514350"/>
    <xdr:pic>
      <xdr:nvPicPr>
        <xdr:cNvPr id="0" name="image102.jpg"/>
        <xdr:cNvPicPr preferRelativeResize="0"/>
      </xdr:nvPicPr>
      <xdr:blipFill>
        <a:blip cstate="print" r:embed="rId102"/>
        <a:stretch>
          <a:fillRect/>
        </a:stretch>
      </xdr:blipFill>
      <xdr:spPr>
        <a:prstGeom prst="rect">
          <a:avLst/>
        </a:prstGeom>
        <a:noFill/>
      </xdr:spPr>
    </xdr:pic>
    <xdr:clientData fLocksWithSheet="0"/>
  </xdr:oneCellAnchor>
  <xdr:oneCellAnchor>
    <xdr:from>
      <xdr:col>6</xdr:col>
      <xdr:colOff>38100</xdr:colOff>
      <xdr:row>227</xdr:row>
      <xdr:rowOff>38100</xdr:rowOff>
    </xdr:from>
    <xdr:ext cx="533400" cy="514350"/>
    <xdr:pic>
      <xdr:nvPicPr>
        <xdr:cNvPr id="0" name="image102.jpg"/>
        <xdr:cNvPicPr preferRelativeResize="0"/>
      </xdr:nvPicPr>
      <xdr:blipFill>
        <a:blip cstate="print" r:embed="rId102"/>
        <a:stretch>
          <a:fillRect/>
        </a:stretch>
      </xdr:blipFill>
      <xdr:spPr>
        <a:prstGeom prst="rect">
          <a:avLst/>
        </a:prstGeom>
        <a:noFill/>
      </xdr:spPr>
    </xdr:pic>
    <xdr:clientData fLocksWithSheet="0"/>
  </xdr:oneCellAnchor>
  <xdr:oneCellAnchor>
    <xdr:from>
      <xdr:col>6</xdr:col>
      <xdr:colOff>38100</xdr:colOff>
      <xdr:row>228</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229</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230</xdr:row>
      <xdr:rowOff>38100</xdr:rowOff>
    </xdr:from>
    <xdr:ext cx="428625" cy="371475"/>
    <xdr:pic>
      <xdr:nvPicPr>
        <xdr:cNvPr id="0" name="image100.jp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38100</xdr:colOff>
      <xdr:row>231</xdr:row>
      <xdr:rowOff>38100</xdr:rowOff>
    </xdr:from>
    <xdr:ext cx="428625" cy="371475"/>
    <xdr:pic>
      <xdr:nvPicPr>
        <xdr:cNvPr id="0" name="image100.jp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38100</xdr:colOff>
      <xdr:row>232</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233</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234</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235</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236</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237</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238</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239</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240</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241</xdr:row>
      <xdr:rowOff>38100</xdr:rowOff>
    </xdr:from>
    <xdr:ext cx="590550" cy="495300"/>
    <xdr:pic>
      <xdr:nvPicPr>
        <xdr:cNvPr id="0" name="image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38100</xdr:colOff>
      <xdr:row>242</xdr:row>
      <xdr:rowOff>38100</xdr:rowOff>
    </xdr:from>
    <xdr:ext cx="476250" cy="361950"/>
    <xdr:pic>
      <xdr:nvPicPr>
        <xdr:cNvPr id="0" name="image91.jpg"/>
        <xdr:cNvPicPr preferRelativeResize="0"/>
      </xdr:nvPicPr>
      <xdr:blipFill>
        <a:blip cstate="print" r:embed="rId105"/>
        <a:stretch>
          <a:fillRect/>
        </a:stretch>
      </xdr:blipFill>
      <xdr:spPr>
        <a:prstGeom prst="rect">
          <a:avLst/>
        </a:prstGeom>
        <a:noFill/>
      </xdr:spPr>
    </xdr:pic>
    <xdr:clientData fLocksWithSheet="0"/>
  </xdr:oneCellAnchor>
  <xdr:oneCellAnchor>
    <xdr:from>
      <xdr:col>6</xdr:col>
      <xdr:colOff>38100</xdr:colOff>
      <xdr:row>243</xdr:row>
      <xdr:rowOff>38100</xdr:rowOff>
    </xdr:from>
    <xdr:ext cx="647700" cy="361950"/>
    <xdr:pic>
      <xdr:nvPicPr>
        <xdr:cNvPr id="0" name="image137.jpg"/>
        <xdr:cNvPicPr preferRelativeResize="0"/>
      </xdr:nvPicPr>
      <xdr:blipFill>
        <a:blip cstate="print" r:embed="rId106"/>
        <a:stretch>
          <a:fillRect/>
        </a:stretch>
      </xdr:blipFill>
      <xdr:spPr>
        <a:prstGeom prst="rect">
          <a:avLst/>
        </a:prstGeom>
        <a:noFill/>
      </xdr:spPr>
    </xdr:pic>
    <xdr:clientData fLocksWithSheet="0"/>
  </xdr:oneCellAnchor>
  <xdr:oneCellAnchor>
    <xdr:from>
      <xdr:col>6</xdr:col>
      <xdr:colOff>38100</xdr:colOff>
      <xdr:row>244</xdr:row>
      <xdr:rowOff>38100</xdr:rowOff>
    </xdr:from>
    <xdr:ext cx="581025" cy="438150"/>
    <xdr:pic>
      <xdr:nvPicPr>
        <xdr:cNvPr id="0" name="image87.jpg"/>
        <xdr:cNvPicPr preferRelativeResize="0"/>
      </xdr:nvPicPr>
      <xdr:blipFill>
        <a:blip cstate="print" r:embed="rId107"/>
        <a:stretch>
          <a:fillRect/>
        </a:stretch>
      </xdr:blipFill>
      <xdr:spPr>
        <a:prstGeom prst="rect">
          <a:avLst/>
        </a:prstGeom>
        <a:noFill/>
      </xdr:spPr>
    </xdr:pic>
    <xdr:clientData fLocksWithSheet="0"/>
  </xdr:oneCellAnchor>
  <xdr:oneCellAnchor>
    <xdr:from>
      <xdr:col>6</xdr:col>
      <xdr:colOff>38100</xdr:colOff>
      <xdr:row>245</xdr:row>
      <xdr:rowOff>38100</xdr:rowOff>
    </xdr:from>
    <xdr:ext cx="647700" cy="419100"/>
    <xdr:pic>
      <xdr:nvPicPr>
        <xdr:cNvPr id="0" name="image89.jpg"/>
        <xdr:cNvPicPr preferRelativeResize="0"/>
      </xdr:nvPicPr>
      <xdr:blipFill>
        <a:blip cstate="print" r:embed="rId108"/>
        <a:stretch>
          <a:fillRect/>
        </a:stretch>
      </xdr:blipFill>
      <xdr:spPr>
        <a:prstGeom prst="rect">
          <a:avLst/>
        </a:prstGeom>
        <a:noFill/>
      </xdr:spPr>
    </xdr:pic>
    <xdr:clientData fLocksWithSheet="0"/>
  </xdr:oneCellAnchor>
  <xdr:oneCellAnchor>
    <xdr:from>
      <xdr:col>6</xdr:col>
      <xdr:colOff>38100</xdr:colOff>
      <xdr:row>246</xdr:row>
      <xdr:rowOff>38100</xdr:rowOff>
    </xdr:from>
    <xdr:ext cx="647700" cy="419100"/>
    <xdr:pic>
      <xdr:nvPicPr>
        <xdr:cNvPr id="0" name="image89.jpg"/>
        <xdr:cNvPicPr preferRelativeResize="0"/>
      </xdr:nvPicPr>
      <xdr:blipFill>
        <a:blip cstate="print" r:embed="rId108"/>
        <a:stretch>
          <a:fillRect/>
        </a:stretch>
      </xdr:blipFill>
      <xdr:spPr>
        <a:prstGeom prst="rect">
          <a:avLst/>
        </a:prstGeom>
        <a:noFill/>
      </xdr:spPr>
    </xdr:pic>
    <xdr:clientData fLocksWithSheet="0"/>
  </xdr:oneCellAnchor>
  <xdr:oneCellAnchor>
    <xdr:from>
      <xdr:col>6</xdr:col>
      <xdr:colOff>38100</xdr:colOff>
      <xdr:row>247</xdr:row>
      <xdr:rowOff>38100</xdr:rowOff>
    </xdr:from>
    <xdr:ext cx="561975" cy="514350"/>
    <xdr:pic>
      <xdr:nvPicPr>
        <xdr:cNvPr id="0" name="image128.jpg"/>
        <xdr:cNvPicPr preferRelativeResize="0"/>
      </xdr:nvPicPr>
      <xdr:blipFill>
        <a:blip cstate="print" r:embed="rId109"/>
        <a:stretch>
          <a:fillRect/>
        </a:stretch>
      </xdr:blipFill>
      <xdr:spPr>
        <a:prstGeom prst="rect">
          <a:avLst/>
        </a:prstGeom>
        <a:noFill/>
      </xdr:spPr>
    </xdr:pic>
    <xdr:clientData fLocksWithSheet="0"/>
  </xdr:oneCellAnchor>
  <xdr:oneCellAnchor>
    <xdr:from>
      <xdr:col>6</xdr:col>
      <xdr:colOff>38100</xdr:colOff>
      <xdr:row>248</xdr:row>
      <xdr:rowOff>38100</xdr:rowOff>
    </xdr:from>
    <xdr:ext cx="647700" cy="361950"/>
    <xdr:pic>
      <xdr:nvPicPr>
        <xdr:cNvPr id="0" name="image115.jpg"/>
        <xdr:cNvPicPr preferRelativeResize="0"/>
      </xdr:nvPicPr>
      <xdr:blipFill>
        <a:blip cstate="print" r:embed="rId110"/>
        <a:stretch>
          <a:fillRect/>
        </a:stretch>
      </xdr:blipFill>
      <xdr:spPr>
        <a:prstGeom prst="rect">
          <a:avLst/>
        </a:prstGeom>
        <a:noFill/>
      </xdr:spPr>
    </xdr:pic>
    <xdr:clientData fLocksWithSheet="0"/>
  </xdr:oneCellAnchor>
  <xdr:oneCellAnchor>
    <xdr:from>
      <xdr:col>6</xdr:col>
      <xdr:colOff>38100</xdr:colOff>
      <xdr:row>249</xdr:row>
      <xdr:rowOff>38100</xdr:rowOff>
    </xdr:from>
    <xdr:ext cx="647700" cy="361950"/>
    <xdr:pic>
      <xdr:nvPicPr>
        <xdr:cNvPr id="0" name="image115.jpg"/>
        <xdr:cNvPicPr preferRelativeResize="0"/>
      </xdr:nvPicPr>
      <xdr:blipFill>
        <a:blip cstate="print" r:embed="rId110"/>
        <a:stretch>
          <a:fillRect/>
        </a:stretch>
      </xdr:blipFill>
      <xdr:spPr>
        <a:prstGeom prst="rect">
          <a:avLst/>
        </a:prstGeom>
        <a:noFill/>
      </xdr:spPr>
    </xdr:pic>
    <xdr:clientData fLocksWithSheet="0"/>
  </xdr:oneCellAnchor>
  <xdr:oneCellAnchor>
    <xdr:from>
      <xdr:col>6</xdr:col>
      <xdr:colOff>38100</xdr:colOff>
      <xdr:row>250</xdr:row>
      <xdr:rowOff>38100</xdr:rowOff>
    </xdr:from>
    <xdr:ext cx="647700" cy="361950"/>
    <xdr:pic>
      <xdr:nvPicPr>
        <xdr:cNvPr id="0" name="image115.jpg"/>
        <xdr:cNvPicPr preferRelativeResize="0"/>
      </xdr:nvPicPr>
      <xdr:blipFill>
        <a:blip cstate="print" r:embed="rId110"/>
        <a:stretch>
          <a:fillRect/>
        </a:stretch>
      </xdr:blipFill>
      <xdr:spPr>
        <a:prstGeom prst="rect">
          <a:avLst/>
        </a:prstGeom>
        <a:noFill/>
      </xdr:spPr>
    </xdr:pic>
    <xdr:clientData fLocksWithSheet="0"/>
  </xdr:oneCellAnchor>
  <xdr:oneCellAnchor>
    <xdr:from>
      <xdr:col>6</xdr:col>
      <xdr:colOff>38100</xdr:colOff>
      <xdr:row>251</xdr:row>
      <xdr:rowOff>38100</xdr:rowOff>
    </xdr:from>
    <xdr:ext cx="647700" cy="228600"/>
    <xdr:pic>
      <xdr:nvPicPr>
        <xdr:cNvPr id="0" name="image109.jpg"/>
        <xdr:cNvPicPr preferRelativeResize="0"/>
      </xdr:nvPicPr>
      <xdr:blipFill>
        <a:blip cstate="print" r:embed="rId111"/>
        <a:stretch>
          <a:fillRect/>
        </a:stretch>
      </xdr:blipFill>
      <xdr:spPr>
        <a:prstGeom prst="rect">
          <a:avLst/>
        </a:prstGeom>
        <a:noFill/>
      </xdr:spPr>
    </xdr:pic>
    <xdr:clientData fLocksWithSheet="0"/>
  </xdr:oneCellAnchor>
  <xdr:oneCellAnchor>
    <xdr:from>
      <xdr:col>6</xdr:col>
      <xdr:colOff>38100</xdr:colOff>
      <xdr:row>252</xdr:row>
      <xdr:rowOff>38100</xdr:rowOff>
    </xdr:from>
    <xdr:ext cx="647700" cy="228600"/>
    <xdr:pic>
      <xdr:nvPicPr>
        <xdr:cNvPr id="0" name="image109.jpg"/>
        <xdr:cNvPicPr preferRelativeResize="0"/>
      </xdr:nvPicPr>
      <xdr:blipFill>
        <a:blip cstate="print" r:embed="rId111"/>
        <a:stretch>
          <a:fillRect/>
        </a:stretch>
      </xdr:blipFill>
      <xdr:spPr>
        <a:prstGeom prst="rect">
          <a:avLst/>
        </a:prstGeom>
        <a:noFill/>
      </xdr:spPr>
    </xdr:pic>
    <xdr:clientData fLocksWithSheet="0"/>
  </xdr:oneCellAnchor>
  <xdr:oneCellAnchor>
    <xdr:from>
      <xdr:col>6</xdr:col>
      <xdr:colOff>38100</xdr:colOff>
      <xdr:row>253</xdr:row>
      <xdr:rowOff>38100</xdr:rowOff>
    </xdr:from>
    <xdr:ext cx="647700" cy="190500"/>
    <xdr:pic>
      <xdr:nvPicPr>
        <xdr:cNvPr id="0" name="image107.jpg"/>
        <xdr:cNvPicPr preferRelativeResize="0"/>
      </xdr:nvPicPr>
      <xdr:blipFill>
        <a:blip cstate="print" r:embed="rId112"/>
        <a:stretch>
          <a:fillRect/>
        </a:stretch>
      </xdr:blipFill>
      <xdr:spPr>
        <a:prstGeom prst="rect">
          <a:avLst/>
        </a:prstGeom>
        <a:noFill/>
      </xdr:spPr>
    </xdr:pic>
    <xdr:clientData fLocksWithSheet="0"/>
  </xdr:oneCellAnchor>
  <xdr:oneCellAnchor>
    <xdr:from>
      <xdr:col>6</xdr:col>
      <xdr:colOff>38100</xdr:colOff>
      <xdr:row>254</xdr:row>
      <xdr:rowOff>38100</xdr:rowOff>
    </xdr:from>
    <xdr:ext cx="333375" cy="514350"/>
    <xdr:pic>
      <xdr:nvPicPr>
        <xdr:cNvPr id="0" name="image97.jpg"/>
        <xdr:cNvPicPr preferRelativeResize="0"/>
      </xdr:nvPicPr>
      <xdr:blipFill>
        <a:blip cstate="print" r:embed="rId113"/>
        <a:stretch>
          <a:fillRect/>
        </a:stretch>
      </xdr:blipFill>
      <xdr:spPr>
        <a:prstGeom prst="rect">
          <a:avLst/>
        </a:prstGeom>
        <a:noFill/>
      </xdr:spPr>
    </xdr:pic>
    <xdr:clientData fLocksWithSheet="0"/>
  </xdr:oneCellAnchor>
  <xdr:oneCellAnchor>
    <xdr:from>
      <xdr:col>6</xdr:col>
      <xdr:colOff>38100</xdr:colOff>
      <xdr:row>255</xdr:row>
      <xdr:rowOff>38100</xdr:rowOff>
    </xdr:from>
    <xdr:ext cx="504825" cy="514350"/>
    <xdr:pic>
      <xdr:nvPicPr>
        <xdr:cNvPr id="0" name="image93.jpg"/>
        <xdr:cNvPicPr preferRelativeResize="0"/>
      </xdr:nvPicPr>
      <xdr:blipFill>
        <a:blip cstate="print" r:embed="rId114"/>
        <a:stretch>
          <a:fillRect/>
        </a:stretch>
      </xdr:blipFill>
      <xdr:spPr>
        <a:prstGeom prst="rect">
          <a:avLst/>
        </a:prstGeom>
        <a:noFill/>
      </xdr:spPr>
    </xdr:pic>
    <xdr:clientData fLocksWithSheet="0"/>
  </xdr:oneCellAnchor>
  <xdr:oneCellAnchor>
    <xdr:from>
      <xdr:col>6</xdr:col>
      <xdr:colOff>38100</xdr:colOff>
      <xdr:row>256</xdr:row>
      <xdr:rowOff>38100</xdr:rowOff>
    </xdr:from>
    <xdr:ext cx="552450" cy="514350"/>
    <xdr:pic>
      <xdr:nvPicPr>
        <xdr:cNvPr id="0" name="image94.jpg"/>
        <xdr:cNvPicPr preferRelativeResize="0"/>
      </xdr:nvPicPr>
      <xdr:blipFill>
        <a:blip cstate="print" r:embed="rId115"/>
        <a:stretch>
          <a:fillRect/>
        </a:stretch>
      </xdr:blipFill>
      <xdr:spPr>
        <a:prstGeom prst="rect">
          <a:avLst/>
        </a:prstGeom>
        <a:noFill/>
      </xdr:spPr>
    </xdr:pic>
    <xdr:clientData fLocksWithSheet="0"/>
  </xdr:oneCellAnchor>
  <xdr:oneCellAnchor>
    <xdr:from>
      <xdr:col>6</xdr:col>
      <xdr:colOff>38100</xdr:colOff>
      <xdr:row>257</xdr:row>
      <xdr:rowOff>38100</xdr:rowOff>
    </xdr:from>
    <xdr:ext cx="361950" cy="457200"/>
    <xdr:pic>
      <xdr:nvPicPr>
        <xdr:cNvPr id="0" name="image101.jpg"/>
        <xdr:cNvPicPr preferRelativeResize="0"/>
      </xdr:nvPicPr>
      <xdr:blipFill>
        <a:blip cstate="print" r:embed="rId116"/>
        <a:stretch>
          <a:fillRect/>
        </a:stretch>
      </xdr:blipFill>
      <xdr:spPr>
        <a:prstGeom prst="rect">
          <a:avLst/>
        </a:prstGeom>
        <a:noFill/>
      </xdr:spPr>
    </xdr:pic>
    <xdr:clientData fLocksWithSheet="0"/>
  </xdr:oneCellAnchor>
  <xdr:oneCellAnchor>
    <xdr:from>
      <xdr:col>6</xdr:col>
      <xdr:colOff>38100</xdr:colOff>
      <xdr:row>258</xdr:row>
      <xdr:rowOff>38100</xdr:rowOff>
    </xdr:from>
    <xdr:ext cx="200025" cy="514350"/>
    <xdr:pic>
      <xdr:nvPicPr>
        <xdr:cNvPr id="0" name="image127.jpg"/>
        <xdr:cNvPicPr preferRelativeResize="0"/>
      </xdr:nvPicPr>
      <xdr:blipFill>
        <a:blip cstate="print" r:embed="rId117"/>
        <a:stretch>
          <a:fillRect/>
        </a:stretch>
      </xdr:blipFill>
      <xdr:spPr>
        <a:prstGeom prst="rect">
          <a:avLst/>
        </a:prstGeom>
        <a:noFill/>
      </xdr:spPr>
    </xdr:pic>
    <xdr:clientData fLocksWithSheet="0"/>
  </xdr:oneCellAnchor>
  <xdr:oneCellAnchor>
    <xdr:from>
      <xdr:col>6</xdr:col>
      <xdr:colOff>38100</xdr:colOff>
      <xdr:row>259</xdr:row>
      <xdr:rowOff>38100</xdr:rowOff>
    </xdr:from>
    <xdr:ext cx="200025" cy="514350"/>
    <xdr:pic>
      <xdr:nvPicPr>
        <xdr:cNvPr id="0" name="image127.jpg"/>
        <xdr:cNvPicPr preferRelativeResize="0"/>
      </xdr:nvPicPr>
      <xdr:blipFill>
        <a:blip cstate="print" r:embed="rId117"/>
        <a:stretch>
          <a:fillRect/>
        </a:stretch>
      </xdr:blipFill>
      <xdr:spPr>
        <a:prstGeom prst="rect">
          <a:avLst/>
        </a:prstGeom>
        <a:noFill/>
      </xdr:spPr>
    </xdr:pic>
    <xdr:clientData fLocksWithSheet="0"/>
  </xdr:oneCellAnchor>
  <xdr:oneCellAnchor>
    <xdr:from>
      <xdr:col>6</xdr:col>
      <xdr:colOff>38100</xdr:colOff>
      <xdr:row>260</xdr:row>
      <xdr:rowOff>38100</xdr:rowOff>
    </xdr:from>
    <xdr:ext cx="428625" cy="514350"/>
    <xdr:pic>
      <xdr:nvPicPr>
        <xdr:cNvPr id="0" name="image126.jpg"/>
        <xdr:cNvPicPr preferRelativeResize="0"/>
      </xdr:nvPicPr>
      <xdr:blipFill>
        <a:blip cstate="print" r:embed="rId118"/>
        <a:stretch>
          <a:fillRect/>
        </a:stretch>
      </xdr:blipFill>
      <xdr:spPr>
        <a:prstGeom prst="rect">
          <a:avLst/>
        </a:prstGeom>
        <a:noFill/>
      </xdr:spPr>
    </xdr:pic>
    <xdr:clientData fLocksWithSheet="0"/>
  </xdr:oneCellAnchor>
  <xdr:oneCellAnchor>
    <xdr:from>
      <xdr:col>6</xdr:col>
      <xdr:colOff>38100</xdr:colOff>
      <xdr:row>261</xdr:row>
      <xdr:rowOff>38100</xdr:rowOff>
    </xdr:from>
    <xdr:ext cx="504825" cy="514350"/>
    <xdr:pic>
      <xdr:nvPicPr>
        <xdr:cNvPr id="0" name="image129.jp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38100</xdr:colOff>
      <xdr:row>262</xdr:row>
      <xdr:rowOff>38100</xdr:rowOff>
    </xdr:from>
    <xdr:ext cx="342900" cy="514350"/>
    <xdr:pic>
      <xdr:nvPicPr>
        <xdr:cNvPr id="0" name="image103.jpg"/>
        <xdr:cNvPicPr preferRelativeResize="0"/>
      </xdr:nvPicPr>
      <xdr:blipFill>
        <a:blip cstate="print" r:embed="rId120"/>
        <a:stretch>
          <a:fillRect/>
        </a:stretch>
      </xdr:blipFill>
      <xdr:spPr>
        <a:prstGeom prst="rect">
          <a:avLst/>
        </a:prstGeom>
        <a:noFill/>
      </xdr:spPr>
    </xdr:pic>
    <xdr:clientData fLocksWithSheet="0"/>
  </xdr:oneCellAnchor>
  <xdr:oneCellAnchor>
    <xdr:from>
      <xdr:col>6</xdr:col>
      <xdr:colOff>38100</xdr:colOff>
      <xdr:row>263</xdr:row>
      <xdr:rowOff>38100</xdr:rowOff>
    </xdr:from>
    <xdr:ext cx="504825" cy="514350"/>
    <xdr:pic>
      <xdr:nvPicPr>
        <xdr:cNvPr id="0" name="image111.jpg"/>
        <xdr:cNvPicPr preferRelativeResize="0"/>
      </xdr:nvPicPr>
      <xdr:blipFill>
        <a:blip cstate="print" r:embed="rId121"/>
        <a:stretch>
          <a:fillRect/>
        </a:stretch>
      </xdr:blipFill>
      <xdr:spPr>
        <a:prstGeom prst="rect">
          <a:avLst/>
        </a:prstGeom>
        <a:noFill/>
      </xdr:spPr>
    </xdr:pic>
    <xdr:clientData fLocksWithSheet="0"/>
  </xdr:oneCellAnchor>
  <xdr:oneCellAnchor>
    <xdr:from>
      <xdr:col>6</xdr:col>
      <xdr:colOff>38100</xdr:colOff>
      <xdr:row>264</xdr:row>
      <xdr:rowOff>38100</xdr:rowOff>
    </xdr:from>
    <xdr:ext cx="180975" cy="514350"/>
    <xdr:pic>
      <xdr:nvPicPr>
        <xdr:cNvPr id="0" name="image99.jpg"/>
        <xdr:cNvPicPr preferRelativeResize="0"/>
      </xdr:nvPicPr>
      <xdr:blipFill>
        <a:blip cstate="print" r:embed="rId122"/>
        <a:stretch>
          <a:fillRect/>
        </a:stretch>
      </xdr:blipFill>
      <xdr:spPr>
        <a:prstGeom prst="rect">
          <a:avLst/>
        </a:prstGeom>
        <a:noFill/>
      </xdr:spPr>
    </xdr:pic>
    <xdr:clientData fLocksWithSheet="0"/>
  </xdr:oneCellAnchor>
  <xdr:oneCellAnchor>
    <xdr:from>
      <xdr:col>6</xdr:col>
      <xdr:colOff>38100</xdr:colOff>
      <xdr:row>265</xdr:row>
      <xdr:rowOff>38100</xdr:rowOff>
    </xdr:from>
    <xdr:ext cx="647700" cy="342900"/>
    <xdr:pic>
      <xdr:nvPicPr>
        <xdr:cNvPr id="0" name="image133.jpg"/>
        <xdr:cNvPicPr preferRelativeResize="0"/>
      </xdr:nvPicPr>
      <xdr:blipFill>
        <a:blip cstate="print" r:embed="rId123"/>
        <a:stretch>
          <a:fillRect/>
        </a:stretch>
      </xdr:blipFill>
      <xdr:spPr>
        <a:prstGeom prst="rect">
          <a:avLst/>
        </a:prstGeom>
        <a:noFill/>
      </xdr:spPr>
    </xdr:pic>
    <xdr:clientData fLocksWithSheet="0"/>
  </xdr:oneCellAnchor>
  <xdr:oneCellAnchor>
    <xdr:from>
      <xdr:col>6</xdr:col>
      <xdr:colOff>38100</xdr:colOff>
      <xdr:row>266</xdr:row>
      <xdr:rowOff>38100</xdr:rowOff>
    </xdr:from>
    <xdr:ext cx="533400" cy="514350"/>
    <xdr:pic>
      <xdr:nvPicPr>
        <xdr:cNvPr id="0" name="image122.jp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38100</xdr:colOff>
      <xdr:row>267</xdr:row>
      <xdr:rowOff>38100</xdr:rowOff>
    </xdr:from>
    <xdr:ext cx="304800" cy="514350"/>
    <xdr:pic>
      <xdr:nvPicPr>
        <xdr:cNvPr id="0" name="image131.jpg"/>
        <xdr:cNvPicPr preferRelativeResize="0"/>
      </xdr:nvPicPr>
      <xdr:blipFill>
        <a:blip cstate="print" r:embed="rId125"/>
        <a:stretch>
          <a:fillRect/>
        </a:stretch>
      </xdr:blipFill>
      <xdr:spPr>
        <a:prstGeom prst="rect">
          <a:avLst/>
        </a:prstGeom>
        <a:noFill/>
      </xdr:spPr>
    </xdr:pic>
    <xdr:clientData fLocksWithSheet="0"/>
  </xdr:oneCellAnchor>
  <xdr:oneCellAnchor>
    <xdr:from>
      <xdr:col>6</xdr:col>
      <xdr:colOff>38100</xdr:colOff>
      <xdr:row>268</xdr:row>
      <xdr:rowOff>38100</xdr:rowOff>
    </xdr:from>
    <xdr:ext cx="647700" cy="447675"/>
    <xdr:pic>
      <xdr:nvPicPr>
        <xdr:cNvPr id="0" name="image158.jpg"/>
        <xdr:cNvPicPr preferRelativeResize="0"/>
      </xdr:nvPicPr>
      <xdr:blipFill>
        <a:blip cstate="print" r:embed="rId126"/>
        <a:stretch>
          <a:fillRect/>
        </a:stretch>
      </xdr:blipFill>
      <xdr:spPr>
        <a:prstGeom prst="rect">
          <a:avLst/>
        </a:prstGeom>
        <a:noFill/>
      </xdr:spPr>
    </xdr:pic>
    <xdr:clientData fLocksWithSheet="0"/>
  </xdr:oneCellAnchor>
  <xdr:oneCellAnchor>
    <xdr:from>
      <xdr:col>6</xdr:col>
      <xdr:colOff>38100</xdr:colOff>
      <xdr:row>269</xdr:row>
      <xdr:rowOff>38100</xdr:rowOff>
    </xdr:from>
    <xdr:ext cx="647700" cy="447675"/>
    <xdr:pic>
      <xdr:nvPicPr>
        <xdr:cNvPr id="0" name="image158.jpg"/>
        <xdr:cNvPicPr preferRelativeResize="0"/>
      </xdr:nvPicPr>
      <xdr:blipFill>
        <a:blip cstate="print" r:embed="rId126"/>
        <a:stretch>
          <a:fillRect/>
        </a:stretch>
      </xdr:blipFill>
      <xdr:spPr>
        <a:prstGeom prst="rect">
          <a:avLst/>
        </a:prstGeom>
        <a:noFill/>
      </xdr:spPr>
    </xdr:pic>
    <xdr:clientData fLocksWithSheet="0"/>
  </xdr:oneCellAnchor>
  <xdr:oneCellAnchor>
    <xdr:from>
      <xdr:col>6</xdr:col>
      <xdr:colOff>38100</xdr:colOff>
      <xdr:row>270</xdr:row>
      <xdr:rowOff>38100</xdr:rowOff>
    </xdr:from>
    <xdr:ext cx="523875" cy="514350"/>
    <xdr:pic>
      <xdr:nvPicPr>
        <xdr:cNvPr id="0" name="image106.jp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38100</xdr:colOff>
      <xdr:row>271</xdr:row>
      <xdr:rowOff>38100</xdr:rowOff>
    </xdr:from>
    <xdr:ext cx="485775" cy="514350"/>
    <xdr:pic>
      <xdr:nvPicPr>
        <xdr:cNvPr id="0" name="image124.jpg"/>
        <xdr:cNvPicPr preferRelativeResize="0"/>
      </xdr:nvPicPr>
      <xdr:blipFill>
        <a:blip cstate="print" r:embed="rId128"/>
        <a:stretch>
          <a:fillRect/>
        </a:stretch>
      </xdr:blipFill>
      <xdr:spPr>
        <a:prstGeom prst="rect">
          <a:avLst/>
        </a:prstGeom>
        <a:noFill/>
      </xdr:spPr>
    </xdr:pic>
    <xdr:clientData fLocksWithSheet="0"/>
  </xdr:oneCellAnchor>
  <xdr:oneCellAnchor>
    <xdr:from>
      <xdr:col>6</xdr:col>
      <xdr:colOff>38100</xdr:colOff>
      <xdr:row>272</xdr:row>
      <xdr:rowOff>38100</xdr:rowOff>
    </xdr:from>
    <xdr:ext cx="361950" cy="514350"/>
    <xdr:pic>
      <xdr:nvPicPr>
        <xdr:cNvPr id="0" name="image108.jpg"/>
        <xdr:cNvPicPr preferRelativeResize="0"/>
      </xdr:nvPicPr>
      <xdr:blipFill>
        <a:blip cstate="print" r:embed="rId129"/>
        <a:stretch>
          <a:fillRect/>
        </a:stretch>
      </xdr:blipFill>
      <xdr:spPr>
        <a:prstGeom prst="rect">
          <a:avLst/>
        </a:prstGeom>
        <a:noFill/>
      </xdr:spPr>
    </xdr:pic>
    <xdr:clientData fLocksWithSheet="0"/>
  </xdr:oneCellAnchor>
  <xdr:oneCellAnchor>
    <xdr:from>
      <xdr:col>6</xdr:col>
      <xdr:colOff>38100</xdr:colOff>
      <xdr:row>273</xdr:row>
      <xdr:rowOff>38100</xdr:rowOff>
    </xdr:from>
    <xdr:ext cx="400050" cy="514350"/>
    <xdr:pic>
      <xdr:nvPicPr>
        <xdr:cNvPr id="0" name="image114.jpg"/>
        <xdr:cNvPicPr preferRelativeResize="0"/>
      </xdr:nvPicPr>
      <xdr:blipFill>
        <a:blip cstate="print" r:embed="rId130"/>
        <a:stretch>
          <a:fillRect/>
        </a:stretch>
      </xdr:blipFill>
      <xdr:spPr>
        <a:prstGeom prst="rect">
          <a:avLst/>
        </a:prstGeom>
        <a:noFill/>
      </xdr:spPr>
    </xdr:pic>
    <xdr:clientData fLocksWithSheet="0"/>
  </xdr:oneCellAnchor>
  <xdr:oneCellAnchor>
    <xdr:from>
      <xdr:col>6</xdr:col>
      <xdr:colOff>38100</xdr:colOff>
      <xdr:row>274</xdr:row>
      <xdr:rowOff>38100</xdr:rowOff>
    </xdr:from>
    <xdr:ext cx="447675" cy="485775"/>
    <xdr:pic>
      <xdr:nvPicPr>
        <xdr:cNvPr id="0" name="image119.jpg"/>
        <xdr:cNvPicPr preferRelativeResize="0"/>
      </xdr:nvPicPr>
      <xdr:blipFill>
        <a:blip cstate="print" r:embed="rId131"/>
        <a:stretch>
          <a:fillRect/>
        </a:stretch>
      </xdr:blipFill>
      <xdr:spPr>
        <a:prstGeom prst="rect">
          <a:avLst/>
        </a:prstGeom>
        <a:noFill/>
      </xdr:spPr>
    </xdr:pic>
    <xdr:clientData fLocksWithSheet="0"/>
  </xdr:oneCellAnchor>
  <xdr:oneCellAnchor>
    <xdr:from>
      <xdr:col>6</xdr:col>
      <xdr:colOff>38100</xdr:colOff>
      <xdr:row>275</xdr:row>
      <xdr:rowOff>38100</xdr:rowOff>
    </xdr:from>
    <xdr:ext cx="257175" cy="514350"/>
    <xdr:pic>
      <xdr:nvPicPr>
        <xdr:cNvPr id="0" name="image113.jpg"/>
        <xdr:cNvPicPr preferRelativeResize="0"/>
      </xdr:nvPicPr>
      <xdr:blipFill>
        <a:blip cstate="print" r:embed="rId132"/>
        <a:stretch>
          <a:fillRect/>
        </a:stretch>
      </xdr:blipFill>
      <xdr:spPr>
        <a:prstGeom prst="rect">
          <a:avLst/>
        </a:prstGeom>
        <a:noFill/>
      </xdr:spPr>
    </xdr:pic>
    <xdr:clientData fLocksWithSheet="0"/>
  </xdr:oneCellAnchor>
  <xdr:oneCellAnchor>
    <xdr:from>
      <xdr:col>6</xdr:col>
      <xdr:colOff>38100</xdr:colOff>
      <xdr:row>276</xdr:row>
      <xdr:rowOff>38100</xdr:rowOff>
    </xdr:from>
    <xdr:ext cx="647700" cy="295275"/>
    <xdr:pic>
      <xdr:nvPicPr>
        <xdr:cNvPr id="0" name="image140.jpg"/>
        <xdr:cNvPicPr preferRelativeResize="0"/>
      </xdr:nvPicPr>
      <xdr:blipFill>
        <a:blip cstate="print" r:embed="rId133"/>
        <a:stretch>
          <a:fillRect/>
        </a:stretch>
      </xdr:blipFill>
      <xdr:spPr>
        <a:prstGeom prst="rect">
          <a:avLst/>
        </a:prstGeom>
        <a:noFill/>
      </xdr:spPr>
    </xdr:pic>
    <xdr:clientData fLocksWithSheet="0"/>
  </xdr:oneCellAnchor>
  <xdr:oneCellAnchor>
    <xdr:from>
      <xdr:col>6</xdr:col>
      <xdr:colOff>38100</xdr:colOff>
      <xdr:row>277</xdr:row>
      <xdr:rowOff>38100</xdr:rowOff>
    </xdr:from>
    <xdr:ext cx="647700" cy="342900"/>
    <xdr:pic>
      <xdr:nvPicPr>
        <xdr:cNvPr id="0" name="image155.jpg"/>
        <xdr:cNvPicPr preferRelativeResize="0"/>
      </xdr:nvPicPr>
      <xdr:blipFill>
        <a:blip cstate="print" r:embed="rId134"/>
        <a:stretch>
          <a:fillRect/>
        </a:stretch>
      </xdr:blipFill>
      <xdr:spPr>
        <a:prstGeom prst="rect">
          <a:avLst/>
        </a:prstGeom>
        <a:noFill/>
      </xdr:spPr>
    </xdr:pic>
    <xdr:clientData fLocksWithSheet="0"/>
  </xdr:oneCellAnchor>
  <xdr:oneCellAnchor>
    <xdr:from>
      <xdr:col>6</xdr:col>
      <xdr:colOff>38100</xdr:colOff>
      <xdr:row>278</xdr:row>
      <xdr:rowOff>38100</xdr:rowOff>
    </xdr:from>
    <xdr:ext cx="647700" cy="342900"/>
    <xdr:pic>
      <xdr:nvPicPr>
        <xdr:cNvPr id="0" name="image155.jpg"/>
        <xdr:cNvPicPr preferRelativeResize="0"/>
      </xdr:nvPicPr>
      <xdr:blipFill>
        <a:blip cstate="print" r:embed="rId134"/>
        <a:stretch>
          <a:fillRect/>
        </a:stretch>
      </xdr:blipFill>
      <xdr:spPr>
        <a:prstGeom prst="rect">
          <a:avLst/>
        </a:prstGeom>
        <a:noFill/>
      </xdr:spPr>
    </xdr:pic>
    <xdr:clientData fLocksWithSheet="0"/>
  </xdr:oneCellAnchor>
  <xdr:oneCellAnchor>
    <xdr:from>
      <xdr:col>6</xdr:col>
      <xdr:colOff>38100</xdr:colOff>
      <xdr:row>279</xdr:row>
      <xdr:rowOff>38100</xdr:rowOff>
    </xdr:from>
    <xdr:ext cx="647700" cy="342900"/>
    <xdr:pic>
      <xdr:nvPicPr>
        <xdr:cNvPr id="0" name="image155.jpg"/>
        <xdr:cNvPicPr preferRelativeResize="0"/>
      </xdr:nvPicPr>
      <xdr:blipFill>
        <a:blip cstate="print" r:embed="rId134"/>
        <a:stretch>
          <a:fillRect/>
        </a:stretch>
      </xdr:blipFill>
      <xdr:spPr>
        <a:prstGeom prst="rect">
          <a:avLst/>
        </a:prstGeom>
        <a:noFill/>
      </xdr:spPr>
    </xdr:pic>
    <xdr:clientData fLocksWithSheet="0"/>
  </xdr:oneCellAnchor>
  <xdr:oneCellAnchor>
    <xdr:from>
      <xdr:col>6</xdr:col>
      <xdr:colOff>38100</xdr:colOff>
      <xdr:row>280</xdr:row>
      <xdr:rowOff>38100</xdr:rowOff>
    </xdr:from>
    <xdr:ext cx="457200" cy="514350"/>
    <xdr:pic>
      <xdr:nvPicPr>
        <xdr:cNvPr id="0" name="image118.jpg"/>
        <xdr:cNvPicPr preferRelativeResize="0"/>
      </xdr:nvPicPr>
      <xdr:blipFill>
        <a:blip cstate="print" r:embed="rId135"/>
        <a:stretch>
          <a:fillRect/>
        </a:stretch>
      </xdr:blipFill>
      <xdr:spPr>
        <a:prstGeom prst="rect">
          <a:avLst/>
        </a:prstGeom>
        <a:noFill/>
      </xdr:spPr>
    </xdr:pic>
    <xdr:clientData fLocksWithSheet="0"/>
  </xdr:oneCellAnchor>
  <xdr:oneCellAnchor>
    <xdr:from>
      <xdr:col>6</xdr:col>
      <xdr:colOff>38100</xdr:colOff>
      <xdr:row>281</xdr:row>
      <xdr:rowOff>38100</xdr:rowOff>
    </xdr:from>
    <xdr:ext cx="457200" cy="514350"/>
    <xdr:pic>
      <xdr:nvPicPr>
        <xdr:cNvPr id="0" name="image118.jpg"/>
        <xdr:cNvPicPr preferRelativeResize="0"/>
      </xdr:nvPicPr>
      <xdr:blipFill>
        <a:blip cstate="print" r:embed="rId135"/>
        <a:stretch>
          <a:fillRect/>
        </a:stretch>
      </xdr:blipFill>
      <xdr:spPr>
        <a:prstGeom prst="rect">
          <a:avLst/>
        </a:prstGeom>
        <a:noFill/>
      </xdr:spPr>
    </xdr:pic>
    <xdr:clientData fLocksWithSheet="0"/>
  </xdr:oneCellAnchor>
  <xdr:oneCellAnchor>
    <xdr:from>
      <xdr:col>6</xdr:col>
      <xdr:colOff>38100</xdr:colOff>
      <xdr:row>282</xdr:row>
      <xdr:rowOff>38100</xdr:rowOff>
    </xdr:from>
    <xdr:ext cx="457200" cy="514350"/>
    <xdr:pic>
      <xdr:nvPicPr>
        <xdr:cNvPr id="0" name="image118.jpg"/>
        <xdr:cNvPicPr preferRelativeResize="0"/>
      </xdr:nvPicPr>
      <xdr:blipFill>
        <a:blip cstate="print" r:embed="rId135"/>
        <a:stretch>
          <a:fillRect/>
        </a:stretch>
      </xdr:blipFill>
      <xdr:spPr>
        <a:prstGeom prst="rect">
          <a:avLst/>
        </a:prstGeom>
        <a:noFill/>
      </xdr:spPr>
    </xdr:pic>
    <xdr:clientData fLocksWithSheet="0"/>
  </xdr:oneCellAnchor>
  <xdr:oneCellAnchor>
    <xdr:from>
      <xdr:col>6</xdr:col>
      <xdr:colOff>38100</xdr:colOff>
      <xdr:row>283</xdr:row>
      <xdr:rowOff>38100</xdr:rowOff>
    </xdr:from>
    <xdr:ext cx="647700" cy="485775"/>
    <xdr:pic>
      <xdr:nvPicPr>
        <xdr:cNvPr id="0" name="image121.jpg"/>
        <xdr:cNvPicPr preferRelativeResize="0"/>
      </xdr:nvPicPr>
      <xdr:blipFill>
        <a:blip cstate="print" r:embed="rId136"/>
        <a:stretch>
          <a:fillRect/>
        </a:stretch>
      </xdr:blipFill>
      <xdr:spPr>
        <a:prstGeom prst="rect">
          <a:avLst/>
        </a:prstGeom>
        <a:noFill/>
      </xdr:spPr>
    </xdr:pic>
    <xdr:clientData fLocksWithSheet="0"/>
  </xdr:oneCellAnchor>
  <xdr:oneCellAnchor>
    <xdr:from>
      <xdr:col>6</xdr:col>
      <xdr:colOff>38100</xdr:colOff>
      <xdr:row>284</xdr:row>
      <xdr:rowOff>38100</xdr:rowOff>
    </xdr:from>
    <xdr:ext cx="466725" cy="514350"/>
    <xdr:pic>
      <xdr:nvPicPr>
        <xdr:cNvPr id="0" name="image123.jpg"/>
        <xdr:cNvPicPr preferRelativeResize="0"/>
      </xdr:nvPicPr>
      <xdr:blipFill>
        <a:blip cstate="print" r:embed="rId137"/>
        <a:stretch>
          <a:fillRect/>
        </a:stretch>
      </xdr:blipFill>
      <xdr:spPr>
        <a:prstGeom prst="rect">
          <a:avLst/>
        </a:prstGeom>
        <a:noFill/>
      </xdr:spPr>
    </xdr:pic>
    <xdr:clientData fLocksWithSheet="0"/>
  </xdr:oneCellAnchor>
  <xdr:oneCellAnchor>
    <xdr:from>
      <xdr:col>6</xdr:col>
      <xdr:colOff>38100</xdr:colOff>
      <xdr:row>285</xdr:row>
      <xdr:rowOff>38100</xdr:rowOff>
    </xdr:from>
    <xdr:ext cx="371475" cy="514350"/>
    <xdr:pic>
      <xdr:nvPicPr>
        <xdr:cNvPr id="0" name="image146.jpg"/>
        <xdr:cNvPicPr preferRelativeResize="0"/>
      </xdr:nvPicPr>
      <xdr:blipFill>
        <a:blip cstate="print" r:embed="rId138"/>
        <a:stretch>
          <a:fillRect/>
        </a:stretch>
      </xdr:blipFill>
      <xdr:spPr>
        <a:prstGeom prst="rect">
          <a:avLst/>
        </a:prstGeom>
        <a:noFill/>
      </xdr:spPr>
    </xdr:pic>
    <xdr:clientData fLocksWithSheet="0"/>
  </xdr:oneCellAnchor>
  <xdr:oneCellAnchor>
    <xdr:from>
      <xdr:col>6</xdr:col>
      <xdr:colOff>38100</xdr:colOff>
      <xdr:row>286</xdr:row>
      <xdr:rowOff>38100</xdr:rowOff>
    </xdr:from>
    <xdr:ext cx="371475" cy="514350"/>
    <xdr:pic>
      <xdr:nvPicPr>
        <xdr:cNvPr id="0" name="image146.jpg"/>
        <xdr:cNvPicPr preferRelativeResize="0"/>
      </xdr:nvPicPr>
      <xdr:blipFill>
        <a:blip cstate="print" r:embed="rId138"/>
        <a:stretch>
          <a:fillRect/>
        </a:stretch>
      </xdr:blipFill>
      <xdr:spPr>
        <a:prstGeom prst="rect">
          <a:avLst/>
        </a:prstGeom>
        <a:noFill/>
      </xdr:spPr>
    </xdr:pic>
    <xdr:clientData fLocksWithSheet="0"/>
  </xdr:oneCellAnchor>
  <xdr:oneCellAnchor>
    <xdr:from>
      <xdr:col>6</xdr:col>
      <xdr:colOff>38100</xdr:colOff>
      <xdr:row>287</xdr:row>
      <xdr:rowOff>38100</xdr:rowOff>
    </xdr:from>
    <xdr:ext cx="457200" cy="514350"/>
    <xdr:pic>
      <xdr:nvPicPr>
        <xdr:cNvPr id="0" name="image118.jpg"/>
        <xdr:cNvPicPr preferRelativeResize="0"/>
      </xdr:nvPicPr>
      <xdr:blipFill>
        <a:blip cstate="print" r:embed="rId135"/>
        <a:stretch>
          <a:fillRect/>
        </a:stretch>
      </xdr:blipFill>
      <xdr:spPr>
        <a:prstGeom prst="rect">
          <a:avLst/>
        </a:prstGeom>
        <a:noFill/>
      </xdr:spPr>
    </xdr:pic>
    <xdr:clientData fLocksWithSheet="0"/>
  </xdr:oneCellAnchor>
  <xdr:oneCellAnchor>
    <xdr:from>
      <xdr:col>6</xdr:col>
      <xdr:colOff>38100</xdr:colOff>
      <xdr:row>288</xdr:row>
      <xdr:rowOff>38100</xdr:rowOff>
    </xdr:from>
    <xdr:ext cx="352425" cy="514350"/>
    <xdr:pic>
      <xdr:nvPicPr>
        <xdr:cNvPr id="0" name="image120.jpg"/>
        <xdr:cNvPicPr preferRelativeResize="0"/>
      </xdr:nvPicPr>
      <xdr:blipFill>
        <a:blip cstate="print" r:embed="rId139"/>
        <a:stretch>
          <a:fillRect/>
        </a:stretch>
      </xdr:blipFill>
      <xdr:spPr>
        <a:prstGeom prst="rect">
          <a:avLst/>
        </a:prstGeom>
        <a:noFill/>
      </xdr:spPr>
    </xdr:pic>
    <xdr:clientData fLocksWithSheet="0"/>
  </xdr:oneCellAnchor>
  <xdr:oneCellAnchor>
    <xdr:from>
      <xdr:col>6</xdr:col>
      <xdr:colOff>38100</xdr:colOff>
      <xdr:row>289</xdr:row>
      <xdr:rowOff>38100</xdr:rowOff>
    </xdr:from>
    <xdr:ext cx="352425" cy="514350"/>
    <xdr:pic>
      <xdr:nvPicPr>
        <xdr:cNvPr id="0" name="image132.jpg"/>
        <xdr:cNvPicPr preferRelativeResize="0"/>
      </xdr:nvPicPr>
      <xdr:blipFill>
        <a:blip cstate="print" r:embed="rId140"/>
        <a:stretch>
          <a:fillRect/>
        </a:stretch>
      </xdr:blipFill>
      <xdr:spPr>
        <a:prstGeom prst="rect">
          <a:avLst/>
        </a:prstGeom>
        <a:noFill/>
      </xdr:spPr>
    </xdr:pic>
    <xdr:clientData fLocksWithSheet="0"/>
  </xdr:oneCellAnchor>
  <xdr:oneCellAnchor>
    <xdr:from>
      <xdr:col>6</xdr:col>
      <xdr:colOff>38100</xdr:colOff>
      <xdr:row>290</xdr:row>
      <xdr:rowOff>38100</xdr:rowOff>
    </xdr:from>
    <xdr:ext cx="304800" cy="514350"/>
    <xdr:pic>
      <xdr:nvPicPr>
        <xdr:cNvPr id="0" name="image165.jpg"/>
        <xdr:cNvPicPr preferRelativeResize="0"/>
      </xdr:nvPicPr>
      <xdr:blipFill>
        <a:blip cstate="print" r:embed="rId141"/>
        <a:stretch>
          <a:fillRect/>
        </a:stretch>
      </xdr:blipFill>
      <xdr:spPr>
        <a:prstGeom prst="rect">
          <a:avLst/>
        </a:prstGeom>
        <a:noFill/>
      </xdr:spPr>
    </xdr:pic>
    <xdr:clientData fLocksWithSheet="0"/>
  </xdr:oneCellAnchor>
  <xdr:oneCellAnchor>
    <xdr:from>
      <xdr:col>6</xdr:col>
      <xdr:colOff>38100</xdr:colOff>
      <xdr:row>291</xdr:row>
      <xdr:rowOff>38100</xdr:rowOff>
    </xdr:from>
    <xdr:ext cx="314325" cy="514350"/>
    <xdr:pic>
      <xdr:nvPicPr>
        <xdr:cNvPr id="0" name="image125.jpg"/>
        <xdr:cNvPicPr preferRelativeResize="0"/>
      </xdr:nvPicPr>
      <xdr:blipFill>
        <a:blip cstate="print" r:embed="rId142"/>
        <a:stretch>
          <a:fillRect/>
        </a:stretch>
      </xdr:blipFill>
      <xdr:spPr>
        <a:prstGeom prst="rect">
          <a:avLst/>
        </a:prstGeom>
        <a:noFill/>
      </xdr:spPr>
    </xdr:pic>
    <xdr:clientData fLocksWithSheet="0"/>
  </xdr:oneCellAnchor>
  <xdr:oneCellAnchor>
    <xdr:from>
      <xdr:col>6</xdr:col>
      <xdr:colOff>38100</xdr:colOff>
      <xdr:row>292</xdr:row>
      <xdr:rowOff>38100</xdr:rowOff>
    </xdr:from>
    <xdr:ext cx="390525" cy="514350"/>
    <xdr:pic>
      <xdr:nvPicPr>
        <xdr:cNvPr id="0" name="image159.jp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38100</xdr:colOff>
      <xdr:row>293</xdr:row>
      <xdr:rowOff>38100</xdr:rowOff>
    </xdr:from>
    <xdr:ext cx="390525" cy="514350"/>
    <xdr:pic>
      <xdr:nvPicPr>
        <xdr:cNvPr id="0" name="image159.jp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38100</xdr:colOff>
      <xdr:row>294</xdr:row>
      <xdr:rowOff>38100</xdr:rowOff>
    </xdr:from>
    <xdr:ext cx="390525" cy="514350"/>
    <xdr:pic>
      <xdr:nvPicPr>
        <xdr:cNvPr id="0" name="image159.jp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38100</xdr:colOff>
      <xdr:row>295</xdr:row>
      <xdr:rowOff>38100</xdr:rowOff>
    </xdr:from>
    <xdr:ext cx="561975" cy="514350"/>
    <xdr:pic>
      <xdr:nvPicPr>
        <xdr:cNvPr id="0" name="image134.jpg"/>
        <xdr:cNvPicPr preferRelativeResize="0"/>
      </xdr:nvPicPr>
      <xdr:blipFill>
        <a:blip cstate="print" r:embed="rId144"/>
        <a:stretch>
          <a:fillRect/>
        </a:stretch>
      </xdr:blipFill>
      <xdr:spPr>
        <a:prstGeom prst="rect">
          <a:avLst/>
        </a:prstGeom>
        <a:noFill/>
      </xdr:spPr>
    </xdr:pic>
    <xdr:clientData fLocksWithSheet="0"/>
  </xdr:oneCellAnchor>
  <xdr:oneCellAnchor>
    <xdr:from>
      <xdr:col>6</xdr:col>
      <xdr:colOff>38100</xdr:colOff>
      <xdr:row>296</xdr:row>
      <xdr:rowOff>38100</xdr:rowOff>
    </xdr:from>
    <xdr:ext cx="400050" cy="514350"/>
    <xdr:pic>
      <xdr:nvPicPr>
        <xdr:cNvPr id="0" name="image161.jpg"/>
        <xdr:cNvPicPr preferRelativeResize="0"/>
      </xdr:nvPicPr>
      <xdr:blipFill>
        <a:blip cstate="print" r:embed="rId145"/>
        <a:stretch>
          <a:fillRect/>
        </a:stretch>
      </xdr:blipFill>
      <xdr:spPr>
        <a:prstGeom prst="rect">
          <a:avLst/>
        </a:prstGeom>
        <a:noFill/>
      </xdr:spPr>
    </xdr:pic>
    <xdr:clientData fLocksWithSheet="0"/>
  </xdr:oneCellAnchor>
  <xdr:oneCellAnchor>
    <xdr:from>
      <xdr:col>6</xdr:col>
      <xdr:colOff>38100</xdr:colOff>
      <xdr:row>297</xdr:row>
      <xdr:rowOff>38100</xdr:rowOff>
    </xdr:from>
    <xdr:ext cx="400050" cy="514350"/>
    <xdr:pic>
      <xdr:nvPicPr>
        <xdr:cNvPr id="0" name="image161.jpg"/>
        <xdr:cNvPicPr preferRelativeResize="0"/>
      </xdr:nvPicPr>
      <xdr:blipFill>
        <a:blip cstate="print" r:embed="rId145"/>
        <a:stretch>
          <a:fillRect/>
        </a:stretch>
      </xdr:blipFill>
      <xdr:spPr>
        <a:prstGeom prst="rect">
          <a:avLst/>
        </a:prstGeom>
        <a:noFill/>
      </xdr:spPr>
    </xdr:pic>
    <xdr:clientData fLocksWithSheet="0"/>
  </xdr:oneCellAnchor>
  <xdr:oneCellAnchor>
    <xdr:from>
      <xdr:col>6</xdr:col>
      <xdr:colOff>38100</xdr:colOff>
      <xdr:row>298</xdr:row>
      <xdr:rowOff>38100</xdr:rowOff>
    </xdr:from>
    <xdr:ext cx="352425" cy="514350"/>
    <xdr:pic>
      <xdr:nvPicPr>
        <xdr:cNvPr id="0" name="image120.jpg"/>
        <xdr:cNvPicPr preferRelativeResize="0"/>
      </xdr:nvPicPr>
      <xdr:blipFill>
        <a:blip cstate="print" r:embed="rId139"/>
        <a:stretch>
          <a:fillRect/>
        </a:stretch>
      </xdr:blipFill>
      <xdr:spPr>
        <a:prstGeom prst="rect">
          <a:avLst/>
        </a:prstGeom>
        <a:noFill/>
      </xdr:spPr>
    </xdr:pic>
    <xdr:clientData fLocksWithSheet="0"/>
  </xdr:oneCellAnchor>
  <xdr:oneCellAnchor>
    <xdr:from>
      <xdr:col>6</xdr:col>
      <xdr:colOff>38100</xdr:colOff>
      <xdr:row>299</xdr:row>
      <xdr:rowOff>38100</xdr:rowOff>
    </xdr:from>
    <xdr:ext cx="304800" cy="514350"/>
    <xdr:pic>
      <xdr:nvPicPr>
        <xdr:cNvPr id="0" name="image139.jp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38100</xdr:colOff>
      <xdr:row>300</xdr:row>
      <xdr:rowOff>38100</xdr:rowOff>
    </xdr:from>
    <xdr:ext cx="304800" cy="514350"/>
    <xdr:pic>
      <xdr:nvPicPr>
        <xdr:cNvPr id="0" name="image139.jp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38100</xdr:colOff>
      <xdr:row>301</xdr:row>
      <xdr:rowOff>38100</xdr:rowOff>
    </xdr:from>
    <xdr:ext cx="333375" cy="514350"/>
    <xdr:pic>
      <xdr:nvPicPr>
        <xdr:cNvPr id="0" name="image135.jpg"/>
        <xdr:cNvPicPr preferRelativeResize="0"/>
      </xdr:nvPicPr>
      <xdr:blipFill>
        <a:blip cstate="print" r:embed="rId147"/>
        <a:stretch>
          <a:fillRect/>
        </a:stretch>
      </xdr:blipFill>
      <xdr:spPr>
        <a:prstGeom prst="rect">
          <a:avLst/>
        </a:prstGeom>
        <a:noFill/>
      </xdr:spPr>
    </xdr:pic>
    <xdr:clientData fLocksWithSheet="0"/>
  </xdr:oneCellAnchor>
  <xdr:oneCellAnchor>
    <xdr:from>
      <xdr:col>6</xdr:col>
      <xdr:colOff>38100</xdr:colOff>
      <xdr:row>302</xdr:row>
      <xdr:rowOff>38100</xdr:rowOff>
    </xdr:from>
    <xdr:ext cx="333375" cy="514350"/>
    <xdr:pic>
      <xdr:nvPicPr>
        <xdr:cNvPr id="0" name="image145.jpg"/>
        <xdr:cNvPicPr preferRelativeResize="0"/>
      </xdr:nvPicPr>
      <xdr:blipFill>
        <a:blip cstate="print" r:embed="rId148"/>
        <a:stretch>
          <a:fillRect/>
        </a:stretch>
      </xdr:blipFill>
      <xdr:spPr>
        <a:prstGeom prst="rect">
          <a:avLst/>
        </a:prstGeom>
        <a:noFill/>
      </xdr:spPr>
    </xdr:pic>
    <xdr:clientData fLocksWithSheet="0"/>
  </xdr:oneCellAnchor>
  <xdr:oneCellAnchor>
    <xdr:from>
      <xdr:col>6</xdr:col>
      <xdr:colOff>38100</xdr:colOff>
      <xdr:row>303</xdr:row>
      <xdr:rowOff>38100</xdr:rowOff>
    </xdr:from>
    <xdr:ext cx="333375" cy="514350"/>
    <xdr:pic>
      <xdr:nvPicPr>
        <xdr:cNvPr id="0" name="image145.jpg"/>
        <xdr:cNvPicPr preferRelativeResize="0"/>
      </xdr:nvPicPr>
      <xdr:blipFill>
        <a:blip cstate="print" r:embed="rId148"/>
        <a:stretch>
          <a:fillRect/>
        </a:stretch>
      </xdr:blipFill>
      <xdr:spPr>
        <a:prstGeom prst="rect">
          <a:avLst/>
        </a:prstGeom>
        <a:noFill/>
      </xdr:spPr>
    </xdr:pic>
    <xdr:clientData fLocksWithSheet="0"/>
  </xdr:oneCellAnchor>
  <xdr:oneCellAnchor>
    <xdr:from>
      <xdr:col>6</xdr:col>
      <xdr:colOff>38100</xdr:colOff>
      <xdr:row>304</xdr:row>
      <xdr:rowOff>38100</xdr:rowOff>
    </xdr:from>
    <xdr:ext cx="200025" cy="514350"/>
    <xdr:pic>
      <xdr:nvPicPr>
        <xdr:cNvPr id="0" name="image144.jpg"/>
        <xdr:cNvPicPr preferRelativeResize="0"/>
      </xdr:nvPicPr>
      <xdr:blipFill>
        <a:blip cstate="print" r:embed="rId149"/>
        <a:stretch>
          <a:fillRect/>
        </a:stretch>
      </xdr:blipFill>
      <xdr:spPr>
        <a:prstGeom prst="rect">
          <a:avLst/>
        </a:prstGeom>
        <a:noFill/>
      </xdr:spPr>
    </xdr:pic>
    <xdr:clientData fLocksWithSheet="0"/>
  </xdr:oneCellAnchor>
  <xdr:oneCellAnchor>
    <xdr:from>
      <xdr:col>6</xdr:col>
      <xdr:colOff>38100</xdr:colOff>
      <xdr:row>305</xdr:row>
      <xdr:rowOff>38100</xdr:rowOff>
    </xdr:from>
    <xdr:ext cx="647700" cy="466725"/>
    <xdr:pic>
      <xdr:nvPicPr>
        <xdr:cNvPr id="0" name="image142.jpg"/>
        <xdr:cNvPicPr preferRelativeResize="0"/>
      </xdr:nvPicPr>
      <xdr:blipFill>
        <a:blip cstate="print" r:embed="rId150"/>
        <a:stretch>
          <a:fillRect/>
        </a:stretch>
      </xdr:blipFill>
      <xdr:spPr>
        <a:prstGeom prst="rect">
          <a:avLst/>
        </a:prstGeom>
        <a:noFill/>
      </xdr:spPr>
    </xdr:pic>
    <xdr:clientData fLocksWithSheet="0"/>
  </xdr:oneCellAnchor>
  <xdr:oneCellAnchor>
    <xdr:from>
      <xdr:col>6</xdr:col>
      <xdr:colOff>38100</xdr:colOff>
      <xdr:row>306</xdr:row>
      <xdr:rowOff>38100</xdr:rowOff>
    </xdr:from>
    <xdr:ext cx="238125" cy="514350"/>
    <xdr:pic>
      <xdr:nvPicPr>
        <xdr:cNvPr id="0" name="image150.jpg"/>
        <xdr:cNvPicPr preferRelativeResize="0"/>
      </xdr:nvPicPr>
      <xdr:blipFill>
        <a:blip cstate="print" r:embed="rId151"/>
        <a:stretch>
          <a:fillRect/>
        </a:stretch>
      </xdr:blipFill>
      <xdr:spPr>
        <a:prstGeom prst="rect">
          <a:avLst/>
        </a:prstGeom>
        <a:noFill/>
      </xdr:spPr>
    </xdr:pic>
    <xdr:clientData fLocksWithSheet="0"/>
  </xdr:oneCellAnchor>
  <xdr:oneCellAnchor>
    <xdr:from>
      <xdr:col>6</xdr:col>
      <xdr:colOff>38100</xdr:colOff>
      <xdr:row>307</xdr:row>
      <xdr:rowOff>38100</xdr:rowOff>
    </xdr:from>
    <xdr:ext cx="533400" cy="514350"/>
    <xdr:pic>
      <xdr:nvPicPr>
        <xdr:cNvPr id="0" name="image163.jpg"/>
        <xdr:cNvPicPr preferRelativeResize="0"/>
      </xdr:nvPicPr>
      <xdr:blipFill>
        <a:blip cstate="print" r:embed="rId152"/>
        <a:stretch>
          <a:fillRect/>
        </a:stretch>
      </xdr:blipFill>
      <xdr:spPr>
        <a:prstGeom prst="rect">
          <a:avLst/>
        </a:prstGeom>
        <a:noFill/>
      </xdr:spPr>
    </xdr:pic>
    <xdr:clientData fLocksWithSheet="0"/>
  </xdr:oneCellAnchor>
  <xdr:oneCellAnchor>
    <xdr:from>
      <xdr:col>6</xdr:col>
      <xdr:colOff>38100</xdr:colOff>
      <xdr:row>308</xdr:row>
      <xdr:rowOff>38100</xdr:rowOff>
    </xdr:from>
    <xdr:ext cx="447675" cy="514350"/>
    <xdr:pic>
      <xdr:nvPicPr>
        <xdr:cNvPr id="0" name="image136.jpg"/>
        <xdr:cNvPicPr preferRelativeResize="0"/>
      </xdr:nvPicPr>
      <xdr:blipFill>
        <a:blip cstate="print" r:embed="rId153"/>
        <a:stretch>
          <a:fillRect/>
        </a:stretch>
      </xdr:blipFill>
      <xdr:spPr>
        <a:prstGeom prst="rect">
          <a:avLst/>
        </a:prstGeom>
        <a:noFill/>
      </xdr:spPr>
    </xdr:pic>
    <xdr:clientData fLocksWithSheet="0"/>
  </xdr:oneCellAnchor>
  <xdr:oneCellAnchor>
    <xdr:from>
      <xdr:col>6</xdr:col>
      <xdr:colOff>38100</xdr:colOff>
      <xdr:row>309</xdr:row>
      <xdr:rowOff>38100</xdr:rowOff>
    </xdr:from>
    <xdr:ext cx="504825" cy="514350"/>
    <xdr:pic>
      <xdr:nvPicPr>
        <xdr:cNvPr id="0" name="image176.jpg"/>
        <xdr:cNvPicPr preferRelativeResize="0"/>
      </xdr:nvPicPr>
      <xdr:blipFill>
        <a:blip cstate="print" r:embed="rId154"/>
        <a:stretch>
          <a:fillRect/>
        </a:stretch>
      </xdr:blipFill>
      <xdr:spPr>
        <a:prstGeom prst="rect">
          <a:avLst/>
        </a:prstGeom>
        <a:noFill/>
      </xdr:spPr>
    </xdr:pic>
    <xdr:clientData fLocksWithSheet="0"/>
  </xdr:oneCellAnchor>
  <xdr:oneCellAnchor>
    <xdr:from>
      <xdr:col>6</xdr:col>
      <xdr:colOff>38100</xdr:colOff>
      <xdr:row>310</xdr:row>
      <xdr:rowOff>38100</xdr:rowOff>
    </xdr:from>
    <xdr:ext cx="647700" cy="457200"/>
    <xdr:pic>
      <xdr:nvPicPr>
        <xdr:cNvPr id="0" name="image141.jpg"/>
        <xdr:cNvPicPr preferRelativeResize="0"/>
      </xdr:nvPicPr>
      <xdr:blipFill>
        <a:blip cstate="print" r:embed="rId155"/>
        <a:stretch>
          <a:fillRect/>
        </a:stretch>
      </xdr:blipFill>
      <xdr:spPr>
        <a:prstGeom prst="rect">
          <a:avLst/>
        </a:prstGeom>
        <a:noFill/>
      </xdr:spPr>
    </xdr:pic>
    <xdr:clientData fLocksWithSheet="0"/>
  </xdr:oneCellAnchor>
  <xdr:oneCellAnchor>
    <xdr:from>
      <xdr:col>6</xdr:col>
      <xdr:colOff>38100</xdr:colOff>
      <xdr:row>311</xdr:row>
      <xdr:rowOff>38100</xdr:rowOff>
    </xdr:from>
    <xdr:ext cx="428625" cy="447675"/>
    <xdr:pic>
      <xdr:nvPicPr>
        <xdr:cNvPr id="0" name="image184.jpg"/>
        <xdr:cNvPicPr preferRelativeResize="0"/>
      </xdr:nvPicPr>
      <xdr:blipFill>
        <a:blip cstate="print" r:embed="rId156"/>
        <a:stretch>
          <a:fillRect/>
        </a:stretch>
      </xdr:blipFill>
      <xdr:spPr>
        <a:prstGeom prst="rect">
          <a:avLst/>
        </a:prstGeom>
        <a:noFill/>
      </xdr:spPr>
    </xdr:pic>
    <xdr:clientData fLocksWithSheet="0"/>
  </xdr:oneCellAnchor>
  <xdr:oneCellAnchor>
    <xdr:from>
      <xdr:col>6</xdr:col>
      <xdr:colOff>38100</xdr:colOff>
      <xdr:row>312</xdr:row>
      <xdr:rowOff>38100</xdr:rowOff>
    </xdr:from>
    <xdr:ext cx="571500" cy="514350"/>
    <xdr:pic>
      <xdr:nvPicPr>
        <xdr:cNvPr id="0" name="image147.jpg"/>
        <xdr:cNvPicPr preferRelativeResize="0"/>
      </xdr:nvPicPr>
      <xdr:blipFill>
        <a:blip cstate="print" r:embed="rId157"/>
        <a:stretch>
          <a:fillRect/>
        </a:stretch>
      </xdr:blipFill>
      <xdr:spPr>
        <a:prstGeom prst="rect">
          <a:avLst/>
        </a:prstGeom>
        <a:noFill/>
      </xdr:spPr>
    </xdr:pic>
    <xdr:clientData fLocksWithSheet="0"/>
  </xdr:oneCellAnchor>
  <xdr:oneCellAnchor>
    <xdr:from>
      <xdr:col>6</xdr:col>
      <xdr:colOff>38100</xdr:colOff>
      <xdr:row>313</xdr:row>
      <xdr:rowOff>38100</xdr:rowOff>
    </xdr:from>
    <xdr:ext cx="485775" cy="514350"/>
    <xdr:pic>
      <xdr:nvPicPr>
        <xdr:cNvPr id="0" name="image124.jpg"/>
        <xdr:cNvPicPr preferRelativeResize="0"/>
      </xdr:nvPicPr>
      <xdr:blipFill>
        <a:blip cstate="print" r:embed="rId128"/>
        <a:stretch>
          <a:fillRect/>
        </a:stretch>
      </xdr:blipFill>
      <xdr:spPr>
        <a:prstGeom prst="rect">
          <a:avLst/>
        </a:prstGeom>
        <a:noFill/>
      </xdr:spPr>
    </xdr:pic>
    <xdr:clientData fLocksWithSheet="0"/>
  </xdr:oneCellAnchor>
  <xdr:oneCellAnchor>
    <xdr:from>
      <xdr:col>6</xdr:col>
      <xdr:colOff>38100</xdr:colOff>
      <xdr:row>314</xdr:row>
      <xdr:rowOff>38100</xdr:rowOff>
    </xdr:from>
    <xdr:ext cx="447675" cy="514350"/>
    <xdr:pic>
      <xdr:nvPicPr>
        <xdr:cNvPr id="0" name="image148.jpg"/>
        <xdr:cNvPicPr preferRelativeResize="0"/>
      </xdr:nvPicPr>
      <xdr:blipFill>
        <a:blip cstate="print" r:embed="rId158"/>
        <a:stretch>
          <a:fillRect/>
        </a:stretch>
      </xdr:blipFill>
      <xdr:spPr>
        <a:prstGeom prst="rect">
          <a:avLst/>
        </a:prstGeom>
        <a:noFill/>
      </xdr:spPr>
    </xdr:pic>
    <xdr:clientData fLocksWithSheet="0"/>
  </xdr:oneCellAnchor>
  <xdr:oneCellAnchor>
    <xdr:from>
      <xdr:col>6</xdr:col>
      <xdr:colOff>38100</xdr:colOff>
      <xdr:row>315</xdr:row>
      <xdr:rowOff>38100</xdr:rowOff>
    </xdr:from>
    <xdr:ext cx="533400" cy="514350"/>
    <xdr:pic>
      <xdr:nvPicPr>
        <xdr:cNvPr id="0" name="image196.jpg"/>
        <xdr:cNvPicPr preferRelativeResize="0"/>
      </xdr:nvPicPr>
      <xdr:blipFill>
        <a:blip cstate="print" r:embed="rId159"/>
        <a:stretch>
          <a:fillRect/>
        </a:stretch>
      </xdr:blipFill>
      <xdr:spPr>
        <a:prstGeom prst="rect">
          <a:avLst/>
        </a:prstGeom>
        <a:noFill/>
      </xdr:spPr>
    </xdr:pic>
    <xdr:clientData fLocksWithSheet="0"/>
  </xdr:oneCellAnchor>
  <xdr:oneCellAnchor>
    <xdr:from>
      <xdr:col>6</xdr:col>
      <xdr:colOff>38100</xdr:colOff>
      <xdr:row>316</xdr:row>
      <xdr:rowOff>38100</xdr:rowOff>
    </xdr:from>
    <xdr:ext cx="533400" cy="514350"/>
    <xdr:pic>
      <xdr:nvPicPr>
        <xdr:cNvPr id="0" name="image196.jpg"/>
        <xdr:cNvPicPr preferRelativeResize="0"/>
      </xdr:nvPicPr>
      <xdr:blipFill>
        <a:blip cstate="print" r:embed="rId159"/>
        <a:stretch>
          <a:fillRect/>
        </a:stretch>
      </xdr:blipFill>
      <xdr:spPr>
        <a:prstGeom prst="rect">
          <a:avLst/>
        </a:prstGeom>
        <a:noFill/>
      </xdr:spPr>
    </xdr:pic>
    <xdr:clientData fLocksWithSheet="0"/>
  </xdr:oneCellAnchor>
  <xdr:oneCellAnchor>
    <xdr:from>
      <xdr:col>6</xdr:col>
      <xdr:colOff>38100</xdr:colOff>
      <xdr:row>317</xdr:row>
      <xdr:rowOff>38100</xdr:rowOff>
    </xdr:from>
    <xdr:ext cx="647700" cy="485775"/>
    <xdr:pic>
      <xdr:nvPicPr>
        <xdr:cNvPr id="0" name="image162.jpg"/>
        <xdr:cNvPicPr preferRelativeResize="0"/>
      </xdr:nvPicPr>
      <xdr:blipFill>
        <a:blip cstate="print" r:embed="rId160"/>
        <a:stretch>
          <a:fillRect/>
        </a:stretch>
      </xdr:blipFill>
      <xdr:spPr>
        <a:prstGeom prst="rect">
          <a:avLst/>
        </a:prstGeom>
        <a:noFill/>
      </xdr:spPr>
    </xdr:pic>
    <xdr:clientData fLocksWithSheet="0"/>
  </xdr:oneCellAnchor>
  <xdr:oneCellAnchor>
    <xdr:from>
      <xdr:col>6</xdr:col>
      <xdr:colOff>38100</xdr:colOff>
      <xdr:row>318</xdr:row>
      <xdr:rowOff>38100</xdr:rowOff>
    </xdr:from>
    <xdr:ext cx="647700" cy="371475"/>
    <xdr:pic>
      <xdr:nvPicPr>
        <xdr:cNvPr id="0" name="image178.jpg"/>
        <xdr:cNvPicPr preferRelativeResize="0"/>
      </xdr:nvPicPr>
      <xdr:blipFill>
        <a:blip cstate="print" r:embed="rId161"/>
        <a:stretch>
          <a:fillRect/>
        </a:stretch>
      </xdr:blipFill>
      <xdr:spPr>
        <a:prstGeom prst="rect">
          <a:avLst/>
        </a:prstGeom>
        <a:noFill/>
      </xdr:spPr>
    </xdr:pic>
    <xdr:clientData fLocksWithSheet="0"/>
  </xdr:oneCellAnchor>
  <xdr:oneCellAnchor>
    <xdr:from>
      <xdr:col>6</xdr:col>
      <xdr:colOff>38100</xdr:colOff>
      <xdr:row>319</xdr:row>
      <xdr:rowOff>38100</xdr:rowOff>
    </xdr:from>
    <xdr:ext cx="514350" cy="514350"/>
    <xdr:pic>
      <xdr:nvPicPr>
        <xdr:cNvPr id="0" name="image153.jpg"/>
        <xdr:cNvPicPr preferRelativeResize="0"/>
      </xdr:nvPicPr>
      <xdr:blipFill>
        <a:blip cstate="print" r:embed="rId162"/>
        <a:stretch>
          <a:fillRect/>
        </a:stretch>
      </xdr:blipFill>
      <xdr:spPr>
        <a:prstGeom prst="rect">
          <a:avLst/>
        </a:prstGeom>
        <a:noFill/>
      </xdr:spPr>
    </xdr:pic>
    <xdr:clientData fLocksWithSheet="0"/>
  </xdr:oneCellAnchor>
  <xdr:oneCellAnchor>
    <xdr:from>
      <xdr:col>6</xdr:col>
      <xdr:colOff>38100</xdr:colOff>
      <xdr:row>320</xdr:row>
      <xdr:rowOff>38100</xdr:rowOff>
    </xdr:from>
    <xdr:ext cx="581025" cy="514350"/>
    <xdr:pic>
      <xdr:nvPicPr>
        <xdr:cNvPr id="0" name="image170.jpg"/>
        <xdr:cNvPicPr preferRelativeResize="0"/>
      </xdr:nvPicPr>
      <xdr:blipFill>
        <a:blip cstate="print" r:embed="rId163"/>
        <a:stretch>
          <a:fillRect/>
        </a:stretch>
      </xdr:blipFill>
      <xdr:spPr>
        <a:prstGeom prst="rect">
          <a:avLst/>
        </a:prstGeom>
        <a:noFill/>
      </xdr:spPr>
    </xdr:pic>
    <xdr:clientData fLocksWithSheet="0"/>
  </xdr:oneCellAnchor>
  <xdr:oneCellAnchor>
    <xdr:from>
      <xdr:col>6</xdr:col>
      <xdr:colOff>38100</xdr:colOff>
      <xdr:row>321</xdr:row>
      <xdr:rowOff>38100</xdr:rowOff>
    </xdr:from>
    <xdr:ext cx="514350" cy="514350"/>
    <xdr:pic>
      <xdr:nvPicPr>
        <xdr:cNvPr id="0" name="image174.jpg"/>
        <xdr:cNvPicPr preferRelativeResize="0"/>
      </xdr:nvPicPr>
      <xdr:blipFill>
        <a:blip cstate="print" r:embed="rId164"/>
        <a:stretch>
          <a:fillRect/>
        </a:stretch>
      </xdr:blipFill>
      <xdr:spPr>
        <a:prstGeom prst="rect">
          <a:avLst/>
        </a:prstGeom>
        <a:noFill/>
      </xdr:spPr>
    </xdr:pic>
    <xdr:clientData fLocksWithSheet="0"/>
  </xdr:oneCellAnchor>
  <xdr:oneCellAnchor>
    <xdr:from>
      <xdr:col>6</xdr:col>
      <xdr:colOff>38100</xdr:colOff>
      <xdr:row>322</xdr:row>
      <xdr:rowOff>38100</xdr:rowOff>
    </xdr:from>
    <xdr:ext cx="590550" cy="409575"/>
    <xdr:pic>
      <xdr:nvPicPr>
        <xdr:cNvPr id="0" name="image201.jpg"/>
        <xdr:cNvPicPr preferRelativeResize="0"/>
      </xdr:nvPicPr>
      <xdr:blipFill>
        <a:blip cstate="print" r:embed="rId165"/>
        <a:stretch>
          <a:fillRect/>
        </a:stretch>
      </xdr:blipFill>
      <xdr:spPr>
        <a:prstGeom prst="rect">
          <a:avLst/>
        </a:prstGeom>
        <a:noFill/>
      </xdr:spPr>
    </xdr:pic>
    <xdr:clientData fLocksWithSheet="0"/>
  </xdr:oneCellAnchor>
  <xdr:oneCellAnchor>
    <xdr:from>
      <xdr:col>6</xdr:col>
      <xdr:colOff>38100</xdr:colOff>
      <xdr:row>323</xdr:row>
      <xdr:rowOff>38100</xdr:rowOff>
    </xdr:from>
    <xdr:ext cx="647700" cy="447675"/>
    <xdr:pic>
      <xdr:nvPicPr>
        <xdr:cNvPr id="0" name="image192.jpg"/>
        <xdr:cNvPicPr preferRelativeResize="0"/>
      </xdr:nvPicPr>
      <xdr:blipFill>
        <a:blip cstate="print" r:embed="rId166"/>
        <a:stretch>
          <a:fillRect/>
        </a:stretch>
      </xdr:blipFill>
      <xdr:spPr>
        <a:prstGeom prst="rect">
          <a:avLst/>
        </a:prstGeom>
        <a:noFill/>
      </xdr:spPr>
    </xdr:pic>
    <xdr:clientData fLocksWithSheet="0"/>
  </xdr:oneCellAnchor>
  <xdr:oneCellAnchor>
    <xdr:from>
      <xdr:col>6</xdr:col>
      <xdr:colOff>38100</xdr:colOff>
      <xdr:row>324</xdr:row>
      <xdr:rowOff>38100</xdr:rowOff>
    </xdr:from>
    <xdr:ext cx="323850" cy="438150"/>
    <xdr:pic>
      <xdr:nvPicPr>
        <xdr:cNvPr id="0" name="image143.jpg"/>
        <xdr:cNvPicPr preferRelativeResize="0"/>
      </xdr:nvPicPr>
      <xdr:blipFill>
        <a:blip cstate="print" r:embed="rId167"/>
        <a:stretch>
          <a:fillRect/>
        </a:stretch>
      </xdr:blipFill>
      <xdr:spPr>
        <a:prstGeom prst="rect">
          <a:avLst/>
        </a:prstGeom>
        <a:noFill/>
      </xdr:spPr>
    </xdr:pic>
    <xdr:clientData fLocksWithSheet="0"/>
  </xdr:oneCellAnchor>
  <xdr:oneCellAnchor>
    <xdr:from>
      <xdr:col>6</xdr:col>
      <xdr:colOff>38100</xdr:colOff>
      <xdr:row>325</xdr:row>
      <xdr:rowOff>38100</xdr:rowOff>
    </xdr:from>
    <xdr:ext cx="514350" cy="514350"/>
    <xdr:pic>
      <xdr:nvPicPr>
        <xdr:cNvPr id="0" name="image151.jpg"/>
        <xdr:cNvPicPr preferRelativeResize="0"/>
      </xdr:nvPicPr>
      <xdr:blipFill>
        <a:blip cstate="print" r:embed="rId168"/>
        <a:stretch>
          <a:fillRect/>
        </a:stretch>
      </xdr:blipFill>
      <xdr:spPr>
        <a:prstGeom prst="rect">
          <a:avLst/>
        </a:prstGeom>
        <a:noFill/>
      </xdr:spPr>
    </xdr:pic>
    <xdr:clientData fLocksWithSheet="0"/>
  </xdr:oneCellAnchor>
  <xdr:oneCellAnchor>
    <xdr:from>
      <xdr:col>6</xdr:col>
      <xdr:colOff>38100</xdr:colOff>
      <xdr:row>326</xdr:row>
      <xdr:rowOff>38100</xdr:rowOff>
    </xdr:from>
    <xdr:ext cx="647700" cy="323850"/>
    <xdr:pic>
      <xdr:nvPicPr>
        <xdr:cNvPr id="0" name="image149.jpg"/>
        <xdr:cNvPicPr preferRelativeResize="0"/>
      </xdr:nvPicPr>
      <xdr:blipFill>
        <a:blip cstate="print" r:embed="rId169"/>
        <a:stretch>
          <a:fillRect/>
        </a:stretch>
      </xdr:blipFill>
      <xdr:spPr>
        <a:prstGeom prst="rect">
          <a:avLst/>
        </a:prstGeom>
        <a:noFill/>
      </xdr:spPr>
    </xdr:pic>
    <xdr:clientData fLocksWithSheet="0"/>
  </xdr:oneCellAnchor>
  <xdr:oneCellAnchor>
    <xdr:from>
      <xdr:col>6</xdr:col>
      <xdr:colOff>38100</xdr:colOff>
      <xdr:row>327</xdr:row>
      <xdr:rowOff>38100</xdr:rowOff>
    </xdr:from>
    <xdr:ext cx="333375" cy="457200"/>
    <xdr:pic>
      <xdr:nvPicPr>
        <xdr:cNvPr id="0" name="image195.jpg"/>
        <xdr:cNvPicPr preferRelativeResize="0"/>
      </xdr:nvPicPr>
      <xdr:blipFill>
        <a:blip cstate="print" r:embed="rId170"/>
        <a:stretch>
          <a:fillRect/>
        </a:stretch>
      </xdr:blipFill>
      <xdr:spPr>
        <a:prstGeom prst="rect">
          <a:avLst/>
        </a:prstGeom>
        <a:noFill/>
      </xdr:spPr>
    </xdr:pic>
    <xdr:clientData fLocksWithSheet="0"/>
  </xdr:oneCellAnchor>
  <xdr:oneCellAnchor>
    <xdr:from>
      <xdr:col>6</xdr:col>
      <xdr:colOff>38100</xdr:colOff>
      <xdr:row>328</xdr:row>
      <xdr:rowOff>38100</xdr:rowOff>
    </xdr:from>
    <xdr:ext cx="333375" cy="457200"/>
    <xdr:pic>
      <xdr:nvPicPr>
        <xdr:cNvPr id="0" name="image195.jpg"/>
        <xdr:cNvPicPr preferRelativeResize="0"/>
      </xdr:nvPicPr>
      <xdr:blipFill>
        <a:blip cstate="print" r:embed="rId170"/>
        <a:stretch>
          <a:fillRect/>
        </a:stretch>
      </xdr:blipFill>
      <xdr:spPr>
        <a:prstGeom prst="rect">
          <a:avLst/>
        </a:prstGeom>
        <a:noFill/>
      </xdr:spPr>
    </xdr:pic>
    <xdr:clientData fLocksWithSheet="0"/>
  </xdr:oneCellAnchor>
  <xdr:oneCellAnchor>
    <xdr:from>
      <xdr:col>6</xdr:col>
      <xdr:colOff>38100</xdr:colOff>
      <xdr:row>329</xdr:row>
      <xdr:rowOff>38100</xdr:rowOff>
    </xdr:from>
    <xdr:ext cx="514350" cy="514350"/>
    <xdr:pic>
      <xdr:nvPicPr>
        <xdr:cNvPr id="0" name="image154.jpg"/>
        <xdr:cNvPicPr preferRelativeResize="0"/>
      </xdr:nvPicPr>
      <xdr:blipFill>
        <a:blip cstate="print" r:embed="rId171"/>
        <a:stretch>
          <a:fillRect/>
        </a:stretch>
      </xdr:blipFill>
      <xdr:spPr>
        <a:prstGeom prst="rect">
          <a:avLst/>
        </a:prstGeom>
        <a:noFill/>
      </xdr:spPr>
    </xdr:pic>
    <xdr:clientData fLocksWithSheet="0"/>
  </xdr:oneCellAnchor>
  <xdr:oneCellAnchor>
    <xdr:from>
      <xdr:col>6</xdr:col>
      <xdr:colOff>38100</xdr:colOff>
      <xdr:row>330</xdr:row>
      <xdr:rowOff>38100</xdr:rowOff>
    </xdr:from>
    <xdr:ext cx="333375" cy="514350"/>
    <xdr:pic>
      <xdr:nvPicPr>
        <xdr:cNvPr id="0" name="image152.jpg"/>
        <xdr:cNvPicPr preferRelativeResize="0"/>
      </xdr:nvPicPr>
      <xdr:blipFill>
        <a:blip cstate="print" r:embed="rId172"/>
        <a:stretch>
          <a:fillRect/>
        </a:stretch>
      </xdr:blipFill>
      <xdr:spPr>
        <a:prstGeom prst="rect">
          <a:avLst/>
        </a:prstGeom>
        <a:noFill/>
      </xdr:spPr>
    </xdr:pic>
    <xdr:clientData fLocksWithSheet="0"/>
  </xdr:oneCellAnchor>
  <xdr:oneCellAnchor>
    <xdr:from>
      <xdr:col>6</xdr:col>
      <xdr:colOff>38100</xdr:colOff>
      <xdr:row>331</xdr:row>
      <xdr:rowOff>38100</xdr:rowOff>
    </xdr:from>
    <xdr:ext cx="333375" cy="514350"/>
    <xdr:pic>
      <xdr:nvPicPr>
        <xdr:cNvPr id="0" name="image152.jpg"/>
        <xdr:cNvPicPr preferRelativeResize="0"/>
      </xdr:nvPicPr>
      <xdr:blipFill>
        <a:blip cstate="print" r:embed="rId172"/>
        <a:stretch>
          <a:fillRect/>
        </a:stretch>
      </xdr:blipFill>
      <xdr:spPr>
        <a:prstGeom prst="rect">
          <a:avLst/>
        </a:prstGeom>
        <a:noFill/>
      </xdr:spPr>
    </xdr:pic>
    <xdr:clientData fLocksWithSheet="0"/>
  </xdr:oneCellAnchor>
  <xdr:oneCellAnchor>
    <xdr:from>
      <xdr:col>6</xdr:col>
      <xdr:colOff>38100</xdr:colOff>
      <xdr:row>332</xdr:row>
      <xdr:rowOff>38100</xdr:rowOff>
    </xdr:from>
    <xdr:ext cx="514350" cy="514350"/>
    <xdr:pic>
      <xdr:nvPicPr>
        <xdr:cNvPr id="0" name="image177.jpg"/>
        <xdr:cNvPicPr preferRelativeResize="0"/>
      </xdr:nvPicPr>
      <xdr:blipFill>
        <a:blip cstate="print" r:embed="rId173"/>
        <a:stretch>
          <a:fillRect/>
        </a:stretch>
      </xdr:blipFill>
      <xdr:spPr>
        <a:prstGeom prst="rect">
          <a:avLst/>
        </a:prstGeom>
        <a:noFill/>
      </xdr:spPr>
    </xdr:pic>
    <xdr:clientData fLocksWithSheet="0"/>
  </xdr:oneCellAnchor>
  <xdr:oneCellAnchor>
    <xdr:from>
      <xdr:col>6</xdr:col>
      <xdr:colOff>38100</xdr:colOff>
      <xdr:row>333</xdr:row>
      <xdr:rowOff>38100</xdr:rowOff>
    </xdr:from>
    <xdr:ext cx="514350" cy="514350"/>
    <xdr:pic>
      <xdr:nvPicPr>
        <xdr:cNvPr id="0" name="image177.jpg"/>
        <xdr:cNvPicPr preferRelativeResize="0"/>
      </xdr:nvPicPr>
      <xdr:blipFill>
        <a:blip cstate="print" r:embed="rId173"/>
        <a:stretch>
          <a:fillRect/>
        </a:stretch>
      </xdr:blipFill>
      <xdr:spPr>
        <a:prstGeom prst="rect">
          <a:avLst/>
        </a:prstGeom>
        <a:noFill/>
      </xdr:spPr>
    </xdr:pic>
    <xdr:clientData fLocksWithSheet="0"/>
  </xdr:oneCellAnchor>
  <xdr:oneCellAnchor>
    <xdr:from>
      <xdr:col>6</xdr:col>
      <xdr:colOff>38100</xdr:colOff>
      <xdr:row>334</xdr:row>
      <xdr:rowOff>38100</xdr:rowOff>
    </xdr:from>
    <xdr:ext cx="485775" cy="514350"/>
    <xdr:pic>
      <xdr:nvPicPr>
        <xdr:cNvPr id="0" name="image189.jpg"/>
        <xdr:cNvPicPr preferRelativeResize="0"/>
      </xdr:nvPicPr>
      <xdr:blipFill>
        <a:blip cstate="print" r:embed="rId174"/>
        <a:stretch>
          <a:fillRect/>
        </a:stretch>
      </xdr:blipFill>
      <xdr:spPr>
        <a:prstGeom prst="rect">
          <a:avLst/>
        </a:prstGeom>
        <a:noFill/>
      </xdr:spPr>
    </xdr:pic>
    <xdr:clientData fLocksWithSheet="0"/>
  </xdr:oneCellAnchor>
  <xdr:oneCellAnchor>
    <xdr:from>
      <xdr:col>6</xdr:col>
      <xdr:colOff>38100</xdr:colOff>
      <xdr:row>335</xdr:row>
      <xdr:rowOff>38100</xdr:rowOff>
    </xdr:from>
    <xdr:ext cx="514350" cy="514350"/>
    <xdr:pic>
      <xdr:nvPicPr>
        <xdr:cNvPr id="0" name="image157.jpg"/>
        <xdr:cNvPicPr preferRelativeResize="0"/>
      </xdr:nvPicPr>
      <xdr:blipFill>
        <a:blip cstate="print" r:embed="rId175"/>
        <a:stretch>
          <a:fillRect/>
        </a:stretch>
      </xdr:blipFill>
      <xdr:spPr>
        <a:prstGeom prst="rect">
          <a:avLst/>
        </a:prstGeom>
        <a:noFill/>
      </xdr:spPr>
    </xdr:pic>
    <xdr:clientData fLocksWithSheet="0"/>
  </xdr:oneCellAnchor>
  <xdr:oneCellAnchor>
    <xdr:from>
      <xdr:col>6</xdr:col>
      <xdr:colOff>38100</xdr:colOff>
      <xdr:row>336</xdr:row>
      <xdr:rowOff>38100</xdr:rowOff>
    </xdr:from>
    <xdr:ext cx="495300" cy="390525"/>
    <xdr:pic>
      <xdr:nvPicPr>
        <xdr:cNvPr id="0" name="image203.jpg"/>
        <xdr:cNvPicPr preferRelativeResize="0"/>
      </xdr:nvPicPr>
      <xdr:blipFill>
        <a:blip cstate="print" r:embed="rId176"/>
        <a:stretch>
          <a:fillRect/>
        </a:stretch>
      </xdr:blipFill>
      <xdr:spPr>
        <a:prstGeom prst="rect">
          <a:avLst/>
        </a:prstGeom>
        <a:noFill/>
      </xdr:spPr>
    </xdr:pic>
    <xdr:clientData fLocksWithSheet="0"/>
  </xdr:oneCellAnchor>
  <xdr:oneCellAnchor>
    <xdr:from>
      <xdr:col>6</xdr:col>
      <xdr:colOff>38100</xdr:colOff>
      <xdr:row>337</xdr:row>
      <xdr:rowOff>38100</xdr:rowOff>
    </xdr:from>
    <xdr:ext cx="514350" cy="514350"/>
    <xdr:pic>
      <xdr:nvPicPr>
        <xdr:cNvPr id="0" name="image167.jpg"/>
        <xdr:cNvPicPr preferRelativeResize="0"/>
      </xdr:nvPicPr>
      <xdr:blipFill>
        <a:blip cstate="print" r:embed="rId177"/>
        <a:stretch>
          <a:fillRect/>
        </a:stretch>
      </xdr:blipFill>
      <xdr:spPr>
        <a:prstGeom prst="rect">
          <a:avLst/>
        </a:prstGeom>
        <a:noFill/>
      </xdr:spPr>
    </xdr:pic>
    <xdr:clientData fLocksWithSheet="0"/>
  </xdr:oneCellAnchor>
  <xdr:oneCellAnchor>
    <xdr:from>
      <xdr:col>6</xdr:col>
      <xdr:colOff>38100</xdr:colOff>
      <xdr:row>338</xdr:row>
      <xdr:rowOff>38100</xdr:rowOff>
    </xdr:from>
    <xdr:ext cx="514350" cy="514350"/>
    <xdr:pic>
      <xdr:nvPicPr>
        <xdr:cNvPr id="0" name="image167.jpg"/>
        <xdr:cNvPicPr preferRelativeResize="0"/>
      </xdr:nvPicPr>
      <xdr:blipFill>
        <a:blip cstate="print" r:embed="rId177"/>
        <a:stretch>
          <a:fillRect/>
        </a:stretch>
      </xdr:blipFill>
      <xdr:spPr>
        <a:prstGeom prst="rect">
          <a:avLst/>
        </a:prstGeom>
        <a:noFill/>
      </xdr:spPr>
    </xdr:pic>
    <xdr:clientData fLocksWithSheet="0"/>
  </xdr:oneCellAnchor>
  <xdr:oneCellAnchor>
    <xdr:from>
      <xdr:col>6</xdr:col>
      <xdr:colOff>38100</xdr:colOff>
      <xdr:row>339</xdr:row>
      <xdr:rowOff>38100</xdr:rowOff>
    </xdr:from>
    <xdr:ext cx="638175" cy="514350"/>
    <xdr:pic>
      <xdr:nvPicPr>
        <xdr:cNvPr id="0" name="image185.jp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38100</xdr:colOff>
      <xdr:row>340</xdr:row>
      <xdr:rowOff>38100</xdr:rowOff>
    </xdr:from>
    <xdr:ext cx="647700" cy="495300"/>
    <xdr:pic>
      <xdr:nvPicPr>
        <xdr:cNvPr id="0" name="image160.jpg"/>
        <xdr:cNvPicPr preferRelativeResize="0"/>
      </xdr:nvPicPr>
      <xdr:blipFill>
        <a:blip cstate="print" r:embed="rId179"/>
        <a:stretch>
          <a:fillRect/>
        </a:stretch>
      </xdr:blipFill>
      <xdr:spPr>
        <a:prstGeom prst="rect">
          <a:avLst/>
        </a:prstGeom>
        <a:noFill/>
      </xdr:spPr>
    </xdr:pic>
    <xdr:clientData fLocksWithSheet="0"/>
  </xdr:oneCellAnchor>
  <xdr:oneCellAnchor>
    <xdr:from>
      <xdr:col>6</xdr:col>
      <xdr:colOff>38100</xdr:colOff>
      <xdr:row>341</xdr:row>
      <xdr:rowOff>38100</xdr:rowOff>
    </xdr:from>
    <xdr:ext cx="352425" cy="514350"/>
    <xdr:pic>
      <xdr:nvPicPr>
        <xdr:cNvPr id="0" name="image200.jpg"/>
        <xdr:cNvPicPr preferRelativeResize="0"/>
      </xdr:nvPicPr>
      <xdr:blipFill>
        <a:blip cstate="print" r:embed="rId180"/>
        <a:stretch>
          <a:fillRect/>
        </a:stretch>
      </xdr:blipFill>
      <xdr:spPr>
        <a:prstGeom prst="rect">
          <a:avLst/>
        </a:prstGeom>
        <a:noFill/>
      </xdr:spPr>
    </xdr:pic>
    <xdr:clientData fLocksWithSheet="0"/>
  </xdr:oneCellAnchor>
  <xdr:oneCellAnchor>
    <xdr:from>
      <xdr:col>6</xdr:col>
      <xdr:colOff>38100</xdr:colOff>
      <xdr:row>342</xdr:row>
      <xdr:rowOff>38100</xdr:rowOff>
    </xdr:from>
    <xdr:ext cx="514350" cy="514350"/>
    <xdr:pic>
      <xdr:nvPicPr>
        <xdr:cNvPr id="0" name="image164.jpg"/>
        <xdr:cNvPicPr preferRelativeResize="0"/>
      </xdr:nvPicPr>
      <xdr:blipFill>
        <a:blip cstate="print" r:embed="rId181"/>
        <a:stretch>
          <a:fillRect/>
        </a:stretch>
      </xdr:blipFill>
      <xdr:spPr>
        <a:prstGeom prst="rect">
          <a:avLst/>
        </a:prstGeom>
        <a:noFill/>
      </xdr:spPr>
    </xdr:pic>
    <xdr:clientData fLocksWithSheet="0"/>
  </xdr:oneCellAnchor>
  <xdr:oneCellAnchor>
    <xdr:from>
      <xdr:col>6</xdr:col>
      <xdr:colOff>38100</xdr:colOff>
      <xdr:row>343</xdr:row>
      <xdr:rowOff>38100</xdr:rowOff>
    </xdr:from>
    <xdr:ext cx="647700" cy="495300"/>
    <xdr:pic>
      <xdr:nvPicPr>
        <xdr:cNvPr id="0" name="image169.jpg"/>
        <xdr:cNvPicPr preferRelativeResize="0"/>
      </xdr:nvPicPr>
      <xdr:blipFill>
        <a:blip cstate="print" r:embed="rId182"/>
        <a:stretch>
          <a:fillRect/>
        </a:stretch>
      </xdr:blipFill>
      <xdr:spPr>
        <a:prstGeom prst="rect">
          <a:avLst/>
        </a:prstGeom>
        <a:noFill/>
      </xdr:spPr>
    </xdr:pic>
    <xdr:clientData fLocksWithSheet="0"/>
  </xdr:oneCellAnchor>
  <xdr:oneCellAnchor>
    <xdr:from>
      <xdr:col>6</xdr:col>
      <xdr:colOff>38100</xdr:colOff>
      <xdr:row>344</xdr:row>
      <xdr:rowOff>38100</xdr:rowOff>
    </xdr:from>
    <xdr:ext cx="647700" cy="495300"/>
    <xdr:pic>
      <xdr:nvPicPr>
        <xdr:cNvPr id="0" name="image169.jpg"/>
        <xdr:cNvPicPr preferRelativeResize="0"/>
      </xdr:nvPicPr>
      <xdr:blipFill>
        <a:blip cstate="print" r:embed="rId182"/>
        <a:stretch>
          <a:fillRect/>
        </a:stretch>
      </xdr:blipFill>
      <xdr:spPr>
        <a:prstGeom prst="rect">
          <a:avLst/>
        </a:prstGeom>
        <a:noFill/>
      </xdr:spPr>
    </xdr:pic>
    <xdr:clientData fLocksWithSheet="0"/>
  </xdr:oneCellAnchor>
  <xdr:oneCellAnchor>
    <xdr:from>
      <xdr:col>6</xdr:col>
      <xdr:colOff>38100</xdr:colOff>
      <xdr:row>345</xdr:row>
      <xdr:rowOff>38100</xdr:rowOff>
    </xdr:from>
    <xdr:ext cx="647700" cy="447675"/>
    <xdr:pic>
      <xdr:nvPicPr>
        <xdr:cNvPr id="0" name="image182.jpg"/>
        <xdr:cNvPicPr preferRelativeResize="0"/>
      </xdr:nvPicPr>
      <xdr:blipFill>
        <a:blip cstate="print" r:embed="rId183"/>
        <a:stretch>
          <a:fillRect/>
        </a:stretch>
      </xdr:blipFill>
      <xdr:spPr>
        <a:prstGeom prst="rect">
          <a:avLst/>
        </a:prstGeom>
        <a:noFill/>
      </xdr:spPr>
    </xdr:pic>
    <xdr:clientData fLocksWithSheet="0"/>
  </xdr:oneCellAnchor>
  <xdr:oneCellAnchor>
    <xdr:from>
      <xdr:col>6</xdr:col>
      <xdr:colOff>38100</xdr:colOff>
      <xdr:row>346</xdr:row>
      <xdr:rowOff>38100</xdr:rowOff>
    </xdr:from>
    <xdr:ext cx="647700" cy="447675"/>
    <xdr:pic>
      <xdr:nvPicPr>
        <xdr:cNvPr id="0" name="image182.jpg"/>
        <xdr:cNvPicPr preferRelativeResize="0"/>
      </xdr:nvPicPr>
      <xdr:blipFill>
        <a:blip cstate="print" r:embed="rId183"/>
        <a:stretch>
          <a:fillRect/>
        </a:stretch>
      </xdr:blipFill>
      <xdr:spPr>
        <a:prstGeom prst="rect">
          <a:avLst/>
        </a:prstGeom>
        <a:noFill/>
      </xdr:spPr>
    </xdr:pic>
    <xdr:clientData fLocksWithSheet="0"/>
  </xdr:oneCellAnchor>
  <xdr:oneCellAnchor>
    <xdr:from>
      <xdr:col>6</xdr:col>
      <xdr:colOff>38100</xdr:colOff>
      <xdr:row>347</xdr:row>
      <xdr:rowOff>38100</xdr:rowOff>
    </xdr:from>
    <xdr:ext cx="466725" cy="342900"/>
    <xdr:pic>
      <xdr:nvPicPr>
        <xdr:cNvPr id="0" name="image188.jpg"/>
        <xdr:cNvPicPr preferRelativeResize="0"/>
      </xdr:nvPicPr>
      <xdr:blipFill>
        <a:blip cstate="print" r:embed="rId184"/>
        <a:stretch>
          <a:fillRect/>
        </a:stretch>
      </xdr:blipFill>
      <xdr:spPr>
        <a:prstGeom prst="rect">
          <a:avLst/>
        </a:prstGeom>
        <a:noFill/>
      </xdr:spPr>
    </xdr:pic>
    <xdr:clientData fLocksWithSheet="0"/>
  </xdr:oneCellAnchor>
  <xdr:oneCellAnchor>
    <xdr:from>
      <xdr:col>6</xdr:col>
      <xdr:colOff>38100</xdr:colOff>
      <xdr:row>348</xdr:row>
      <xdr:rowOff>38100</xdr:rowOff>
    </xdr:from>
    <xdr:ext cx="590550" cy="514350"/>
    <xdr:pic>
      <xdr:nvPicPr>
        <xdr:cNvPr id="0" name="image166.jpg"/>
        <xdr:cNvPicPr preferRelativeResize="0"/>
      </xdr:nvPicPr>
      <xdr:blipFill>
        <a:blip cstate="print" r:embed="rId185"/>
        <a:stretch>
          <a:fillRect/>
        </a:stretch>
      </xdr:blipFill>
      <xdr:spPr>
        <a:prstGeom prst="rect">
          <a:avLst/>
        </a:prstGeom>
        <a:noFill/>
      </xdr:spPr>
    </xdr:pic>
    <xdr:clientData fLocksWithSheet="0"/>
  </xdr:oneCellAnchor>
  <xdr:oneCellAnchor>
    <xdr:from>
      <xdr:col>6</xdr:col>
      <xdr:colOff>38100</xdr:colOff>
      <xdr:row>349</xdr:row>
      <xdr:rowOff>38100</xdr:rowOff>
    </xdr:from>
    <xdr:ext cx="647700" cy="400050"/>
    <xdr:pic>
      <xdr:nvPicPr>
        <xdr:cNvPr id="0" name="image168.jpg"/>
        <xdr:cNvPicPr preferRelativeResize="0"/>
      </xdr:nvPicPr>
      <xdr:blipFill>
        <a:blip cstate="print" r:embed="rId186"/>
        <a:stretch>
          <a:fillRect/>
        </a:stretch>
      </xdr:blipFill>
      <xdr:spPr>
        <a:prstGeom prst="rect">
          <a:avLst/>
        </a:prstGeom>
        <a:noFill/>
      </xdr:spPr>
    </xdr:pic>
    <xdr:clientData fLocksWithSheet="0"/>
  </xdr:oneCellAnchor>
  <xdr:oneCellAnchor>
    <xdr:from>
      <xdr:col>6</xdr:col>
      <xdr:colOff>38100</xdr:colOff>
      <xdr:row>350</xdr:row>
      <xdr:rowOff>38100</xdr:rowOff>
    </xdr:from>
    <xdr:ext cx="533400" cy="514350"/>
    <xdr:pic>
      <xdr:nvPicPr>
        <xdr:cNvPr id="0" name="image175.jpg"/>
        <xdr:cNvPicPr preferRelativeResize="0"/>
      </xdr:nvPicPr>
      <xdr:blipFill>
        <a:blip cstate="print" r:embed="rId187"/>
        <a:stretch>
          <a:fillRect/>
        </a:stretch>
      </xdr:blipFill>
      <xdr:spPr>
        <a:prstGeom prst="rect">
          <a:avLst/>
        </a:prstGeom>
        <a:noFill/>
      </xdr:spPr>
    </xdr:pic>
    <xdr:clientData fLocksWithSheet="0"/>
  </xdr:oneCellAnchor>
  <xdr:oneCellAnchor>
    <xdr:from>
      <xdr:col>6</xdr:col>
      <xdr:colOff>38100</xdr:colOff>
      <xdr:row>351</xdr:row>
      <xdr:rowOff>38100</xdr:rowOff>
    </xdr:from>
    <xdr:ext cx="419100" cy="381000"/>
    <xdr:pic>
      <xdr:nvPicPr>
        <xdr:cNvPr id="0" name="image226.jpg"/>
        <xdr:cNvPicPr preferRelativeResize="0"/>
      </xdr:nvPicPr>
      <xdr:blipFill>
        <a:blip cstate="print" r:embed="rId188"/>
        <a:stretch>
          <a:fillRect/>
        </a:stretch>
      </xdr:blipFill>
      <xdr:spPr>
        <a:prstGeom prst="rect">
          <a:avLst/>
        </a:prstGeom>
        <a:noFill/>
      </xdr:spPr>
    </xdr:pic>
    <xdr:clientData fLocksWithSheet="0"/>
  </xdr:oneCellAnchor>
  <xdr:oneCellAnchor>
    <xdr:from>
      <xdr:col>6</xdr:col>
      <xdr:colOff>38100</xdr:colOff>
      <xdr:row>352</xdr:row>
      <xdr:rowOff>38100</xdr:rowOff>
    </xdr:from>
    <xdr:ext cx="419100" cy="381000"/>
    <xdr:pic>
      <xdr:nvPicPr>
        <xdr:cNvPr id="0" name="image226.jpg"/>
        <xdr:cNvPicPr preferRelativeResize="0"/>
      </xdr:nvPicPr>
      <xdr:blipFill>
        <a:blip cstate="print" r:embed="rId188"/>
        <a:stretch>
          <a:fillRect/>
        </a:stretch>
      </xdr:blipFill>
      <xdr:spPr>
        <a:prstGeom prst="rect">
          <a:avLst/>
        </a:prstGeom>
        <a:noFill/>
      </xdr:spPr>
    </xdr:pic>
    <xdr:clientData fLocksWithSheet="0"/>
  </xdr:oneCellAnchor>
  <xdr:oneCellAnchor>
    <xdr:from>
      <xdr:col>6</xdr:col>
      <xdr:colOff>38100</xdr:colOff>
      <xdr:row>353</xdr:row>
      <xdr:rowOff>38100</xdr:rowOff>
    </xdr:from>
    <xdr:ext cx="419100" cy="381000"/>
    <xdr:pic>
      <xdr:nvPicPr>
        <xdr:cNvPr id="0" name="image226.jpg"/>
        <xdr:cNvPicPr preferRelativeResize="0"/>
      </xdr:nvPicPr>
      <xdr:blipFill>
        <a:blip cstate="print" r:embed="rId188"/>
        <a:stretch>
          <a:fillRect/>
        </a:stretch>
      </xdr:blipFill>
      <xdr:spPr>
        <a:prstGeom prst="rect">
          <a:avLst/>
        </a:prstGeom>
        <a:noFill/>
      </xdr:spPr>
    </xdr:pic>
    <xdr:clientData fLocksWithSheet="0"/>
  </xdr:oneCellAnchor>
  <xdr:oneCellAnchor>
    <xdr:from>
      <xdr:col>6</xdr:col>
      <xdr:colOff>38100</xdr:colOff>
      <xdr:row>354</xdr:row>
      <xdr:rowOff>38100</xdr:rowOff>
    </xdr:from>
    <xdr:ext cx="419100" cy="266700"/>
    <xdr:pic>
      <xdr:nvPicPr>
        <xdr:cNvPr id="0" name="image209.jpg"/>
        <xdr:cNvPicPr preferRelativeResize="0"/>
      </xdr:nvPicPr>
      <xdr:blipFill>
        <a:blip cstate="print" r:embed="rId189"/>
        <a:stretch>
          <a:fillRect/>
        </a:stretch>
      </xdr:blipFill>
      <xdr:spPr>
        <a:prstGeom prst="rect">
          <a:avLst/>
        </a:prstGeom>
        <a:noFill/>
      </xdr:spPr>
    </xdr:pic>
    <xdr:clientData fLocksWithSheet="0"/>
  </xdr:oneCellAnchor>
  <xdr:oneCellAnchor>
    <xdr:from>
      <xdr:col>6</xdr:col>
      <xdr:colOff>38100</xdr:colOff>
      <xdr:row>355</xdr:row>
      <xdr:rowOff>38100</xdr:rowOff>
    </xdr:from>
    <xdr:ext cx="419100" cy="266700"/>
    <xdr:pic>
      <xdr:nvPicPr>
        <xdr:cNvPr id="0" name="image209.jpg"/>
        <xdr:cNvPicPr preferRelativeResize="0"/>
      </xdr:nvPicPr>
      <xdr:blipFill>
        <a:blip cstate="print" r:embed="rId189"/>
        <a:stretch>
          <a:fillRect/>
        </a:stretch>
      </xdr:blipFill>
      <xdr:spPr>
        <a:prstGeom prst="rect">
          <a:avLst/>
        </a:prstGeom>
        <a:noFill/>
      </xdr:spPr>
    </xdr:pic>
    <xdr:clientData fLocksWithSheet="0"/>
  </xdr:oneCellAnchor>
  <xdr:oneCellAnchor>
    <xdr:from>
      <xdr:col>6</xdr:col>
      <xdr:colOff>38100</xdr:colOff>
      <xdr:row>356</xdr:row>
      <xdr:rowOff>38100</xdr:rowOff>
    </xdr:from>
    <xdr:ext cx="647700" cy="428625"/>
    <xdr:pic>
      <xdr:nvPicPr>
        <xdr:cNvPr id="0" name="image179.jpg"/>
        <xdr:cNvPicPr preferRelativeResize="0"/>
      </xdr:nvPicPr>
      <xdr:blipFill>
        <a:blip cstate="print" r:embed="rId190"/>
        <a:stretch>
          <a:fillRect/>
        </a:stretch>
      </xdr:blipFill>
      <xdr:spPr>
        <a:prstGeom prst="rect">
          <a:avLst/>
        </a:prstGeom>
        <a:noFill/>
      </xdr:spPr>
    </xdr:pic>
    <xdr:clientData fLocksWithSheet="0"/>
  </xdr:oneCellAnchor>
  <xdr:oneCellAnchor>
    <xdr:from>
      <xdr:col>6</xdr:col>
      <xdr:colOff>38100</xdr:colOff>
      <xdr:row>357</xdr:row>
      <xdr:rowOff>38100</xdr:rowOff>
    </xdr:from>
    <xdr:ext cx="419100" cy="266700"/>
    <xdr:pic>
      <xdr:nvPicPr>
        <xdr:cNvPr id="0" name="image209.jpg"/>
        <xdr:cNvPicPr preferRelativeResize="0"/>
      </xdr:nvPicPr>
      <xdr:blipFill>
        <a:blip cstate="print" r:embed="rId189"/>
        <a:stretch>
          <a:fillRect/>
        </a:stretch>
      </xdr:blipFill>
      <xdr:spPr>
        <a:prstGeom prst="rect">
          <a:avLst/>
        </a:prstGeom>
        <a:noFill/>
      </xdr:spPr>
    </xdr:pic>
    <xdr:clientData fLocksWithSheet="0"/>
  </xdr:oneCellAnchor>
  <xdr:oneCellAnchor>
    <xdr:from>
      <xdr:col>6</xdr:col>
      <xdr:colOff>38100</xdr:colOff>
      <xdr:row>358</xdr:row>
      <xdr:rowOff>38100</xdr:rowOff>
    </xdr:from>
    <xdr:ext cx="523875" cy="514350"/>
    <xdr:pic>
      <xdr:nvPicPr>
        <xdr:cNvPr id="0" name="image181.jpg"/>
        <xdr:cNvPicPr preferRelativeResize="0"/>
      </xdr:nvPicPr>
      <xdr:blipFill>
        <a:blip cstate="print" r:embed="rId191"/>
        <a:stretch>
          <a:fillRect/>
        </a:stretch>
      </xdr:blipFill>
      <xdr:spPr>
        <a:prstGeom prst="rect">
          <a:avLst/>
        </a:prstGeom>
        <a:noFill/>
      </xdr:spPr>
    </xdr:pic>
    <xdr:clientData fLocksWithSheet="0"/>
  </xdr:oneCellAnchor>
  <xdr:oneCellAnchor>
    <xdr:from>
      <xdr:col>6</xdr:col>
      <xdr:colOff>38100</xdr:colOff>
      <xdr:row>359</xdr:row>
      <xdr:rowOff>38100</xdr:rowOff>
    </xdr:from>
    <xdr:ext cx="647700" cy="495300"/>
    <xdr:pic>
      <xdr:nvPicPr>
        <xdr:cNvPr id="0" name="image180.jpg"/>
        <xdr:cNvPicPr preferRelativeResize="0"/>
      </xdr:nvPicPr>
      <xdr:blipFill>
        <a:blip cstate="print" r:embed="rId192"/>
        <a:stretch>
          <a:fillRect/>
        </a:stretch>
      </xdr:blipFill>
      <xdr:spPr>
        <a:prstGeom prst="rect">
          <a:avLst/>
        </a:prstGeom>
        <a:noFill/>
      </xdr:spPr>
    </xdr:pic>
    <xdr:clientData fLocksWithSheet="0"/>
  </xdr:oneCellAnchor>
  <xdr:oneCellAnchor>
    <xdr:from>
      <xdr:col>6</xdr:col>
      <xdr:colOff>38100</xdr:colOff>
      <xdr:row>360</xdr:row>
      <xdr:rowOff>38100</xdr:rowOff>
    </xdr:from>
    <xdr:ext cx="647700" cy="495300"/>
    <xdr:pic>
      <xdr:nvPicPr>
        <xdr:cNvPr id="0" name="image180.jpg"/>
        <xdr:cNvPicPr preferRelativeResize="0"/>
      </xdr:nvPicPr>
      <xdr:blipFill>
        <a:blip cstate="print" r:embed="rId192"/>
        <a:stretch>
          <a:fillRect/>
        </a:stretch>
      </xdr:blipFill>
      <xdr:spPr>
        <a:prstGeom prst="rect">
          <a:avLst/>
        </a:prstGeom>
        <a:noFill/>
      </xdr:spPr>
    </xdr:pic>
    <xdr:clientData fLocksWithSheet="0"/>
  </xdr:oneCellAnchor>
  <xdr:oneCellAnchor>
    <xdr:from>
      <xdr:col>6</xdr:col>
      <xdr:colOff>38100</xdr:colOff>
      <xdr:row>361</xdr:row>
      <xdr:rowOff>38100</xdr:rowOff>
    </xdr:from>
    <xdr:ext cx="647700" cy="495300"/>
    <xdr:pic>
      <xdr:nvPicPr>
        <xdr:cNvPr id="0" name="image180.jpg"/>
        <xdr:cNvPicPr preferRelativeResize="0"/>
      </xdr:nvPicPr>
      <xdr:blipFill>
        <a:blip cstate="print" r:embed="rId192"/>
        <a:stretch>
          <a:fillRect/>
        </a:stretch>
      </xdr:blipFill>
      <xdr:spPr>
        <a:prstGeom prst="rect">
          <a:avLst/>
        </a:prstGeom>
        <a:noFill/>
      </xdr:spPr>
    </xdr:pic>
    <xdr:clientData fLocksWithSheet="0"/>
  </xdr:oneCellAnchor>
  <xdr:oneCellAnchor>
    <xdr:from>
      <xdr:col>6</xdr:col>
      <xdr:colOff>38100</xdr:colOff>
      <xdr:row>362</xdr:row>
      <xdr:rowOff>38100</xdr:rowOff>
    </xdr:from>
    <xdr:ext cx="638175" cy="514350"/>
    <xdr:pic>
      <xdr:nvPicPr>
        <xdr:cNvPr id="0" name="image172.jpg"/>
        <xdr:cNvPicPr preferRelativeResize="0"/>
      </xdr:nvPicPr>
      <xdr:blipFill>
        <a:blip cstate="print" r:embed="rId193"/>
        <a:stretch>
          <a:fillRect/>
        </a:stretch>
      </xdr:blipFill>
      <xdr:spPr>
        <a:prstGeom prst="rect">
          <a:avLst/>
        </a:prstGeom>
        <a:noFill/>
      </xdr:spPr>
    </xdr:pic>
    <xdr:clientData fLocksWithSheet="0"/>
  </xdr:oneCellAnchor>
  <xdr:oneCellAnchor>
    <xdr:from>
      <xdr:col>6</xdr:col>
      <xdr:colOff>38100</xdr:colOff>
      <xdr:row>363</xdr:row>
      <xdr:rowOff>38100</xdr:rowOff>
    </xdr:from>
    <xdr:ext cx="647700" cy="485775"/>
    <xdr:pic>
      <xdr:nvPicPr>
        <xdr:cNvPr id="0" name="image171.jpg"/>
        <xdr:cNvPicPr preferRelativeResize="0"/>
      </xdr:nvPicPr>
      <xdr:blipFill>
        <a:blip cstate="print" r:embed="rId194"/>
        <a:stretch>
          <a:fillRect/>
        </a:stretch>
      </xdr:blipFill>
      <xdr:spPr>
        <a:prstGeom prst="rect">
          <a:avLst/>
        </a:prstGeom>
        <a:noFill/>
      </xdr:spPr>
    </xdr:pic>
    <xdr:clientData fLocksWithSheet="0"/>
  </xdr:oneCellAnchor>
  <xdr:oneCellAnchor>
    <xdr:from>
      <xdr:col>6</xdr:col>
      <xdr:colOff>38100</xdr:colOff>
      <xdr:row>364</xdr:row>
      <xdr:rowOff>38100</xdr:rowOff>
    </xdr:from>
    <xdr:ext cx="647700" cy="495300"/>
    <xdr:pic>
      <xdr:nvPicPr>
        <xdr:cNvPr id="0" name="image275.jpg"/>
        <xdr:cNvPicPr preferRelativeResize="0"/>
      </xdr:nvPicPr>
      <xdr:blipFill>
        <a:blip cstate="print" r:embed="rId195"/>
        <a:stretch>
          <a:fillRect/>
        </a:stretch>
      </xdr:blipFill>
      <xdr:spPr>
        <a:prstGeom prst="rect">
          <a:avLst/>
        </a:prstGeom>
        <a:noFill/>
      </xdr:spPr>
    </xdr:pic>
    <xdr:clientData fLocksWithSheet="0"/>
  </xdr:oneCellAnchor>
  <xdr:oneCellAnchor>
    <xdr:from>
      <xdr:col>6</xdr:col>
      <xdr:colOff>38100</xdr:colOff>
      <xdr:row>365</xdr:row>
      <xdr:rowOff>38100</xdr:rowOff>
    </xdr:from>
    <xdr:ext cx="647700" cy="485775"/>
    <xdr:pic>
      <xdr:nvPicPr>
        <xdr:cNvPr id="0" name="image171.jpg"/>
        <xdr:cNvPicPr preferRelativeResize="0"/>
      </xdr:nvPicPr>
      <xdr:blipFill>
        <a:blip cstate="print" r:embed="rId194"/>
        <a:stretch>
          <a:fillRect/>
        </a:stretch>
      </xdr:blipFill>
      <xdr:spPr>
        <a:prstGeom prst="rect">
          <a:avLst/>
        </a:prstGeom>
        <a:noFill/>
      </xdr:spPr>
    </xdr:pic>
    <xdr:clientData fLocksWithSheet="0"/>
  </xdr:oneCellAnchor>
  <xdr:oneCellAnchor>
    <xdr:from>
      <xdr:col>6</xdr:col>
      <xdr:colOff>38100</xdr:colOff>
      <xdr:row>366</xdr:row>
      <xdr:rowOff>38100</xdr:rowOff>
    </xdr:from>
    <xdr:ext cx="304800" cy="514350"/>
    <xdr:pic>
      <xdr:nvPicPr>
        <xdr:cNvPr id="0" name="image173.jpg"/>
        <xdr:cNvPicPr preferRelativeResize="0"/>
      </xdr:nvPicPr>
      <xdr:blipFill>
        <a:blip cstate="print" r:embed="rId196"/>
        <a:stretch>
          <a:fillRect/>
        </a:stretch>
      </xdr:blipFill>
      <xdr:spPr>
        <a:prstGeom prst="rect">
          <a:avLst/>
        </a:prstGeom>
        <a:noFill/>
      </xdr:spPr>
    </xdr:pic>
    <xdr:clientData fLocksWithSheet="0"/>
  </xdr:oneCellAnchor>
  <xdr:oneCellAnchor>
    <xdr:from>
      <xdr:col>6</xdr:col>
      <xdr:colOff>38100</xdr:colOff>
      <xdr:row>367</xdr:row>
      <xdr:rowOff>38100</xdr:rowOff>
    </xdr:from>
    <xdr:ext cx="304800" cy="514350"/>
    <xdr:pic>
      <xdr:nvPicPr>
        <xdr:cNvPr id="0" name="image194.jpg"/>
        <xdr:cNvPicPr preferRelativeResize="0"/>
      </xdr:nvPicPr>
      <xdr:blipFill>
        <a:blip cstate="print" r:embed="rId197"/>
        <a:stretch>
          <a:fillRect/>
        </a:stretch>
      </xdr:blipFill>
      <xdr:spPr>
        <a:prstGeom prst="rect">
          <a:avLst/>
        </a:prstGeom>
        <a:noFill/>
      </xdr:spPr>
    </xdr:pic>
    <xdr:clientData fLocksWithSheet="0"/>
  </xdr:oneCellAnchor>
  <xdr:oneCellAnchor>
    <xdr:from>
      <xdr:col>6</xdr:col>
      <xdr:colOff>38100</xdr:colOff>
      <xdr:row>368</xdr:row>
      <xdr:rowOff>38100</xdr:rowOff>
    </xdr:from>
    <xdr:ext cx="647700" cy="495300"/>
    <xdr:pic>
      <xdr:nvPicPr>
        <xdr:cNvPr id="0" name="image191.jp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38100</xdr:colOff>
      <xdr:row>369</xdr:row>
      <xdr:rowOff>38100</xdr:rowOff>
    </xdr:from>
    <xdr:ext cx="352425" cy="514350"/>
    <xdr:pic>
      <xdr:nvPicPr>
        <xdr:cNvPr id="0" name="image183.jpg"/>
        <xdr:cNvPicPr preferRelativeResize="0"/>
      </xdr:nvPicPr>
      <xdr:blipFill>
        <a:blip cstate="print" r:embed="rId199"/>
        <a:stretch>
          <a:fillRect/>
        </a:stretch>
      </xdr:blipFill>
      <xdr:spPr>
        <a:prstGeom prst="rect">
          <a:avLst/>
        </a:prstGeom>
        <a:noFill/>
      </xdr:spPr>
    </xdr:pic>
    <xdr:clientData fLocksWithSheet="0"/>
  </xdr:oneCellAnchor>
  <xdr:oneCellAnchor>
    <xdr:from>
      <xdr:col>6</xdr:col>
      <xdr:colOff>38100</xdr:colOff>
      <xdr:row>370</xdr:row>
      <xdr:rowOff>38100</xdr:rowOff>
    </xdr:from>
    <xdr:ext cx="342900" cy="514350"/>
    <xdr:pic>
      <xdr:nvPicPr>
        <xdr:cNvPr id="0" name="image197.jpg"/>
        <xdr:cNvPicPr preferRelativeResize="0"/>
      </xdr:nvPicPr>
      <xdr:blipFill>
        <a:blip cstate="print" r:embed="rId200"/>
        <a:stretch>
          <a:fillRect/>
        </a:stretch>
      </xdr:blipFill>
      <xdr:spPr>
        <a:prstGeom prst="rect">
          <a:avLst/>
        </a:prstGeom>
        <a:noFill/>
      </xdr:spPr>
    </xdr:pic>
    <xdr:clientData fLocksWithSheet="0"/>
  </xdr:oneCellAnchor>
  <xdr:oneCellAnchor>
    <xdr:from>
      <xdr:col>6</xdr:col>
      <xdr:colOff>38100</xdr:colOff>
      <xdr:row>371</xdr:row>
      <xdr:rowOff>38100</xdr:rowOff>
    </xdr:from>
    <xdr:ext cx="495300" cy="514350"/>
    <xdr:pic>
      <xdr:nvPicPr>
        <xdr:cNvPr id="0" name="image187.jpg"/>
        <xdr:cNvPicPr preferRelativeResize="0"/>
      </xdr:nvPicPr>
      <xdr:blipFill>
        <a:blip cstate="print" r:embed="rId201"/>
        <a:stretch>
          <a:fillRect/>
        </a:stretch>
      </xdr:blipFill>
      <xdr:spPr>
        <a:prstGeom prst="rect">
          <a:avLst/>
        </a:prstGeom>
        <a:noFill/>
      </xdr:spPr>
    </xdr:pic>
    <xdr:clientData fLocksWithSheet="0"/>
  </xdr:oneCellAnchor>
  <xdr:oneCellAnchor>
    <xdr:from>
      <xdr:col>6</xdr:col>
      <xdr:colOff>38100</xdr:colOff>
      <xdr:row>372</xdr:row>
      <xdr:rowOff>38100</xdr:rowOff>
    </xdr:from>
    <xdr:ext cx="552450" cy="514350"/>
    <xdr:pic>
      <xdr:nvPicPr>
        <xdr:cNvPr id="0" name="image198.jpg"/>
        <xdr:cNvPicPr preferRelativeResize="0"/>
      </xdr:nvPicPr>
      <xdr:blipFill>
        <a:blip cstate="print" r:embed="rId202"/>
        <a:stretch>
          <a:fillRect/>
        </a:stretch>
      </xdr:blipFill>
      <xdr:spPr>
        <a:prstGeom prst="rect">
          <a:avLst/>
        </a:prstGeom>
        <a:noFill/>
      </xdr:spPr>
    </xdr:pic>
    <xdr:clientData fLocksWithSheet="0"/>
  </xdr:oneCellAnchor>
  <xdr:oneCellAnchor>
    <xdr:from>
      <xdr:col>6</xdr:col>
      <xdr:colOff>38100</xdr:colOff>
      <xdr:row>373</xdr:row>
      <xdr:rowOff>38100</xdr:rowOff>
    </xdr:from>
    <xdr:ext cx="552450" cy="514350"/>
    <xdr:pic>
      <xdr:nvPicPr>
        <xdr:cNvPr id="0" name="image198.jpg"/>
        <xdr:cNvPicPr preferRelativeResize="0"/>
      </xdr:nvPicPr>
      <xdr:blipFill>
        <a:blip cstate="print" r:embed="rId202"/>
        <a:stretch>
          <a:fillRect/>
        </a:stretch>
      </xdr:blipFill>
      <xdr:spPr>
        <a:prstGeom prst="rect">
          <a:avLst/>
        </a:prstGeom>
        <a:noFill/>
      </xdr:spPr>
    </xdr:pic>
    <xdr:clientData fLocksWithSheet="0"/>
  </xdr:oneCellAnchor>
  <xdr:oneCellAnchor>
    <xdr:from>
      <xdr:col>6</xdr:col>
      <xdr:colOff>38100</xdr:colOff>
      <xdr:row>374</xdr:row>
      <xdr:rowOff>38100</xdr:rowOff>
    </xdr:from>
    <xdr:ext cx="647700" cy="485775"/>
    <xdr:pic>
      <xdr:nvPicPr>
        <xdr:cNvPr id="0" name="image186.jp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38100</xdr:colOff>
      <xdr:row>375</xdr:row>
      <xdr:rowOff>38100</xdr:rowOff>
    </xdr:from>
    <xdr:ext cx="209550" cy="514350"/>
    <xdr:pic>
      <xdr:nvPicPr>
        <xdr:cNvPr id="0" name="image204.jpg"/>
        <xdr:cNvPicPr preferRelativeResize="0"/>
      </xdr:nvPicPr>
      <xdr:blipFill>
        <a:blip cstate="print" r:embed="rId204"/>
        <a:stretch>
          <a:fillRect/>
        </a:stretch>
      </xdr:blipFill>
      <xdr:spPr>
        <a:prstGeom prst="rect">
          <a:avLst/>
        </a:prstGeom>
        <a:noFill/>
      </xdr:spPr>
    </xdr:pic>
    <xdr:clientData fLocksWithSheet="0"/>
  </xdr:oneCellAnchor>
  <xdr:oneCellAnchor>
    <xdr:from>
      <xdr:col>6</xdr:col>
      <xdr:colOff>38100</xdr:colOff>
      <xdr:row>376</xdr:row>
      <xdr:rowOff>38100</xdr:rowOff>
    </xdr:from>
    <xdr:ext cx="533400" cy="409575"/>
    <xdr:pic>
      <xdr:nvPicPr>
        <xdr:cNvPr id="0" name="image208.jpg"/>
        <xdr:cNvPicPr preferRelativeResize="0"/>
      </xdr:nvPicPr>
      <xdr:blipFill>
        <a:blip cstate="print" r:embed="rId205"/>
        <a:stretch>
          <a:fillRect/>
        </a:stretch>
      </xdr:blipFill>
      <xdr:spPr>
        <a:prstGeom prst="rect">
          <a:avLst/>
        </a:prstGeom>
        <a:noFill/>
      </xdr:spPr>
    </xdr:pic>
    <xdr:clientData fLocksWithSheet="0"/>
  </xdr:oneCellAnchor>
  <xdr:oneCellAnchor>
    <xdr:from>
      <xdr:col>6</xdr:col>
      <xdr:colOff>38100</xdr:colOff>
      <xdr:row>377</xdr:row>
      <xdr:rowOff>38100</xdr:rowOff>
    </xdr:from>
    <xdr:ext cx="533400" cy="409575"/>
    <xdr:pic>
      <xdr:nvPicPr>
        <xdr:cNvPr id="0" name="image208.jpg"/>
        <xdr:cNvPicPr preferRelativeResize="0"/>
      </xdr:nvPicPr>
      <xdr:blipFill>
        <a:blip cstate="print" r:embed="rId205"/>
        <a:stretch>
          <a:fillRect/>
        </a:stretch>
      </xdr:blipFill>
      <xdr:spPr>
        <a:prstGeom prst="rect">
          <a:avLst/>
        </a:prstGeom>
        <a:noFill/>
      </xdr:spPr>
    </xdr:pic>
    <xdr:clientData fLocksWithSheet="0"/>
  </xdr:oneCellAnchor>
  <xdr:oneCellAnchor>
    <xdr:from>
      <xdr:col>6</xdr:col>
      <xdr:colOff>38100</xdr:colOff>
      <xdr:row>378</xdr:row>
      <xdr:rowOff>38100</xdr:rowOff>
    </xdr:from>
    <xdr:ext cx="533400" cy="409575"/>
    <xdr:pic>
      <xdr:nvPicPr>
        <xdr:cNvPr id="0" name="image208.jpg"/>
        <xdr:cNvPicPr preferRelativeResize="0"/>
      </xdr:nvPicPr>
      <xdr:blipFill>
        <a:blip cstate="print" r:embed="rId205"/>
        <a:stretch>
          <a:fillRect/>
        </a:stretch>
      </xdr:blipFill>
      <xdr:spPr>
        <a:prstGeom prst="rect">
          <a:avLst/>
        </a:prstGeom>
        <a:noFill/>
      </xdr:spPr>
    </xdr:pic>
    <xdr:clientData fLocksWithSheet="0"/>
  </xdr:oneCellAnchor>
  <xdr:oneCellAnchor>
    <xdr:from>
      <xdr:col>6</xdr:col>
      <xdr:colOff>38100</xdr:colOff>
      <xdr:row>379</xdr:row>
      <xdr:rowOff>38100</xdr:rowOff>
    </xdr:from>
    <xdr:ext cx="533400" cy="409575"/>
    <xdr:pic>
      <xdr:nvPicPr>
        <xdr:cNvPr id="0" name="image208.jpg"/>
        <xdr:cNvPicPr preferRelativeResize="0"/>
      </xdr:nvPicPr>
      <xdr:blipFill>
        <a:blip cstate="print" r:embed="rId205"/>
        <a:stretch>
          <a:fillRect/>
        </a:stretch>
      </xdr:blipFill>
      <xdr:spPr>
        <a:prstGeom prst="rect">
          <a:avLst/>
        </a:prstGeom>
        <a:noFill/>
      </xdr:spPr>
    </xdr:pic>
    <xdr:clientData fLocksWithSheet="0"/>
  </xdr:oneCellAnchor>
  <xdr:oneCellAnchor>
    <xdr:from>
      <xdr:col>6</xdr:col>
      <xdr:colOff>38100</xdr:colOff>
      <xdr:row>380</xdr:row>
      <xdr:rowOff>38100</xdr:rowOff>
    </xdr:from>
    <xdr:ext cx="561975" cy="400050"/>
    <xdr:pic>
      <xdr:nvPicPr>
        <xdr:cNvPr id="0" name="image193.jp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38100</xdr:colOff>
      <xdr:row>381</xdr:row>
      <xdr:rowOff>38100</xdr:rowOff>
    </xdr:from>
    <xdr:ext cx="561975" cy="400050"/>
    <xdr:pic>
      <xdr:nvPicPr>
        <xdr:cNvPr id="0" name="image193.jp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38100</xdr:colOff>
      <xdr:row>382</xdr:row>
      <xdr:rowOff>38100</xdr:rowOff>
    </xdr:from>
    <xdr:ext cx="561975" cy="400050"/>
    <xdr:pic>
      <xdr:nvPicPr>
        <xdr:cNvPr id="0" name="image193.jp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38100</xdr:colOff>
      <xdr:row>383</xdr:row>
      <xdr:rowOff>38100</xdr:rowOff>
    </xdr:from>
    <xdr:ext cx="438150" cy="342900"/>
    <xdr:pic>
      <xdr:nvPicPr>
        <xdr:cNvPr id="0" name="image259.jp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38100</xdr:colOff>
      <xdr:row>384</xdr:row>
      <xdr:rowOff>38100</xdr:rowOff>
    </xdr:from>
    <xdr:ext cx="438150" cy="342900"/>
    <xdr:pic>
      <xdr:nvPicPr>
        <xdr:cNvPr id="0" name="image259.jp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38100</xdr:colOff>
      <xdr:row>385</xdr:row>
      <xdr:rowOff>38100</xdr:rowOff>
    </xdr:from>
    <xdr:ext cx="438150" cy="342900"/>
    <xdr:pic>
      <xdr:nvPicPr>
        <xdr:cNvPr id="0" name="image259.jp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38100</xdr:colOff>
      <xdr:row>386</xdr:row>
      <xdr:rowOff>38100</xdr:rowOff>
    </xdr:from>
    <xdr:ext cx="438150" cy="342900"/>
    <xdr:pic>
      <xdr:nvPicPr>
        <xdr:cNvPr id="0" name="image259.jp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38100</xdr:colOff>
      <xdr:row>387</xdr:row>
      <xdr:rowOff>38100</xdr:rowOff>
    </xdr:from>
    <xdr:ext cx="438150" cy="342900"/>
    <xdr:pic>
      <xdr:nvPicPr>
        <xdr:cNvPr id="0" name="image259.jp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38100</xdr:colOff>
      <xdr:row>388</xdr:row>
      <xdr:rowOff>38100</xdr:rowOff>
    </xdr:from>
    <xdr:ext cx="438150" cy="342900"/>
    <xdr:pic>
      <xdr:nvPicPr>
        <xdr:cNvPr id="0" name="image259.jp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38100</xdr:colOff>
      <xdr:row>389</xdr:row>
      <xdr:rowOff>38100</xdr:rowOff>
    </xdr:from>
    <xdr:ext cx="485775" cy="428625"/>
    <xdr:pic>
      <xdr:nvPicPr>
        <xdr:cNvPr id="0" name="image199.jpg"/>
        <xdr:cNvPicPr preferRelativeResize="0"/>
      </xdr:nvPicPr>
      <xdr:blipFill>
        <a:blip cstate="print" r:embed="rId208"/>
        <a:stretch>
          <a:fillRect/>
        </a:stretch>
      </xdr:blipFill>
      <xdr:spPr>
        <a:prstGeom prst="rect">
          <a:avLst/>
        </a:prstGeom>
        <a:noFill/>
      </xdr:spPr>
    </xdr:pic>
    <xdr:clientData fLocksWithSheet="0"/>
  </xdr:oneCellAnchor>
  <xdr:oneCellAnchor>
    <xdr:from>
      <xdr:col>6</xdr:col>
      <xdr:colOff>38100</xdr:colOff>
      <xdr:row>390</xdr:row>
      <xdr:rowOff>38100</xdr:rowOff>
    </xdr:from>
    <xdr:ext cx="400050" cy="514350"/>
    <xdr:pic>
      <xdr:nvPicPr>
        <xdr:cNvPr id="0" name="image223.jpg"/>
        <xdr:cNvPicPr preferRelativeResize="0"/>
      </xdr:nvPicPr>
      <xdr:blipFill>
        <a:blip cstate="print" r:embed="rId209"/>
        <a:stretch>
          <a:fillRect/>
        </a:stretch>
      </xdr:blipFill>
      <xdr:spPr>
        <a:prstGeom prst="rect">
          <a:avLst/>
        </a:prstGeom>
        <a:noFill/>
      </xdr:spPr>
    </xdr:pic>
    <xdr:clientData fLocksWithSheet="0"/>
  </xdr:oneCellAnchor>
  <xdr:oneCellAnchor>
    <xdr:from>
      <xdr:col>6</xdr:col>
      <xdr:colOff>38100</xdr:colOff>
      <xdr:row>391</xdr:row>
      <xdr:rowOff>38100</xdr:rowOff>
    </xdr:from>
    <xdr:ext cx="485775" cy="428625"/>
    <xdr:pic>
      <xdr:nvPicPr>
        <xdr:cNvPr id="0" name="image199.jpg"/>
        <xdr:cNvPicPr preferRelativeResize="0"/>
      </xdr:nvPicPr>
      <xdr:blipFill>
        <a:blip cstate="print" r:embed="rId208"/>
        <a:stretch>
          <a:fillRect/>
        </a:stretch>
      </xdr:blipFill>
      <xdr:spPr>
        <a:prstGeom prst="rect">
          <a:avLst/>
        </a:prstGeom>
        <a:noFill/>
      </xdr:spPr>
    </xdr:pic>
    <xdr:clientData fLocksWithSheet="0"/>
  </xdr:oneCellAnchor>
  <xdr:oneCellAnchor>
    <xdr:from>
      <xdr:col>6</xdr:col>
      <xdr:colOff>38100</xdr:colOff>
      <xdr:row>392</xdr:row>
      <xdr:rowOff>38100</xdr:rowOff>
    </xdr:from>
    <xdr:ext cx="485775" cy="428625"/>
    <xdr:pic>
      <xdr:nvPicPr>
        <xdr:cNvPr id="0" name="image199.jpg"/>
        <xdr:cNvPicPr preferRelativeResize="0"/>
      </xdr:nvPicPr>
      <xdr:blipFill>
        <a:blip cstate="print" r:embed="rId208"/>
        <a:stretch>
          <a:fillRect/>
        </a:stretch>
      </xdr:blipFill>
      <xdr:spPr>
        <a:prstGeom prst="rect">
          <a:avLst/>
        </a:prstGeom>
        <a:noFill/>
      </xdr:spPr>
    </xdr:pic>
    <xdr:clientData fLocksWithSheet="0"/>
  </xdr:oneCellAnchor>
  <xdr:oneCellAnchor>
    <xdr:from>
      <xdr:col>6</xdr:col>
      <xdr:colOff>38100</xdr:colOff>
      <xdr:row>393</xdr:row>
      <xdr:rowOff>38100</xdr:rowOff>
    </xdr:from>
    <xdr:ext cx="409575" cy="504825"/>
    <xdr:pic>
      <xdr:nvPicPr>
        <xdr:cNvPr id="0" name="image238.jpg"/>
        <xdr:cNvPicPr preferRelativeResize="0"/>
      </xdr:nvPicPr>
      <xdr:blipFill>
        <a:blip cstate="print" r:embed="rId210"/>
        <a:stretch>
          <a:fillRect/>
        </a:stretch>
      </xdr:blipFill>
      <xdr:spPr>
        <a:prstGeom prst="rect">
          <a:avLst/>
        </a:prstGeom>
        <a:noFill/>
      </xdr:spPr>
    </xdr:pic>
    <xdr:clientData fLocksWithSheet="0"/>
  </xdr:oneCellAnchor>
  <xdr:oneCellAnchor>
    <xdr:from>
      <xdr:col>6</xdr:col>
      <xdr:colOff>38100</xdr:colOff>
      <xdr:row>394</xdr:row>
      <xdr:rowOff>38100</xdr:rowOff>
    </xdr:from>
    <xdr:ext cx="647700" cy="495300"/>
    <xdr:pic>
      <xdr:nvPicPr>
        <xdr:cNvPr id="0" name="image220.jpg"/>
        <xdr:cNvPicPr preferRelativeResize="0"/>
      </xdr:nvPicPr>
      <xdr:blipFill>
        <a:blip cstate="print" r:embed="rId211"/>
        <a:stretch>
          <a:fillRect/>
        </a:stretch>
      </xdr:blipFill>
      <xdr:spPr>
        <a:prstGeom prst="rect">
          <a:avLst/>
        </a:prstGeom>
        <a:noFill/>
      </xdr:spPr>
    </xdr:pic>
    <xdr:clientData fLocksWithSheet="0"/>
  </xdr:oneCellAnchor>
  <xdr:oneCellAnchor>
    <xdr:from>
      <xdr:col>6</xdr:col>
      <xdr:colOff>38100</xdr:colOff>
      <xdr:row>395</xdr:row>
      <xdr:rowOff>38100</xdr:rowOff>
    </xdr:from>
    <xdr:ext cx="257175" cy="447675"/>
    <xdr:pic>
      <xdr:nvPicPr>
        <xdr:cNvPr id="0" name="image211.jpg"/>
        <xdr:cNvPicPr preferRelativeResize="0"/>
      </xdr:nvPicPr>
      <xdr:blipFill>
        <a:blip cstate="print" r:embed="rId212"/>
        <a:stretch>
          <a:fillRect/>
        </a:stretch>
      </xdr:blipFill>
      <xdr:spPr>
        <a:prstGeom prst="rect">
          <a:avLst/>
        </a:prstGeom>
        <a:noFill/>
      </xdr:spPr>
    </xdr:pic>
    <xdr:clientData fLocksWithSheet="0"/>
  </xdr:oneCellAnchor>
  <xdr:oneCellAnchor>
    <xdr:from>
      <xdr:col>6</xdr:col>
      <xdr:colOff>38100</xdr:colOff>
      <xdr:row>396</xdr:row>
      <xdr:rowOff>38100</xdr:rowOff>
    </xdr:from>
    <xdr:ext cx="523875" cy="438150"/>
    <xdr:pic>
      <xdr:nvPicPr>
        <xdr:cNvPr id="0" name="image202.jpg"/>
        <xdr:cNvPicPr preferRelativeResize="0"/>
      </xdr:nvPicPr>
      <xdr:blipFill>
        <a:blip cstate="print" r:embed="rId213"/>
        <a:stretch>
          <a:fillRect/>
        </a:stretch>
      </xdr:blipFill>
      <xdr:spPr>
        <a:prstGeom prst="rect">
          <a:avLst/>
        </a:prstGeom>
        <a:noFill/>
      </xdr:spPr>
    </xdr:pic>
    <xdr:clientData fLocksWithSheet="0"/>
  </xdr:oneCellAnchor>
  <xdr:oneCellAnchor>
    <xdr:from>
      <xdr:col>6</xdr:col>
      <xdr:colOff>38100</xdr:colOff>
      <xdr:row>397</xdr:row>
      <xdr:rowOff>38100</xdr:rowOff>
    </xdr:from>
    <xdr:ext cx="523875" cy="438150"/>
    <xdr:pic>
      <xdr:nvPicPr>
        <xdr:cNvPr id="0" name="image202.jpg"/>
        <xdr:cNvPicPr preferRelativeResize="0"/>
      </xdr:nvPicPr>
      <xdr:blipFill>
        <a:blip cstate="print" r:embed="rId213"/>
        <a:stretch>
          <a:fillRect/>
        </a:stretch>
      </xdr:blipFill>
      <xdr:spPr>
        <a:prstGeom prst="rect">
          <a:avLst/>
        </a:prstGeom>
        <a:noFill/>
      </xdr:spPr>
    </xdr:pic>
    <xdr:clientData fLocksWithSheet="0"/>
  </xdr:oneCellAnchor>
  <xdr:oneCellAnchor>
    <xdr:from>
      <xdr:col>6</xdr:col>
      <xdr:colOff>38100</xdr:colOff>
      <xdr:row>398</xdr:row>
      <xdr:rowOff>38100</xdr:rowOff>
    </xdr:from>
    <xdr:ext cx="438150" cy="419100"/>
    <xdr:pic>
      <xdr:nvPicPr>
        <xdr:cNvPr id="0" name="image221.jpg"/>
        <xdr:cNvPicPr preferRelativeResize="0"/>
      </xdr:nvPicPr>
      <xdr:blipFill>
        <a:blip cstate="print" r:embed="rId214"/>
        <a:stretch>
          <a:fillRect/>
        </a:stretch>
      </xdr:blipFill>
      <xdr:spPr>
        <a:prstGeom prst="rect">
          <a:avLst/>
        </a:prstGeom>
        <a:noFill/>
      </xdr:spPr>
    </xdr:pic>
    <xdr:clientData fLocksWithSheet="0"/>
  </xdr:oneCellAnchor>
  <xdr:oneCellAnchor>
    <xdr:from>
      <xdr:col>6</xdr:col>
      <xdr:colOff>38100</xdr:colOff>
      <xdr:row>399</xdr:row>
      <xdr:rowOff>38100</xdr:rowOff>
    </xdr:from>
    <xdr:ext cx="523875" cy="371475"/>
    <xdr:pic>
      <xdr:nvPicPr>
        <xdr:cNvPr id="0" name="image232.jpg"/>
        <xdr:cNvPicPr preferRelativeResize="0"/>
      </xdr:nvPicPr>
      <xdr:blipFill>
        <a:blip cstate="print" r:embed="rId215"/>
        <a:stretch>
          <a:fillRect/>
        </a:stretch>
      </xdr:blipFill>
      <xdr:spPr>
        <a:prstGeom prst="rect">
          <a:avLst/>
        </a:prstGeom>
        <a:noFill/>
      </xdr:spPr>
    </xdr:pic>
    <xdr:clientData fLocksWithSheet="0"/>
  </xdr:oneCellAnchor>
  <xdr:oneCellAnchor>
    <xdr:from>
      <xdr:col>6</xdr:col>
      <xdr:colOff>38100</xdr:colOff>
      <xdr:row>400</xdr:row>
      <xdr:rowOff>38100</xdr:rowOff>
    </xdr:from>
    <xdr:ext cx="228600" cy="514350"/>
    <xdr:pic>
      <xdr:nvPicPr>
        <xdr:cNvPr id="0" name="image213.jpg"/>
        <xdr:cNvPicPr preferRelativeResize="0"/>
      </xdr:nvPicPr>
      <xdr:blipFill>
        <a:blip cstate="print" r:embed="rId216"/>
        <a:stretch>
          <a:fillRect/>
        </a:stretch>
      </xdr:blipFill>
      <xdr:spPr>
        <a:prstGeom prst="rect">
          <a:avLst/>
        </a:prstGeom>
        <a:noFill/>
      </xdr:spPr>
    </xdr:pic>
    <xdr:clientData fLocksWithSheet="0"/>
  </xdr:oneCellAnchor>
  <xdr:oneCellAnchor>
    <xdr:from>
      <xdr:col>6</xdr:col>
      <xdr:colOff>38100</xdr:colOff>
      <xdr:row>401</xdr:row>
      <xdr:rowOff>38100</xdr:rowOff>
    </xdr:from>
    <xdr:ext cx="333375" cy="514350"/>
    <xdr:pic>
      <xdr:nvPicPr>
        <xdr:cNvPr id="0" name="image210.jpg"/>
        <xdr:cNvPicPr preferRelativeResize="0"/>
      </xdr:nvPicPr>
      <xdr:blipFill>
        <a:blip cstate="print" r:embed="rId217"/>
        <a:stretch>
          <a:fillRect/>
        </a:stretch>
      </xdr:blipFill>
      <xdr:spPr>
        <a:prstGeom prst="rect">
          <a:avLst/>
        </a:prstGeom>
        <a:noFill/>
      </xdr:spPr>
    </xdr:pic>
    <xdr:clientData fLocksWithSheet="0"/>
  </xdr:oneCellAnchor>
  <xdr:oneCellAnchor>
    <xdr:from>
      <xdr:col>6</xdr:col>
      <xdr:colOff>38100</xdr:colOff>
      <xdr:row>402</xdr:row>
      <xdr:rowOff>38100</xdr:rowOff>
    </xdr:from>
    <xdr:ext cx="581025" cy="495300"/>
    <xdr:pic>
      <xdr:nvPicPr>
        <xdr:cNvPr id="0" name="image212.jpg"/>
        <xdr:cNvPicPr preferRelativeResize="0"/>
      </xdr:nvPicPr>
      <xdr:blipFill>
        <a:blip cstate="print" r:embed="rId218"/>
        <a:stretch>
          <a:fillRect/>
        </a:stretch>
      </xdr:blipFill>
      <xdr:spPr>
        <a:prstGeom prst="rect">
          <a:avLst/>
        </a:prstGeom>
        <a:noFill/>
      </xdr:spPr>
    </xdr:pic>
    <xdr:clientData fLocksWithSheet="0"/>
  </xdr:oneCellAnchor>
  <xdr:oneCellAnchor>
    <xdr:from>
      <xdr:col>6</xdr:col>
      <xdr:colOff>38100</xdr:colOff>
      <xdr:row>403</xdr:row>
      <xdr:rowOff>38100</xdr:rowOff>
    </xdr:from>
    <xdr:ext cx="295275" cy="514350"/>
    <xdr:pic>
      <xdr:nvPicPr>
        <xdr:cNvPr id="0" name="image278.jpg"/>
        <xdr:cNvPicPr preferRelativeResize="0"/>
      </xdr:nvPicPr>
      <xdr:blipFill>
        <a:blip cstate="print" r:embed="rId219"/>
        <a:stretch>
          <a:fillRect/>
        </a:stretch>
      </xdr:blipFill>
      <xdr:spPr>
        <a:prstGeom prst="rect">
          <a:avLst/>
        </a:prstGeom>
        <a:noFill/>
      </xdr:spPr>
    </xdr:pic>
    <xdr:clientData fLocksWithSheet="0"/>
  </xdr:oneCellAnchor>
  <xdr:oneCellAnchor>
    <xdr:from>
      <xdr:col>6</xdr:col>
      <xdr:colOff>38100</xdr:colOff>
      <xdr:row>404</xdr:row>
      <xdr:rowOff>38100</xdr:rowOff>
    </xdr:from>
    <xdr:ext cx="504825" cy="352425"/>
    <xdr:pic>
      <xdr:nvPicPr>
        <xdr:cNvPr id="0" name="image217.jpg"/>
        <xdr:cNvPicPr preferRelativeResize="0"/>
      </xdr:nvPicPr>
      <xdr:blipFill>
        <a:blip cstate="print" r:embed="rId220"/>
        <a:stretch>
          <a:fillRect/>
        </a:stretch>
      </xdr:blipFill>
      <xdr:spPr>
        <a:prstGeom prst="rect">
          <a:avLst/>
        </a:prstGeom>
        <a:noFill/>
      </xdr:spPr>
    </xdr:pic>
    <xdr:clientData fLocksWithSheet="0"/>
  </xdr:oneCellAnchor>
  <xdr:oneCellAnchor>
    <xdr:from>
      <xdr:col>6</xdr:col>
      <xdr:colOff>38100</xdr:colOff>
      <xdr:row>405</xdr:row>
      <xdr:rowOff>38100</xdr:rowOff>
    </xdr:from>
    <xdr:ext cx="504825" cy="352425"/>
    <xdr:pic>
      <xdr:nvPicPr>
        <xdr:cNvPr id="0" name="image217.jpg"/>
        <xdr:cNvPicPr preferRelativeResize="0"/>
      </xdr:nvPicPr>
      <xdr:blipFill>
        <a:blip cstate="print" r:embed="rId220"/>
        <a:stretch>
          <a:fillRect/>
        </a:stretch>
      </xdr:blipFill>
      <xdr:spPr>
        <a:prstGeom prst="rect">
          <a:avLst/>
        </a:prstGeom>
        <a:noFill/>
      </xdr:spPr>
    </xdr:pic>
    <xdr:clientData fLocksWithSheet="0"/>
  </xdr:oneCellAnchor>
  <xdr:oneCellAnchor>
    <xdr:from>
      <xdr:col>6</xdr:col>
      <xdr:colOff>38100</xdr:colOff>
      <xdr:row>406</xdr:row>
      <xdr:rowOff>38100</xdr:rowOff>
    </xdr:from>
    <xdr:ext cx="504825" cy="352425"/>
    <xdr:pic>
      <xdr:nvPicPr>
        <xdr:cNvPr id="0" name="image217.jpg"/>
        <xdr:cNvPicPr preferRelativeResize="0"/>
      </xdr:nvPicPr>
      <xdr:blipFill>
        <a:blip cstate="print" r:embed="rId220"/>
        <a:stretch>
          <a:fillRect/>
        </a:stretch>
      </xdr:blipFill>
      <xdr:spPr>
        <a:prstGeom prst="rect">
          <a:avLst/>
        </a:prstGeom>
        <a:noFill/>
      </xdr:spPr>
    </xdr:pic>
    <xdr:clientData fLocksWithSheet="0"/>
  </xdr:oneCellAnchor>
  <xdr:oneCellAnchor>
    <xdr:from>
      <xdr:col>6</xdr:col>
      <xdr:colOff>38100</xdr:colOff>
      <xdr:row>407</xdr:row>
      <xdr:rowOff>38100</xdr:rowOff>
    </xdr:from>
    <xdr:ext cx="352425" cy="514350"/>
    <xdr:pic>
      <xdr:nvPicPr>
        <xdr:cNvPr id="0" name="image216.jpg"/>
        <xdr:cNvPicPr preferRelativeResize="0"/>
      </xdr:nvPicPr>
      <xdr:blipFill>
        <a:blip cstate="print" r:embed="rId221"/>
        <a:stretch>
          <a:fillRect/>
        </a:stretch>
      </xdr:blipFill>
      <xdr:spPr>
        <a:prstGeom prst="rect">
          <a:avLst/>
        </a:prstGeom>
        <a:noFill/>
      </xdr:spPr>
    </xdr:pic>
    <xdr:clientData fLocksWithSheet="0"/>
  </xdr:oneCellAnchor>
  <xdr:oneCellAnchor>
    <xdr:from>
      <xdr:col>6</xdr:col>
      <xdr:colOff>38100</xdr:colOff>
      <xdr:row>408</xdr:row>
      <xdr:rowOff>38100</xdr:rowOff>
    </xdr:from>
    <xdr:ext cx="485775" cy="457200"/>
    <xdr:pic>
      <xdr:nvPicPr>
        <xdr:cNvPr id="0" name="image248.jpg"/>
        <xdr:cNvPicPr preferRelativeResize="0"/>
      </xdr:nvPicPr>
      <xdr:blipFill>
        <a:blip cstate="print" r:embed="rId222"/>
        <a:stretch>
          <a:fillRect/>
        </a:stretch>
      </xdr:blipFill>
      <xdr:spPr>
        <a:prstGeom prst="rect">
          <a:avLst/>
        </a:prstGeom>
        <a:noFill/>
      </xdr:spPr>
    </xdr:pic>
    <xdr:clientData fLocksWithSheet="0"/>
  </xdr:oneCellAnchor>
  <xdr:oneCellAnchor>
    <xdr:from>
      <xdr:col>6</xdr:col>
      <xdr:colOff>38100</xdr:colOff>
      <xdr:row>409</xdr:row>
      <xdr:rowOff>38100</xdr:rowOff>
    </xdr:from>
    <xdr:ext cx="485775" cy="457200"/>
    <xdr:pic>
      <xdr:nvPicPr>
        <xdr:cNvPr id="0" name="image248.jpg"/>
        <xdr:cNvPicPr preferRelativeResize="0"/>
      </xdr:nvPicPr>
      <xdr:blipFill>
        <a:blip cstate="print" r:embed="rId222"/>
        <a:stretch>
          <a:fillRect/>
        </a:stretch>
      </xdr:blipFill>
      <xdr:spPr>
        <a:prstGeom prst="rect">
          <a:avLst/>
        </a:prstGeom>
        <a:noFill/>
      </xdr:spPr>
    </xdr:pic>
    <xdr:clientData fLocksWithSheet="0"/>
  </xdr:oneCellAnchor>
  <xdr:oneCellAnchor>
    <xdr:from>
      <xdr:col>6</xdr:col>
      <xdr:colOff>38100</xdr:colOff>
      <xdr:row>410</xdr:row>
      <xdr:rowOff>38100</xdr:rowOff>
    </xdr:from>
    <xdr:ext cx="485775" cy="457200"/>
    <xdr:pic>
      <xdr:nvPicPr>
        <xdr:cNvPr id="0" name="image248.jpg"/>
        <xdr:cNvPicPr preferRelativeResize="0"/>
      </xdr:nvPicPr>
      <xdr:blipFill>
        <a:blip cstate="print" r:embed="rId222"/>
        <a:stretch>
          <a:fillRect/>
        </a:stretch>
      </xdr:blipFill>
      <xdr:spPr>
        <a:prstGeom prst="rect">
          <a:avLst/>
        </a:prstGeom>
        <a:noFill/>
      </xdr:spPr>
    </xdr:pic>
    <xdr:clientData fLocksWithSheet="0"/>
  </xdr:oneCellAnchor>
  <xdr:oneCellAnchor>
    <xdr:from>
      <xdr:col>6</xdr:col>
      <xdr:colOff>38100</xdr:colOff>
      <xdr:row>411</xdr:row>
      <xdr:rowOff>38100</xdr:rowOff>
    </xdr:from>
    <xdr:ext cx="647700" cy="371475"/>
    <xdr:pic>
      <xdr:nvPicPr>
        <xdr:cNvPr id="0" name="image236.jpg"/>
        <xdr:cNvPicPr preferRelativeResize="0"/>
      </xdr:nvPicPr>
      <xdr:blipFill>
        <a:blip cstate="print" r:embed="rId223"/>
        <a:stretch>
          <a:fillRect/>
        </a:stretch>
      </xdr:blipFill>
      <xdr:spPr>
        <a:prstGeom prst="rect">
          <a:avLst/>
        </a:prstGeom>
        <a:noFill/>
      </xdr:spPr>
    </xdr:pic>
    <xdr:clientData fLocksWithSheet="0"/>
  </xdr:oneCellAnchor>
  <xdr:oneCellAnchor>
    <xdr:from>
      <xdr:col>6</xdr:col>
      <xdr:colOff>38100</xdr:colOff>
      <xdr:row>412</xdr:row>
      <xdr:rowOff>38100</xdr:rowOff>
    </xdr:from>
    <xdr:ext cx="647700" cy="485775"/>
    <xdr:pic>
      <xdr:nvPicPr>
        <xdr:cNvPr id="0" name="image205.jpg"/>
        <xdr:cNvPicPr preferRelativeResize="0"/>
      </xdr:nvPicPr>
      <xdr:blipFill>
        <a:blip cstate="print" r:embed="rId224"/>
        <a:stretch>
          <a:fillRect/>
        </a:stretch>
      </xdr:blipFill>
      <xdr:spPr>
        <a:prstGeom prst="rect">
          <a:avLst/>
        </a:prstGeom>
        <a:noFill/>
      </xdr:spPr>
    </xdr:pic>
    <xdr:clientData fLocksWithSheet="0"/>
  </xdr:oneCellAnchor>
  <xdr:oneCellAnchor>
    <xdr:from>
      <xdr:col>6</xdr:col>
      <xdr:colOff>38100</xdr:colOff>
      <xdr:row>413</xdr:row>
      <xdr:rowOff>38100</xdr:rowOff>
    </xdr:from>
    <xdr:ext cx="647700" cy="333375"/>
    <xdr:pic>
      <xdr:nvPicPr>
        <xdr:cNvPr id="0" name="image206.jpg"/>
        <xdr:cNvPicPr preferRelativeResize="0"/>
      </xdr:nvPicPr>
      <xdr:blipFill>
        <a:blip cstate="print" r:embed="rId225"/>
        <a:stretch>
          <a:fillRect/>
        </a:stretch>
      </xdr:blipFill>
      <xdr:spPr>
        <a:prstGeom prst="rect">
          <a:avLst/>
        </a:prstGeom>
        <a:noFill/>
      </xdr:spPr>
    </xdr:pic>
    <xdr:clientData fLocksWithSheet="0"/>
  </xdr:oneCellAnchor>
  <xdr:oneCellAnchor>
    <xdr:from>
      <xdr:col>6</xdr:col>
      <xdr:colOff>38100</xdr:colOff>
      <xdr:row>414</xdr:row>
      <xdr:rowOff>38100</xdr:rowOff>
    </xdr:from>
    <xdr:ext cx="561975" cy="333375"/>
    <xdr:pic>
      <xdr:nvPicPr>
        <xdr:cNvPr id="0" name="image222.jpg"/>
        <xdr:cNvPicPr preferRelativeResize="0"/>
      </xdr:nvPicPr>
      <xdr:blipFill>
        <a:blip cstate="print" r:embed="rId226"/>
        <a:stretch>
          <a:fillRect/>
        </a:stretch>
      </xdr:blipFill>
      <xdr:spPr>
        <a:prstGeom prst="rect">
          <a:avLst/>
        </a:prstGeom>
        <a:noFill/>
      </xdr:spPr>
    </xdr:pic>
    <xdr:clientData fLocksWithSheet="0"/>
  </xdr:oneCellAnchor>
  <xdr:oneCellAnchor>
    <xdr:from>
      <xdr:col>6</xdr:col>
      <xdr:colOff>38100</xdr:colOff>
      <xdr:row>415</xdr:row>
      <xdr:rowOff>38100</xdr:rowOff>
    </xdr:from>
    <xdr:ext cx="647700" cy="485775"/>
    <xdr:pic>
      <xdr:nvPicPr>
        <xdr:cNvPr id="0" name="image207.jpg"/>
        <xdr:cNvPicPr preferRelativeResize="0"/>
      </xdr:nvPicPr>
      <xdr:blipFill>
        <a:blip cstate="print" r:embed="rId227"/>
        <a:stretch>
          <a:fillRect/>
        </a:stretch>
      </xdr:blipFill>
      <xdr:spPr>
        <a:prstGeom prst="rect">
          <a:avLst/>
        </a:prstGeom>
        <a:noFill/>
      </xdr:spPr>
    </xdr:pic>
    <xdr:clientData fLocksWithSheet="0"/>
  </xdr:oneCellAnchor>
  <xdr:oneCellAnchor>
    <xdr:from>
      <xdr:col>6</xdr:col>
      <xdr:colOff>38100</xdr:colOff>
      <xdr:row>416</xdr:row>
      <xdr:rowOff>38100</xdr:rowOff>
    </xdr:from>
    <xdr:ext cx="561975" cy="333375"/>
    <xdr:pic>
      <xdr:nvPicPr>
        <xdr:cNvPr id="0" name="image222.jpg"/>
        <xdr:cNvPicPr preferRelativeResize="0"/>
      </xdr:nvPicPr>
      <xdr:blipFill>
        <a:blip cstate="print" r:embed="rId226"/>
        <a:stretch>
          <a:fillRect/>
        </a:stretch>
      </xdr:blipFill>
      <xdr:spPr>
        <a:prstGeom prst="rect">
          <a:avLst/>
        </a:prstGeom>
        <a:noFill/>
      </xdr:spPr>
    </xdr:pic>
    <xdr:clientData fLocksWithSheet="0"/>
  </xdr:oneCellAnchor>
  <xdr:oneCellAnchor>
    <xdr:from>
      <xdr:col>6</xdr:col>
      <xdr:colOff>38100</xdr:colOff>
      <xdr:row>417</xdr:row>
      <xdr:rowOff>38100</xdr:rowOff>
    </xdr:from>
    <xdr:ext cx="438150" cy="514350"/>
    <xdr:pic>
      <xdr:nvPicPr>
        <xdr:cNvPr id="0" name="image234.jpg"/>
        <xdr:cNvPicPr preferRelativeResize="0"/>
      </xdr:nvPicPr>
      <xdr:blipFill>
        <a:blip cstate="print" r:embed="rId228"/>
        <a:stretch>
          <a:fillRect/>
        </a:stretch>
      </xdr:blipFill>
      <xdr:spPr>
        <a:prstGeom prst="rect">
          <a:avLst/>
        </a:prstGeom>
        <a:noFill/>
      </xdr:spPr>
    </xdr:pic>
    <xdr:clientData fLocksWithSheet="0"/>
  </xdr:oneCellAnchor>
  <xdr:oneCellAnchor>
    <xdr:from>
      <xdr:col>6</xdr:col>
      <xdr:colOff>38100</xdr:colOff>
      <xdr:row>418</xdr:row>
      <xdr:rowOff>38100</xdr:rowOff>
    </xdr:from>
    <xdr:ext cx="400050" cy="514350"/>
    <xdr:pic>
      <xdr:nvPicPr>
        <xdr:cNvPr id="0" name="image161.jpg"/>
        <xdr:cNvPicPr preferRelativeResize="0"/>
      </xdr:nvPicPr>
      <xdr:blipFill>
        <a:blip cstate="print" r:embed="rId145"/>
        <a:stretch>
          <a:fillRect/>
        </a:stretch>
      </xdr:blipFill>
      <xdr:spPr>
        <a:prstGeom prst="rect">
          <a:avLst/>
        </a:prstGeom>
        <a:noFill/>
      </xdr:spPr>
    </xdr:pic>
    <xdr:clientData fLocksWithSheet="0"/>
  </xdr:oneCellAnchor>
  <xdr:oneCellAnchor>
    <xdr:from>
      <xdr:col>6</xdr:col>
      <xdr:colOff>38100</xdr:colOff>
      <xdr:row>419</xdr:row>
      <xdr:rowOff>38100</xdr:rowOff>
    </xdr:from>
    <xdr:ext cx="400050" cy="514350"/>
    <xdr:pic>
      <xdr:nvPicPr>
        <xdr:cNvPr id="0" name="image161.jpg"/>
        <xdr:cNvPicPr preferRelativeResize="0"/>
      </xdr:nvPicPr>
      <xdr:blipFill>
        <a:blip cstate="print" r:embed="rId145"/>
        <a:stretch>
          <a:fillRect/>
        </a:stretch>
      </xdr:blipFill>
      <xdr:spPr>
        <a:prstGeom prst="rect">
          <a:avLst/>
        </a:prstGeom>
        <a:noFill/>
      </xdr:spPr>
    </xdr:pic>
    <xdr:clientData fLocksWithSheet="0"/>
  </xdr:oneCellAnchor>
  <xdr:oneCellAnchor>
    <xdr:from>
      <xdr:col>6</xdr:col>
      <xdr:colOff>38100</xdr:colOff>
      <xdr:row>420</xdr:row>
      <xdr:rowOff>38100</xdr:rowOff>
    </xdr:from>
    <xdr:ext cx="647700" cy="361950"/>
    <xdr:pic>
      <xdr:nvPicPr>
        <xdr:cNvPr id="0" name="image433.jpg"/>
        <xdr:cNvPicPr preferRelativeResize="0"/>
      </xdr:nvPicPr>
      <xdr:blipFill>
        <a:blip cstate="print" r:embed="rId229"/>
        <a:stretch>
          <a:fillRect/>
        </a:stretch>
      </xdr:blipFill>
      <xdr:spPr>
        <a:prstGeom prst="rect">
          <a:avLst/>
        </a:prstGeom>
        <a:noFill/>
      </xdr:spPr>
    </xdr:pic>
    <xdr:clientData fLocksWithSheet="0"/>
  </xdr:oneCellAnchor>
  <xdr:oneCellAnchor>
    <xdr:from>
      <xdr:col>6</xdr:col>
      <xdr:colOff>38100</xdr:colOff>
      <xdr:row>421</xdr:row>
      <xdr:rowOff>38100</xdr:rowOff>
    </xdr:from>
    <xdr:ext cx="647700" cy="361950"/>
    <xdr:pic>
      <xdr:nvPicPr>
        <xdr:cNvPr id="0" name="image433.jpg"/>
        <xdr:cNvPicPr preferRelativeResize="0"/>
      </xdr:nvPicPr>
      <xdr:blipFill>
        <a:blip cstate="print" r:embed="rId229"/>
        <a:stretch>
          <a:fillRect/>
        </a:stretch>
      </xdr:blipFill>
      <xdr:spPr>
        <a:prstGeom prst="rect">
          <a:avLst/>
        </a:prstGeom>
        <a:noFill/>
      </xdr:spPr>
    </xdr:pic>
    <xdr:clientData fLocksWithSheet="0"/>
  </xdr:oneCellAnchor>
  <xdr:oneCellAnchor>
    <xdr:from>
      <xdr:col>6</xdr:col>
      <xdr:colOff>38100</xdr:colOff>
      <xdr:row>422</xdr:row>
      <xdr:rowOff>38100</xdr:rowOff>
    </xdr:from>
    <xdr:ext cx="295275" cy="514350"/>
    <xdr:pic>
      <xdr:nvPicPr>
        <xdr:cNvPr id="0" name="image240.jpg"/>
        <xdr:cNvPicPr preferRelativeResize="0"/>
      </xdr:nvPicPr>
      <xdr:blipFill>
        <a:blip cstate="print" r:embed="rId230"/>
        <a:stretch>
          <a:fillRect/>
        </a:stretch>
      </xdr:blipFill>
      <xdr:spPr>
        <a:prstGeom prst="rect">
          <a:avLst/>
        </a:prstGeom>
        <a:noFill/>
      </xdr:spPr>
    </xdr:pic>
    <xdr:clientData fLocksWithSheet="0"/>
  </xdr:oneCellAnchor>
  <xdr:oneCellAnchor>
    <xdr:from>
      <xdr:col>6</xdr:col>
      <xdr:colOff>38100</xdr:colOff>
      <xdr:row>423</xdr:row>
      <xdr:rowOff>38100</xdr:rowOff>
    </xdr:from>
    <xdr:ext cx="647700" cy="466725"/>
    <xdr:pic>
      <xdr:nvPicPr>
        <xdr:cNvPr id="0" name="image251.jpg"/>
        <xdr:cNvPicPr preferRelativeResize="0"/>
      </xdr:nvPicPr>
      <xdr:blipFill>
        <a:blip cstate="print" r:embed="rId231"/>
        <a:stretch>
          <a:fillRect/>
        </a:stretch>
      </xdr:blipFill>
      <xdr:spPr>
        <a:prstGeom prst="rect">
          <a:avLst/>
        </a:prstGeom>
        <a:noFill/>
      </xdr:spPr>
    </xdr:pic>
    <xdr:clientData fLocksWithSheet="0"/>
  </xdr:oneCellAnchor>
  <xdr:oneCellAnchor>
    <xdr:from>
      <xdr:col>6</xdr:col>
      <xdr:colOff>38100</xdr:colOff>
      <xdr:row>424</xdr:row>
      <xdr:rowOff>38100</xdr:rowOff>
    </xdr:from>
    <xdr:ext cx="390525" cy="514350"/>
    <xdr:pic>
      <xdr:nvPicPr>
        <xdr:cNvPr id="0" name="image245.jpg"/>
        <xdr:cNvPicPr preferRelativeResize="0"/>
      </xdr:nvPicPr>
      <xdr:blipFill>
        <a:blip cstate="print" r:embed="rId232"/>
        <a:stretch>
          <a:fillRect/>
        </a:stretch>
      </xdr:blipFill>
      <xdr:spPr>
        <a:prstGeom prst="rect">
          <a:avLst/>
        </a:prstGeom>
        <a:noFill/>
      </xdr:spPr>
    </xdr:pic>
    <xdr:clientData fLocksWithSheet="0"/>
  </xdr:oneCellAnchor>
  <xdr:oneCellAnchor>
    <xdr:from>
      <xdr:col>6</xdr:col>
      <xdr:colOff>38100</xdr:colOff>
      <xdr:row>425</xdr:row>
      <xdr:rowOff>38100</xdr:rowOff>
    </xdr:from>
    <xdr:ext cx="390525" cy="514350"/>
    <xdr:pic>
      <xdr:nvPicPr>
        <xdr:cNvPr id="0" name="image245.jpg"/>
        <xdr:cNvPicPr preferRelativeResize="0"/>
      </xdr:nvPicPr>
      <xdr:blipFill>
        <a:blip cstate="print" r:embed="rId232"/>
        <a:stretch>
          <a:fillRect/>
        </a:stretch>
      </xdr:blipFill>
      <xdr:spPr>
        <a:prstGeom prst="rect">
          <a:avLst/>
        </a:prstGeom>
        <a:noFill/>
      </xdr:spPr>
    </xdr:pic>
    <xdr:clientData fLocksWithSheet="0"/>
  </xdr:oneCellAnchor>
  <xdr:oneCellAnchor>
    <xdr:from>
      <xdr:col>6</xdr:col>
      <xdr:colOff>38100</xdr:colOff>
      <xdr:row>426</xdr:row>
      <xdr:rowOff>38100</xdr:rowOff>
    </xdr:from>
    <xdr:ext cx="390525" cy="514350"/>
    <xdr:pic>
      <xdr:nvPicPr>
        <xdr:cNvPr id="0" name="image245.jpg"/>
        <xdr:cNvPicPr preferRelativeResize="0"/>
      </xdr:nvPicPr>
      <xdr:blipFill>
        <a:blip cstate="print" r:embed="rId232"/>
        <a:stretch>
          <a:fillRect/>
        </a:stretch>
      </xdr:blipFill>
      <xdr:spPr>
        <a:prstGeom prst="rect">
          <a:avLst/>
        </a:prstGeom>
        <a:noFill/>
      </xdr:spPr>
    </xdr:pic>
    <xdr:clientData fLocksWithSheet="0"/>
  </xdr:oneCellAnchor>
  <xdr:oneCellAnchor>
    <xdr:from>
      <xdr:col>6</xdr:col>
      <xdr:colOff>38100</xdr:colOff>
      <xdr:row>427</xdr:row>
      <xdr:rowOff>38100</xdr:rowOff>
    </xdr:from>
    <xdr:ext cx="514350" cy="514350"/>
    <xdr:pic>
      <xdr:nvPicPr>
        <xdr:cNvPr id="0" name="image228.jpg"/>
        <xdr:cNvPicPr preferRelativeResize="0"/>
      </xdr:nvPicPr>
      <xdr:blipFill>
        <a:blip cstate="print" r:embed="rId233"/>
        <a:stretch>
          <a:fillRect/>
        </a:stretch>
      </xdr:blipFill>
      <xdr:spPr>
        <a:prstGeom prst="rect">
          <a:avLst/>
        </a:prstGeom>
        <a:noFill/>
      </xdr:spPr>
    </xdr:pic>
    <xdr:clientData fLocksWithSheet="0"/>
  </xdr:oneCellAnchor>
  <xdr:oneCellAnchor>
    <xdr:from>
      <xdr:col>6</xdr:col>
      <xdr:colOff>38100</xdr:colOff>
      <xdr:row>428</xdr:row>
      <xdr:rowOff>38100</xdr:rowOff>
    </xdr:from>
    <xdr:ext cx="600075" cy="514350"/>
    <xdr:pic>
      <xdr:nvPicPr>
        <xdr:cNvPr id="0" name="image227.jpg"/>
        <xdr:cNvPicPr preferRelativeResize="0"/>
      </xdr:nvPicPr>
      <xdr:blipFill>
        <a:blip cstate="print" r:embed="rId234"/>
        <a:stretch>
          <a:fillRect/>
        </a:stretch>
      </xdr:blipFill>
      <xdr:spPr>
        <a:prstGeom prst="rect">
          <a:avLst/>
        </a:prstGeom>
        <a:noFill/>
      </xdr:spPr>
    </xdr:pic>
    <xdr:clientData fLocksWithSheet="0"/>
  </xdr:oneCellAnchor>
  <xdr:oneCellAnchor>
    <xdr:from>
      <xdr:col>6</xdr:col>
      <xdr:colOff>38100</xdr:colOff>
      <xdr:row>429</xdr:row>
      <xdr:rowOff>38100</xdr:rowOff>
    </xdr:from>
    <xdr:ext cx="638175" cy="514350"/>
    <xdr:pic>
      <xdr:nvPicPr>
        <xdr:cNvPr id="0" name="image215.jpg"/>
        <xdr:cNvPicPr preferRelativeResize="0"/>
      </xdr:nvPicPr>
      <xdr:blipFill>
        <a:blip cstate="print" r:embed="rId235"/>
        <a:stretch>
          <a:fillRect/>
        </a:stretch>
      </xdr:blipFill>
      <xdr:spPr>
        <a:prstGeom prst="rect">
          <a:avLst/>
        </a:prstGeom>
        <a:noFill/>
      </xdr:spPr>
    </xdr:pic>
    <xdr:clientData fLocksWithSheet="0"/>
  </xdr:oneCellAnchor>
  <xdr:oneCellAnchor>
    <xdr:from>
      <xdr:col>6</xdr:col>
      <xdr:colOff>38100</xdr:colOff>
      <xdr:row>430</xdr:row>
      <xdr:rowOff>38100</xdr:rowOff>
    </xdr:from>
    <xdr:ext cx="342900" cy="514350"/>
    <xdr:pic>
      <xdr:nvPicPr>
        <xdr:cNvPr id="0" name="image214.jpg"/>
        <xdr:cNvPicPr preferRelativeResize="0"/>
      </xdr:nvPicPr>
      <xdr:blipFill>
        <a:blip cstate="print" r:embed="rId236"/>
        <a:stretch>
          <a:fillRect/>
        </a:stretch>
      </xdr:blipFill>
      <xdr:spPr>
        <a:prstGeom prst="rect">
          <a:avLst/>
        </a:prstGeom>
        <a:noFill/>
      </xdr:spPr>
    </xdr:pic>
    <xdr:clientData fLocksWithSheet="0"/>
  </xdr:oneCellAnchor>
  <xdr:oneCellAnchor>
    <xdr:from>
      <xdr:col>6</xdr:col>
      <xdr:colOff>38100</xdr:colOff>
      <xdr:row>431</xdr:row>
      <xdr:rowOff>38100</xdr:rowOff>
    </xdr:from>
    <xdr:ext cx="342900" cy="514350"/>
    <xdr:pic>
      <xdr:nvPicPr>
        <xdr:cNvPr id="0" name="image214.jpg"/>
        <xdr:cNvPicPr preferRelativeResize="0"/>
      </xdr:nvPicPr>
      <xdr:blipFill>
        <a:blip cstate="print" r:embed="rId236"/>
        <a:stretch>
          <a:fillRect/>
        </a:stretch>
      </xdr:blipFill>
      <xdr:spPr>
        <a:prstGeom prst="rect">
          <a:avLst/>
        </a:prstGeom>
        <a:noFill/>
      </xdr:spPr>
    </xdr:pic>
    <xdr:clientData fLocksWithSheet="0"/>
  </xdr:oneCellAnchor>
  <xdr:oneCellAnchor>
    <xdr:from>
      <xdr:col>6</xdr:col>
      <xdr:colOff>38100</xdr:colOff>
      <xdr:row>432</xdr:row>
      <xdr:rowOff>38100</xdr:rowOff>
    </xdr:from>
    <xdr:ext cx="514350" cy="514350"/>
    <xdr:pic>
      <xdr:nvPicPr>
        <xdr:cNvPr id="0" name="image256.jpg"/>
        <xdr:cNvPicPr preferRelativeResize="0"/>
      </xdr:nvPicPr>
      <xdr:blipFill>
        <a:blip cstate="print" r:embed="rId237"/>
        <a:stretch>
          <a:fillRect/>
        </a:stretch>
      </xdr:blipFill>
      <xdr:spPr>
        <a:prstGeom prst="rect">
          <a:avLst/>
        </a:prstGeom>
        <a:noFill/>
      </xdr:spPr>
    </xdr:pic>
    <xdr:clientData fLocksWithSheet="0"/>
  </xdr:oneCellAnchor>
  <xdr:oneCellAnchor>
    <xdr:from>
      <xdr:col>6</xdr:col>
      <xdr:colOff>38100</xdr:colOff>
      <xdr:row>433</xdr:row>
      <xdr:rowOff>38100</xdr:rowOff>
    </xdr:from>
    <xdr:ext cx="333375" cy="466725"/>
    <xdr:pic>
      <xdr:nvPicPr>
        <xdr:cNvPr id="0" name="image219.jp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38100</xdr:colOff>
      <xdr:row>434</xdr:row>
      <xdr:rowOff>38100</xdr:rowOff>
    </xdr:from>
    <xdr:ext cx="333375" cy="466725"/>
    <xdr:pic>
      <xdr:nvPicPr>
        <xdr:cNvPr id="0" name="image219.jp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38100</xdr:colOff>
      <xdr:row>435</xdr:row>
      <xdr:rowOff>38100</xdr:rowOff>
    </xdr:from>
    <xdr:ext cx="333375" cy="466725"/>
    <xdr:pic>
      <xdr:nvPicPr>
        <xdr:cNvPr id="0" name="image219.jp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38100</xdr:colOff>
      <xdr:row>436</xdr:row>
      <xdr:rowOff>38100</xdr:rowOff>
    </xdr:from>
    <xdr:ext cx="361950" cy="514350"/>
    <xdr:pic>
      <xdr:nvPicPr>
        <xdr:cNvPr id="0" name="image218.jpg"/>
        <xdr:cNvPicPr preferRelativeResize="0"/>
      </xdr:nvPicPr>
      <xdr:blipFill>
        <a:blip cstate="print" r:embed="rId239"/>
        <a:stretch>
          <a:fillRect/>
        </a:stretch>
      </xdr:blipFill>
      <xdr:spPr>
        <a:prstGeom prst="rect">
          <a:avLst/>
        </a:prstGeom>
        <a:noFill/>
      </xdr:spPr>
    </xdr:pic>
    <xdr:clientData fLocksWithSheet="0"/>
  </xdr:oneCellAnchor>
  <xdr:oneCellAnchor>
    <xdr:from>
      <xdr:col>6</xdr:col>
      <xdr:colOff>38100</xdr:colOff>
      <xdr:row>437</xdr:row>
      <xdr:rowOff>38100</xdr:rowOff>
    </xdr:from>
    <xdr:ext cx="333375" cy="466725"/>
    <xdr:pic>
      <xdr:nvPicPr>
        <xdr:cNvPr id="0" name="image219.jp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38100</xdr:colOff>
      <xdr:row>438</xdr:row>
      <xdr:rowOff>38100</xdr:rowOff>
    </xdr:from>
    <xdr:ext cx="333375" cy="466725"/>
    <xdr:pic>
      <xdr:nvPicPr>
        <xdr:cNvPr id="0" name="image219.jp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38100</xdr:colOff>
      <xdr:row>439</xdr:row>
      <xdr:rowOff>38100</xdr:rowOff>
    </xdr:from>
    <xdr:ext cx="514350" cy="514350"/>
    <xdr:pic>
      <xdr:nvPicPr>
        <xdr:cNvPr id="0" name="image261.jpg"/>
        <xdr:cNvPicPr preferRelativeResize="0"/>
      </xdr:nvPicPr>
      <xdr:blipFill>
        <a:blip cstate="print" r:embed="rId240"/>
        <a:stretch>
          <a:fillRect/>
        </a:stretch>
      </xdr:blipFill>
      <xdr:spPr>
        <a:prstGeom prst="rect">
          <a:avLst/>
        </a:prstGeom>
        <a:noFill/>
      </xdr:spPr>
    </xdr:pic>
    <xdr:clientData fLocksWithSheet="0"/>
  </xdr:oneCellAnchor>
  <xdr:oneCellAnchor>
    <xdr:from>
      <xdr:col>6</xdr:col>
      <xdr:colOff>38100</xdr:colOff>
      <xdr:row>440</xdr:row>
      <xdr:rowOff>38100</xdr:rowOff>
    </xdr:from>
    <xdr:ext cx="552450" cy="514350"/>
    <xdr:pic>
      <xdr:nvPicPr>
        <xdr:cNvPr id="0" name="image229.jpg"/>
        <xdr:cNvPicPr preferRelativeResize="0"/>
      </xdr:nvPicPr>
      <xdr:blipFill>
        <a:blip cstate="print" r:embed="rId241"/>
        <a:stretch>
          <a:fillRect/>
        </a:stretch>
      </xdr:blipFill>
      <xdr:spPr>
        <a:prstGeom prst="rect">
          <a:avLst/>
        </a:prstGeom>
        <a:noFill/>
      </xdr:spPr>
    </xdr:pic>
    <xdr:clientData fLocksWithSheet="0"/>
  </xdr:oneCellAnchor>
  <xdr:oneCellAnchor>
    <xdr:from>
      <xdr:col>6</xdr:col>
      <xdr:colOff>38100</xdr:colOff>
      <xdr:row>441</xdr:row>
      <xdr:rowOff>38100</xdr:rowOff>
    </xdr:from>
    <xdr:ext cx="333375" cy="514350"/>
    <xdr:pic>
      <xdr:nvPicPr>
        <xdr:cNvPr id="0" name="image145.jpg"/>
        <xdr:cNvPicPr preferRelativeResize="0"/>
      </xdr:nvPicPr>
      <xdr:blipFill>
        <a:blip cstate="print" r:embed="rId148"/>
        <a:stretch>
          <a:fillRect/>
        </a:stretch>
      </xdr:blipFill>
      <xdr:spPr>
        <a:prstGeom prst="rect">
          <a:avLst/>
        </a:prstGeom>
        <a:noFill/>
      </xdr:spPr>
    </xdr:pic>
    <xdr:clientData fLocksWithSheet="0"/>
  </xdr:oneCellAnchor>
  <xdr:oneCellAnchor>
    <xdr:from>
      <xdr:col>6</xdr:col>
      <xdr:colOff>38100</xdr:colOff>
      <xdr:row>442</xdr:row>
      <xdr:rowOff>38100</xdr:rowOff>
    </xdr:from>
    <xdr:ext cx="304800" cy="514350"/>
    <xdr:pic>
      <xdr:nvPicPr>
        <xdr:cNvPr id="0" name="image139.jp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38100</xdr:colOff>
      <xdr:row>443</xdr:row>
      <xdr:rowOff>38100</xdr:rowOff>
    </xdr:from>
    <xdr:ext cx="304800" cy="514350"/>
    <xdr:pic>
      <xdr:nvPicPr>
        <xdr:cNvPr id="0" name="image139.jp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38100</xdr:colOff>
      <xdr:row>444</xdr:row>
      <xdr:rowOff>38100</xdr:rowOff>
    </xdr:from>
    <xdr:ext cx="228600" cy="514350"/>
    <xdr:pic>
      <xdr:nvPicPr>
        <xdr:cNvPr id="0" name="image252.jpg"/>
        <xdr:cNvPicPr preferRelativeResize="0"/>
      </xdr:nvPicPr>
      <xdr:blipFill>
        <a:blip cstate="print" r:embed="rId242"/>
        <a:stretch>
          <a:fillRect/>
        </a:stretch>
      </xdr:blipFill>
      <xdr:spPr>
        <a:prstGeom prst="rect">
          <a:avLst/>
        </a:prstGeom>
        <a:noFill/>
      </xdr:spPr>
    </xdr:pic>
    <xdr:clientData fLocksWithSheet="0"/>
  </xdr:oneCellAnchor>
  <xdr:oneCellAnchor>
    <xdr:from>
      <xdr:col>6</xdr:col>
      <xdr:colOff>38100</xdr:colOff>
      <xdr:row>445</xdr:row>
      <xdr:rowOff>38100</xdr:rowOff>
    </xdr:from>
    <xdr:ext cx="400050" cy="447675"/>
    <xdr:pic>
      <xdr:nvPicPr>
        <xdr:cNvPr id="0" name="image250.jpg"/>
        <xdr:cNvPicPr preferRelativeResize="0"/>
      </xdr:nvPicPr>
      <xdr:blipFill>
        <a:blip cstate="print" r:embed="rId243"/>
        <a:stretch>
          <a:fillRect/>
        </a:stretch>
      </xdr:blipFill>
      <xdr:spPr>
        <a:prstGeom prst="rect">
          <a:avLst/>
        </a:prstGeom>
        <a:noFill/>
      </xdr:spPr>
    </xdr:pic>
    <xdr:clientData fLocksWithSheet="0"/>
  </xdr:oneCellAnchor>
  <xdr:oneCellAnchor>
    <xdr:from>
      <xdr:col>6</xdr:col>
      <xdr:colOff>38100</xdr:colOff>
      <xdr:row>446</xdr:row>
      <xdr:rowOff>38100</xdr:rowOff>
    </xdr:from>
    <xdr:ext cx="409575" cy="447675"/>
    <xdr:pic>
      <xdr:nvPicPr>
        <xdr:cNvPr id="0" name="image237.jpg"/>
        <xdr:cNvPicPr preferRelativeResize="0"/>
      </xdr:nvPicPr>
      <xdr:blipFill>
        <a:blip cstate="print" r:embed="rId244"/>
        <a:stretch>
          <a:fillRect/>
        </a:stretch>
      </xdr:blipFill>
      <xdr:spPr>
        <a:prstGeom prst="rect">
          <a:avLst/>
        </a:prstGeom>
        <a:noFill/>
      </xdr:spPr>
    </xdr:pic>
    <xdr:clientData fLocksWithSheet="0"/>
  </xdr:oneCellAnchor>
  <xdr:oneCellAnchor>
    <xdr:from>
      <xdr:col>6</xdr:col>
      <xdr:colOff>38100</xdr:colOff>
      <xdr:row>447</xdr:row>
      <xdr:rowOff>38100</xdr:rowOff>
    </xdr:from>
    <xdr:ext cx="314325" cy="514350"/>
    <xdr:pic>
      <xdr:nvPicPr>
        <xdr:cNvPr id="0" name="image294.jpg"/>
        <xdr:cNvPicPr preferRelativeResize="0"/>
      </xdr:nvPicPr>
      <xdr:blipFill>
        <a:blip cstate="print" r:embed="rId245"/>
        <a:stretch>
          <a:fillRect/>
        </a:stretch>
      </xdr:blipFill>
      <xdr:spPr>
        <a:prstGeom prst="rect">
          <a:avLst/>
        </a:prstGeom>
        <a:noFill/>
      </xdr:spPr>
    </xdr:pic>
    <xdr:clientData fLocksWithSheet="0"/>
  </xdr:oneCellAnchor>
  <xdr:oneCellAnchor>
    <xdr:from>
      <xdr:col>6</xdr:col>
      <xdr:colOff>38100</xdr:colOff>
      <xdr:row>448</xdr:row>
      <xdr:rowOff>38100</xdr:rowOff>
    </xdr:from>
    <xdr:ext cx="466725" cy="514350"/>
    <xdr:pic>
      <xdr:nvPicPr>
        <xdr:cNvPr id="0" name="image230.jpg"/>
        <xdr:cNvPicPr preferRelativeResize="0"/>
      </xdr:nvPicPr>
      <xdr:blipFill>
        <a:blip cstate="print" r:embed="rId246"/>
        <a:stretch>
          <a:fillRect/>
        </a:stretch>
      </xdr:blipFill>
      <xdr:spPr>
        <a:prstGeom prst="rect">
          <a:avLst/>
        </a:prstGeom>
        <a:noFill/>
      </xdr:spPr>
    </xdr:pic>
    <xdr:clientData fLocksWithSheet="0"/>
  </xdr:oneCellAnchor>
  <xdr:oneCellAnchor>
    <xdr:from>
      <xdr:col>6</xdr:col>
      <xdr:colOff>38100</xdr:colOff>
      <xdr:row>449</xdr:row>
      <xdr:rowOff>38100</xdr:rowOff>
    </xdr:from>
    <xdr:ext cx="466725" cy="514350"/>
    <xdr:pic>
      <xdr:nvPicPr>
        <xdr:cNvPr id="0" name="image230.jpg"/>
        <xdr:cNvPicPr preferRelativeResize="0"/>
      </xdr:nvPicPr>
      <xdr:blipFill>
        <a:blip cstate="print" r:embed="rId246"/>
        <a:stretch>
          <a:fillRect/>
        </a:stretch>
      </xdr:blipFill>
      <xdr:spPr>
        <a:prstGeom prst="rect">
          <a:avLst/>
        </a:prstGeom>
        <a:noFill/>
      </xdr:spPr>
    </xdr:pic>
    <xdr:clientData fLocksWithSheet="0"/>
  </xdr:oneCellAnchor>
  <xdr:oneCellAnchor>
    <xdr:from>
      <xdr:col>6</xdr:col>
      <xdr:colOff>38100</xdr:colOff>
      <xdr:row>450</xdr:row>
      <xdr:rowOff>38100</xdr:rowOff>
    </xdr:from>
    <xdr:ext cx="638175" cy="514350"/>
    <xdr:pic>
      <xdr:nvPicPr>
        <xdr:cNvPr id="0" name="image235.jpg"/>
        <xdr:cNvPicPr preferRelativeResize="0"/>
      </xdr:nvPicPr>
      <xdr:blipFill>
        <a:blip cstate="print" r:embed="rId247"/>
        <a:stretch>
          <a:fillRect/>
        </a:stretch>
      </xdr:blipFill>
      <xdr:spPr>
        <a:prstGeom prst="rect">
          <a:avLst/>
        </a:prstGeom>
        <a:noFill/>
      </xdr:spPr>
    </xdr:pic>
    <xdr:clientData fLocksWithSheet="0"/>
  </xdr:oneCellAnchor>
  <xdr:oneCellAnchor>
    <xdr:from>
      <xdr:col>6</xdr:col>
      <xdr:colOff>38100</xdr:colOff>
      <xdr:row>451</xdr:row>
      <xdr:rowOff>38100</xdr:rowOff>
    </xdr:from>
    <xdr:ext cx="419100" cy="514350"/>
    <xdr:pic>
      <xdr:nvPicPr>
        <xdr:cNvPr id="0" name="image225.jpg"/>
        <xdr:cNvPicPr preferRelativeResize="0"/>
      </xdr:nvPicPr>
      <xdr:blipFill>
        <a:blip cstate="print" r:embed="rId248"/>
        <a:stretch>
          <a:fillRect/>
        </a:stretch>
      </xdr:blipFill>
      <xdr:spPr>
        <a:prstGeom prst="rect">
          <a:avLst/>
        </a:prstGeom>
        <a:noFill/>
      </xdr:spPr>
    </xdr:pic>
    <xdr:clientData fLocksWithSheet="0"/>
  </xdr:oneCellAnchor>
  <xdr:oneCellAnchor>
    <xdr:from>
      <xdr:col>6</xdr:col>
      <xdr:colOff>38100</xdr:colOff>
      <xdr:row>452</xdr:row>
      <xdr:rowOff>38100</xdr:rowOff>
    </xdr:from>
    <xdr:ext cx="485775" cy="514350"/>
    <xdr:pic>
      <xdr:nvPicPr>
        <xdr:cNvPr id="0" name="image224.jpg"/>
        <xdr:cNvPicPr preferRelativeResize="0"/>
      </xdr:nvPicPr>
      <xdr:blipFill>
        <a:blip cstate="print" r:embed="rId249"/>
        <a:stretch>
          <a:fillRect/>
        </a:stretch>
      </xdr:blipFill>
      <xdr:spPr>
        <a:prstGeom prst="rect">
          <a:avLst/>
        </a:prstGeom>
        <a:noFill/>
      </xdr:spPr>
    </xdr:pic>
    <xdr:clientData fLocksWithSheet="0"/>
  </xdr:oneCellAnchor>
  <xdr:oneCellAnchor>
    <xdr:from>
      <xdr:col>6</xdr:col>
      <xdr:colOff>38100</xdr:colOff>
      <xdr:row>453</xdr:row>
      <xdr:rowOff>38100</xdr:rowOff>
    </xdr:from>
    <xdr:ext cx="552450" cy="514350"/>
    <xdr:pic>
      <xdr:nvPicPr>
        <xdr:cNvPr id="0" name="image297.jpg"/>
        <xdr:cNvPicPr preferRelativeResize="0"/>
      </xdr:nvPicPr>
      <xdr:blipFill>
        <a:blip cstate="print" r:embed="rId250"/>
        <a:stretch>
          <a:fillRect/>
        </a:stretch>
      </xdr:blipFill>
      <xdr:spPr>
        <a:prstGeom prst="rect">
          <a:avLst/>
        </a:prstGeom>
        <a:noFill/>
      </xdr:spPr>
    </xdr:pic>
    <xdr:clientData fLocksWithSheet="0"/>
  </xdr:oneCellAnchor>
  <xdr:oneCellAnchor>
    <xdr:from>
      <xdr:col>6</xdr:col>
      <xdr:colOff>38100</xdr:colOff>
      <xdr:row>454</xdr:row>
      <xdr:rowOff>38100</xdr:rowOff>
    </xdr:from>
    <xdr:ext cx="409575" cy="419100"/>
    <xdr:pic>
      <xdr:nvPicPr>
        <xdr:cNvPr id="0" name="image231.jpg"/>
        <xdr:cNvPicPr preferRelativeResize="0"/>
      </xdr:nvPicPr>
      <xdr:blipFill>
        <a:blip cstate="print" r:embed="rId251"/>
        <a:stretch>
          <a:fillRect/>
        </a:stretch>
      </xdr:blipFill>
      <xdr:spPr>
        <a:prstGeom prst="rect">
          <a:avLst/>
        </a:prstGeom>
        <a:noFill/>
      </xdr:spPr>
    </xdr:pic>
    <xdr:clientData fLocksWithSheet="0"/>
  </xdr:oneCellAnchor>
  <xdr:oneCellAnchor>
    <xdr:from>
      <xdr:col>6</xdr:col>
      <xdr:colOff>38100</xdr:colOff>
      <xdr:row>455</xdr:row>
      <xdr:rowOff>38100</xdr:rowOff>
    </xdr:from>
    <xdr:ext cx="504825" cy="514350"/>
    <xdr:pic>
      <xdr:nvPicPr>
        <xdr:cNvPr id="0" name="image267.jpg"/>
        <xdr:cNvPicPr preferRelativeResize="0"/>
      </xdr:nvPicPr>
      <xdr:blipFill>
        <a:blip cstate="print" r:embed="rId252"/>
        <a:stretch>
          <a:fillRect/>
        </a:stretch>
      </xdr:blipFill>
      <xdr:spPr>
        <a:prstGeom prst="rect">
          <a:avLst/>
        </a:prstGeom>
        <a:noFill/>
      </xdr:spPr>
    </xdr:pic>
    <xdr:clientData fLocksWithSheet="0"/>
  </xdr:oneCellAnchor>
  <xdr:oneCellAnchor>
    <xdr:from>
      <xdr:col>6</xdr:col>
      <xdr:colOff>38100</xdr:colOff>
      <xdr:row>456</xdr:row>
      <xdr:rowOff>38100</xdr:rowOff>
    </xdr:from>
    <xdr:ext cx="504825" cy="514350"/>
    <xdr:pic>
      <xdr:nvPicPr>
        <xdr:cNvPr id="0" name="image267.jpg"/>
        <xdr:cNvPicPr preferRelativeResize="0"/>
      </xdr:nvPicPr>
      <xdr:blipFill>
        <a:blip cstate="print" r:embed="rId252"/>
        <a:stretch>
          <a:fillRect/>
        </a:stretch>
      </xdr:blipFill>
      <xdr:spPr>
        <a:prstGeom prst="rect">
          <a:avLst/>
        </a:prstGeom>
        <a:noFill/>
      </xdr:spPr>
    </xdr:pic>
    <xdr:clientData fLocksWithSheet="0"/>
  </xdr:oneCellAnchor>
  <xdr:oneCellAnchor>
    <xdr:from>
      <xdr:col>6</xdr:col>
      <xdr:colOff>38100</xdr:colOff>
      <xdr:row>457</xdr:row>
      <xdr:rowOff>38100</xdr:rowOff>
    </xdr:from>
    <xdr:ext cx="504825" cy="514350"/>
    <xdr:pic>
      <xdr:nvPicPr>
        <xdr:cNvPr id="0" name="image267.jpg"/>
        <xdr:cNvPicPr preferRelativeResize="0"/>
      </xdr:nvPicPr>
      <xdr:blipFill>
        <a:blip cstate="print" r:embed="rId252"/>
        <a:stretch>
          <a:fillRect/>
        </a:stretch>
      </xdr:blipFill>
      <xdr:spPr>
        <a:prstGeom prst="rect">
          <a:avLst/>
        </a:prstGeom>
        <a:noFill/>
      </xdr:spPr>
    </xdr:pic>
    <xdr:clientData fLocksWithSheet="0"/>
  </xdr:oneCellAnchor>
  <xdr:oneCellAnchor>
    <xdr:from>
      <xdr:col>6</xdr:col>
      <xdr:colOff>38100</xdr:colOff>
      <xdr:row>458</xdr:row>
      <xdr:rowOff>38100</xdr:rowOff>
    </xdr:from>
    <xdr:ext cx="447675" cy="495300"/>
    <xdr:pic>
      <xdr:nvPicPr>
        <xdr:cNvPr id="0" name="image342.jpg"/>
        <xdr:cNvPicPr preferRelativeResize="0"/>
      </xdr:nvPicPr>
      <xdr:blipFill>
        <a:blip cstate="print" r:embed="rId253"/>
        <a:stretch>
          <a:fillRect/>
        </a:stretch>
      </xdr:blipFill>
      <xdr:spPr>
        <a:prstGeom prst="rect">
          <a:avLst/>
        </a:prstGeom>
        <a:noFill/>
      </xdr:spPr>
    </xdr:pic>
    <xdr:clientData fLocksWithSheet="0"/>
  </xdr:oneCellAnchor>
  <xdr:oneCellAnchor>
    <xdr:from>
      <xdr:col>6</xdr:col>
      <xdr:colOff>38100</xdr:colOff>
      <xdr:row>459</xdr:row>
      <xdr:rowOff>38100</xdr:rowOff>
    </xdr:from>
    <xdr:ext cx="447675" cy="495300"/>
    <xdr:pic>
      <xdr:nvPicPr>
        <xdr:cNvPr id="0" name="image342.jpg"/>
        <xdr:cNvPicPr preferRelativeResize="0"/>
      </xdr:nvPicPr>
      <xdr:blipFill>
        <a:blip cstate="print" r:embed="rId253"/>
        <a:stretch>
          <a:fillRect/>
        </a:stretch>
      </xdr:blipFill>
      <xdr:spPr>
        <a:prstGeom prst="rect">
          <a:avLst/>
        </a:prstGeom>
        <a:noFill/>
      </xdr:spPr>
    </xdr:pic>
    <xdr:clientData fLocksWithSheet="0"/>
  </xdr:oneCellAnchor>
  <xdr:oneCellAnchor>
    <xdr:from>
      <xdr:col>6</xdr:col>
      <xdr:colOff>38100</xdr:colOff>
      <xdr:row>460</xdr:row>
      <xdr:rowOff>38100</xdr:rowOff>
    </xdr:from>
    <xdr:ext cx="447675" cy="495300"/>
    <xdr:pic>
      <xdr:nvPicPr>
        <xdr:cNvPr id="0" name="image342.jpg"/>
        <xdr:cNvPicPr preferRelativeResize="0"/>
      </xdr:nvPicPr>
      <xdr:blipFill>
        <a:blip cstate="print" r:embed="rId253"/>
        <a:stretch>
          <a:fillRect/>
        </a:stretch>
      </xdr:blipFill>
      <xdr:spPr>
        <a:prstGeom prst="rect">
          <a:avLst/>
        </a:prstGeom>
        <a:noFill/>
      </xdr:spPr>
    </xdr:pic>
    <xdr:clientData fLocksWithSheet="0"/>
  </xdr:oneCellAnchor>
  <xdr:oneCellAnchor>
    <xdr:from>
      <xdr:col>6</xdr:col>
      <xdr:colOff>38100</xdr:colOff>
      <xdr:row>461</xdr:row>
      <xdr:rowOff>38100</xdr:rowOff>
    </xdr:from>
    <xdr:ext cx="342900" cy="476250"/>
    <xdr:pic>
      <xdr:nvPicPr>
        <xdr:cNvPr id="0" name="image233.jp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38100</xdr:colOff>
      <xdr:row>462</xdr:row>
      <xdr:rowOff>38100</xdr:rowOff>
    </xdr:from>
    <xdr:ext cx="342900" cy="476250"/>
    <xdr:pic>
      <xdr:nvPicPr>
        <xdr:cNvPr id="0" name="image233.jp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38100</xdr:colOff>
      <xdr:row>463</xdr:row>
      <xdr:rowOff>38100</xdr:rowOff>
    </xdr:from>
    <xdr:ext cx="342900" cy="476250"/>
    <xdr:pic>
      <xdr:nvPicPr>
        <xdr:cNvPr id="0" name="image233.jp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38100</xdr:colOff>
      <xdr:row>464</xdr:row>
      <xdr:rowOff>38100</xdr:rowOff>
    </xdr:from>
    <xdr:ext cx="342900" cy="476250"/>
    <xdr:pic>
      <xdr:nvPicPr>
        <xdr:cNvPr id="0" name="image233.jp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38100</xdr:colOff>
      <xdr:row>465</xdr:row>
      <xdr:rowOff>38100</xdr:rowOff>
    </xdr:from>
    <xdr:ext cx="342900" cy="476250"/>
    <xdr:pic>
      <xdr:nvPicPr>
        <xdr:cNvPr id="0" name="image233.jp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38100</xdr:colOff>
      <xdr:row>466</xdr:row>
      <xdr:rowOff>38100</xdr:rowOff>
    </xdr:from>
    <xdr:ext cx="457200" cy="466725"/>
    <xdr:pic>
      <xdr:nvPicPr>
        <xdr:cNvPr id="0" name="image239.jpg"/>
        <xdr:cNvPicPr preferRelativeResize="0"/>
      </xdr:nvPicPr>
      <xdr:blipFill>
        <a:blip cstate="print" r:embed="rId255"/>
        <a:stretch>
          <a:fillRect/>
        </a:stretch>
      </xdr:blipFill>
      <xdr:spPr>
        <a:prstGeom prst="rect">
          <a:avLst/>
        </a:prstGeom>
        <a:noFill/>
      </xdr:spPr>
    </xdr:pic>
    <xdr:clientData fLocksWithSheet="0"/>
  </xdr:oneCellAnchor>
  <xdr:oneCellAnchor>
    <xdr:from>
      <xdr:col>6</xdr:col>
      <xdr:colOff>38100</xdr:colOff>
      <xdr:row>467</xdr:row>
      <xdr:rowOff>38100</xdr:rowOff>
    </xdr:from>
    <xdr:ext cx="457200" cy="466725"/>
    <xdr:pic>
      <xdr:nvPicPr>
        <xdr:cNvPr id="0" name="image239.jpg"/>
        <xdr:cNvPicPr preferRelativeResize="0"/>
      </xdr:nvPicPr>
      <xdr:blipFill>
        <a:blip cstate="print" r:embed="rId255"/>
        <a:stretch>
          <a:fillRect/>
        </a:stretch>
      </xdr:blipFill>
      <xdr:spPr>
        <a:prstGeom prst="rect">
          <a:avLst/>
        </a:prstGeom>
        <a:noFill/>
      </xdr:spPr>
    </xdr:pic>
    <xdr:clientData fLocksWithSheet="0"/>
  </xdr:oneCellAnchor>
  <xdr:oneCellAnchor>
    <xdr:from>
      <xdr:col>6</xdr:col>
      <xdr:colOff>38100</xdr:colOff>
      <xdr:row>468</xdr:row>
      <xdr:rowOff>38100</xdr:rowOff>
    </xdr:from>
    <xdr:ext cx="457200" cy="466725"/>
    <xdr:pic>
      <xdr:nvPicPr>
        <xdr:cNvPr id="0" name="image239.jpg"/>
        <xdr:cNvPicPr preferRelativeResize="0"/>
      </xdr:nvPicPr>
      <xdr:blipFill>
        <a:blip cstate="print" r:embed="rId255"/>
        <a:stretch>
          <a:fillRect/>
        </a:stretch>
      </xdr:blipFill>
      <xdr:spPr>
        <a:prstGeom prst="rect">
          <a:avLst/>
        </a:prstGeom>
        <a:noFill/>
      </xdr:spPr>
    </xdr:pic>
    <xdr:clientData fLocksWithSheet="0"/>
  </xdr:oneCellAnchor>
  <xdr:oneCellAnchor>
    <xdr:from>
      <xdr:col>6</xdr:col>
      <xdr:colOff>38100</xdr:colOff>
      <xdr:row>469</xdr:row>
      <xdr:rowOff>38100</xdr:rowOff>
    </xdr:from>
    <xdr:ext cx="304800" cy="381000"/>
    <xdr:pic>
      <xdr:nvPicPr>
        <xdr:cNvPr id="0" name="image241.jpg"/>
        <xdr:cNvPicPr preferRelativeResize="0"/>
      </xdr:nvPicPr>
      <xdr:blipFill>
        <a:blip cstate="print" r:embed="rId256"/>
        <a:stretch>
          <a:fillRect/>
        </a:stretch>
      </xdr:blipFill>
      <xdr:spPr>
        <a:prstGeom prst="rect">
          <a:avLst/>
        </a:prstGeom>
        <a:noFill/>
      </xdr:spPr>
    </xdr:pic>
    <xdr:clientData fLocksWithSheet="0"/>
  </xdr:oneCellAnchor>
  <xdr:oneCellAnchor>
    <xdr:from>
      <xdr:col>6</xdr:col>
      <xdr:colOff>38100</xdr:colOff>
      <xdr:row>470</xdr:row>
      <xdr:rowOff>38100</xdr:rowOff>
    </xdr:from>
    <xdr:ext cx="304800" cy="381000"/>
    <xdr:pic>
      <xdr:nvPicPr>
        <xdr:cNvPr id="0" name="image241.jpg"/>
        <xdr:cNvPicPr preferRelativeResize="0"/>
      </xdr:nvPicPr>
      <xdr:blipFill>
        <a:blip cstate="print" r:embed="rId256"/>
        <a:stretch>
          <a:fillRect/>
        </a:stretch>
      </xdr:blipFill>
      <xdr:spPr>
        <a:prstGeom prst="rect">
          <a:avLst/>
        </a:prstGeom>
        <a:noFill/>
      </xdr:spPr>
    </xdr:pic>
    <xdr:clientData fLocksWithSheet="0"/>
  </xdr:oneCellAnchor>
  <xdr:oneCellAnchor>
    <xdr:from>
      <xdr:col>6</xdr:col>
      <xdr:colOff>38100</xdr:colOff>
      <xdr:row>471</xdr:row>
      <xdr:rowOff>38100</xdr:rowOff>
    </xdr:from>
    <xdr:ext cx="304800" cy="381000"/>
    <xdr:pic>
      <xdr:nvPicPr>
        <xdr:cNvPr id="0" name="image241.jpg"/>
        <xdr:cNvPicPr preferRelativeResize="0"/>
      </xdr:nvPicPr>
      <xdr:blipFill>
        <a:blip cstate="print" r:embed="rId256"/>
        <a:stretch>
          <a:fillRect/>
        </a:stretch>
      </xdr:blipFill>
      <xdr:spPr>
        <a:prstGeom prst="rect">
          <a:avLst/>
        </a:prstGeom>
        <a:noFill/>
      </xdr:spPr>
    </xdr:pic>
    <xdr:clientData fLocksWithSheet="0"/>
  </xdr:oneCellAnchor>
  <xdr:oneCellAnchor>
    <xdr:from>
      <xdr:col>6</xdr:col>
      <xdr:colOff>38100</xdr:colOff>
      <xdr:row>472</xdr:row>
      <xdr:rowOff>38100</xdr:rowOff>
    </xdr:from>
    <xdr:ext cx="304800" cy="381000"/>
    <xdr:pic>
      <xdr:nvPicPr>
        <xdr:cNvPr id="0" name="image241.jpg"/>
        <xdr:cNvPicPr preferRelativeResize="0"/>
      </xdr:nvPicPr>
      <xdr:blipFill>
        <a:blip cstate="print" r:embed="rId256"/>
        <a:stretch>
          <a:fillRect/>
        </a:stretch>
      </xdr:blipFill>
      <xdr:spPr>
        <a:prstGeom prst="rect">
          <a:avLst/>
        </a:prstGeom>
        <a:noFill/>
      </xdr:spPr>
    </xdr:pic>
    <xdr:clientData fLocksWithSheet="0"/>
  </xdr:oneCellAnchor>
  <xdr:oneCellAnchor>
    <xdr:from>
      <xdr:col>6</xdr:col>
      <xdr:colOff>38100</xdr:colOff>
      <xdr:row>473</xdr:row>
      <xdr:rowOff>38100</xdr:rowOff>
    </xdr:from>
    <xdr:ext cx="285750" cy="476250"/>
    <xdr:pic>
      <xdr:nvPicPr>
        <xdr:cNvPr id="0" name="image242.jp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38100</xdr:colOff>
      <xdr:row>474</xdr:row>
      <xdr:rowOff>38100</xdr:rowOff>
    </xdr:from>
    <xdr:ext cx="285750" cy="476250"/>
    <xdr:pic>
      <xdr:nvPicPr>
        <xdr:cNvPr id="0" name="image242.jp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38100</xdr:colOff>
      <xdr:row>475</xdr:row>
      <xdr:rowOff>38100</xdr:rowOff>
    </xdr:from>
    <xdr:ext cx="285750" cy="476250"/>
    <xdr:pic>
      <xdr:nvPicPr>
        <xdr:cNvPr id="0" name="image242.jp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38100</xdr:colOff>
      <xdr:row>476</xdr:row>
      <xdr:rowOff>38100</xdr:rowOff>
    </xdr:from>
    <xdr:ext cx="285750" cy="476250"/>
    <xdr:pic>
      <xdr:nvPicPr>
        <xdr:cNvPr id="0" name="image242.jp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38100</xdr:colOff>
      <xdr:row>477</xdr:row>
      <xdr:rowOff>38100</xdr:rowOff>
    </xdr:from>
    <xdr:ext cx="285750" cy="476250"/>
    <xdr:pic>
      <xdr:nvPicPr>
        <xdr:cNvPr id="0" name="image242.jp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38100</xdr:colOff>
      <xdr:row>478</xdr:row>
      <xdr:rowOff>38100</xdr:rowOff>
    </xdr:from>
    <xdr:ext cx="285750" cy="476250"/>
    <xdr:pic>
      <xdr:nvPicPr>
        <xdr:cNvPr id="0" name="image242.jp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38100</xdr:colOff>
      <xdr:row>479</xdr:row>
      <xdr:rowOff>38100</xdr:rowOff>
    </xdr:from>
    <xdr:ext cx="285750" cy="476250"/>
    <xdr:pic>
      <xdr:nvPicPr>
        <xdr:cNvPr id="0" name="image242.jp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38100</xdr:colOff>
      <xdr:row>480</xdr:row>
      <xdr:rowOff>38100</xdr:rowOff>
    </xdr:from>
    <xdr:ext cx="409575" cy="390525"/>
    <xdr:pic>
      <xdr:nvPicPr>
        <xdr:cNvPr id="0" name="image243.jpg"/>
        <xdr:cNvPicPr preferRelativeResize="0"/>
      </xdr:nvPicPr>
      <xdr:blipFill>
        <a:blip cstate="print" r:embed="rId258"/>
        <a:stretch>
          <a:fillRect/>
        </a:stretch>
      </xdr:blipFill>
      <xdr:spPr>
        <a:prstGeom prst="rect">
          <a:avLst/>
        </a:prstGeom>
        <a:noFill/>
      </xdr:spPr>
    </xdr:pic>
    <xdr:clientData fLocksWithSheet="0"/>
  </xdr:oneCellAnchor>
  <xdr:oneCellAnchor>
    <xdr:from>
      <xdr:col>6</xdr:col>
      <xdr:colOff>38100</xdr:colOff>
      <xdr:row>481</xdr:row>
      <xdr:rowOff>38100</xdr:rowOff>
    </xdr:from>
    <xdr:ext cx="409575" cy="390525"/>
    <xdr:pic>
      <xdr:nvPicPr>
        <xdr:cNvPr id="0" name="image243.jpg"/>
        <xdr:cNvPicPr preferRelativeResize="0"/>
      </xdr:nvPicPr>
      <xdr:blipFill>
        <a:blip cstate="print" r:embed="rId258"/>
        <a:stretch>
          <a:fillRect/>
        </a:stretch>
      </xdr:blipFill>
      <xdr:spPr>
        <a:prstGeom prst="rect">
          <a:avLst/>
        </a:prstGeom>
        <a:noFill/>
      </xdr:spPr>
    </xdr:pic>
    <xdr:clientData fLocksWithSheet="0"/>
  </xdr:oneCellAnchor>
  <xdr:oneCellAnchor>
    <xdr:from>
      <xdr:col>6</xdr:col>
      <xdr:colOff>38100</xdr:colOff>
      <xdr:row>482</xdr:row>
      <xdr:rowOff>38100</xdr:rowOff>
    </xdr:from>
    <xdr:ext cx="409575" cy="390525"/>
    <xdr:pic>
      <xdr:nvPicPr>
        <xdr:cNvPr id="0" name="image243.jpg"/>
        <xdr:cNvPicPr preferRelativeResize="0"/>
      </xdr:nvPicPr>
      <xdr:blipFill>
        <a:blip cstate="print" r:embed="rId258"/>
        <a:stretch>
          <a:fillRect/>
        </a:stretch>
      </xdr:blipFill>
      <xdr:spPr>
        <a:prstGeom prst="rect">
          <a:avLst/>
        </a:prstGeom>
        <a:noFill/>
      </xdr:spPr>
    </xdr:pic>
    <xdr:clientData fLocksWithSheet="0"/>
  </xdr:oneCellAnchor>
  <xdr:oneCellAnchor>
    <xdr:from>
      <xdr:col>6</xdr:col>
      <xdr:colOff>38100</xdr:colOff>
      <xdr:row>483</xdr:row>
      <xdr:rowOff>38100</xdr:rowOff>
    </xdr:from>
    <xdr:ext cx="409575" cy="390525"/>
    <xdr:pic>
      <xdr:nvPicPr>
        <xdr:cNvPr id="0" name="image243.jpg"/>
        <xdr:cNvPicPr preferRelativeResize="0"/>
      </xdr:nvPicPr>
      <xdr:blipFill>
        <a:blip cstate="print" r:embed="rId258"/>
        <a:stretch>
          <a:fillRect/>
        </a:stretch>
      </xdr:blipFill>
      <xdr:spPr>
        <a:prstGeom prst="rect">
          <a:avLst/>
        </a:prstGeom>
        <a:noFill/>
      </xdr:spPr>
    </xdr:pic>
    <xdr:clientData fLocksWithSheet="0"/>
  </xdr:oneCellAnchor>
  <xdr:oneCellAnchor>
    <xdr:from>
      <xdr:col>6</xdr:col>
      <xdr:colOff>38100</xdr:colOff>
      <xdr:row>484</xdr:row>
      <xdr:rowOff>38100</xdr:rowOff>
    </xdr:from>
    <xdr:ext cx="342900" cy="476250"/>
    <xdr:pic>
      <xdr:nvPicPr>
        <xdr:cNvPr id="0" name="image233.jp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38100</xdr:colOff>
      <xdr:row>485</xdr:row>
      <xdr:rowOff>38100</xdr:rowOff>
    </xdr:from>
    <xdr:ext cx="342900" cy="476250"/>
    <xdr:pic>
      <xdr:nvPicPr>
        <xdr:cNvPr id="0" name="image233.jp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38100</xdr:colOff>
      <xdr:row>486</xdr:row>
      <xdr:rowOff>38100</xdr:rowOff>
    </xdr:from>
    <xdr:ext cx="342900" cy="476250"/>
    <xdr:pic>
      <xdr:nvPicPr>
        <xdr:cNvPr id="0" name="image233.jp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38100</xdr:colOff>
      <xdr:row>487</xdr:row>
      <xdr:rowOff>38100</xdr:rowOff>
    </xdr:from>
    <xdr:ext cx="571500" cy="447675"/>
    <xdr:pic>
      <xdr:nvPicPr>
        <xdr:cNvPr id="0" name="image247.jpg"/>
        <xdr:cNvPicPr preferRelativeResize="0"/>
      </xdr:nvPicPr>
      <xdr:blipFill>
        <a:blip cstate="print" r:embed="rId259"/>
        <a:stretch>
          <a:fillRect/>
        </a:stretch>
      </xdr:blipFill>
      <xdr:spPr>
        <a:prstGeom prst="rect">
          <a:avLst/>
        </a:prstGeom>
        <a:noFill/>
      </xdr:spPr>
    </xdr:pic>
    <xdr:clientData fLocksWithSheet="0"/>
  </xdr:oneCellAnchor>
  <xdr:oneCellAnchor>
    <xdr:from>
      <xdr:col>6</xdr:col>
      <xdr:colOff>38100</xdr:colOff>
      <xdr:row>488</xdr:row>
      <xdr:rowOff>38100</xdr:rowOff>
    </xdr:from>
    <xdr:ext cx="571500" cy="447675"/>
    <xdr:pic>
      <xdr:nvPicPr>
        <xdr:cNvPr id="0" name="image247.jpg"/>
        <xdr:cNvPicPr preferRelativeResize="0"/>
      </xdr:nvPicPr>
      <xdr:blipFill>
        <a:blip cstate="print" r:embed="rId259"/>
        <a:stretch>
          <a:fillRect/>
        </a:stretch>
      </xdr:blipFill>
      <xdr:spPr>
        <a:prstGeom prst="rect">
          <a:avLst/>
        </a:prstGeom>
        <a:noFill/>
      </xdr:spPr>
    </xdr:pic>
    <xdr:clientData fLocksWithSheet="0"/>
  </xdr:oneCellAnchor>
  <xdr:oneCellAnchor>
    <xdr:from>
      <xdr:col>6</xdr:col>
      <xdr:colOff>38100</xdr:colOff>
      <xdr:row>489</xdr:row>
      <xdr:rowOff>38100</xdr:rowOff>
    </xdr:from>
    <xdr:ext cx="476250" cy="352425"/>
    <xdr:pic>
      <xdr:nvPicPr>
        <xdr:cNvPr id="0" name="image246.jpg"/>
        <xdr:cNvPicPr preferRelativeResize="0"/>
      </xdr:nvPicPr>
      <xdr:blipFill>
        <a:blip cstate="print" r:embed="rId260"/>
        <a:stretch>
          <a:fillRect/>
        </a:stretch>
      </xdr:blipFill>
      <xdr:spPr>
        <a:prstGeom prst="rect">
          <a:avLst/>
        </a:prstGeom>
        <a:noFill/>
      </xdr:spPr>
    </xdr:pic>
    <xdr:clientData fLocksWithSheet="0"/>
  </xdr:oneCellAnchor>
  <xdr:oneCellAnchor>
    <xdr:from>
      <xdr:col>6</xdr:col>
      <xdr:colOff>38100</xdr:colOff>
      <xdr:row>490</xdr:row>
      <xdr:rowOff>38100</xdr:rowOff>
    </xdr:from>
    <xdr:ext cx="476250" cy="352425"/>
    <xdr:pic>
      <xdr:nvPicPr>
        <xdr:cNvPr id="0" name="image246.jpg"/>
        <xdr:cNvPicPr preferRelativeResize="0"/>
      </xdr:nvPicPr>
      <xdr:blipFill>
        <a:blip cstate="print" r:embed="rId260"/>
        <a:stretch>
          <a:fillRect/>
        </a:stretch>
      </xdr:blipFill>
      <xdr:spPr>
        <a:prstGeom prst="rect">
          <a:avLst/>
        </a:prstGeom>
        <a:noFill/>
      </xdr:spPr>
    </xdr:pic>
    <xdr:clientData fLocksWithSheet="0"/>
  </xdr:oneCellAnchor>
  <xdr:oneCellAnchor>
    <xdr:from>
      <xdr:col>6</xdr:col>
      <xdr:colOff>38100</xdr:colOff>
      <xdr:row>491</xdr:row>
      <xdr:rowOff>38100</xdr:rowOff>
    </xdr:from>
    <xdr:ext cx="552450" cy="304800"/>
    <xdr:pic>
      <xdr:nvPicPr>
        <xdr:cNvPr id="0" name="image282.jpg"/>
        <xdr:cNvPicPr preferRelativeResize="0"/>
      </xdr:nvPicPr>
      <xdr:blipFill>
        <a:blip cstate="print" r:embed="rId261"/>
        <a:stretch>
          <a:fillRect/>
        </a:stretch>
      </xdr:blipFill>
      <xdr:spPr>
        <a:prstGeom prst="rect">
          <a:avLst/>
        </a:prstGeom>
        <a:noFill/>
      </xdr:spPr>
    </xdr:pic>
    <xdr:clientData fLocksWithSheet="0"/>
  </xdr:oneCellAnchor>
  <xdr:oneCellAnchor>
    <xdr:from>
      <xdr:col>6</xdr:col>
      <xdr:colOff>38100</xdr:colOff>
      <xdr:row>492</xdr:row>
      <xdr:rowOff>38100</xdr:rowOff>
    </xdr:from>
    <xdr:ext cx="552450" cy="304800"/>
    <xdr:pic>
      <xdr:nvPicPr>
        <xdr:cNvPr id="0" name="image282.jpg"/>
        <xdr:cNvPicPr preferRelativeResize="0"/>
      </xdr:nvPicPr>
      <xdr:blipFill>
        <a:blip cstate="print" r:embed="rId261"/>
        <a:stretch>
          <a:fillRect/>
        </a:stretch>
      </xdr:blipFill>
      <xdr:spPr>
        <a:prstGeom prst="rect">
          <a:avLst/>
        </a:prstGeom>
        <a:noFill/>
      </xdr:spPr>
    </xdr:pic>
    <xdr:clientData fLocksWithSheet="0"/>
  </xdr:oneCellAnchor>
  <xdr:oneCellAnchor>
    <xdr:from>
      <xdr:col>6</xdr:col>
      <xdr:colOff>38100</xdr:colOff>
      <xdr:row>493</xdr:row>
      <xdr:rowOff>38100</xdr:rowOff>
    </xdr:from>
    <xdr:ext cx="647700" cy="428625"/>
    <xdr:pic>
      <xdr:nvPicPr>
        <xdr:cNvPr id="0" name="image244.jpg"/>
        <xdr:cNvPicPr preferRelativeResize="0"/>
      </xdr:nvPicPr>
      <xdr:blipFill>
        <a:blip cstate="print" r:embed="rId262"/>
        <a:stretch>
          <a:fillRect/>
        </a:stretch>
      </xdr:blipFill>
      <xdr:spPr>
        <a:prstGeom prst="rect">
          <a:avLst/>
        </a:prstGeom>
        <a:noFill/>
      </xdr:spPr>
    </xdr:pic>
    <xdr:clientData fLocksWithSheet="0"/>
  </xdr:oneCellAnchor>
  <xdr:oneCellAnchor>
    <xdr:from>
      <xdr:col>6</xdr:col>
      <xdr:colOff>38100</xdr:colOff>
      <xdr:row>494</xdr:row>
      <xdr:rowOff>38100</xdr:rowOff>
    </xdr:from>
    <xdr:ext cx="647700" cy="428625"/>
    <xdr:pic>
      <xdr:nvPicPr>
        <xdr:cNvPr id="0" name="image244.jpg"/>
        <xdr:cNvPicPr preferRelativeResize="0"/>
      </xdr:nvPicPr>
      <xdr:blipFill>
        <a:blip cstate="print" r:embed="rId262"/>
        <a:stretch>
          <a:fillRect/>
        </a:stretch>
      </xdr:blipFill>
      <xdr:spPr>
        <a:prstGeom prst="rect">
          <a:avLst/>
        </a:prstGeom>
        <a:noFill/>
      </xdr:spPr>
    </xdr:pic>
    <xdr:clientData fLocksWithSheet="0"/>
  </xdr:oneCellAnchor>
  <xdr:oneCellAnchor>
    <xdr:from>
      <xdr:col>6</xdr:col>
      <xdr:colOff>38100</xdr:colOff>
      <xdr:row>495</xdr:row>
      <xdr:rowOff>38100</xdr:rowOff>
    </xdr:from>
    <xdr:ext cx="581025" cy="466725"/>
    <xdr:pic>
      <xdr:nvPicPr>
        <xdr:cNvPr id="0" name="image304.jpg"/>
        <xdr:cNvPicPr preferRelativeResize="0"/>
      </xdr:nvPicPr>
      <xdr:blipFill>
        <a:blip cstate="print" r:embed="rId263"/>
        <a:stretch>
          <a:fillRect/>
        </a:stretch>
      </xdr:blipFill>
      <xdr:spPr>
        <a:prstGeom prst="rect">
          <a:avLst/>
        </a:prstGeom>
        <a:noFill/>
      </xdr:spPr>
    </xdr:pic>
    <xdr:clientData fLocksWithSheet="0"/>
  </xdr:oneCellAnchor>
  <xdr:oneCellAnchor>
    <xdr:from>
      <xdr:col>6</xdr:col>
      <xdr:colOff>38100</xdr:colOff>
      <xdr:row>496</xdr:row>
      <xdr:rowOff>38100</xdr:rowOff>
    </xdr:from>
    <xdr:ext cx="581025" cy="466725"/>
    <xdr:pic>
      <xdr:nvPicPr>
        <xdr:cNvPr id="0" name="image304.jpg"/>
        <xdr:cNvPicPr preferRelativeResize="0"/>
      </xdr:nvPicPr>
      <xdr:blipFill>
        <a:blip cstate="print" r:embed="rId263"/>
        <a:stretch>
          <a:fillRect/>
        </a:stretch>
      </xdr:blipFill>
      <xdr:spPr>
        <a:prstGeom prst="rect">
          <a:avLst/>
        </a:prstGeom>
        <a:noFill/>
      </xdr:spPr>
    </xdr:pic>
    <xdr:clientData fLocksWithSheet="0"/>
  </xdr:oneCellAnchor>
  <xdr:oneCellAnchor>
    <xdr:from>
      <xdr:col>6</xdr:col>
      <xdr:colOff>38100</xdr:colOff>
      <xdr:row>497</xdr:row>
      <xdr:rowOff>38100</xdr:rowOff>
    </xdr:from>
    <xdr:ext cx="552450" cy="266700"/>
    <xdr:pic>
      <xdr:nvPicPr>
        <xdr:cNvPr id="0" name="image303.jpg"/>
        <xdr:cNvPicPr preferRelativeResize="0"/>
      </xdr:nvPicPr>
      <xdr:blipFill>
        <a:blip cstate="print" r:embed="rId264"/>
        <a:stretch>
          <a:fillRect/>
        </a:stretch>
      </xdr:blipFill>
      <xdr:spPr>
        <a:prstGeom prst="rect">
          <a:avLst/>
        </a:prstGeom>
        <a:noFill/>
      </xdr:spPr>
    </xdr:pic>
    <xdr:clientData fLocksWithSheet="0"/>
  </xdr:oneCellAnchor>
  <xdr:oneCellAnchor>
    <xdr:from>
      <xdr:col>6</xdr:col>
      <xdr:colOff>38100</xdr:colOff>
      <xdr:row>498</xdr:row>
      <xdr:rowOff>38100</xdr:rowOff>
    </xdr:from>
    <xdr:ext cx="552450" cy="266700"/>
    <xdr:pic>
      <xdr:nvPicPr>
        <xdr:cNvPr id="0" name="image303.jpg"/>
        <xdr:cNvPicPr preferRelativeResize="0"/>
      </xdr:nvPicPr>
      <xdr:blipFill>
        <a:blip cstate="print" r:embed="rId264"/>
        <a:stretch>
          <a:fillRect/>
        </a:stretch>
      </xdr:blipFill>
      <xdr:spPr>
        <a:prstGeom prst="rect">
          <a:avLst/>
        </a:prstGeom>
        <a:noFill/>
      </xdr:spPr>
    </xdr:pic>
    <xdr:clientData fLocksWithSheet="0"/>
  </xdr:oneCellAnchor>
  <xdr:oneCellAnchor>
    <xdr:from>
      <xdr:col>6</xdr:col>
      <xdr:colOff>38100</xdr:colOff>
      <xdr:row>499</xdr:row>
      <xdr:rowOff>38100</xdr:rowOff>
    </xdr:from>
    <xdr:ext cx="495300" cy="257175"/>
    <xdr:pic>
      <xdr:nvPicPr>
        <xdr:cNvPr id="0" name="image249.jpg"/>
        <xdr:cNvPicPr preferRelativeResize="0"/>
      </xdr:nvPicPr>
      <xdr:blipFill>
        <a:blip cstate="print" r:embed="rId265"/>
        <a:stretch>
          <a:fillRect/>
        </a:stretch>
      </xdr:blipFill>
      <xdr:spPr>
        <a:prstGeom prst="rect">
          <a:avLst/>
        </a:prstGeom>
        <a:noFill/>
      </xdr:spPr>
    </xdr:pic>
    <xdr:clientData fLocksWithSheet="0"/>
  </xdr:oneCellAnchor>
  <xdr:oneCellAnchor>
    <xdr:from>
      <xdr:col>6</xdr:col>
      <xdr:colOff>38100</xdr:colOff>
      <xdr:row>500</xdr:row>
      <xdr:rowOff>38100</xdr:rowOff>
    </xdr:from>
    <xdr:ext cx="495300" cy="257175"/>
    <xdr:pic>
      <xdr:nvPicPr>
        <xdr:cNvPr id="0" name="image249.jpg"/>
        <xdr:cNvPicPr preferRelativeResize="0"/>
      </xdr:nvPicPr>
      <xdr:blipFill>
        <a:blip cstate="print" r:embed="rId265"/>
        <a:stretch>
          <a:fillRect/>
        </a:stretch>
      </xdr:blipFill>
      <xdr:spPr>
        <a:prstGeom prst="rect">
          <a:avLst/>
        </a:prstGeom>
        <a:noFill/>
      </xdr:spPr>
    </xdr:pic>
    <xdr:clientData fLocksWithSheet="0"/>
  </xdr:oneCellAnchor>
  <xdr:oneCellAnchor>
    <xdr:from>
      <xdr:col>6</xdr:col>
      <xdr:colOff>38100</xdr:colOff>
      <xdr:row>501</xdr:row>
      <xdr:rowOff>38100</xdr:rowOff>
    </xdr:from>
    <xdr:ext cx="495300" cy="257175"/>
    <xdr:pic>
      <xdr:nvPicPr>
        <xdr:cNvPr id="0" name="image249.jpg"/>
        <xdr:cNvPicPr preferRelativeResize="0"/>
      </xdr:nvPicPr>
      <xdr:blipFill>
        <a:blip cstate="print" r:embed="rId265"/>
        <a:stretch>
          <a:fillRect/>
        </a:stretch>
      </xdr:blipFill>
      <xdr:spPr>
        <a:prstGeom prst="rect">
          <a:avLst/>
        </a:prstGeom>
        <a:noFill/>
      </xdr:spPr>
    </xdr:pic>
    <xdr:clientData fLocksWithSheet="0"/>
  </xdr:oneCellAnchor>
  <xdr:oneCellAnchor>
    <xdr:from>
      <xdr:col>6</xdr:col>
      <xdr:colOff>38100</xdr:colOff>
      <xdr:row>502</xdr:row>
      <xdr:rowOff>38100</xdr:rowOff>
    </xdr:from>
    <xdr:ext cx="447675" cy="438150"/>
    <xdr:pic>
      <xdr:nvPicPr>
        <xdr:cNvPr id="0" name="image257.jpg"/>
        <xdr:cNvPicPr preferRelativeResize="0"/>
      </xdr:nvPicPr>
      <xdr:blipFill>
        <a:blip cstate="print" r:embed="rId266"/>
        <a:stretch>
          <a:fillRect/>
        </a:stretch>
      </xdr:blipFill>
      <xdr:spPr>
        <a:prstGeom prst="rect">
          <a:avLst/>
        </a:prstGeom>
        <a:noFill/>
      </xdr:spPr>
    </xdr:pic>
    <xdr:clientData fLocksWithSheet="0"/>
  </xdr:oneCellAnchor>
  <xdr:oneCellAnchor>
    <xdr:from>
      <xdr:col>6</xdr:col>
      <xdr:colOff>38100</xdr:colOff>
      <xdr:row>503</xdr:row>
      <xdr:rowOff>38100</xdr:rowOff>
    </xdr:from>
    <xdr:ext cx="495300" cy="371475"/>
    <xdr:pic>
      <xdr:nvPicPr>
        <xdr:cNvPr id="0" name="image281.jpg"/>
        <xdr:cNvPicPr preferRelativeResize="0"/>
      </xdr:nvPicPr>
      <xdr:blipFill>
        <a:blip cstate="print" r:embed="rId267"/>
        <a:stretch>
          <a:fillRect/>
        </a:stretch>
      </xdr:blipFill>
      <xdr:spPr>
        <a:prstGeom prst="rect">
          <a:avLst/>
        </a:prstGeom>
        <a:noFill/>
      </xdr:spPr>
    </xdr:pic>
    <xdr:clientData fLocksWithSheet="0"/>
  </xdr:oneCellAnchor>
  <xdr:oneCellAnchor>
    <xdr:from>
      <xdr:col>6</xdr:col>
      <xdr:colOff>38100</xdr:colOff>
      <xdr:row>504</xdr:row>
      <xdr:rowOff>38100</xdr:rowOff>
    </xdr:from>
    <xdr:ext cx="381000" cy="428625"/>
    <xdr:pic>
      <xdr:nvPicPr>
        <xdr:cNvPr id="0" name="image258.jpg"/>
        <xdr:cNvPicPr preferRelativeResize="0"/>
      </xdr:nvPicPr>
      <xdr:blipFill>
        <a:blip cstate="print" r:embed="rId268"/>
        <a:stretch>
          <a:fillRect/>
        </a:stretch>
      </xdr:blipFill>
      <xdr:spPr>
        <a:prstGeom prst="rect">
          <a:avLst/>
        </a:prstGeom>
        <a:noFill/>
      </xdr:spPr>
    </xdr:pic>
    <xdr:clientData fLocksWithSheet="0"/>
  </xdr:oneCellAnchor>
  <xdr:oneCellAnchor>
    <xdr:from>
      <xdr:col>6</xdr:col>
      <xdr:colOff>38100</xdr:colOff>
      <xdr:row>505</xdr:row>
      <xdr:rowOff>38100</xdr:rowOff>
    </xdr:from>
    <xdr:ext cx="228600" cy="514350"/>
    <xdr:pic>
      <xdr:nvPicPr>
        <xdr:cNvPr id="0" name="image321.jpg"/>
        <xdr:cNvPicPr preferRelativeResize="0"/>
      </xdr:nvPicPr>
      <xdr:blipFill>
        <a:blip cstate="print" r:embed="rId269"/>
        <a:stretch>
          <a:fillRect/>
        </a:stretch>
      </xdr:blipFill>
      <xdr:spPr>
        <a:prstGeom prst="rect">
          <a:avLst/>
        </a:prstGeom>
        <a:noFill/>
      </xdr:spPr>
    </xdr:pic>
    <xdr:clientData fLocksWithSheet="0"/>
  </xdr:oneCellAnchor>
  <xdr:oneCellAnchor>
    <xdr:from>
      <xdr:col>6</xdr:col>
      <xdr:colOff>38100</xdr:colOff>
      <xdr:row>506</xdr:row>
      <xdr:rowOff>38100</xdr:rowOff>
    </xdr:from>
    <xdr:ext cx="647700" cy="485775"/>
    <xdr:pic>
      <xdr:nvPicPr>
        <xdr:cNvPr id="0" name="image254.jpg"/>
        <xdr:cNvPicPr preferRelativeResize="0"/>
      </xdr:nvPicPr>
      <xdr:blipFill>
        <a:blip cstate="print" r:embed="rId270"/>
        <a:stretch>
          <a:fillRect/>
        </a:stretch>
      </xdr:blipFill>
      <xdr:spPr>
        <a:prstGeom prst="rect">
          <a:avLst/>
        </a:prstGeom>
        <a:noFill/>
      </xdr:spPr>
    </xdr:pic>
    <xdr:clientData fLocksWithSheet="0"/>
  </xdr:oneCellAnchor>
  <xdr:oneCellAnchor>
    <xdr:from>
      <xdr:col>6</xdr:col>
      <xdr:colOff>38100</xdr:colOff>
      <xdr:row>507</xdr:row>
      <xdr:rowOff>38100</xdr:rowOff>
    </xdr:from>
    <xdr:ext cx="419100" cy="400050"/>
    <xdr:pic>
      <xdr:nvPicPr>
        <xdr:cNvPr id="0" name="image262.jpg"/>
        <xdr:cNvPicPr preferRelativeResize="0"/>
      </xdr:nvPicPr>
      <xdr:blipFill>
        <a:blip cstate="print" r:embed="rId271"/>
        <a:stretch>
          <a:fillRect/>
        </a:stretch>
      </xdr:blipFill>
      <xdr:spPr>
        <a:prstGeom prst="rect">
          <a:avLst/>
        </a:prstGeom>
        <a:noFill/>
      </xdr:spPr>
    </xdr:pic>
    <xdr:clientData fLocksWithSheet="0"/>
  </xdr:oneCellAnchor>
  <xdr:oneCellAnchor>
    <xdr:from>
      <xdr:col>6</xdr:col>
      <xdr:colOff>38100</xdr:colOff>
      <xdr:row>508</xdr:row>
      <xdr:rowOff>38100</xdr:rowOff>
    </xdr:from>
    <xdr:ext cx="390525" cy="514350"/>
    <xdr:pic>
      <xdr:nvPicPr>
        <xdr:cNvPr id="0" name="image253.jpg"/>
        <xdr:cNvPicPr preferRelativeResize="0"/>
      </xdr:nvPicPr>
      <xdr:blipFill>
        <a:blip cstate="print" r:embed="rId272"/>
        <a:stretch>
          <a:fillRect/>
        </a:stretch>
      </xdr:blipFill>
      <xdr:spPr>
        <a:prstGeom prst="rect">
          <a:avLst/>
        </a:prstGeom>
        <a:noFill/>
      </xdr:spPr>
    </xdr:pic>
    <xdr:clientData fLocksWithSheet="0"/>
  </xdr:oneCellAnchor>
  <xdr:oneCellAnchor>
    <xdr:from>
      <xdr:col>6</xdr:col>
      <xdr:colOff>38100</xdr:colOff>
      <xdr:row>509</xdr:row>
      <xdr:rowOff>38100</xdr:rowOff>
    </xdr:from>
    <xdr:ext cx="333375" cy="371475"/>
    <xdr:pic>
      <xdr:nvPicPr>
        <xdr:cNvPr id="0" name="image263.jpg"/>
        <xdr:cNvPicPr preferRelativeResize="0"/>
      </xdr:nvPicPr>
      <xdr:blipFill>
        <a:blip cstate="print" r:embed="rId273"/>
        <a:stretch>
          <a:fillRect/>
        </a:stretch>
      </xdr:blipFill>
      <xdr:spPr>
        <a:prstGeom prst="rect">
          <a:avLst/>
        </a:prstGeom>
        <a:noFill/>
      </xdr:spPr>
    </xdr:pic>
    <xdr:clientData fLocksWithSheet="0"/>
  </xdr:oneCellAnchor>
  <xdr:oneCellAnchor>
    <xdr:from>
      <xdr:col>6</xdr:col>
      <xdr:colOff>38100</xdr:colOff>
      <xdr:row>510</xdr:row>
      <xdr:rowOff>38100</xdr:rowOff>
    </xdr:from>
    <xdr:ext cx="333375" cy="514350"/>
    <xdr:pic>
      <xdr:nvPicPr>
        <xdr:cNvPr id="0" name="image300.jpg"/>
        <xdr:cNvPicPr preferRelativeResize="0"/>
      </xdr:nvPicPr>
      <xdr:blipFill>
        <a:blip cstate="print" r:embed="rId274"/>
        <a:stretch>
          <a:fillRect/>
        </a:stretch>
      </xdr:blipFill>
      <xdr:spPr>
        <a:prstGeom prst="rect">
          <a:avLst/>
        </a:prstGeom>
        <a:noFill/>
      </xdr:spPr>
    </xdr:pic>
    <xdr:clientData fLocksWithSheet="0"/>
  </xdr:oneCellAnchor>
  <xdr:oneCellAnchor>
    <xdr:from>
      <xdr:col>6</xdr:col>
      <xdr:colOff>38100</xdr:colOff>
      <xdr:row>511</xdr:row>
      <xdr:rowOff>38100</xdr:rowOff>
    </xdr:from>
    <xdr:ext cx="581025" cy="514350"/>
    <xdr:pic>
      <xdr:nvPicPr>
        <xdr:cNvPr id="0" name="image260.jpg"/>
        <xdr:cNvPicPr preferRelativeResize="0"/>
      </xdr:nvPicPr>
      <xdr:blipFill>
        <a:blip cstate="print" r:embed="rId275"/>
        <a:stretch>
          <a:fillRect/>
        </a:stretch>
      </xdr:blipFill>
      <xdr:spPr>
        <a:prstGeom prst="rect">
          <a:avLst/>
        </a:prstGeom>
        <a:noFill/>
      </xdr:spPr>
    </xdr:pic>
    <xdr:clientData fLocksWithSheet="0"/>
  </xdr:oneCellAnchor>
  <xdr:oneCellAnchor>
    <xdr:from>
      <xdr:col>6</xdr:col>
      <xdr:colOff>38100</xdr:colOff>
      <xdr:row>512</xdr:row>
      <xdr:rowOff>38100</xdr:rowOff>
    </xdr:from>
    <xdr:ext cx="542925" cy="504825"/>
    <xdr:pic>
      <xdr:nvPicPr>
        <xdr:cNvPr id="0" name="image273.jpg"/>
        <xdr:cNvPicPr preferRelativeResize="0"/>
      </xdr:nvPicPr>
      <xdr:blipFill>
        <a:blip cstate="print" r:embed="rId276"/>
        <a:stretch>
          <a:fillRect/>
        </a:stretch>
      </xdr:blipFill>
      <xdr:spPr>
        <a:prstGeom prst="rect">
          <a:avLst/>
        </a:prstGeom>
        <a:noFill/>
      </xdr:spPr>
    </xdr:pic>
    <xdr:clientData fLocksWithSheet="0"/>
  </xdr:oneCellAnchor>
  <xdr:oneCellAnchor>
    <xdr:from>
      <xdr:col>6</xdr:col>
      <xdr:colOff>38100</xdr:colOff>
      <xdr:row>513</xdr:row>
      <xdr:rowOff>38100</xdr:rowOff>
    </xdr:from>
    <xdr:ext cx="485775" cy="514350"/>
    <xdr:pic>
      <xdr:nvPicPr>
        <xdr:cNvPr id="0" name="image255.jpg"/>
        <xdr:cNvPicPr preferRelativeResize="0"/>
      </xdr:nvPicPr>
      <xdr:blipFill>
        <a:blip cstate="print" r:embed="rId277"/>
        <a:stretch>
          <a:fillRect/>
        </a:stretch>
      </xdr:blipFill>
      <xdr:spPr>
        <a:prstGeom prst="rect">
          <a:avLst/>
        </a:prstGeom>
        <a:noFill/>
      </xdr:spPr>
    </xdr:pic>
    <xdr:clientData fLocksWithSheet="0"/>
  </xdr:oneCellAnchor>
  <xdr:oneCellAnchor>
    <xdr:from>
      <xdr:col>6</xdr:col>
      <xdr:colOff>38100</xdr:colOff>
      <xdr:row>514</xdr:row>
      <xdr:rowOff>38100</xdr:rowOff>
    </xdr:from>
    <xdr:ext cx="523875" cy="257175"/>
    <xdr:pic>
      <xdr:nvPicPr>
        <xdr:cNvPr id="0" name="image298.jpg"/>
        <xdr:cNvPicPr preferRelativeResize="0"/>
      </xdr:nvPicPr>
      <xdr:blipFill>
        <a:blip cstate="print" r:embed="rId278"/>
        <a:stretch>
          <a:fillRect/>
        </a:stretch>
      </xdr:blipFill>
      <xdr:spPr>
        <a:prstGeom prst="rect">
          <a:avLst/>
        </a:prstGeom>
        <a:noFill/>
      </xdr:spPr>
    </xdr:pic>
    <xdr:clientData fLocksWithSheet="0"/>
  </xdr:oneCellAnchor>
  <xdr:oneCellAnchor>
    <xdr:from>
      <xdr:col>6</xdr:col>
      <xdr:colOff>38100</xdr:colOff>
      <xdr:row>515</xdr:row>
      <xdr:rowOff>38100</xdr:rowOff>
    </xdr:from>
    <xdr:ext cx="647700" cy="476250"/>
    <xdr:pic>
      <xdr:nvPicPr>
        <xdr:cNvPr id="0" name="image264.jpg"/>
        <xdr:cNvPicPr preferRelativeResize="0"/>
      </xdr:nvPicPr>
      <xdr:blipFill>
        <a:blip cstate="print" r:embed="rId279"/>
        <a:stretch>
          <a:fillRect/>
        </a:stretch>
      </xdr:blipFill>
      <xdr:spPr>
        <a:prstGeom prst="rect">
          <a:avLst/>
        </a:prstGeom>
        <a:noFill/>
      </xdr:spPr>
    </xdr:pic>
    <xdr:clientData fLocksWithSheet="0"/>
  </xdr:oneCellAnchor>
  <xdr:oneCellAnchor>
    <xdr:from>
      <xdr:col>6</xdr:col>
      <xdr:colOff>38100</xdr:colOff>
      <xdr:row>516</xdr:row>
      <xdr:rowOff>38100</xdr:rowOff>
    </xdr:from>
    <xdr:ext cx="438150" cy="514350"/>
    <xdr:pic>
      <xdr:nvPicPr>
        <xdr:cNvPr id="0" name="image295.jpg"/>
        <xdr:cNvPicPr preferRelativeResize="0"/>
      </xdr:nvPicPr>
      <xdr:blipFill>
        <a:blip cstate="print" r:embed="rId280"/>
        <a:stretch>
          <a:fillRect/>
        </a:stretch>
      </xdr:blipFill>
      <xdr:spPr>
        <a:prstGeom prst="rect">
          <a:avLst/>
        </a:prstGeom>
        <a:noFill/>
      </xdr:spPr>
    </xdr:pic>
    <xdr:clientData fLocksWithSheet="0"/>
  </xdr:oneCellAnchor>
  <xdr:oneCellAnchor>
    <xdr:from>
      <xdr:col>6</xdr:col>
      <xdr:colOff>38100</xdr:colOff>
      <xdr:row>517</xdr:row>
      <xdr:rowOff>38100</xdr:rowOff>
    </xdr:from>
    <xdr:ext cx="504825" cy="514350"/>
    <xdr:pic>
      <xdr:nvPicPr>
        <xdr:cNvPr id="0" name="image269.jpg"/>
        <xdr:cNvPicPr preferRelativeResize="0"/>
      </xdr:nvPicPr>
      <xdr:blipFill>
        <a:blip cstate="print" r:embed="rId281"/>
        <a:stretch>
          <a:fillRect/>
        </a:stretch>
      </xdr:blipFill>
      <xdr:spPr>
        <a:prstGeom prst="rect">
          <a:avLst/>
        </a:prstGeom>
        <a:noFill/>
      </xdr:spPr>
    </xdr:pic>
    <xdr:clientData fLocksWithSheet="0"/>
  </xdr:oneCellAnchor>
  <xdr:oneCellAnchor>
    <xdr:from>
      <xdr:col>6</xdr:col>
      <xdr:colOff>38100</xdr:colOff>
      <xdr:row>518</xdr:row>
      <xdr:rowOff>38100</xdr:rowOff>
    </xdr:from>
    <xdr:ext cx="390525" cy="514350"/>
    <xdr:pic>
      <xdr:nvPicPr>
        <xdr:cNvPr id="0" name="image284.jpg"/>
        <xdr:cNvPicPr preferRelativeResize="0"/>
      </xdr:nvPicPr>
      <xdr:blipFill>
        <a:blip cstate="print" r:embed="rId282"/>
        <a:stretch>
          <a:fillRect/>
        </a:stretch>
      </xdr:blipFill>
      <xdr:spPr>
        <a:prstGeom prst="rect">
          <a:avLst/>
        </a:prstGeom>
        <a:noFill/>
      </xdr:spPr>
    </xdr:pic>
    <xdr:clientData fLocksWithSheet="0"/>
  </xdr:oneCellAnchor>
  <xdr:oneCellAnchor>
    <xdr:from>
      <xdr:col>6</xdr:col>
      <xdr:colOff>38100</xdr:colOff>
      <xdr:row>519</xdr:row>
      <xdr:rowOff>38100</xdr:rowOff>
    </xdr:from>
    <xdr:ext cx="552450" cy="514350"/>
    <xdr:pic>
      <xdr:nvPicPr>
        <xdr:cNvPr id="0" name="image266.jpg"/>
        <xdr:cNvPicPr preferRelativeResize="0"/>
      </xdr:nvPicPr>
      <xdr:blipFill>
        <a:blip cstate="print" r:embed="rId283"/>
        <a:stretch>
          <a:fillRect/>
        </a:stretch>
      </xdr:blipFill>
      <xdr:spPr>
        <a:prstGeom prst="rect">
          <a:avLst/>
        </a:prstGeom>
        <a:noFill/>
      </xdr:spPr>
    </xdr:pic>
    <xdr:clientData fLocksWithSheet="0"/>
  </xdr:oneCellAnchor>
  <xdr:oneCellAnchor>
    <xdr:from>
      <xdr:col>6</xdr:col>
      <xdr:colOff>38100</xdr:colOff>
      <xdr:row>520</xdr:row>
      <xdr:rowOff>38100</xdr:rowOff>
    </xdr:from>
    <xdr:ext cx="552450" cy="514350"/>
    <xdr:pic>
      <xdr:nvPicPr>
        <xdr:cNvPr id="0" name="image266.jpg"/>
        <xdr:cNvPicPr preferRelativeResize="0"/>
      </xdr:nvPicPr>
      <xdr:blipFill>
        <a:blip cstate="print" r:embed="rId283"/>
        <a:stretch>
          <a:fillRect/>
        </a:stretch>
      </xdr:blipFill>
      <xdr:spPr>
        <a:prstGeom prst="rect">
          <a:avLst/>
        </a:prstGeom>
        <a:noFill/>
      </xdr:spPr>
    </xdr:pic>
    <xdr:clientData fLocksWithSheet="0"/>
  </xdr:oneCellAnchor>
  <xdr:oneCellAnchor>
    <xdr:from>
      <xdr:col>6</xdr:col>
      <xdr:colOff>38100</xdr:colOff>
      <xdr:row>521</xdr:row>
      <xdr:rowOff>38100</xdr:rowOff>
    </xdr:from>
    <xdr:ext cx="552450" cy="514350"/>
    <xdr:pic>
      <xdr:nvPicPr>
        <xdr:cNvPr id="0" name="image266.jpg"/>
        <xdr:cNvPicPr preferRelativeResize="0"/>
      </xdr:nvPicPr>
      <xdr:blipFill>
        <a:blip cstate="print" r:embed="rId283"/>
        <a:stretch>
          <a:fillRect/>
        </a:stretch>
      </xdr:blipFill>
      <xdr:spPr>
        <a:prstGeom prst="rect">
          <a:avLst/>
        </a:prstGeom>
        <a:noFill/>
      </xdr:spPr>
    </xdr:pic>
    <xdr:clientData fLocksWithSheet="0"/>
  </xdr:oneCellAnchor>
  <xdr:oneCellAnchor>
    <xdr:from>
      <xdr:col>6</xdr:col>
      <xdr:colOff>38100</xdr:colOff>
      <xdr:row>522</xdr:row>
      <xdr:rowOff>38100</xdr:rowOff>
    </xdr:from>
    <xdr:ext cx="533400" cy="514350"/>
    <xdr:pic>
      <xdr:nvPicPr>
        <xdr:cNvPr id="0" name="image272.jpg"/>
        <xdr:cNvPicPr preferRelativeResize="0"/>
      </xdr:nvPicPr>
      <xdr:blipFill>
        <a:blip cstate="print" r:embed="rId284"/>
        <a:stretch>
          <a:fillRect/>
        </a:stretch>
      </xdr:blipFill>
      <xdr:spPr>
        <a:prstGeom prst="rect">
          <a:avLst/>
        </a:prstGeom>
        <a:noFill/>
      </xdr:spPr>
    </xdr:pic>
    <xdr:clientData fLocksWithSheet="0"/>
  </xdr:oneCellAnchor>
  <xdr:oneCellAnchor>
    <xdr:from>
      <xdr:col>6</xdr:col>
      <xdr:colOff>38100</xdr:colOff>
      <xdr:row>523</xdr:row>
      <xdr:rowOff>38100</xdr:rowOff>
    </xdr:from>
    <xdr:ext cx="390525" cy="514350"/>
    <xdr:pic>
      <xdr:nvPicPr>
        <xdr:cNvPr id="0" name="image274.jpg"/>
        <xdr:cNvPicPr preferRelativeResize="0"/>
      </xdr:nvPicPr>
      <xdr:blipFill>
        <a:blip cstate="print" r:embed="rId285"/>
        <a:stretch>
          <a:fillRect/>
        </a:stretch>
      </xdr:blipFill>
      <xdr:spPr>
        <a:prstGeom prst="rect">
          <a:avLst/>
        </a:prstGeom>
        <a:noFill/>
      </xdr:spPr>
    </xdr:pic>
    <xdr:clientData fLocksWithSheet="0"/>
  </xdr:oneCellAnchor>
  <xdr:oneCellAnchor>
    <xdr:from>
      <xdr:col>6</xdr:col>
      <xdr:colOff>38100</xdr:colOff>
      <xdr:row>524</xdr:row>
      <xdr:rowOff>38100</xdr:rowOff>
    </xdr:from>
    <xdr:ext cx="523875" cy="504825"/>
    <xdr:pic>
      <xdr:nvPicPr>
        <xdr:cNvPr id="0" name="image305.jpg"/>
        <xdr:cNvPicPr preferRelativeResize="0"/>
      </xdr:nvPicPr>
      <xdr:blipFill>
        <a:blip cstate="print" r:embed="rId286"/>
        <a:stretch>
          <a:fillRect/>
        </a:stretch>
      </xdr:blipFill>
      <xdr:spPr>
        <a:prstGeom prst="rect">
          <a:avLst/>
        </a:prstGeom>
        <a:noFill/>
      </xdr:spPr>
    </xdr:pic>
    <xdr:clientData fLocksWithSheet="0"/>
  </xdr:oneCellAnchor>
  <xdr:oneCellAnchor>
    <xdr:from>
      <xdr:col>6</xdr:col>
      <xdr:colOff>38100</xdr:colOff>
      <xdr:row>525</xdr:row>
      <xdr:rowOff>38100</xdr:rowOff>
    </xdr:from>
    <xdr:ext cx="647700" cy="504825"/>
    <xdr:pic>
      <xdr:nvPicPr>
        <xdr:cNvPr id="0" name="image268.jpg"/>
        <xdr:cNvPicPr preferRelativeResize="0"/>
      </xdr:nvPicPr>
      <xdr:blipFill>
        <a:blip cstate="print" r:embed="rId287"/>
        <a:stretch>
          <a:fillRect/>
        </a:stretch>
      </xdr:blipFill>
      <xdr:spPr>
        <a:prstGeom prst="rect">
          <a:avLst/>
        </a:prstGeom>
        <a:noFill/>
      </xdr:spPr>
    </xdr:pic>
    <xdr:clientData fLocksWithSheet="0"/>
  </xdr:oneCellAnchor>
  <xdr:oneCellAnchor>
    <xdr:from>
      <xdr:col>6</xdr:col>
      <xdr:colOff>38100</xdr:colOff>
      <xdr:row>526</xdr:row>
      <xdr:rowOff>38100</xdr:rowOff>
    </xdr:from>
    <xdr:ext cx="466725" cy="514350"/>
    <xdr:pic>
      <xdr:nvPicPr>
        <xdr:cNvPr id="0" name="image265.jpg"/>
        <xdr:cNvPicPr preferRelativeResize="0"/>
      </xdr:nvPicPr>
      <xdr:blipFill>
        <a:blip cstate="print" r:embed="rId288"/>
        <a:stretch>
          <a:fillRect/>
        </a:stretch>
      </xdr:blipFill>
      <xdr:spPr>
        <a:prstGeom prst="rect">
          <a:avLst/>
        </a:prstGeom>
        <a:noFill/>
      </xdr:spPr>
    </xdr:pic>
    <xdr:clientData fLocksWithSheet="0"/>
  </xdr:oneCellAnchor>
  <xdr:oneCellAnchor>
    <xdr:from>
      <xdr:col>6</xdr:col>
      <xdr:colOff>38100</xdr:colOff>
      <xdr:row>527</xdr:row>
      <xdr:rowOff>38100</xdr:rowOff>
    </xdr:from>
    <xdr:ext cx="600075" cy="514350"/>
    <xdr:pic>
      <xdr:nvPicPr>
        <xdr:cNvPr id="0" name="image296.jpg"/>
        <xdr:cNvPicPr preferRelativeResize="0"/>
      </xdr:nvPicPr>
      <xdr:blipFill>
        <a:blip cstate="print" r:embed="rId289"/>
        <a:stretch>
          <a:fillRect/>
        </a:stretch>
      </xdr:blipFill>
      <xdr:spPr>
        <a:prstGeom prst="rect">
          <a:avLst/>
        </a:prstGeom>
        <a:noFill/>
      </xdr:spPr>
    </xdr:pic>
    <xdr:clientData fLocksWithSheet="0"/>
  </xdr:oneCellAnchor>
  <xdr:oneCellAnchor>
    <xdr:from>
      <xdr:col>6</xdr:col>
      <xdr:colOff>38100</xdr:colOff>
      <xdr:row>528</xdr:row>
      <xdr:rowOff>38100</xdr:rowOff>
    </xdr:from>
    <xdr:ext cx="457200" cy="514350"/>
    <xdr:pic>
      <xdr:nvPicPr>
        <xdr:cNvPr id="0" name="image317.jpg"/>
        <xdr:cNvPicPr preferRelativeResize="0"/>
      </xdr:nvPicPr>
      <xdr:blipFill>
        <a:blip cstate="print" r:embed="rId290"/>
        <a:stretch>
          <a:fillRect/>
        </a:stretch>
      </xdr:blipFill>
      <xdr:spPr>
        <a:prstGeom prst="rect">
          <a:avLst/>
        </a:prstGeom>
        <a:noFill/>
      </xdr:spPr>
    </xdr:pic>
    <xdr:clientData fLocksWithSheet="0"/>
  </xdr:oneCellAnchor>
  <xdr:oneCellAnchor>
    <xdr:from>
      <xdr:col>6</xdr:col>
      <xdr:colOff>38100</xdr:colOff>
      <xdr:row>529</xdr:row>
      <xdr:rowOff>38100</xdr:rowOff>
    </xdr:from>
    <xdr:ext cx="400050" cy="514350"/>
    <xdr:pic>
      <xdr:nvPicPr>
        <xdr:cNvPr id="0" name="image270.jpg"/>
        <xdr:cNvPicPr preferRelativeResize="0"/>
      </xdr:nvPicPr>
      <xdr:blipFill>
        <a:blip cstate="print" r:embed="rId291"/>
        <a:stretch>
          <a:fillRect/>
        </a:stretch>
      </xdr:blipFill>
      <xdr:spPr>
        <a:prstGeom prst="rect">
          <a:avLst/>
        </a:prstGeom>
        <a:noFill/>
      </xdr:spPr>
    </xdr:pic>
    <xdr:clientData fLocksWithSheet="0"/>
  </xdr:oneCellAnchor>
  <xdr:oneCellAnchor>
    <xdr:from>
      <xdr:col>6</xdr:col>
      <xdr:colOff>38100</xdr:colOff>
      <xdr:row>530</xdr:row>
      <xdr:rowOff>38100</xdr:rowOff>
    </xdr:from>
    <xdr:ext cx="200025" cy="514350"/>
    <xdr:pic>
      <xdr:nvPicPr>
        <xdr:cNvPr id="0" name="image385.jpg"/>
        <xdr:cNvPicPr preferRelativeResize="0"/>
      </xdr:nvPicPr>
      <xdr:blipFill>
        <a:blip cstate="print" r:embed="rId292"/>
        <a:stretch>
          <a:fillRect/>
        </a:stretch>
      </xdr:blipFill>
      <xdr:spPr>
        <a:prstGeom prst="rect">
          <a:avLst/>
        </a:prstGeom>
        <a:noFill/>
      </xdr:spPr>
    </xdr:pic>
    <xdr:clientData fLocksWithSheet="0"/>
  </xdr:oneCellAnchor>
  <xdr:oneCellAnchor>
    <xdr:from>
      <xdr:col>6</xdr:col>
      <xdr:colOff>38100</xdr:colOff>
      <xdr:row>531</xdr:row>
      <xdr:rowOff>38100</xdr:rowOff>
    </xdr:from>
    <xdr:ext cx="561975" cy="504825"/>
    <xdr:pic>
      <xdr:nvPicPr>
        <xdr:cNvPr id="0" name="image277.jpg"/>
        <xdr:cNvPicPr preferRelativeResize="0"/>
      </xdr:nvPicPr>
      <xdr:blipFill>
        <a:blip cstate="print" r:embed="rId293"/>
        <a:stretch>
          <a:fillRect/>
        </a:stretch>
      </xdr:blipFill>
      <xdr:spPr>
        <a:prstGeom prst="rect">
          <a:avLst/>
        </a:prstGeom>
        <a:noFill/>
      </xdr:spPr>
    </xdr:pic>
    <xdr:clientData fLocksWithSheet="0"/>
  </xdr:oneCellAnchor>
  <xdr:oneCellAnchor>
    <xdr:from>
      <xdr:col>6</xdr:col>
      <xdr:colOff>38100</xdr:colOff>
      <xdr:row>532</xdr:row>
      <xdr:rowOff>38100</xdr:rowOff>
    </xdr:from>
    <xdr:ext cx="438150" cy="438150"/>
    <xdr:pic>
      <xdr:nvPicPr>
        <xdr:cNvPr id="0" name="image276.jp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38100</xdr:colOff>
      <xdr:row>533</xdr:row>
      <xdr:rowOff>38100</xdr:rowOff>
    </xdr:from>
    <xdr:ext cx="457200" cy="381000"/>
    <xdr:pic>
      <xdr:nvPicPr>
        <xdr:cNvPr id="0" name="image291.jpg"/>
        <xdr:cNvPicPr preferRelativeResize="0"/>
      </xdr:nvPicPr>
      <xdr:blipFill>
        <a:blip cstate="print" r:embed="rId295"/>
        <a:stretch>
          <a:fillRect/>
        </a:stretch>
      </xdr:blipFill>
      <xdr:spPr>
        <a:prstGeom prst="rect">
          <a:avLst/>
        </a:prstGeom>
        <a:noFill/>
      </xdr:spPr>
    </xdr:pic>
    <xdr:clientData fLocksWithSheet="0"/>
  </xdr:oneCellAnchor>
  <xdr:oneCellAnchor>
    <xdr:from>
      <xdr:col>6</xdr:col>
      <xdr:colOff>38100</xdr:colOff>
      <xdr:row>534</xdr:row>
      <xdr:rowOff>38100</xdr:rowOff>
    </xdr:from>
    <xdr:ext cx="390525" cy="409575"/>
    <xdr:pic>
      <xdr:nvPicPr>
        <xdr:cNvPr id="0" name="image283.jpg"/>
        <xdr:cNvPicPr preferRelativeResize="0"/>
      </xdr:nvPicPr>
      <xdr:blipFill>
        <a:blip cstate="print" r:embed="rId296"/>
        <a:stretch>
          <a:fillRect/>
        </a:stretch>
      </xdr:blipFill>
      <xdr:spPr>
        <a:prstGeom prst="rect">
          <a:avLst/>
        </a:prstGeom>
        <a:noFill/>
      </xdr:spPr>
    </xdr:pic>
    <xdr:clientData fLocksWithSheet="0"/>
  </xdr:oneCellAnchor>
  <xdr:oneCellAnchor>
    <xdr:from>
      <xdr:col>6</xdr:col>
      <xdr:colOff>38100</xdr:colOff>
      <xdr:row>535</xdr:row>
      <xdr:rowOff>38100</xdr:rowOff>
    </xdr:from>
    <xdr:ext cx="495300" cy="457200"/>
    <xdr:pic>
      <xdr:nvPicPr>
        <xdr:cNvPr id="0" name="image341.jpg"/>
        <xdr:cNvPicPr preferRelativeResize="0"/>
      </xdr:nvPicPr>
      <xdr:blipFill>
        <a:blip cstate="print" r:embed="rId297"/>
        <a:stretch>
          <a:fillRect/>
        </a:stretch>
      </xdr:blipFill>
      <xdr:spPr>
        <a:prstGeom prst="rect">
          <a:avLst/>
        </a:prstGeom>
        <a:noFill/>
      </xdr:spPr>
    </xdr:pic>
    <xdr:clientData fLocksWithSheet="0"/>
  </xdr:oneCellAnchor>
  <xdr:oneCellAnchor>
    <xdr:from>
      <xdr:col>6</xdr:col>
      <xdr:colOff>38100</xdr:colOff>
      <xdr:row>536</xdr:row>
      <xdr:rowOff>38100</xdr:rowOff>
    </xdr:from>
    <xdr:ext cx="533400" cy="514350"/>
    <xdr:pic>
      <xdr:nvPicPr>
        <xdr:cNvPr id="0" name="image290.jpg"/>
        <xdr:cNvPicPr preferRelativeResize="0"/>
      </xdr:nvPicPr>
      <xdr:blipFill>
        <a:blip cstate="print" r:embed="rId298"/>
        <a:stretch>
          <a:fillRect/>
        </a:stretch>
      </xdr:blipFill>
      <xdr:spPr>
        <a:prstGeom prst="rect">
          <a:avLst/>
        </a:prstGeom>
        <a:noFill/>
      </xdr:spPr>
    </xdr:pic>
    <xdr:clientData fLocksWithSheet="0"/>
  </xdr:oneCellAnchor>
  <xdr:oneCellAnchor>
    <xdr:from>
      <xdr:col>6</xdr:col>
      <xdr:colOff>38100</xdr:colOff>
      <xdr:row>537</xdr:row>
      <xdr:rowOff>38100</xdr:rowOff>
    </xdr:from>
    <xdr:ext cx="619125" cy="514350"/>
    <xdr:pic>
      <xdr:nvPicPr>
        <xdr:cNvPr id="0" name="image289.jpg"/>
        <xdr:cNvPicPr preferRelativeResize="0"/>
      </xdr:nvPicPr>
      <xdr:blipFill>
        <a:blip cstate="print" r:embed="rId299"/>
        <a:stretch>
          <a:fillRect/>
        </a:stretch>
      </xdr:blipFill>
      <xdr:spPr>
        <a:prstGeom prst="rect">
          <a:avLst/>
        </a:prstGeom>
        <a:noFill/>
      </xdr:spPr>
    </xdr:pic>
    <xdr:clientData fLocksWithSheet="0"/>
  </xdr:oneCellAnchor>
  <xdr:oneCellAnchor>
    <xdr:from>
      <xdr:col>6</xdr:col>
      <xdr:colOff>38100</xdr:colOff>
      <xdr:row>538</xdr:row>
      <xdr:rowOff>38100</xdr:rowOff>
    </xdr:from>
    <xdr:ext cx="647700" cy="419100"/>
    <xdr:pic>
      <xdr:nvPicPr>
        <xdr:cNvPr id="0" name="image375.jpg"/>
        <xdr:cNvPicPr preferRelativeResize="0"/>
      </xdr:nvPicPr>
      <xdr:blipFill>
        <a:blip cstate="print" r:embed="rId300"/>
        <a:stretch>
          <a:fillRect/>
        </a:stretch>
      </xdr:blipFill>
      <xdr:spPr>
        <a:prstGeom prst="rect">
          <a:avLst/>
        </a:prstGeom>
        <a:noFill/>
      </xdr:spPr>
    </xdr:pic>
    <xdr:clientData fLocksWithSheet="0"/>
  </xdr:oneCellAnchor>
  <xdr:oneCellAnchor>
    <xdr:from>
      <xdr:col>6</xdr:col>
      <xdr:colOff>38100</xdr:colOff>
      <xdr:row>539</xdr:row>
      <xdr:rowOff>38100</xdr:rowOff>
    </xdr:from>
    <xdr:ext cx="352425" cy="514350"/>
    <xdr:pic>
      <xdr:nvPicPr>
        <xdr:cNvPr id="0" name="image271.jpg"/>
        <xdr:cNvPicPr preferRelativeResize="0"/>
      </xdr:nvPicPr>
      <xdr:blipFill>
        <a:blip cstate="print" r:embed="rId301"/>
        <a:stretch>
          <a:fillRect/>
        </a:stretch>
      </xdr:blipFill>
      <xdr:spPr>
        <a:prstGeom prst="rect">
          <a:avLst/>
        </a:prstGeom>
        <a:noFill/>
      </xdr:spPr>
    </xdr:pic>
    <xdr:clientData fLocksWithSheet="0"/>
  </xdr:oneCellAnchor>
  <xdr:oneCellAnchor>
    <xdr:from>
      <xdr:col>6</xdr:col>
      <xdr:colOff>38100</xdr:colOff>
      <xdr:row>540</xdr:row>
      <xdr:rowOff>38100</xdr:rowOff>
    </xdr:from>
    <xdr:ext cx="323850" cy="514350"/>
    <xdr:pic>
      <xdr:nvPicPr>
        <xdr:cNvPr id="0" name="image333.jpg"/>
        <xdr:cNvPicPr preferRelativeResize="0"/>
      </xdr:nvPicPr>
      <xdr:blipFill>
        <a:blip cstate="print" r:embed="rId302"/>
        <a:stretch>
          <a:fillRect/>
        </a:stretch>
      </xdr:blipFill>
      <xdr:spPr>
        <a:prstGeom prst="rect">
          <a:avLst/>
        </a:prstGeom>
        <a:noFill/>
      </xdr:spPr>
    </xdr:pic>
    <xdr:clientData fLocksWithSheet="0"/>
  </xdr:oneCellAnchor>
  <xdr:oneCellAnchor>
    <xdr:from>
      <xdr:col>6</xdr:col>
      <xdr:colOff>38100</xdr:colOff>
      <xdr:row>541</xdr:row>
      <xdr:rowOff>38100</xdr:rowOff>
    </xdr:from>
    <xdr:ext cx="647700" cy="180975"/>
    <xdr:pic>
      <xdr:nvPicPr>
        <xdr:cNvPr id="0" name="image279.jpg"/>
        <xdr:cNvPicPr preferRelativeResize="0"/>
      </xdr:nvPicPr>
      <xdr:blipFill>
        <a:blip cstate="print" r:embed="rId303"/>
        <a:stretch>
          <a:fillRect/>
        </a:stretch>
      </xdr:blipFill>
      <xdr:spPr>
        <a:prstGeom prst="rect">
          <a:avLst/>
        </a:prstGeom>
        <a:noFill/>
      </xdr:spPr>
    </xdr:pic>
    <xdr:clientData fLocksWithSheet="0"/>
  </xdr:oneCellAnchor>
  <xdr:oneCellAnchor>
    <xdr:from>
      <xdr:col>6</xdr:col>
      <xdr:colOff>38100</xdr:colOff>
      <xdr:row>542</xdr:row>
      <xdr:rowOff>38100</xdr:rowOff>
    </xdr:from>
    <xdr:ext cx="647700" cy="180975"/>
    <xdr:pic>
      <xdr:nvPicPr>
        <xdr:cNvPr id="0" name="image279.jpg"/>
        <xdr:cNvPicPr preferRelativeResize="0"/>
      </xdr:nvPicPr>
      <xdr:blipFill>
        <a:blip cstate="print" r:embed="rId303"/>
        <a:stretch>
          <a:fillRect/>
        </a:stretch>
      </xdr:blipFill>
      <xdr:spPr>
        <a:prstGeom prst="rect">
          <a:avLst/>
        </a:prstGeom>
        <a:noFill/>
      </xdr:spPr>
    </xdr:pic>
    <xdr:clientData fLocksWithSheet="0"/>
  </xdr:oneCellAnchor>
  <xdr:oneCellAnchor>
    <xdr:from>
      <xdr:col>6</xdr:col>
      <xdr:colOff>38100</xdr:colOff>
      <xdr:row>543</xdr:row>
      <xdr:rowOff>38100</xdr:rowOff>
    </xdr:from>
    <xdr:ext cx="647700" cy="180975"/>
    <xdr:pic>
      <xdr:nvPicPr>
        <xdr:cNvPr id="0" name="image279.jpg"/>
        <xdr:cNvPicPr preferRelativeResize="0"/>
      </xdr:nvPicPr>
      <xdr:blipFill>
        <a:blip cstate="print" r:embed="rId303"/>
        <a:stretch>
          <a:fillRect/>
        </a:stretch>
      </xdr:blipFill>
      <xdr:spPr>
        <a:prstGeom prst="rect">
          <a:avLst/>
        </a:prstGeom>
        <a:noFill/>
      </xdr:spPr>
    </xdr:pic>
    <xdr:clientData fLocksWithSheet="0"/>
  </xdr:oneCellAnchor>
  <xdr:oneCellAnchor>
    <xdr:from>
      <xdr:col>6</xdr:col>
      <xdr:colOff>38100</xdr:colOff>
      <xdr:row>544</xdr:row>
      <xdr:rowOff>38100</xdr:rowOff>
    </xdr:from>
    <xdr:ext cx="514350" cy="514350"/>
    <xdr:pic>
      <xdr:nvPicPr>
        <xdr:cNvPr id="0" name="image280.jpg"/>
        <xdr:cNvPicPr preferRelativeResize="0"/>
      </xdr:nvPicPr>
      <xdr:blipFill>
        <a:blip cstate="print" r:embed="rId304"/>
        <a:stretch>
          <a:fillRect/>
        </a:stretch>
      </xdr:blipFill>
      <xdr:spPr>
        <a:prstGeom prst="rect">
          <a:avLst/>
        </a:prstGeom>
        <a:noFill/>
      </xdr:spPr>
    </xdr:pic>
    <xdr:clientData fLocksWithSheet="0"/>
  </xdr:oneCellAnchor>
  <xdr:oneCellAnchor>
    <xdr:from>
      <xdr:col>6</xdr:col>
      <xdr:colOff>38100</xdr:colOff>
      <xdr:row>545</xdr:row>
      <xdr:rowOff>38100</xdr:rowOff>
    </xdr:from>
    <xdr:ext cx="514350" cy="514350"/>
    <xdr:pic>
      <xdr:nvPicPr>
        <xdr:cNvPr id="0" name="image370.jpg"/>
        <xdr:cNvPicPr preferRelativeResize="0"/>
      </xdr:nvPicPr>
      <xdr:blipFill>
        <a:blip cstate="print" r:embed="rId305"/>
        <a:stretch>
          <a:fillRect/>
        </a:stretch>
      </xdr:blipFill>
      <xdr:spPr>
        <a:prstGeom prst="rect">
          <a:avLst/>
        </a:prstGeom>
        <a:noFill/>
      </xdr:spPr>
    </xdr:pic>
    <xdr:clientData fLocksWithSheet="0"/>
  </xdr:oneCellAnchor>
  <xdr:oneCellAnchor>
    <xdr:from>
      <xdr:col>6</xdr:col>
      <xdr:colOff>38100</xdr:colOff>
      <xdr:row>546</xdr:row>
      <xdr:rowOff>38100</xdr:rowOff>
    </xdr:from>
    <xdr:ext cx="647700" cy="409575"/>
    <xdr:pic>
      <xdr:nvPicPr>
        <xdr:cNvPr id="0" name="image336.jpg"/>
        <xdr:cNvPicPr preferRelativeResize="0"/>
      </xdr:nvPicPr>
      <xdr:blipFill>
        <a:blip cstate="print" r:embed="rId306"/>
        <a:stretch>
          <a:fillRect/>
        </a:stretch>
      </xdr:blipFill>
      <xdr:spPr>
        <a:prstGeom prst="rect">
          <a:avLst/>
        </a:prstGeom>
        <a:noFill/>
      </xdr:spPr>
    </xdr:pic>
    <xdr:clientData fLocksWithSheet="0"/>
  </xdr:oneCellAnchor>
  <xdr:oneCellAnchor>
    <xdr:from>
      <xdr:col>6</xdr:col>
      <xdr:colOff>38100</xdr:colOff>
      <xdr:row>547</xdr:row>
      <xdr:rowOff>38100</xdr:rowOff>
    </xdr:from>
    <xdr:ext cx="361950" cy="333375"/>
    <xdr:pic>
      <xdr:nvPicPr>
        <xdr:cNvPr id="0" name="image313.jpg"/>
        <xdr:cNvPicPr preferRelativeResize="0"/>
      </xdr:nvPicPr>
      <xdr:blipFill>
        <a:blip cstate="print" r:embed="rId307"/>
        <a:stretch>
          <a:fillRect/>
        </a:stretch>
      </xdr:blipFill>
      <xdr:spPr>
        <a:prstGeom prst="rect">
          <a:avLst/>
        </a:prstGeom>
        <a:noFill/>
      </xdr:spPr>
    </xdr:pic>
    <xdr:clientData fLocksWithSheet="0"/>
  </xdr:oneCellAnchor>
  <xdr:oneCellAnchor>
    <xdr:from>
      <xdr:col>6</xdr:col>
      <xdr:colOff>38100</xdr:colOff>
      <xdr:row>548</xdr:row>
      <xdr:rowOff>38100</xdr:rowOff>
    </xdr:from>
    <xdr:ext cx="276225" cy="447675"/>
    <xdr:pic>
      <xdr:nvPicPr>
        <xdr:cNvPr id="0" name="image393.jpg"/>
        <xdr:cNvPicPr preferRelativeResize="0"/>
      </xdr:nvPicPr>
      <xdr:blipFill>
        <a:blip cstate="print" r:embed="rId308"/>
        <a:stretch>
          <a:fillRect/>
        </a:stretch>
      </xdr:blipFill>
      <xdr:spPr>
        <a:prstGeom prst="rect">
          <a:avLst/>
        </a:prstGeom>
        <a:noFill/>
      </xdr:spPr>
    </xdr:pic>
    <xdr:clientData fLocksWithSheet="0"/>
  </xdr:oneCellAnchor>
  <xdr:oneCellAnchor>
    <xdr:from>
      <xdr:col>6</xdr:col>
      <xdr:colOff>38100</xdr:colOff>
      <xdr:row>549</xdr:row>
      <xdr:rowOff>38100</xdr:rowOff>
    </xdr:from>
    <xdr:ext cx="647700" cy="466725"/>
    <xdr:pic>
      <xdr:nvPicPr>
        <xdr:cNvPr id="0" name="image299.jpg"/>
        <xdr:cNvPicPr preferRelativeResize="0"/>
      </xdr:nvPicPr>
      <xdr:blipFill>
        <a:blip cstate="print" r:embed="rId309"/>
        <a:stretch>
          <a:fillRect/>
        </a:stretch>
      </xdr:blipFill>
      <xdr:spPr>
        <a:prstGeom prst="rect">
          <a:avLst/>
        </a:prstGeom>
        <a:noFill/>
      </xdr:spPr>
    </xdr:pic>
    <xdr:clientData fLocksWithSheet="0"/>
  </xdr:oneCellAnchor>
  <xdr:oneCellAnchor>
    <xdr:from>
      <xdr:col>6</xdr:col>
      <xdr:colOff>38100</xdr:colOff>
      <xdr:row>550</xdr:row>
      <xdr:rowOff>38100</xdr:rowOff>
    </xdr:from>
    <xdr:ext cx="647700" cy="466725"/>
    <xdr:pic>
      <xdr:nvPicPr>
        <xdr:cNvPr id="0" name="image299.jpg"/>
        <xdr:cNvPicPr preferRelativeResize="0"/>
      </xdr:nvPicPr>
      <xdr:blipFill>
        <a:blip cstate="print" r:embed="rId309"/>
        <a:stretch>
          <a:fillRect/>
        </a:stretch>
      </xdr:blipFill>
      <xdr:spPr>
        <a:prstGeom prst="rect">
          <a:avLst/>
        </a:prstGeom>
        <a:noFill/>
      </xdr:spPr>
    </xdr:pic>
    <xdr:clientData fLocksWithSheet="0"/>
  </xdr:oneCellAnchor>
  <xdr:oneCellAnchor>
    <xdr:from>
      <xdr:col>6</xdr:col>
      <xdr:colOff>38100</xdr:colOff>
      <xdr:row>551</xdr:row>
      <xdr:rowOff>38100</xdr:rowOff>
    </xdr:from>
    <xdr:ext cx="533400" cy="352425"/>
    <xdr:pic>
      <xdr:nvPicPr>
        <xdr:cNvPr id="0" name="image310.jpg"/>
        <xdr:cNvPicPr preferRelativeResize="0"/>
      </xdr:nvPicPr>
      <xdr:blipFill>
        <a:blip cstate="print" r:embed="rId310"/>
        <a:stretch>
          <a:fillRect/>
        </a:stretch>
      </xdr:blipFill>
      <xdr:spPr>
        <a:prstGeom prst="rect">
          <a:avLst/>
        </a:prstGeom>
        <a:noFill/>
      </xdr:spPr>
    </xdr:pic>
    <xdr:clientData fLocksWithSheet="0"/>
  </xdr:oneCellAnchor>
  <xdr:oneCellAnchor>
    <xdr:from>
      <xdr:col>6</xdr:col>
      <xdr:colOff>38100</xdr:colOff>
      <xdr:row>552</xdr:row>
      <xdr:rowOff>38100</xdr:rowOff>
    </xdr:from>
    <xdr:ext cx="628650" cy="514350"/>
    <xdr:pic>
      <xdr:nvPicPr>
        <xdr:cNvPr id="0" name="image286.jpg"/>
        <xdr:cNvPicPr preferRelativeResize="0"/>
      </xdr:nvPicPr>
      <xdr:blipFill>
        <a:blip cstate="print" r:embed="rId311"/>
        <a:stretch>
          <a:fillRect/>
        </a:stretch>
      </xdr:blipFill>
      <xdr:spPr>
        <a:prstGeom prst="rect">
          <a:avLst/>
        </a:prstGeom>
        <a:noFill/>
      </xdr:spPr>
    </xdr:pic>
    <xdr:clientData fLocksWithSheet="0"/>
  </xdr:oneCellAnchor>
  <xdr:oneCellAnchor>
    <xdr:from>
      <xdr:col>6</xdr:col>
      <xdr:colOff>38100</xdr:colOff>
      <xdr:row>553</xdr:row>
      <xdr:rowOff>38100</xdr:rowOff>
    </xdr:from>
    <xdr:ext cx="638175" cy="333375"/>
    <xdr:pic>
      <xdr:nvPicPr>
        <xdr:cNvPr id="0" name="image287.jpg"/>
        <xdr:cNvPicPr preferRelativeResize="0"/>
      </xdr:nvPicPr>
      <xdr:blipFill>
        <a:blip cstate="print" r:embed="rId312"/>
        <a:stretch>
          <a:fillRect/>
        </a:stretch>
      </xdr:blipFill>
      <xdr:spPr>
        <a:prstGeom prst="rect">
          <a:avLst/>
        </a:prstGeom>
        <a:noFill/>
      </xdr:spPr>
    </xdr:pic>
    <xdr:clientData fLocksWithSheet="0"/>
  </xdr:oneCellAnchor>
  <xdr:oneCellAnchor>
    <xdr:from>
      <xdr:col>6</xdr:col>
      <xdr:colOff>38100</xdr:colOff>
      <xdr:row>554</xdr:row>
      <xdr:rowOff>38100</xdr:rowOff>
    </xdr:from>
    <xdr:ext cx="590550" cy="514350"/>
    <xdr:pic>
      <xdr:nvPicPr>
        <xdr:cNvPr id="0" name="image285.jpg"/>
        <xdr:cNvPicPr preferRelativeResize="0"/>
      </xdr:nvPicPr>
      <xdr:blipFill>
        <a:blip cstate="print" r:embed="rId313"/>
        <a:stretch>
          <a:fillRect/>
        </a:stretch>
      </xdr:blipFill>
      <xdr:spPr>
        <a:prstGeom prst="rect">
          <a:avLst/>
        </a:prstGeom>
        <a:noFill/>
      </xdr:spPr>
    </xdr:pic>
    <xdr:clientData fLocksWithSheet="0"/>
  </xdr:oneCellAnchor>
  <xdr:oneCellAnchor>
    <xdr:from>
      <xdr:col>6</xdr:col>
      <xdr:colOff>38100</xdr:colOff>
      <xdr:row>555</xdr:row>
      <xdr:rowOff>38100</xdr:rowOff>
    </xdr:from>
    <xdr:ext cx="647700" cy="466725"/>
    <xdr:pic>
      <xdr:nvPicPr>
        <xdr:cNvPr id="0" name="image302.jpg"/>
        <xdr:cNvPicPr preferRelativeResize="0"/>
      </xdr:nvPicPr>
      <xdr:blipFill>
        <a:blip cstate="print" r:embed="rId314"/>
        <a:stretch>
          <a:fillRect/>
        </a:stretch>
      </xdr:blipFill>
      <xdr:spPr>
        <a:prstGeom prst="rect">
          <a:avLst/>
        </a:prstGeom>
        <a:noFill/>
      </xdr:spPr>
    </xdr:pic>
    <xdr:clientData fLocksWithSheet="0"/>
  </xdr:oneCellAnchor>
  <xdr:oneCellAnchor>
    <xdr:from>
      <xdr:col>6</xdr:col>
      <xdr:colOff>38100</xdr:colOff>
      <xdr:row>556</xdr:row>
      <xdr:rowOff>38100</xdr:rowOff>
    </xdr:from>
    <xdr:ext cx="647700" cy="323850"/>
    <xdr:pic>
      <xdr:nvPicPr>
        <xdr:cNvPr id="0" name="image288.jpg"/>
        <xdr:cNvPicPr preferRelativeResize="0"/>
      </xdr:nvPicPr>
      <xdr:blipFill>
        <a:blip cstate="print" r:embed="rId315"/>
        <a:stretch>
          <a:fillRect/>
        </a:stretch>
      </xdr:blipFill>
      <xdr:spPr>
        <a:prstGeom prst="rect">
          <a:avLst/>
        </a:prstGeom>
        <a:noFill/>
      </xdr:spPr>
    </xdr:pic>
    <xdr:clientData fLocksWithSheet="0"/>
  </xdr:oneCellAnchor>
  <xdr:oneCellAnchor>
    <xdr:from>
      <xdr:col>6</xdr:col>
      <xdr:colOff>38100</xdr:colOff>
      <xdr:row>557</xdr:row>
      <xdr:rowOff>38100</xdr:rowOff>
    </xdr:from>
    <xdr:ext cx="647700" cy="409575"/>
    <xdr:pic>
      <xdr:nvPicPr>
        <xdr:cNvPr id="0" name="image292.jpg"/>
        <xdr:cNvPicPr preferRelativeResize="0"/>
      </xdr:nvPicPr>
      <xdr:blipFill>
        <a:blip cstate="print" r:embed="rId316"/>
        <a:stretch>
          <a:fillRect/>
        </a:stretch>
      </xdr:blipFill>
      <xdr:spPr>
        <a:prstGeom prst="rect">
          <a:avLst/>
        </a:prstGeom>
        <a:noFill/>
      </xdr:spPr>
    </xdr:pic>
    <xdr:clientData fLocksWithSheet="0"/>
  </xdr:oneCellAnchor>
  <xdr:oneCellAnchor>
    <xdr:from>
      <xdr:col>6</xdr:col>
      <xdr:colOff>38100</xdr:colOff>
      <xdr:row>558</xdr:row>
      <xdr:rowOff>38100</xdr:rowOff>
    </xdr:from>
    <xdr:ext cx="514350" cy="514350"/>
    <xdr:pic>
      <xdr:nvPicPr>
        <xdr:cNvPr id="0" name="image293.jpg"/>
        <xdr:cNvPicPr preferRelativeResize="0"/>
      </xdr:nvPicPr>
      <xdr:blipFill>
        <a:blip cstate="print" r:embed="rId317"/>
        <a:stretch>
          <a:fillRect/>
        </a:stretch>
      </xdr:blipFill>
      <xdr:spPr>
        <a:prstGeom prst="rect">
          <a:avLst/>
        </a:prstGeom>
        <a:noFill/>
      </xdr:spPr>
    </xdr:pic>
    <xdr:clientData fLocksWithSheet="0"/>
  </xdr:oneCellAnchor>
  <xdr:oneCellAnchor>
    <xdr:from>
      <xdr:col>6</xdr:col>
      <xdr:colOff>38100</xdr:colOff>
      <xdr:row>559</xdr:row>
      <xdr:rowOff>38100</xdr:rowOff>
    </xdr:from>
    <xdr:ext cx="514350" cy="514350"/>
    <xdr:pic>
      <xdr:nvPicPr>
        <xdr:cNvPr id="0" name="image293.jpg"/>
        <xdr:cNvPicPr preferRelativeResize="0"/>
      </xdr:nvPicPr>
      <xdr:blipFill>
        <a:blip cstate="print" r:embed="rId317"/>
        <a:stretch>
          <a:fillRect/>
        </a:stretch>
      </xdr:blipFill>
      <xdr:spPr>
        <a:prstGeom prst="rect">
          <a:avLst/>
        </a:prstGeom>
        <a:noFill/>
      </xdr:spPr>
    </xdr:pic>
    <xdr:clientData fLocksWithSheet="0"/>
  </xdr:oneCellAnchor>
  <xdr:oneCellAnchor>
    <xdr:from>
      <xdr:col>6</xdr:col>
      <xdr:colOff>38100</xdr:colOff>
      <xdr:row>560</xdr:row>
      <xdr:rowOff>38100</xdr:rowOff>
    </xdr:from>
    <xdr:ext cx="514350" cy="514350"/>
    <xdr:pic>
      <xdr:nvPicPr>
        <xdr:cNvPr id="0" name="image293.jpg"/>
        <xdr:cNvPicPr preferRelativeResize="0"/>
      </xdr:nvPicPr>
      <xdr:blipFill>
        <a:blip cstate="print" r:embed="rId317"/>
        <a:stretch>
          <a:fillRect/>
        </a:stretch>
      </xdr:blipFill>
      <xdr:spPr>
        <a:prstGeom prst="rect">
          <a:avLst/>
        </a:prstGeom>
        <a:noFill/>
      </xdr:spPr>
    </xdr:pic>
    <xdr:clientData fLocksWithSheet="0"/>
  </xdr:oneCellAnchor>
  <xdr:oneCellAnchor>
    <xdr:from>
      <xdr:col>6</xdr:col>
      <xdr:colOff>38100</xdr:colOff>
      <xdr:row>561</xdr:row>
      <xdr:rowOff>38100</xdr:rowOff>
    </xdr:from>
    <xdr:ext cx="342900" cy="514350"/>
    <xdr:pic>
      <xdr:nvPicPr>
        <xdr:cNvPr id="0" name="image334.jpg"/>
        <xdr:cNvPicPr preferRelativeResize="0"/>
      </xdr:nvPicPr>
      <xdr:blipFill>
        <a:blip cstate="print" r:embed="rId318"/>
        <a:stretch>
          <a:fillRect/>
        </a:stretch>
      </xdr:blipFill>
      <xdr:spPr>
        <a:prstGeom prst="rect">
          <a:avLst/>
        </a:prstGeom>
        <a:noFill/>
      </xdr:spPr>
    </xdr:pic>
    <xdr:clientData fLocksWithSheet="0"/>
  </xdr:oneCellAnchor>
  <xdr:oneCellAnchor>
    <xdr:from>
      <xdr:col>6</xdr:col>
      <xdr:colOff>38100</xdr:colOff>
      <xdr:row>562</xdr:row>
      <xdr:rowOff>38100</xdr:rowOff>
    </xdr:from>
    <xdr:ext cx="342900" cy="514350"/>
    <xdr:pic>
      <xdr:nvPicPr>
        <xdr:cNvPr id="0" name="image334.jpg"/>
        <xdr:cNvPicPr preferRelativeResize="0"/>
      </xdr:nvPicPr>
      <xdr:blipFill>
        <a:blip cstate="print" r:embed="rId318"/>
        <a:stretch>
          <a:fillRect/>
        </a:stretch>
      </xdr:blipFill>
      <xdr:spPr>
        <a:prstGeom prst="rect">
          <a:avLst/>
        </a:prstGeom>
        <a:noFill/>
      </xdr:spPr>
    </xdr:pic>
    <xdr:clientData fLocksWithSheet="0"/>
  </xdr:oneCellAnchor>
  <xdr:oneCellAnchor>
    <xdr:from>
      <xdr:col>6</xdr:col>
      <xdr:colOff>38100</xdr:colOff>
      <xdr:row>563</xdr:row>
      <xdr:rowOff>38100</xdr:rowOff>
    </xdr:from>
    <xdr:ext cx="342900" cy="514350"/>
    <xdr:pic>
      <xdr:nvPicPr>
        <xdr:cNvPr id="0" name="image334.jpg"/>
        <xdr:cNvPicPr preferRelativeResize="0"/>
      </xdr:nvPicPr>
      <xdr:blipFill>
        <a:blip cstate="print" r:embed="rId318"/>
        <a:stretch>
          <a:fillRect/>
        </a:stretch>
      </xdr:blipFill>
      <xdr:spPr>
        <a:prstGeom prst="rect">
          <a:avLst/>
        </a:prstGeom>
        <a:noFill/>
      </xdr:spPr>
    </xdr:pic>
    <xdr:clientData fLocksWithSheet="0"/>
  </xdr:oneCellAnchor>
  <xdr:oneCellAnchor>
    <xdr:from>
      <xdr:col>6</xdr:col>
      <xdr:colOff>38100</xdr:colOff>
      <xdr:row>564</xdr:row>
      <xdr:rowOff>38100</xdr:rowOff>
    </xdr:from>
    <xdr:ext cx="342900" cy="514350"/>
    <xdr:pic>
      <xdr:nvPicPr>
        <xdr:cNvPr id="0" name="image334.jpg"/>
        <xdr:cNvPicPr preferRelativeResize="0"/>
      </xdr:nvPicPr>
      <xdr:blipFill>
        <a:blip cstate="print" r:embed="rId318"/>
        <a:stretch>
          <a:fillRect/>
        </a:stretch>
      </xdr:blipFill>
      <xdr:spPr>
        <a:prstGeom prst="rect">
          <a:avLst/>
        </a:prstGeom>
        <a:noFill/>
      </xdr:spPr>
    </xdr:pic>
    <xdr:clientData fLocksWithSheet="0"/>
  </xdr:oneCellAnchor>
  <xdr:oneCellAnchor>
    <xdr:from>
      <xdr:col>6</xdr:col>
      <xdr:colOff>38100</xdr:colOff>
      <xdr:row>565</xdr:row>
      <xdr:rowOff>38100</xdr:rowOff>
    </xdr:from>
    <xdr:ext cx="361950" cy="514350"/>
    <xdr:pic>
      <xdr:nvPicPr>
        <xdr:cNvPr id="0" name="image301.jpg"/>
        <xdr:cNvPicPr preferRelativeResize="0"/>
      </xdr:nvPicPr>
      <xdr:blipFill>
        <a:blip cstate="print" r:embed="rId319"/>
        <a:stretch>
          <a:fillRect/>
        </a:stretch>
      </xdr:blipFill>
      <xdr:spPr>
        <a:prstGeom prst="rect">
          <a:avLst/>
        </a:prstGeom>
        <a:noFill/>
      </xdr:spPr>
    </xdr:pic>
    <xdr:clientData fLocksWithSheet="0"/>
  </xdr:oneCellAnchor>
  <xdr:oneCellAnchor>
    <xdr:from>
      <xdr:col>6</xdr:col>
      <xdr:colOff>38100</xdr:colOff>
      <xdr:row>566</xdr:row>
      <xdr:rowOff>38100</xdr:rowOff>
    </xdr:from>
    <xdr:ext cx="590550" cy="514350"/>
    <xdr:pic>
      <xdr:nvPicPr>
        <xdr:cNvPr id="0" name="image285.jpg"/>
        <xdr:cNvPicPr preferRelativeResize="0"/>
      </xdr:nvPicPr>
      <xdr:blipFill>
        <a:blip cstate="print" r:embed="rId313"/>
        <a:stretch>
          <a:fillRect/>
        </a:stretch>
      </xdr:blipFill>
      <xdr:spPr>
        <a:prstGeom prst="rect">
          <a:avLst/>
        </a:prstGeom>
        <a:noFill/>
      </xdr:spPr>
    </xdr:pic>
    <xdr:clientData fLocksWithSheet="0"/>
  </xdr:oneCellAnchor>
  <xdr:oneCellAnchor>
    <xdr:from>
      <xdr:col>6</xdr:col>
      <xdr:colOff>38100</xdr:colOff>
      <xdr:row>567</xdr:row>
      <xdr:rowOff>38100</xdr:rowOff>
    </xdr:from>
    <xdr:ext cx="552450" cy="495300"/>
    <xdr:pic>
      <xdr:nvPicPr>
        <xdr:cNvPr id="0" name="image308.jpg"/>
        <xdr:cNvPicPr preferRelativeResize="0"/>
      </xdr:nvPicPr>
      <xdr:blipFill>
        <a:blip cstate="print" r:embed="rId320"/>
        <a:stretch>
          <a:fillRect/>
        </a:stretch>
      </xdr:blipFill>
      <xdr:spPr>
        <a:prstGeom prst="rect">
          <a:avLst/>
        </a:prstGeom>
        <a:noFill/>
      </xdr:spPr>
    </xdr:pic>
    <xdr:clientData fLocksWithSheet="0"/>
  </xdr:oneCellAnchor>
  <xdr:oneCellAnchor>
    <xdr:from>
      <xdr:col>6</xdr:col>
      <xdr:colOff>38100</xdr:colOff>
      <xdr:row>568</xdr:row>
      <xdr:rowOff>38100</xdr:rowOff>
    </xdr:from>
    <xdr:ext cx="504825" cy="514350"/>
    <xdr:pic>
      <xdr:nvPicPr>
        <xdr:cNvPr id="0" name="image307.jpg"/>
        <xdr:cNvPicPr preferRelativeResize="0"/>
      </xdr:nvPicPr>
      <xdr:blipFill>
        <a:blip cstate="print" r:embed="rId321"/>
        <a:stretch>
          <a:fillRect/>
        </a:stretch>
      </xdr:blipFill>
      <xdr:spPr>
        <a:prstGeom prst="rect">
          <a:avLst/>
        </a:prstGeom>
        <a:noFill/>
      </xdr:spPr>
    </xdr:pic>
    <xdr:clientData fLocksWithSheet="0"/>
  </xdr:oneCellAnchor>
  <xdr:oneCellAnchor>
    <xdr:from>
      <xdr:col>6</xdr:col>
      <xdr:colOff>38100</xdr:colOff>
      <xdr:row>569</xdr:row>
      <xdr:rowOff>38100</xdr:rowOff>
    </xdr:from>
    <xdr:ext cx="504825" cy="514350"/>
    <xdr:pic>
      <xdr:nvPicPr>
        <xdr:cNvPr id="0" name="image307.jpg"/>
        <xdr:cNvPicPr preferRelativeResize="0"/>
      </xdr:nvPicPr>
      <xdr:blipFill>
        <a:blip cstate="print" r:embed="rId321"/>
        <a:stretch>
          <a:fillRect/>
        </a:stretch>
      </xdr:blipFill>
      <xdr:spPr>
        <a:prstGeom prst="rect">
          <a:avLst/>
        </a:prstGeom>
        <a:noFill/>
      </xdr:spPr>
    </xdr:pic>
    <xdr:clientData fLocksWithSheet="0"/>
  </xdr:oneCellAnchor>
  <xdr:oneCellAnchor>
    <xdr:from>
      <xdr:col>6</xdr:col>
      <xdr:colOff>38100</xdr:colOff>
      <xdr:row>570</xdr:row>
      <xdr:rowOff>38100</xdr:rowOff>
    </xdr:from>
    <xdr:ext cx="438150" cy="514350"/>
    <xdr:pic>
      <xdr:nvPicPr>
        <xdr:cNvPr id="0" name="image319.jpg"/>
        <xdr:cNvPicPr preferRelativeResize="0"/>
      </xdr:nvPicPr>
      <xdr:blipFill>
        <a:blip cstate="print" r:embed="rId322"/>
        <a:stretch>
          <a:fillRect/>
        </a:stretch>
      </xdr:blipFill>
      <xdr:spPr>
        <a:prstGeom prst="rect">
          <a:avLst/>
        </a:prstGeom>
        <a:noFill/>
      </xdr:spPr>
    </xdr:pic>
    <xdr:clientData fLocksWithSheet="0"/>
  </xdr:oneCellAnchor>
  <xdr:oneCellAnchor>
    <xdr:from>
      <xdr:col>6</xdr:col>
      <xdr:colOff>38100</xdr:colOff>
      <xdr:row>571</xdr:row>
      <xdr:rowOff>38100</xdr:rowOff>
    </xdr:from>
    <xdr:ext cx="438150" cy="514350"/>
    <xdr:pic>
      <xdr:nvPicPr>
        <xdr:cNvPr id="0" name="image319.jpg"/>
        <xdr:cNvPicPr preferRelativeResize="0"/>
      </xdr:nvPicPr>
      <xdr:blipFill>
        <a:blip cstate="print" r:embed="rId322"/>
        <a:stretch>
          <a:fillRect/>
        </a:stretch>
      </xdr:blipFill>
      <xdr:spPr>
        <a:prstGeom prst="rect">
          <a:avLst/>
        </a:prstGeom>
        <a:noFill/>
      </xdr:spPr>
    </xdr:pic>
    <xdr:clientData fLocksWithSheet="0"/>
  </xdr:oneCellAnchor>
  <xdr:oneCellAnchor>
    <xdr:from>
      <xdr:col>6</xdr:col>
      <xdr:colOff>38100</xdr:colOff>
      <xdr:row>572</xdr:row>
      <xdr:rowOff>38100</xdr:rowOff>
    </xdr:from>
    <xdr:ext cx="523875" cy="514350"/>
    <xdr:pic>
      <xdr:nvPicPr>
        <xdr:cNvPr id="0" name="image315.jpg"/>
        <xdr:cNvPicPr preferRelativeResize="0"/>
      </xdr:nvPicPr>
      <xdr:blipFill>
        <a:blip cstate="print" r:embed="rId323"/>
        <a:stretch>
          <a:fillRect/>
        </a:stretch>
      </xdr:blipFill>
      <xdr:spPr>
        <a:prstGeom prst="rect">
          <a:avLst/>
        </a:prstGeom>
        <a:noFill/>
      </xdr:spPr>
    </xdr:pic>
    <xdr:clientData fLocksWithSheet="0"/>
  </xdr:oneCellAnchor>
  <xdr:oneCellAnchor>
    <xdr:from>
      <xdr:col>6</xdr:col>
      <xdr:colOff>38100</xdr:colOff>
      <xdr:row>573</xdr:row>
      <xdr:rowOff>38100</xdr:rowOff>
    </xdr:from>
    <xdr:ext cx="590550" cy="514350"/>
    <xdr:pic>
      <xdr:nvPicPr>
        <xdr:cNvPr id="0" name="image285.jpg"/>
        <xdr:cNvPicPr preferRelativeResize="0"/>
      </xdr:nvPicPr>
      <xdr:blipFill>
        <a:blip cstate="print" r:embed="rId313"/>
        <a:stretch>
          <a:fillRect/>
        </a:stretch>
      </xdr:blipFill>
      <xdr:spPr>
        <a:prstGeom prst="rect">
          <a:avLst/>
        </a:prstGeom>
        <a:noFill/>
      </xdr:spPr>
    </xdr:pic>
    <xdr:clientData fLocksWithSheet="0"/>
  </xdr:oneCellAnchor>
  <xdr:oneCellAnchor>
    <xdr:from>
      <xdr:col>6</xdr:col>
      <xdr:colOff>38100</xdr:colOff>
      <xdr:row>574</xdr:row>
      <xdr:rowOff>38100</xdr:rowOff>
    </xdr:from>
    <xdr:ext cx="371475" cy="514350"/>
    <xdr:pic>
      <xdr:nvPicPr>
        <xdr:cNvPr id="0" name="image322.jpg"/>
        <xdr:cNvPicPr preferRelativeResize="0"/>
      </xdr:nvPicPr>
      <xdr:blipFill>
        <a:blip cstate="print" r:embed="rId324"/>
        <a:stretch>
          <a:fillRect/>
        </a:stretch>
      </xdr:blipFill>
      <xdr:spPr>
        <a:prstGeom prst="rect">
          <a:avLst/>
        </a:prstGeom>
        <a:noFill/>
      </xdr:spPr>
    </xdr:pic>
    <xdr:clientData fLocksWithSheet="0"/>
  </xdr:oneCellAnchor>
  <xdr:oneCellAnchor>
    <xdr:from>
      <xdr:col>6</xdr:col>
      <xdr:colOff>38100</xdr:colOff>
      <xdr:row>575</xdr:row>
      <xdr:rowOff>38100</xdr:rowOff>
    </xdr:from>
    <xdr:ext cx="200025" cy="514350"/>
    <xdr:pic>
      <xdr:nvPicPr>
        <xdr:cNvPr id="0" name="image318.jpg"/>
        <xdr:cNvPicPr preferRelativeResize="0"/>
      </xdr:nvPicPr>
      <xdr:blipFill>
        <a:blip cstate="print" r:embed="rId325"/>
        <a:stretch>
          <a:fillRect/>
        </a:stretch>
      </xdr:blipFill>
      <xdr:spPr>
        <a:prstGeom prst="rect">
          <a:avLst/>
        </a:prstGeom>
        <a:noFill/>
      </xdr:spPr>
    </xdr:pic>
    <xdr:clientData fLocksWithSheet="0"/>
  </xdr:oneCellAnchor>
  <xdr:oneCellAnchor>
    <xdr:from>
      <xdr:col>6</xdr:col>
      <xdr:colOff>38100</xdr:colOff>
      <xdr:row>576</xdr:row>
      <xdr:rowOff>38100</xdr:rowOff>
    </xdr:from>
    <xdr:ext cx="200025" cy="514350"/>
    <xdr:pic>
      <xdr:nvPicPr>
        <xdr:cNvPr id="0" name="image318.jpg"/>
        <xdr:cNvPicPr preferRelativeResize="0"/>
      </xdr:nvPicPr>
      <xdr:blipFill>
        <a:blip cstate="print" r:embed="rId325"/>
        <a:stretch>
          <a:fillRect/>
        </a:stretch>
      </xdr:blipFill>
      <xdr:spPr>
        <a:prstGeom prst="rect">
          <a:avLst/>
        </a:prstGeom>
        <a:noFill/>
      </xdr:spPr>
    </xdr:pic>
    <xdr:clientData fLocksWithSheet="0"/>
  </xdr:oneCellAnchor>
  <xdr:oneCellAnchor>
    <xdr:from>
      <xdr:col>6</xdr:col>
      <xdr:colOff>38100</xdr:colOff>
      <xdr:row>577</xdr:row>
      <xdr:rowOff>38100</xdr:rowOff>
    </xdr:from>
    <xdr:ext cx="647700" cy="419100"/>
    <xdr:pic>
      <xdr:nvPicPr>
        <xdr:cNvPr id="0" name="image311.jpg"/>
        <xdr:cNvPicPr preferRelativeResize="0"/>
      </xdr:nvPicPr>
      <xdr:blipFill>
        <a:blip cstate="print" r:embed="rId326"/>
        <a:stretch>
          <a:fillRect/>
        </a:stretch>
      </xdr:blipFill>
      <xdr:spPr>
        <a:prstGeom prst="rect">
          <a:avLst/>
        </a:prstGeom>
        <a:noFill/>
      </xdr:spPr>
    </xdr:pic>
    <xdr:clientData fLocksWithSheet="0"/>
  </xdr:oneCellAnchor>
  <xdr:oneCellAnchor>
    <xdr:from>
      <xdr:col>6</xdr:col>
      <xdr:colOff>38100</xdr:colOff>
      <xdr:row>578</xdr:row>
      <xdr:rowOff>38100</xdr:rowOff>
    </xdr:from>
    <xdr:ext cx="419100" cy="514350"/>
    <xdr:pic>
      <xdr:nvPicPr>
        <xdr:cNvPr id="0" name="image309.jpg"/>
        <xdr:cNvPicPr preferRelativeResize="0"/>
      </xdr:nvPicPr>
      <xdr:blipFill>
        <a:blip cstate="print" r:embed="rId327"/>
        <a:stretch>
          <a:fillRect/>
        </a:stretch>
      </xdr:blipFill>
      <xdr:spPr>
        <a:prstGeom prst="rect">
          <a:avLst/>
        </a:prstGeom>
        <a:noFill/>
      </xdr:spPr>
    </xdr:pic>
    <xdr:clientData fLocksWithSheet="0"/>
  </xdr:oneCellAnchor>
  <xdr:oneCellAnchor>
    <xdr:from>
      <xdr:col>6</xdr:col>
      <xdr:colOff>38100</xdr:colOff>
      <xdr:row>579</xdr:row>
      <xdr:rowOff>38100</xdr:rowOff>
    </xdr:from>
    <xdr:ext cx="371475" cy="514350"/>
    <xdr:pic>
      <xdr:nvPicPr>
        <xdr:cNvPr id="0" name="image352.jpg"/>
        <xdr:cNvPicPr preferRelativeResize="0"/>
      </xdr:nvPicPr>
      <xdr:blipFill>
        <a:blip cstate="print" r:embed="rId328"/>
        <a:stretch>
          <a:fillRect/>
        </a:stretch>
      </xdr:blipFill>
      <xdr:spPr>
        <a:prstGeom prst="rect">
          <a:avLst/>
        </a:prstGeom>
        <a:noFill/>
      </xdr:spPr>
    </xdr:pic>
    <xdr:clientData fLocksWithSheet="0"/>
  </xdr:oneCellAnchor>
  <xdr:oneCellAnchor>
    <xdr:from>
      <xdr:col>6</xdr:col>
      <xdr:colOff>38100</xdr:colOff>
      <xdr:row>580</xdr:row>
      <xdr:rowOff>38100</xdr:rowOff>
    </xdr:from>
    <xdr:ext cx="647700" cy="295275"/>
    <xdr:pic>
      <xdr:nvPicPr>
        <xdr:cNvPr id="0" name="image306.jpg"/>
        <xdr:cNvPicPr preferRelativeResize="0"/>
      </xdr:nvPicPr>
      <xdr:blipFill>
        <a:blip cstate="print" r:embed="rId329"/>
        <a:stretch>
          <a:fillRect/>
        </a:stretch>
      </xdr:blipFill>
      <xdr:spPr>
        <a:prstGeom prst="rect">
          <a:avLst/>
        </a:prstGeom>
        <a:noFill/>
      </xdr:spPr>
    </xdr:pic>
    <xdr:clientData fLocksWithSheet="0"/>
  </xdr:oneCellAnchor>
  <xdr:oneCellAnchor>
    <xdr:from>
      <xdr:col>6</xdr:col>
      <xdr:colOff>38100</xdr:colOff>
      <xdr:row>581</xdr:row>
      <xdr:rowOff>38100</xdr:rowOff>
    </xdr:from>
    <xdr:ext cx="504825" cy="514350"/>
    <xdr:pic>
      <xdr:nvPicPr>
        <xdr:cNvPr id="0" name="image347.jpg"/>
        <xdr:cNvPicPr preferRelativeResize="0"/>
      </xdr:nvPicPr>
      <xdr:blipFill>
        <a:blip cstate="print" r:embed="rId330"/>
        <a:stretch>
          <a:fillRect/>
        </a:stretch>
      </xdr:blipFill>
      <xdr:spPr>
        <a:prstGeom prst="rect">
          <a:avLst/>
        </a:prstGeom>
        <a:noFill/>
      </xdr:spPr>
    </xdr:pic>
    <xdr:clientData fLocksWithSheet="0"/>
  </xdr:oneCellAnchor>
  <xdr:oneCellAnchor>
    <xdr:from>
      <xdr:col>6</xdr:col>
      <xdr:colOff>38100</xdr:colOff>
      <xdr:row>582</xdr:row>
      <xdr:rowOff>38100</xdr:rowOff>
    </xdr:from>
    <xdr:ext cx="504825" cy="514350"/>
    <xdr:pic>
      <xdr:nvPicPr>
        <xdr:cNvPr id="0" name="image316.jpg"/>
        <xdr:cNvPicPr preferRelativeResize="0"/>
      </xdr:nvPicPr>
      <xdr:blipFill>
        <a:blip cstate="print" r:embed="rId331"/>
        <a:stretch>
          <a:fillRect/>
        </a:stretch>
      </xdr:blipFill>
      <xdr:spPr>
        <a:prstGeom prst="rect">
          <a:avLst/>
        </a:prstGeom>
        <a:noFill/>
      </xdr:spPr>
    </xdr:pic>
    <xdr:clientData fLocksWithSheet="0"/>
  </xdr:oneCellAnchor>
  <xdr:oneCellAnchor>
    <xdr:from>
      <xdr:col>6</xdr:col>
      <xdr:colOff>38100</xdr:colOff>
      <xdr:row>583</xdr:row>
      <xdr:rowOff>38100</xdr:rowOff>
    </xdr:from>
    <xdr:ext cx="647700" cy="352425"/>
    <xdr:pic>
      <xdr:nvPicPr>
        <xdr:cNvPr id="0" name="image394.jpg"/>
        <xdr:cNvPicPr preferRelativeResize="0"/>
      </xdr:nvPicPr>
      <xdr:blipFill>
        <a:blip cstate="print" r:embed="rId332"/>
        <a:stretch>
          <a:fillRect/>
        </a:stretch>
      </xdr:blipFill>
      <xdr:spPr>
        <a:prstGeom prst="rect">
          <a:avLst/>
        </a:prstGeom>
        <a:noFill/>
      </xdr:spPr>
    </xdr:pic>
    <xdr:clientData fLocksWithSheet="0"/>
  </xdr:oneCellAnchor>
  <xdr:oneCellAnchor>
    <xdr:from>
      <xdr:col>6</xdr:col>
      <xdr:colOff>38100</xdr:colOff>
      <xdr:row>584</xdr:row>
      <xdr:rowOff>38100</xdr:rowOff>
    </xdr:from>
    <xdr:ext cx="542925" cy="514350"/>
    <xdr:pic>
      <xdr:nvPicPr>
        <xdr:cNvPr id="0" name="image312.jpg"/>
        <xdr:cNvPicPr preferRelativeResize="0"/>
      </xdr:nvPicPr>
      <xdr:blipFill>
        <a:blip cstate="print" r:embed="rId333"/>
        <a:stretch>
          <a:fillRect/>
        </a:stretch>
      </xdr:blipFill>
      <xdr:spPr>
        <a:prstGeom prst="rect">
          <a:avLst/>
        </a:prstGeom>
        <a:noFill/>
      </xdr:spPr>
    </xdr:pic>
    <xdr:clientData fLocksWithSheet="0"/>
  </xdr:oneCellAnchor>
  <xdr:oneCellAnchor>
    <xdr:from>
      <xdr:col>6</xdr:col>
      <xdr:colOff>38100</xdr:colOff>
      <xdr:row>585</xdr:row>
      <xdr:rowOff>38100</xdr:rowOff>
    </xdr:from>
    <xdr:ext cx="542925" cy="514350"/>
    <xdr:pic>
      <xdr:nvPicPr>
        <xdr:cNvPr id="0" name="image312.jpg"/>
        <xdr:cNvPicPr preferRelativeResize="0"/>
      </xdr:nvPicPr>
      <xdr:blipFill>
        <a:blip cstate="print" r:embed="rId333"/>
        <a:stretch>
          <a:fillRect/>
        </a:stretch>
      </xdr:blipFill>
      <xdr:spPr>
        <a:prstGeom prst="rect">
          <a:avLst/>
        </a:prstGeom>
        <a:noFill/>
      </xdr:spPr>
    </xdr:pic>
    <xdr:clientData fLocksWithSheet="0"/>
  </xdr:oneCellAnchor>
  <xdr:oneCellAnchor>
    <xdr:from>
      <xdr:col>6</xdr:col>
      <xdr:colOff>38100</xdr:colOff>
      <xdr:row>586</xdr:row>
      <xdr:rowOff>38100</xdr:rowOff>
    </xdr:from>
    <xdr:ext cx="647700" cy="419100"/>
    <xdr:pic>
      <xdr:nvPicPr>
        <xdr:cNvPr id="0" name="image314.jpg"/>
        <xdr:cNvPicPr preferRelativeResize="0"/>
      </xdr:nvPicPr>
      <xdr:blipFill>
        <a:blip cstate="print" r:embed="rId334"/>
        <a:stretch>
          <a:fillRect/>
        </a:stretch>
      </xdr:blipFill>
      <xdr:spPr>
        <a:prstGeom prst="rect">
          <a:avLst/>
        </a:prstGeom>
        <a:noFill/>
      </xdr:spPr>
    </xdr:pic>
    <xdr:clientData fLocksWithSheet="0"/>
  </xdr:oneCellAnchor>
  <xdr:oneCellAnchor>
    <xdr:from>
      <xdr:col>6</xdr:col>
      <xdr:colOff>38100</xdr:colOff>
      <xdr:row>587</xdr:row>
      <xdr:rowOff>38100</xdr:rowOff>
    </xdr:from>
    <xdr:ext cx="647700" cy="419100"/>
    <xdr:pic>
      <xdr:nvPicPr>
        <xdr:cNvPr id="0" name="image314.jpg"/>
        <xdr:cNvPicPr preferRelativeResize="0"/>
      </xdr:nvPicPr>
      <xdr:blipFill>
        <a:blip cstate="print" r:embed="rId334"/>
        <a:stretch>
          <a:fillRect/>
        </a:stretch>
      </xdr:blipFill>
      <xdr:spPr>
        <a:prstGeom prst="rect">
          <a:avLst/>
        </a:prstGeom>
        <a:noFill/>
      </xdr:spPr>
    </xdr:pic>
    <xdr:clientData fLocksWithSheet="0"/>
  </xdr:oneCellAnchor>
  <xdr:oneCellAnchor>
    <xdr:from>
      <xdr:col>6</xdr:col>
      <xdr:colOff>38100</xdr:colOff>
      <xdr:row>588</xdr:row>
      <xdr:rowOff>38100</xdr:rowOff>
    </xdr:from>
    <xdr:ext cx="457200" cy="514350"/>
    <xdr:pic>
      <xdr:nvPicPr>
        <xdr:cNvPr id="0" name="image323.jpg"/>
        <xdr:cNvPicPr preferRelativeResize="0"/>
      </xdr:nvPicPr>
      <xdr:blipFill>
        <a:blip cstate="print" r:embed="rId335"/>
        <a:stretch>
          <a:fillRect/>
        </a:stretch>
      </xdr:blipFill>
      <xdr:spPr>
        <a:prstGeom prst="rect">
          <a:avLst/>
        </a:prstGeom>
        <a:noFill/>
      </xdr:spPr>
    </xdr:pic>
    <xdr:clientData fLocksWithSheet="0"/>
  </xdr:oneCellAnchor>
  <xdr:oneCellAnchor>
    <xdr:from>
      <xdr:col>6</xdr:col>
      <xdr:colOff>38100</xdr:colOff>
      <xdr:row>589</xdr:row>
      <xdr:rowOff>38100</xdr:rowOff>
    </xdr:from>
    <xdr:ext cx="647700" cy="390525"/>
    <xdr:pic>
      <xdr:nvPicPr>
        <xdr:cNvPr id="0" name="image345.jpg"/>
        <xdr:cNvPicPr preferRelativeResize="0"/>
      </xdr:nvPicPr>
      <xdr:blipFill>
        <a:blip cstate="print" r:embed="rId336"/>
        <a:stretch>
          <a:fillRect/>
        </a:stretch>
      </xdr:blipFill>
      <xdr:spPr>
        <a:prstGeom prst="rect">
          <a:avLst/>
        </a:prstGeom>
        <a:noFill/>
      </xdr:spPr>
    </xdr:pic>
    <xdr:clientData fLocksWithSheet="0"/>
  </xdr:oneCellAnchor>
  <xdr:oneCellAnchor>
    <xdr:from>
      <xdr:col>6</xdr:col>
      <xdr:colOff>38100</xdr:colOff>
      <xdr:row>590</xdr:row>
      <xdr:rowOff>38100</xdr:rowOff>
    </xdr:from>
    <xdr:ext cx="647700" cy="390525"/>
    <xdr:pic>
      <xdr:nvPicPr>
        <xdr:cNvPr id="0" name="image345.jpg"/>
        <xdr:cNvPicPr preferRelativeResize="0"/>
      </xdr:nvPicPr>
      <xdr:blipFill>
        <a:blip cstate="print" r:embed="rId336"/>
        <a:stretch>
          <a:fillRect/>
        </a:stretch>
      </xdr:blipFill>
      <xdr:spPr>
        <a:prstGeom prst="rect">
          <a:avLst/>
        </a:prstGeom>
        <a:noFill/>
      </xdr:spPr>
    </xdr:pic>
    <xdr:clientData fLocksWithSheet="0"/>
  </xdr:oneCellAnchor>
  <xdr:oneCellAnchor>
    <xdr:from>
      <xdr:col>6</xdr:col>
      <xdr:colOff>38100</xdr:colOff>
      <xdr:row>591</xdr:row>
      <xdr:rowOff>38100</xdr:rowOff>
    </xdr:from>
    <xdr:ext cx="238125" cy="514350"/>
    <xdr:pic>
      <xdr:nvPicPr>
        <xdr:cNvPr id="0" name="image367.jpg"/>
        <xdr:cNvPicPr preferRelativeResize="0"/>
      </xdr:nvPicPr>
      <xdr:blipFill>
        <a:blip cstate="print" r:embed="rId337"/>
        <a:stretch>
          <a:fillRect/>
        </a:stretch>
      </xdr:blipFill>
      <xdr:spPr>
        <a:prstGeom prst="rect">
          <a:avLst/>
        </a:prstGeom>
        <a:noFill/>
      </xdr:spPr>
    </xdr:pic>
    <xdr:clientData fLocksWithSheet="0"/>
  </xdr:oneCellAnchor>
  <xdr:oneCellAnchor>
    <xdr:from>
      <xdr:col>6</xdr:col>
      <xdr:colOff>38100</xdr:colOff>
      <xdr:row>592</xdr:row>
      <xdr:rowOff>38100</xdr:rowOff>
    </xdr:from>
    <xdr:ext cx="247650" cy="514350"/>
    <xdr:pic>
      <xdr:nvPicPr>
        <xdr:cNvPr id="0" name="image326.jpg"/>
        <xdr:cNvPicPr preferRelativeResize="0"/>
      </xdr:nvPicPr>
      <xdr:blipFill>
        <a:blip cstate="print" r:embed="rId338"/>
        <a:stretch>
          <a:fillRect/>
        </a:stretch>
      </xdr:blipFill>
      <xdr:spPr>
        <a:prstGeom prst="rect">
          <a:avLst/>
        </a:prstGeom>
        <a:noFill/>
      </xdr:spPr>
    </xdr:pic>
    <xdr:clientData fLocksWithSheet="0"/>
  </xdr:oneCellAnchor>
  <xdr:oneCellAnchor>
    <xdr:from>
      <xdr:col>6</xdr:col>
      <xdr:colOff>38100</xdr:colOff>
      <xdr:row>593</xdr:row>
      <xdr:rowOff>38100</xdr:rowOff>
    </xdr:from>
    <xdr:ext cx="361950" cy="495300"/>
    <xdr:pic>
      <xdr:nvPicPr>
        <xdr:cNvPr id="0" name="image329.jpg"/>
        <xdr:cNvPicPr preferRelativeResize="0"/>
      </xdr:nvPicPr>
      <xdr:blipFill>
        <a:blip cstate="print" r:embed="rId339"/>
        <a:stretch>
          <a:fillRect/>
        </a:stretch>
      </xdr:blipFill>
      <xdr:spPr>
        <a:prstGeom prst="rect">
          <a:avLst/>
        </a:prstGeom>
        <a:noFill/>
      </xdr:spPr>
    </xdr:pic>
    <xdr:clientData fLocksWithSheet="0"/>
  </xdr:oneCellAnchor>
  <xdr:oneCellAnchor>
    <xdr:from>
      <xdr:col>6</xdr:col>
      <xdr:colOff>38100</xdr:colOff>
      <xdr:row>594</xdr:row>
      <xdr:rowOff>38100</xdr:rowOff>
    </xdr:from>
    <xdr:ext cx="390525" cy="466725"/>
    <xdr:pic>
      <xdr:nvPicPr>
        <xdr:cNvPr id="0" name="image320.jpg"/>
        <xdr:cNvPicPr preferRelativeResize="0"/>
      </xdr:nvPicPr>
      <xdr:blipFill>
        <a:blip cstate="print" r:embed="rId340"/>
        <a:stretch>
          <a:fillRect/>
        </a:stretch>
      </xdr:blipFill>
      <xdr:spPr>
        <a:prstGeom prst="rect">
          <a:avLst/>
        </a:prstGeom>
        <a:noFill/>
      </xdr:spPr>
    </xdr:pic>
    <xdr:clientData fLocksWithSheet="0"/>
  </xdr:oneCellAnchor>
  <xdr:oneCellAnchor>
    <xdr:from>
      <xdr:col>6</xdr:col>
      <xdr:colOff>38100</xdr:colOff>
      <xdr:row>595</xdr:row>
      <xdr:rowOff>38100</xdr:rowOff>
    </xdr:from>
    <xdr:ext cx="361950" cy="495300"/>
    <xdr:pic>
      <xdr:nvPicPr>
        <xdr:cNvPr id="0" name="image329.jpg"/>
        <xdr:cNvPicPr preferRelativeResize="0"/>
      </xdr:nvPicPr>
      <xdr:blipFill>
        <a:blip cstate="print" r:embed="rId339"/>
        <a:stretch>
          <a:fillRect/>
        </a:stretch>
      </xdr:blipFill>
      <xdr:spPr>
        <a:prstGeom prst="rect">
          <a:avLst/>
        </a:prstGeom>
        <a:noFill/>
      </xdr:spPr>
    </xdr:pic>
    <xdr:clientData fLocksWithSheet="0"/>
  </xdr:oneCellAnchor>
  <xdr:oneCellAnchor>
    <xdr:from>
      <xdr:col>6</xdr:col>
      <xdr:colOff>38100</xdr:colOff>
      <xdr:row>596</xdr:row>
      <xdr:rowOff>38100</xdr:rowOff>
    </xdr:from>
    <xdr:ext cx="638175" cy="514350"/>
    <xdr:pic>
      <xdr:nvPicPr>
        <xdr:cNvPr id="0" name="image348.jpg"/>
        <xdr:cNvPicPr preferRelativeResize="0"/>
      </xdr:nvPicPr>
      <xdr:blipFill>
        <a:blip cstate="print" r:embed="rId341"/>
        <a:stretch>
          <a:fillRect/>
        </a:stretch>
      </xdr:blipFill>
      <xdr:spPr>
        <a:prstGeom prst="rect">
          <a:avLst/>
        </a:prstGeom>
        <a:noFill/>
      </xdr:spPr>
    </xdr:pic>
    <xdr:clientData fLocksWithSheet="0"/>
  </xdr:oneCellAnchor>
  <xdr:oneCellAnchor>
    <xdr:from>
      <xdr:col>6</xdr:col>
      <xdr:colOff>38100</xdr:colOff>
      <xdr:row>597</xdr:row>
      <xdr:rowOff>38100</xdr:rowOff>
    </xdr:from>
    <xdr:ext cx="390525" cy="514350"/>
    <xdr:pic>
      <xdr:nvPicPr>
        <xdr:cNvPr id="0" name="image330.jpg"/>
        <xdr:cNvPicPr preferRelativeResize="0"/>
      </xdr:nvPicPr>
      <xdr:blipFill>
        <a:blip cstate="print" r:embed="rId342"/>
        <a:stretch>
          <a:fillRect/>
        </a:stretch>
      </xdr:blipFill>
      <xdr:spPr>
        <a:prstGeom prst="rect">
          <a:avLst/>
        </a:prstGeom>
        <a:noFill/>
      </xdr:spPr>
    </xdr:pic>
    <xdr:clientData fLocksWithSheet="0"/>
  </xdr:oneCellAnchor>
  <xdr:oneCellAnchor>
    <xdr:from>
      <xdr:col>6</xdr:col>
      <xdr:colOff>38100</xdr:colOff>
      <xdr:row>598</xdr:row>
      <xdr:rowOff>38100</xdr:rowOff>
    </xdr:from>
    <xdr:ext cx="352425" cy="514350"/>
    <xdr:pic>
      <xdr:nvPicPr>
        <xdr:cNvPr id="0" name="image337.jpg"/>
        <xdr:cNvPicPr preferRelativeResize="0"/>
      </xdr:nvPicPr>
      <xdr:blipFill>
        <a:blip cstate="print" r:embed="rId343"/>
        <a:stretch>
          <a:fillRect/>
        </a:stretch>
      </xdr:blipFill>
      <xdr:spPr>
        <a:prstGeom prst="rect">
          <a:avLst/>
        </a:prstGeom>
        <a:noFill/>
      </xdr:spPr>
    </xdr:pic>
    <xdr:clientData fLocksWithSheet="0"/>
  </xdr:oneCellAnchor>
  <xdr:oneCellAnchor>
    <xdr:from>
      <xdr:col>6</xdr:col>
      <xdr:colOff>38100</xdr:colOff>
      <xdr:row>599</xdr:row>
      <xdr:rowOff>38100</xdr:rowOff>
    </xdr:from>
    <xdr:ext cx="628650" cy="514350"/>
    <xdr:pic>
      <xdr:nvPicPr>
        <xdr:cNvPr id="0" name="image350.jpg"/>
        <xdr:cNvPicPr preferRelativeResize="0"/>
      </xdr:nvPicPr>
      <xdr:blipFill>
        <a:blip cstate="print" r:embed="rId344"/>
        <a:stretch>
          <a:fillRect/>
        </a:stretch>
      </xdr:blipFill>
      <xdr:spPr>
        <a:prstGeom prst="rect">
          <a:avLst/>
        </a:prstGeom>
        <a:noFill/>
      </xdr:spPr>
    </xdr:pic>
    <xdr:clientData fLocksWithSheet="0"/>
  </xdr:oneCellAnchor>
  <xdr:oneCellAnchor>
    <xdr:from>
      <xdr:col>6</xdr:col>
      <xdr:colOff>38100</xdr:colOff>
      <xdr:row>600</xdr:row>
      <xdr:rowOff>38100</xdr:rowOff>
    </xdr:from>
    <xdr:ext cx="628650" cy="514350"/>
    <xdr:pic>
      <xdr:nvPicPr>
        <xdr:cNvPr id="0" name="image350.jpg"/>
        <xdr:cNvPicPr preferRelativeResize="0"/>
      </xdr:nvPicPr>
      <xdr:blipFill>
        <a:blip cstate="print" r:embed="rId344"/>
        <a:stretch>
          <a:fillRect/>
        </a:stretch>
      </xdr:blipFill>
      <xdr:spPr>
        <a:prstGeom prst="rect">
          <a:avLst/>
        </a:prstGeom>
        <a:noFill/>
      </xdr:spPr>
    </xdr:pic>
    <xdr:clientData fLocksWithSheet="0"/>
  </xdr:oneCellAnchor>
  <xdr:oneCellAnchor>
    <xdr:from>
      <xdr:col>6</xdr:col>
      <xdr:colOff>38100</xdr:colOff>
      <xdr:row>601</xdr:row>
      <xdr:rowOff>38100</xdr:rowOff>
    </xdr:from>
    <xdr:ext cx="647700" cy="390525"/>
    <xdr:pic>
      <xdr:nvPicPr>
        <xdr:cNvPr id="0" name="image331.jpg"/>
        <xdr:cNvPicPr preferRelativeResize="0"/>
      </xdr:nvPicPr>
      <xdr:blipFill>
        <a:blip cstate="print" r:embed="rId345"/>
        <a:stretch>
          <a:fillRect/>
        </a:stretch>
      </xdr:blipFill>
      <xdr:spPr>
        <a:prstGeom prst="rect">
          <a:avLst/>
        </a:prstGeom>
        <a:noFill/>
      </xdr:spPr>
    </xdr:pic>
    <xdr:clientData fLocksWithSheet="0"/>
  </xdr:oneCellAnchor>
  <xdr:oneCellAnchor>
    <xdr:from>
      <xdr:col>6</xdr:col>
      <xdr:colOff>38100</xdr:colOff>
      <xdr:row>602</xdr:row>
      <xdr:rowOff>38100</xdr:rowOff>
    </xdr:from>
    <xdr:ext cx="647700" cy="390525"/>
    <xdr:pic>
      <xdr:nvPicPr>
        <xdr:cNvPr id="0" name="image331.jpg"/>
        <xdr:cNvPicPr preferRelativeResize="0"/>
      </xdr:nvPicPr>
      <xdr:blipFill>
        <a:blip cstate="print" r:embed="rId345"/>
        <a:stretch>
          <a:fillRect/>
        </a:stretch>
      </xdr:blipFill>
      <xdr:spPr>
        <a:prstGeom prst="rect">
          <a:avLst/>
        </a:prstGeom>
        <a:noFill/>
      </xdr:spPr>
    </xdr:pic>
    <xdr:clientData fLocksWithSheet="0"/>
  </xdr:oneCellAnchor>
  <xdr:oneCellAnchor>
    <xdr:from>
      <xdr:col>6</xdr:col>
      <xdr:colOff>38100</xdr:colOff>
      <xdr:row>603</xdr:row>
      <xdr:rowOff>38100</xdr:rowOff>
    </xdr:from>
    <xdr:ext cx="447675" cy="514350"/>
    <xdr:pic>
      <xdr:nvPicPr>
        <xdr:cNvPr id="0" name="image346.jpg"/>
        <xdr:cNvPicPr preferRelativeResize="0"/>
      </xdr:nvPicPr>
      <xdr:blipFill>
        <a:blip cstate="print" r:embed="rId346"/>
        <a:stretch>
          <a:fillRect/>
        </a:stretch>
      </xdr:blipFill>
      <xdr:spPr>
        <a:prstGeom prst="rect">
          <a:avLst/>
        </a:prstGeom>
        <a:noFill/>
      </xdr:spPr>
    </xdr:pic>
    <xdr:clientData fLocksWithSheet="0"/>
  </xdr:oneCellAnchor>
  <xdr:oneCellAnchor>
    <xdr:from>
      <xdr:col>6</xdr:col>
      <xdr:colOff>38100</xdr:colOff>
      <xdr:row>604</xdr:row>
      <xdr:rowOff>38100</xdr:rowOff>
    </xdr:from>
    <xdr:ext cx="457200" cy="514350"/>
    <xdr:pic>
      <xdr:nvPicPr>
        <xdr:cNvPr id="0" name="image325.jpg"/>
        <xdr:cNvPicPr preferRelativeResize="0"/>
      </xdr:nvPicPr>
      <xdr:blipFill>
        <a:blip cstate="print" r:embed="rId347"/>
        <a:stretch>
          <a:fillRect/>
        </a:stretch>
      </xdr:blipFill>
      <xdr:spPr>
        <a:prstGeom prst="rect">
          <a:avLst/>
        </a:prstGeom>
        <a:noFill/>
      </xdr:spPr>
    </xdr:pic>
    <xdr:clientData fLocksWithSheet="0"/>
  </xdr:oneCellAnchor>
  <xdr:oneCellAnchor>
    <xdr:from>
      <xdr:col>6</xdr:col>
      <xdr:colOff>38100</xdr:colOff>
      <xdr:row>605</xdr:row>
      <xdr:rowOff>38100</xdr:rowOff>
    </xdr:from>
    <xdr:ext cx="352425" cy="447675"/>
    <xdr:pic>
      <xdr:nvPicPr>
        <xdr:cNvPr id="0" name="image327.jpg"/>
        <xdr:cNvPicPr preferRelativeResize="0"/>
      </xdr:nvPicPr>
      <xdr:blipFill>
        <a:blip cstate="print" r:embed="rId348"/>
        <a:stretch>
          <a:fillRect/>
        </a:stretch>
      </xdr:blipFill>
      <xdr:spPr>
        <a:prstGeom prst="rect">
          <a:avLst/>
        </a:prstGeom>
        <a:noFill/>
      </xdr:spPr>
    </xdr:pic>
    <xdr:clientData fLocksWithSheet="0"/>
  </xdr:oneCellAnchor>
  <xdr:oneCellAnchor>
    <xdr:from>
      <xdr:col>6</xdr:col>
      <xdr:colOff>38100</xdr:colOff>
      <xdr:row>606</xdr:row>
      <xdr:rowOff>38100</xdr:rowOff>
    </xdr:from>
    <xdr:ext cx="571500" cy="514350"/>
    <xdr:pic>
      <xdr:nvPicPr>
        <xdr:cNvPr id="0" name="image328.jpg"/>
        <xdr:cNvPicPr preferRelativeResize="0"/>
      </xdr:nvPicPr>
      <xdr:blipFill>
        <a:blip cstate="print" r:embed="rId349"/>
        <a:stretch>
          <a:fillRect/>
        </a:stretch>
      </xdr:blipFill>
      <xdr:spPr>
        <a:prstGeom prst="rect">
          <a:avLst/>
        </a:prstGeom>
        <a:noFill/>
      </xdr:spPr>
    </xdr:pic>
    <xdr:clientData fLocksWithSheet="0"/>
  </xdr:oneCellAnchor>
  <xdr:oneCellAnchor>
    <xdr:from>
      <xdr:col>6</xdr:col>
      <xdr:colOff>38100</xdr:colOff>
      <xdr:row>607</xdr:row>
      <xdr:rowOff>38100</xdr:rowOff>
    </xdr:from>
    <xdr:ext cx="409575" cy="514350"/>
    <xdr:pic>
      <xdr:nvPicPr>
        <xdr:cNvPr id="0" name="image405.jpg"/>
        <xdr:cNvPicPr preferRelativeResize="0"/>
      </xdr:nvPicPr>
      <xdr:blipFill>
        <a:blip cstate="print" r:embed="rId350"/>
        <a:stretch>
          <a:fillRect/>
        </a:stretch>
      </xdr:blipFill>
      <xdr:spPr>
        <a:prstGeom prst="rect">
          <a:avLst/>
        </a:prstGeom>
        <a:noFill/>
      </xdr:spPr>
    </xdr:pic>
    <xdr:clientData fLocksWithSheet="0"/>
  </xdr:oneCellAnchor>
  <xdr:oneCellAnchor>
    <xdr:from>
      <xdr:col>6</xdr:col>
      <xdr:colOff>38100</xdr:colOff>
      <xdr:row>608</xdr:row>
      <xdr:rowOff>38100</xdr:rowOff>
    </xdr:from>
    <xdr:ext cx="400050" cy="514350"/>
    <xdr:pic>
      <xdr:nvPicPr>
        <xdr:cNvPr id="0" name="image427.jpg"/>
        <xdr:cNvPicPr preferRelativeResize="0"/>
      </xdr:nvPicPr>
      <xdr:blipFill>
        <a:blip cstate="print" r:embed="rId351"/>
        <a:stretch>
          <a:fillRect/>
        </a:stretch>
      </xdr:blipFill>
      <xdr:spPr>
        <a:prstGeom prst="rect">
          <a:avLst/>
        </a:prstGeom>
        <a:noFill/>
      </xdr:spPr>
    </xdr:pic>
    <xdr:clientData fLocksWithSheet="0"/>
  </xdr:oneCellAnchor>
  <xdr:oneCellAnchor>
    <xdr:from>
      <xdr:col>6</xdr:col>
      <xdr:colOff>38100</xdr:colOff>
      <xdr:row>609</xdr:row>
      <xdr:rowOff>38100</xdr:rowOff>
    </xdr:from>
    <xdr:ext cx="476250" cy="514350"/>
    <xdr:pic>
      <xdr:nvPicPr>
        <xdr:cNvPr id="0" name="image324.jpg"/>
        <xdr:cNvPicPr preferRelativeResize="0"/>
      </xdr:nvPicPr>
      <xdr:blipFill>
        <a:blip cstate="print" r:embed="rId352"/>
        <a:stretch>
          <a:fillRect/>
        </a:stretch>
      </xdr:blipFill>
      <xdr:spPr>
        <a:prstGeom prst="rect">
          <a:avLst/>
        </a:prstGeom>
        <a:noFill/>
      </xdr:spPr>
    </xdr:pic>
    <xdr:clientData fLocksWithSheet="0"/>
  </xdr:oneCellAnchor>
  <xdr:oneCellAnchor>
    <xdr:from>
      <xdr:col>6</xdr:col>
      <xdr:colOff>38100</xdr:colOff>
      <xdr:row>610</xdr:row>
      <xdr:rowOff>38100</xdr:rowOff>
    </xdr:from>
    <xdr:ext cx="285750" cy="514350"/>
    <xdr:pic>
      <xdr:nvPicPr>
        <xdr:cNvPr id="0" name="image371.jpg"/>
        <xdr:cNvPicPr preferRelativeResize="0"/>
      </xdr:nvPicPr>
      <xdr:blipFill>
        <a:blip cstate="print" r:embed="rId353"/>
        <a:stretch>
          <a:fillRect/>
        </a:stretch>
      </xdr:blipFill>
      <xdr:spPr>
        <a:prstGeom prst="rect">
          <a:avLst/>
        </a:prstGeom>
        <a:noFill/>
      </xdr:spPr>
    </xdr:pic>
    <xdr:clientData fLocksWithSheet="0"/>
  </xdr:oneCellAnchor>
  <xdr:oneCellAnchor>
    <xdr:from>
      <xdr:col>6</xdr:col>
      <xdr:colOff>38100</xdr:colOff>
      <xdr:row>611</xdr:row>
      <xdr:rowOff>38100</xdr:rowOff>
    </xdr:from>
    <xdr:ext cx="295275" cy="514350"/>
    <xdr:pic>
      <xdr:nvPicPr>
        <xdr:cNvPr id="0" name="image332.jpg"/>
        <xdr:cNvPicPr preferRelativeResize="0"/>
      </xdr:nvPicPr>
      <xdr:blipFill>
        <a:blip cstate="print" r:embed="rId354"/>
        <a:stretch>
          <a:fillRect/>
        </a:stretch>
      </xdr:blipFill>
      <xdr:spPr>
        <a:prstGeom prst="rect">
          <a:avLst/>
        </a:prstGeom>
        <a:noFill/>
      </xdr:spPr>
    </xdr:pic>
    <xdr:clientData fLocksWithSheet="0"/>
  </xdr:oneCellAnchor>
  <xdr:oneCellAnchor>
    <xdr:from>
      <xdr:col>6</xdr:col>
      <xdr:colOff>38100</xdr:colOff>
      <xdr:row>612</xdr:row>
      <xdr:rowOff>38100</xdr:rowOff>
    </xdr:from>
    <xdr:ext cx="219075" cy="514350"/>
    <xdr:pic>
      <xdr:nvPicPr>
        <xdr:cNvPr id="0" name="image351.jpg"/>
        <xdr:cNvPicPr preferRelativeResize="0"/>
      </xdr:nvPicPr>
      <xdr:blipFill>
        <a:blip cstate="print" r:embed="rId355"/>
        <a:stretch>
          <a:fillRect/>
        </a:stretch>
      </xdr:blipFill>
      <xdr:spPr>
        <a:prstGeom prst="rect">
          <a:avLst/>
        </a:prstGeom>
        <a:noFill/>
      </xdr:spPr>
    </xdr:pic>
    <xdr:clientData fLocksWithSheet="0"/>
  </xdr:oneCellAnchor>
  <xdr:oneCellAnchor>
    <xdr:from>
      <xdr:col>6</xdr:col>
      <xdr:colOff>38100</xdr:colOff>
      <xdr:row>613</xdr:row>
      <xdr:rowOff>38100</xdr:rowOff>
    </xdr:from>
    <xdr:ext cx="352425" cy="514350"/>
    <xdr:pic>
      <xdr:nvPicPr>
        <xdr:cNvPr id="0" name="image354.jpg"/>
        <xdr:cNvPicPr preferRelativeResize="0"/>
      </xdr:nvPicPr>
      <xdr:blipFill>
        <a:blip cstate="print" r:embed="rId356"/>
        <a:stretch>
          <a:fillRect/>
        </a:stretch>
      </xdr:blipFill>
      <xdr:spPr>
        <a:prstGeom prst="rect">
          <a:avLst/>
        </a:prstGeom>
        <a:noFill/>
      </xdr:spPr>
    </xdr:pic>
    <xdr:clientData fLocksWithSheet="0"/>
  </xdr:oneCellAnchor>
  <xdr:oneCellAnchor>
    <xdr:from>
      <xdr:col>6</xdr:col>
      <xdr:colOff>38100</xdr:colOff>
      <xdr:row>614</xdr:row>
      <xdr:rowOff>38100</xdr:rowOff>
    </xdr:from>
    <xdr:ext cx="352425" cy="514350"/>
    <xdr:pic>
      <xdr:nvPicPr>
        <xdr:cNvPr id="0" name="image354.jpg"/>
        <xdr:cNvPicPr preferRelativeResize="0"/>
      </xdr:nvPicPr>
      <xdr:blipFill>
        <a:blip cstate="print" r:embed="rId356"/>
        <a:stretch>
          <a:fillRect/>
        </a:stretch>
      </xdr:blipFill>
      <xdr:spPr>
        <a:prstGeom prst="rect">
          <a:avLst/>
        </a:prstGeom>
        <a:noFill/>
      </xdr:spPr>
    </xdr:pic>
    <xdr:clientData fLocksWithSheet="0"/>
  </xdr:oneCellAnchor>
  <xdr:oneCellAnchor>
    <xdr:from>
      <xdr:col>6</xdr:col>
      <xdr:colOff>38100</xdr:colOff>
      <xdr:row>615</xdr:row>
      <xdr:rowOff>38100</xdr:rowOff>
    </xdr:from>
    <xdr:ext cx="247650" cy="514350"/>
    <xdr:pic>
      <xdr:nvPicPr>
        <xdr:cNvPr id="0" name="image335.jpg"/>
        <xdr:cNvPicPr preferRelativeResize="0"/>
      </xdr:nvPicPr>
      <xdr:blipFill>
        <a:blip cstate="print" r:embed="rId357"/>
        <a:stretch>
          <a:fillRect/>
        </a:stretch>
      </xdr:blipFill>
      <xdr:spPr>
        <a:prstGeom prst="rect">
          <a:avLst/>
        </a:prstGeom>
        <a:noFill/>
      </xdr:spPr>
    </xdr:pic>
    <xdr:clientData fLocksWithSheet="0"/>
  </xdr:oneCellAnchor>
  <xdr:oneCellAnchor>
    <xdr:from>
      <xdr:col>6</xdr:col>
      <xdr:colOff>38100</xdr:colOff>
      <xdr:row>616</xdr:row>
      <xdr:rowOff>38100</xdr:rowOff>
    </xdr:from>
    <xdr:ext cx="476250" cy="514350"/>
    <xdr:pic>
      <xdr:nvPicPr>
        <xdr:cNvPr id="0" name="image355.jpg"/>
        <xdr:cNvPicPr preferRelativeResize="0"/>
      </xdr:nvPicPr>
      <xdr:blipFill>
        <a:blip cstate="print" r:embed="rId358"/>
        <a:stretch>
          <a:fillRect/>
        </a:stretch>
      </xdr:blipFill>
      <xdr:spPr>
        <a:prstGeom prst="rect">
          <a:avLst/>
        </a:prstGeom>
        <a:noFill/>
      </xdr:spPr>
    </xdr:pic>
    <xdr:clientData fLocksWithSheet="0"/>
  </xdr:oneCellAnchor>
  <xdr:oneCellAnchor>
    <xdr:from>
      <xdr:col>6</xdr:col>
      <xdr:colOff>38100</xdr:colOff>
      <xdr:row>617</xdr:row>
      <xdr:rowOff>38100</xdr:rowOff>
    </xdr:from>
    <xdr:ext cx="542925" cy="514350"/>
    <xdr:pic>
      <xdr:nvPicPr>
        <xdr:cNvPr id="0" name="image399.jpg"/>
        <xdr:cNvPicPr preferRelativeResize="0"/>
      </xdr:nvPicPr>
      <xdr:blipFill>
        <a:blip cstate="print" r:embed="rId359"/>
        <a:stretch>
          <a:fillRect/>
        </a:stretch>
      </xdr:blipFill>
      <xdr:spPr>
        <a:prstGeom prst="rect">
          <a:avLst/>
        </a:prstGeom>
        <a:noFill/>
      </xdr:spPr>
    </xdr:pic>
    <xdr:clientData fLocksWithSheet="0"/>
  </xdr:oneCellAnchor>
  <xdr:oneCellAnchor>
    <xdr:from>
      <xdr:col>6</xdr:col>
      <xdr:colOff>38100</xdr:colOff>
      <xdr:row>618</xdr:row>
      <xdr:rowOff>38100</xdr:rowOff>
    </xdr:from>
    <xdr:ext cx="438150" cy="514350"/>
    <xdr:pic>
      <xdr:nvPicPr>
        <xdr:cNvPr id="0" name="image343.jpg"/>
        <xdr:cNvPicPr preferRelativeResize="0"/>
      </xdr:nvPicPr>
      <xdr:blipFill>
        <a:blip cstate="print" r:embed="rId360"/>
        <a:stretch>
          <a:fillRect/>
        </a:stretch>
      </xdr:blipFill>
      <xdr:spPr>
        <a:prstGeom prst="rect">
          <a:avLst/>
        </a:prstGeom>
        <a:noFill/>
      </xdr:spPr>
    </xdr:pic>
    <xdr:clientData fLocksWithSheet="0"/>
  </xdr:oneCellAnchor>
  <xdr:oneCellAnchor>
    <xdr:from>
      <xdr:col>6</xdr:col>
      <xdr:colOff>38100</xdr:colOff>
      <xdr:row>619</xdr:row>
      <xdr:rowOff>38100</xdr:rowOff>
    </xdr:from>
    <xdr:ext cx="219075" cy="514350"/>
    <xdr:pic>
      <xdr:nvPicPr>
        <xdr:cNvPr id="0" name="image380.jpg"/>
        <xdr:cNvPicPr preferRelativeResize="0"/>
      </xdr:nvPicPr>
      <xdr:blipFill>
        <a:blip cstate="print" r:embed="rId361"/>
        <a:stretch>
          <a:fillRect/>
        </a:stretch>
      </xdr:blipFill>
      <xdr:spPr>
        <a:prstGeom prst="rect">
          <a:avLst/>
        </a:prstGeom>
        <a:noFill/>
      </xdr:spPr>
    </xdr:pic>
    <xdr:clientData fLocksWithSheet="0"/>
  </xdr:oneCellAnchor>
  <xdr:oneCellAnchor>
    <xdr:from>
      <xdr:col>6</xdr:col>
      <xdr:colOff>38100</xdr:colOff>
      <xdr:row>620</xdr:row>
      <xdr:rowOff>38100</xdr:rowOff>
    </xdr:from>
    <xdr:ext cx="257175" cy="514350"/>
    <xdr:pic>
      <xdr:nvPicPr>
        <xdr:cNvPr id="0" name="image338.jpg"/>
        <xdr:cNvPicPr preferRelativeResize="0"/>
      </xdr:nvPicPr>
      <xdr:blipFill>
        <a:blip cstate="print" r:embed="rId362"/>
        <a:stretch>
          <a:fillRect/>
        </a:stretch>
      </xdr:blipFill>
      <xdr:spPr>
        <a:prstGeom prst="rect">
          <a:avLst/>
        </a:prstGeom>
        <a:noFill/>
      </xdr:spPr>
    </xdr:pic>
    <xdr:clientData fLocksWithSheet="0"/>
  </xdr:oneCellAnchor>
  <xdr:oneCellAnchor>
    <xdr:from>
      <xdr:col>6</xdr:col>
      <xdr:colOff>38100</xdr:colOff>
      <xdr:row>621</xdr:row>
      <xdr:rowOff>38100</xdr:rowOff>
    </xdr:from>
    <xdr:ext cx="257175" cy="514350"/>
    <xdr:pic>
      <xdr:nvPicPr>
        <xdr:cNvPr id="0" name="image338.jpg"/>
        <xdr:cNvPicPr preferRelativeResize="0"/>
      </xdr:nvPicPr>
      <xdr:blipFill>
        <a:blip cstate="print" r:embed="rId362"/>
        <a:stretch>
          <a:fillRect/>
        </a:stretch>
      </xdr:blipFill>
      <xdr:spPr>
        <a:prstGeom prst="rect">
          <a:avLst/>
        </a:prstGeom>
        <a:noFill/>
      </xdr:spPr>
    </xdr:pic>
    <xdr:clientData fLocksWithSheet="0"/>
  </xdr:oneCellAnchor>
  <xdr:oneCellAnchor>
    <xdr:from>
      <xdr:col>6</xdr:col>
      <xdr:colOff>38100</xdr:colOff>
      <xdr:row>622</xdr:row>
      <xdr:rowOff>38100</xdr:rowOff>
    </xdr:from>
    <xdr:ext cx="304800" cy="514350"/>
    <xdr:pic>
      <xdr:nvPicPr>
        <xdr:cNvPr id="0" name="image339.jpg"/>
        <xdr:cNvPicPr preferRelativeResize="0"/>
      </xdr:nvPicPr>
      <xdr:blipFill>
        <a:blip cstate="print" r:embed="rId363"/>
        <a:stretch>
          <a:fillRect/>
        </a:stretch>
      </xdr:blipFill>
      <xdr:spPr>
        <a:prstGeom prst="rect">
          <a:avLst/>
        </a:prstGeom>
        <a:noFill/>
      </xdr:spPr>
    </xdr:pic>
    <xdr:clientData fLocksWithSheet="0"/>
  </xdr:oneCellAnchor>
  <xdr:oneCellAnchor>
    <xdr:from>
      <xdr:col>6</xdr:col>
      <xdr:colOff>38100</xdr:colOff>
      <xdr:row>623</xdr:row>
      <xdr:rowOff>38100</xdr:rowOff>
    </xdr:from>
    <xdr:ext cx="285750" cy="514350"/>
    <xdr:pic>
      <xdr:nvPicPr>
        <xdr:cNvPr id="0" name="image340.jpg"/>
        <xdr:cNvPicPr preferRelativeResize="0"/>
      </xdr:nvPicPr>
      <xdr:blipFill>
        <a:blip cstate="print" r:embed="rId364"/>
        <a:stretch>
          <a:fillRect/>
        </a:stretch>
      </xdr:blipFill>
      <xdr:spPr>
        <a:prstGeom prst="rect">
          <a:avLst/>
        </a:prstGeom>
        <a:noFill/>
      </xdr:spPr>
    </xdr:pic>
    <xdr:clientData fLocksWithSheet="0"/>
  </xdr:oneCellAnchor>
  <xdr:oneCellAnchor>
    <xdr:from>
      <xdr:col>6</xdr:col>
      <xdr:colOff>38100</xdr:colOff>
      <xdr:row>624</xdr:row>
      <xdr:rowOff>38100</xdr:rowOff>
    </xdr:from>
    <xdr:ext cx="457200" cy="409575"/>
    <xdr:pic>
      <xdr:nvPicPr>
        <xdr:cNvPr id="0" name="image369.jpg"/>
        <xdr:cNvPicPr preferRelativeResize="0"/>
      </xdr:nvPicPr>
      <xdr:blipFill>
        <a:blip cstate="print" r:embed="rId365"/>
        <a:stretch>
          <a:fillRect/>
        </a:stretch>
      </xdr:blipFill>
      <xdr:spPr>
        <a:prstGeom prst="rect">
          <a:avLst/>
        </a:prstGeom>
        <a:noFill/>
      </xdr:spPr>
    </xdr:pic>
    <xdr:clientData fLocksWithSheet="0"/>
  </xdr:oneCellAnchor>
  <xdr:oneCellAnchor>
    <xdr:from>
      <xdr:col>6</xdr:col>
      <xdr:colOff>38100</xdr:colOff>
      <xdr:row>625</xdr:row>
      <xdr:rowOff>38100</xdr:rowOff>
    </xdr:from>
    <xdr:ext cx="457200" cy="409575"/>
    <xdr:pic>
      <xdr:nvPicPr>
        <xdr:cNvPr id="0" name="image369.jpg"/>
        <xdr:cNvPicPr preferRelativeResize="0"/>
      </xdr:nvPicPr>
      <xdr:blipFill>
        <a:blip cstate="print" r:embed="rId365"/>
        <a:stretch>
          <a:fillRect/>
        </a:stretch>
      </xdr:blipFill>
      <xdr:spPr>
        <a:prstGeom prst="rect">
          <a:avLst/>
        </a:prstGeom>
        <a:noFill/>
      </xdr:spPr>
    </xdr:pic>
    <xdr:clientData fLocksWithSheet="0"/>
  </xdr:oneCellAnchor>
  <xdr:oneCellAnchor>
    <xdr:from>
      <xdr:col>6</xdr:col>
      <xdr:colOff>38100</xdr:colOff>
      <xdr:row>626</xdr:row>
      <xdr:rowOff>38100</xdr:rowOff>
    </xdr:from>
    <xdr:ext cx="438150" cy="514350"/>
    <xdr:pic>
      <xdr:nvPicPr>
        <xdr:cNvPr id="0" name="image364.jpg"/>
        <xdr:cNvPicPr preferRelativeResize="0"/>
      </xdr:nvPicPr>
      <xdr:blipFill>
        <a:blip cstate="print" r:embed="rId366"/>
        <a:stretch>
          <a:fillRect/>
        </a:stretch>
      </xdr:blipFill>
      <xdr:spPr>
        <a:prstGeom prst="rect">
          <a:avLst/>
        </a:prstGeom>
        <a:noFill/>
      </xdr:spPr>
    </xdr:pic>
    <xdr:clientData fLocksWithSheet="0"/>
  </xdr:oneCellAnchor>
  <xdr:oneCellAnchor>
    <xdr:from>
      <xdr:col>6</xdr:col>
      <xdr:colOff>38100</xdr:colOff>
      <xdr:row>627</xdr:row>
      <xdr:rowOff>38100</xdr:rowOff>
    </xdr:from>
    <xdr:ext cx="542925" cy="514350"/>
    <xdr:pic>
      <xdr:nvPicPr>
        <xdr:cNvPr id="0" name="image416.jpg"/>
        <xdr:cNvPicPr preferRelativeResize="0"/>
      </xdr:nvPicPr>
      <xdr:blipFill>
        <a:blip cstate="print" r:embed="rId367"/>
        <a:stretch>
          <a:fillRect/>
        </a:stretch>
      </xdr:blipFill>
      <xdr:spPr>
        <a:prstGeom prst="rect">
          <a:avLst/>
        </a:prstGeom>
        <a:noFill/>
      </xdr:spPr>
    </xdr:pic>
    <xdr:clientData fLocksWithSheet="0"/>
  </xdr:oneCellAnchor>
  <xdr:oneCellAnchor>
    <xdr:from>
      <xdr:col>6</xdr:col>
      <xdr:colOff>38100</xdr:colOff>
      <xdr:row>628</xdr:row>
      <xdr:rowOff>38100</xdr:rowOff>
    </xdr:from>
    <xdr:ext cx="542925" cy="514350"/>
    <xdr:pic>
      <xdr:nvPicPr>
        <xdr:cNvPr id="0" name="image416.jpg"/>
        <xdr:cNvPicPr preferRelativeResize="0"/>
      </xdr:nvPicPr>
      <xdr:blipFill>
        <a:blip cstate="print" r:embed="rId367"/>
        <a:stretch>
          <a:fillRect/>
        </a:stretch>
      </xdr:blipFill>
      <xdr:spPr>
        <a:prstGeom prst="rect">
          <a:avLst/>
        </a:prstGeom>
        <a:noFill/>
      </xdr:spPr>
    </xdr:pic>
    <xdr:clientData fLocksWithSheet="0"/>
  </xdr:oneCellAnchor>
  <xdr:oneCellAnchor>
    <xdr:from>
      <xdr:col>6</xdr:col>
      <xdr:colOff>38100</xdr:colOff>
      <xdr:row>629</xdr:row>
      <xdr:rowOff>38100</xdr:rowOff>
    </xdr:from>
    <xdr:ext cx="542925" cy="514350"/>
    <xdr:pic>
      <xdr:nvPicPr>
        <xdr:cNvPr id="0" name="image416.jpg"/>
        <xdr:cNvPicPr preferRelativeResize="0"/>
      </xdr:nvPicPr>
      <xdr:blipFill>
        <a:blip cstate="print" r:embed="rId367"/>
        <a:stretch>
          <a:fillRect/>
        </a:stretch>
      </xdr:blipFill>
      <xdr:spPr>
        <a:prstGeom prst="rect">
          <a:avLst/>
        </a:prstGeom>
        <a:noFill/>
      </xdr:spPr>
    </xdr:pic>
    <xdr:clientData fLocksWithSheet="0"/>
  </xdr:oneCellAnchor>
  <xdr:oneCellAnchor>
    <xdr:from>
      <xdr:col>6</xdr:col>
      <xdr:colOff>38100</xdr:colOff>
      <xdr:row>630</xdr:row>
      <xdr:rowOff>38100</xdr:rowOff>
    </xdr:from>
    <xdr:ext cx="552450" cy="514350"/>
    <xdr:pic>
      <xdr:nvPicPr>
        <xdr:cNvPr id="0" name="image344.jpg"/>
        <xdr:cNvPicPr preferRelativeResize="0"/>
      </xdr:nvPicPr>
      <xdr:blipFill>
        <a:blip cstate="print" r:embed="rId368"/>
        <a:stretch>
          <a:fillRect/>
        </a:stretch>
      </xdr:blipFill>
      <xdr:spPr>
        <a:prstGeom prst="rect">
          <a:avLst/>
        </a:prstGeom>
        <a:noFill/>
      </xdr:spPr>
    </xdr:pic>
    <xdr:clientData fLocksWithSheet="0"/>
  </xdr:oneCellAnchor>
  <xdr:oneCellAnchor>
    <xdr:from>
      <xdr:col>6</xdr:col>
      <xdr:colOff>38100</xdr:colOff>
      <xdr:row>631</xdr:row>
      <xdr:rowOff>38100</xdr:rowOff>
    </xdr:from>
    <xdr:ext cx="247650" cy="514350"/>
    <xdr:pic>
      <xdr:nvPicPr>
        <xdr:cNvPr id="0" name="image379.jpg"/>
        <xdr:cNvPicPr preferRelativeResize="0"/>
      </xdr:nvPicPr>
      <xdr:blipFill>
        <a:blip cstate="print" r:embed="rId369"/>
        <a:stretch>
          <a:fillRect/>
        </a:stretch>
      </xdr:blipFill>
      <xdr:spPr>
        <a:prstGeom prst="rect">
          <a:avLst/>
        </a:prstGeom>
        <a:noFill/>
      </xdr:spPr>
    </xdr:pic>
    <xdr:clientData fLocksWithSheet="0"/>
  </xdr:oneCellAnchor>
  <xdr:oneCellAnchor>
    <xdr:from>
      <xdr:col>6</xdr:col>
      <xdr:colOff>38100</xdr:colOff>
      <xdr:row>632</xdr:row>
      <xdr:rowOff>38100</xdr:rowOff>
    </xdr:from>
    <xdr:ext cx="438150" cy="514350"/>
    <xdr:pic>
      <xdr:nvPicPr>
        <xdr:cNvPr id="0" name="image364.jpg"/>
        <xdr:cNvPicPr preferRelativeResize="0"/>
      </xdr:nvPicPr>
      <xdr:blipFill>
        <a:blip cstate="print" r:embed="rId366"/>
        <a:stretch>
          <a:fillRect/>
        </a:stretch>
      </xdr:blipFill>
      <xdr:spPr>
        <a:prstGeom prst="rect">
          <a:avLst/>
        </a:prstGeom>
        <a:noFill/>
      </xdr:spPr>
    </xdr:pic>
    <xdr:clientData fLocksWithSheet="0"/>
  </xdr:oneCellAnchor>
  <xdr:oneCellAnchor>
    <xdr:from>
      <xdr:col>6</xdr:col>
      <xdr:colOff>38100</xdr:colOff>
      <xdr:row>633</xdr:row>
      <xdr:rowOff>38100</xdr:rowOff>
    </xdr:from>
    <xdr:ext cx="238125" cy="514350"/>
    <xdr:pic>
      <xdr:nvPicPr>
        <xdr:cNvPr id="0" name="image386.jpg"/>
        <xdr:cNvPicPr preferRelativeResize="0"/>
      </xdr:nvPicPr>
      <xdr:blipFill>
        <a:blip cstate="print" r:embed="rId370"/>
        <a:stretch>
          <a:fillRect/>
        </a:stretch>
      </xdr:blipFill>
      <xdr:spPr>
        <a:prstGeom prst="rect">
          <a:avLst/>
        </a:prstGeom>
        <a:noFill/>
      </xdr:spPr>
    </xdr:pic>
    <xdr:clientData fLocksWithSheet="0"/>
  </xdr:oneCellAnchor>
  <xdr:oneCellAnchor>
    <xdr:from>
      <xdr:col>6</xdr:col>
      <xdr:colOff>38100</xdr:colOff>
      <xdr:row>634</xdr:row>
      <xdr:rowOff>38100</xdr:rowOff>
    </xdr:from>
    <xdr:ext cx="552450" cy="514350"/>
    <xdr:pic>
      <xdr:nvPicPr>
        <xdr:cNvPr id="0" name="image392.jpg"/>
        <xdr:cNvPicPr preferRelativeResize="0"/>
      </xdr:nvPicPr>
      <xdr:blipFill>
        <a:blip cstate="print" r:embed="rId371"/>
        <a:stretch>
          <a:fillRect/>
        </a:stretch>
      </xdr:blipFill>
      <xdr:spPr>
        <a:prstGeom prst="rect">
          <a:avLst/>
        </a:prstGeom>
        <a:noFill/>
      </xdr:spPr>
    </xdr:pic>
    <xdr:clientData fLocksWithSheet="0"/>
  </xdr:oneCellAnchor>
  <xdr:oneCellAnchor>
    <xdr:from>
      <xdr:col>6</xdr:col>
      <xdr:colOff>38100</xdr:colOff>
      <xdr:row>635</xdr:row>
      <xdr:rowOff>38100</xdr:rowOff>
    </xdr:from>
    <xdr:ext cx="514350" cy="514350"/>
    <xdr:pic>
      <xdr:nvPicPr>
        <xdr:cNvPr id="0" name="image390.jpg"/>
        <xdr:cNvPicPr preferRelativeResize="0"/>
      </xdr:nvPicPr>
      <xdr:blipFill>
        <a:blip cstate="print" r:embed="rId372"/>
        <a:stretch>
          <a:fillRect/>
        </a:stretch>
      </xdr:blipFill>
      <xdr:spPr>
        <a:prstGeom prst="rect">
          <a:avLst/>
        </a:prstGeom>
        <a:noFill/>
      </xdr:spPr>
    </xdr:pic>
    <xdr:clientData fLocksWithSheet="0"/>
  </xdr:oneCellAnchor>
  <xdr:oneCellAnchor>
    <xdr:from>
      <xdr:col>6</xdr:col>
      <xdr:colOff>38100</xdr:colOff>
      <xdr:row>636</xdr:row>
      <xdr:rowOff>38100</xdr:rowOff>
    </xdr:from>
    <xdr:ext cx="514350" cy="514350"/>
    <xdr:pic>
      <xdr:nvPicPr>
        <xdr:cNvPr id="0" name="image390.jpg"/>
        <xdr:cNvPicPr preferRelativeResize="0"/>
      </xdr:nvPicPr>
      <xdr:blipFill>
        <a:blip cstate="print" r:embed="rId372"/>
        <a:stretch>
          <a:fillRect/>
        </a:stretch>
      </xdr:blipFill>
      <xdr:spPr>
        <a:prstGeom prst="rect">
          <a:avLst/>
        </a:prstGeom>
        <a:noFill/>
      </xdr:spPr>
    </xdr:pic>
    <xdr:clientData fLocksWithSheet="0"/>
  </xdr:oneCellAnchor>
  <xdr:oneCellAnchor>
    <xdr:from>
      <xdr:col>6</xdr:col>
      <xdr:colOff>38100</xdr:colOff>
      <xdr:row>637</xdr:row>
      <xdr:rowOff>38100</xdr:rowOff>
    </xdr:from>
    <xdr:ext cx="514350" cy="514350"/>
    <xdr:pic>
      <xdr:nvPicPr>
        <xdr:cNvPr id="0" name="image390.jpg"/>
        <xdr:cNvPicPr preferRelativeResize="0"/>
      </xdr:nvPicPr>
      <xdr:blipFill>
        <a:blip cstate="print" r:embed="rId372"/>
        <a:stretch>
          <a:fillRect/>
        </a:stretch>
      </xdr:blipFill>
      <xdr:spPr>
        <a:prstGeom prst="rect">
          <a:avLst/>
        </a:prstGeom>
        <a:noFill/>
      </xdr:spPr>
    </xdr:pic>
    <xdr:clientData fLocksWithSheet="0"/>
  </xdr:oneCellAnchor>
  <xdr:oneCellAnchor>
    <xdr:from>
      <xdr:col>6</xdr:col>
      <xdr:colOff>38100</xdr:colOff>
      <xdr:row>638</xdr:row>
      <xdr:rowOff>38100</xdr:rowOff>
    </xdr:from>
    <xdr:ext cx="647700" cy="342900"/>
    <xdr:pic>
      <xdr:nvPicPr>
        <xdr:cNvPr id="0" name="image349.jpg"/>
        <xdr:cNvPicPr preferRelativeResize="0"/>
      </xdr:nvPicPr>
      <xdr:blipFill>
        <a:blip cstate="print" r:embed="rId373"/>
        <a:stretch>
          <a:fillRect/>
        </a:stretch>
      </xdr:blipFill>
      <xdr:spPr>
        <a:prstGeom prst="rect">
          <a:avLst/>
        </a:prstGeom>
        <a:noFill/>
      </xdr:spPr>
    </xdr:pic>
    <xdr:clientData fLocksWithSheet="0"/>
  </xdr:oneCellAnchor>
  <xdr:oneCellAnchor>
    <xdr:from>
      <xdr:col>6</xdr:col>
      <xdr:colOff>38100</xdr:colOff>
      <xdr:row>639</xdr:row>
      <xdr:rowOff>38100</xdr:rowOff>
    </xdr:from>
    <xdr:ext cx="647700" cy="342900"/>
    <xdr:pic>
      <xdr:nvPicPr>
        <xdr:cNvPr id="0" name="image349.jpg"/>
        <xdr:cNvPicPr preferRelativeResize="0"/>
      </xdr:nvPicPr>
      <xdr:blipFill>
        <a:blip cstate="print" r:embed="rId373"/>
        <a:stretch>
          <a:fillRect/>
        </a:stretch>
      </xdr:blipFill>
      <xdr:spPr>
        <a:prstGeom prst="rect">
          <a:avLst/>
        </a:prstGeom>
        <a:noFill/>
      </xdr:spPr>
    </xdr:pic>
    <xdr:clientData fLocksWithSheet="0"/>
  </xdr:oneCellAnchor>
  <xdr:oneCellAnchor>
    <xdr:from>
      <xdr:col>6</xdr:col>
      <xdr:colOff>38100</xdr:colOff>
      <xdr:row>640</xdr:row>
      <xdr:rowOff>38100</xdr:rowOff>
    </xdr:from>
    <xdr:ext cx="647700" cy="342900"/>
    <xdr:pic>
      <xdr:nvPicPr>
        <xdr:cNvPr id="0" name="image349.jpg"/>
        <xdr:cNvPicPr preferRelativeResize="0"/>
      </xdr:nvPicPr>
      <xdr:blipFill>
        <a:blip cstate="print" r:embed="rId373"/>
        <a:stretch>
          <a:fillRect/>
        </a:stretch>
      </xdr:blipFill>
      <xdr:spPr>
        <a:prstGeom prst="rect">
          <a:avLst/>
        </a:prstGeom>
        <a:noFill/>
      </xdr:spPr>
    </xdr:pic>
    <xdr:clientData fLocksWithSheet="0"/>
  </xdr:oneCellAnchor>
  <xdr:oneCellAnchor>
    <xdr:from>
      <xdr:col>6</xdr:col>
      <xdr:colOff>38100</xdr:colOff>
      <xdr:row>641</xdr:row>
      <xdr:rowOff>38100</xdr:rowOff>
    </xdr:from>
    <xdr:ext cx="523875" cy="514350"/>
    <xdr:pic>
      <xdr:nvPicPr>
        <xdr:cNvPr id="0" name="image429.jpg"/>
        <xdr:cNvPicPr preferRelativeResize="0"/>
      </xdr:nvPicPr>
      <xdr:blipFill>
        <a:blip cstate="print" r:embed="rId374"/>
        <a:stretch>
          <a:fillRect/>
        </a:stretch>
      </xdr:blipFill>
      <xdr:spPr>
        <a:prstGeom prst="rect">
          <a:avLst/>
        </a:prstGeom>
        <a:noFill/>
      </xdr:spPr>
    </xdr:pic>
    <xdr:clientData fLocksWithSheet="0"/>
  </xdr:oneCellAnchor>
  <xdr:oneCellAnchor>
    <xdr:from>
      <xdr:col>6</xdr:col>
      <xdr:colOff>38100</xdr:colOff>
      <xdr:row>642</xdr:row>
      <xdr:rowOff>38100</xdr:rowOff>
    </xdr:from>
    <xdr:ext cx="647700" cy="342900"/>
    <xdr:pic>
      <xdr:nvPicPr>
        <xdr:cNvPr id="0" name="image349.jpg"/>
        <xdr:cNvPicPr preferRelativeResize="0"/>
      </xdr:nvPicPr>
      <xdr:blipFill>
        <a:blip cstate="print" r:embed="rId373"/>
        <a:stretch>
          <a:fillRect/>
        </a:stretch>
      </xdr:blipFill>
      <xdr:spPr>
        <a:prstGeom prst="rect">
          <a:avLst/>
        </a:prstGeom>
        <a:noFill/>
      </xdr:spPr>
    </xdr:pic>
    <xdr:clientData fLocksWithSheet="0"/>
  </xdr:oneCellAnchor>
  <xdr:oneCellAnchor>
    <xdr:from>
      <xdr:col>6</xdr:col>
      <xdr:colOff>38100</xdr:colOff>
      <xdr:row>643</xdr:row>
      <xdr:rowOff>38100</xdr:rowOff>
    </xdr:from>
    <xdr:ext cx="352425" cy="514350"/>
    <xdr:pic>
      <xdr:nvPicPr>
        <xdr:cNvPr id="0" name="image366.jpg"/>
        <xdr:cNvPicPr preferRelativeResize="0"/>
      </xdr:nvPicPr>
      <xdr:blipFill>
        <a:blip cstate="print" r:embed="rId375"/>
        <a:stretch>
          <a:fillRect/>
        </a:stretch>
      </xdr:blipFill>
      <xdr:spPr>
        <a:prstGeom prst="rect">
          <a:avLst/>
        </a:prstGeom>
        <a:noFill/>
      </xdr:spPr>
    </xdr:pic>
    <xdr:clientData fLocksWithSheet="0"/>
  </xdr:oneCellAnchor>
  <xdr:oneCellAnchor>
    <xdr:from>
      <xdr:col>6</xdr:col>
      <xdr:colOff>38100</xdr:colOff>
      <xdr:row>644</xdr:row>
      <xdr:rowOff>38100</xdr:rowOff>
    </xdr:from>
    <xdr:ext cx="533400" cy="514350"/>
    <xdr:pic>
      <xdr:nvPicPr>
        <xdr:cNvPr id="0" name="image395.jpg"/>
        <xdr:cNvPicPr preferRelativeResize="0"/>
      </xdr:nvPicPr>
      <xdr:blipFill>
        <a:blip cstate="print" r:embed="rId376"/>
        <a:stretch>
          <a:fillRect/>
        </a:stretch>
      </xdr:blipFill>
      <xdr:spPr>
        <a:prstGeom prst="rect">
          <a:avLst/>
        </a:prstGeom>
        <a:noFill/>
      </xdr:spPr>
    </xdr:pic>
    <xdr:clientData fLocksWithSheet="0"/>
  </xdr:oneCellAnchor>
  <xdr:oneCellAnchor>
    <xdr:from>
      <xdr:col>6</xdr:col>
      <xdr:colOff>38100</xdr:colOff>
      <xdr:row>645</xdr:row>
      <xdr:rowOff>38100</xdr:rowOff>
    </xdr:from>
    <xdr:ext cx="352425" cy="514350"/>
    <xdr:pic>
      <xdr:nvPicPr>
        <xdr:cNvPr id="0" name="image359.jpg"/>
        <xdr:cNvPicPr preferRelativeResize="0"/>
      </xdr:nvPicPr>
      <xdr:blipFill>
        <a:blip cstate="print" r:embed="rId377"/>
        <a:stretch>
          <a:fillRect/>
        </a:stretch>
      </xdr:blipFill>
      <xdr:spPr>
        <a:prstGeom prst="rect">
          <a:avLst/>
        </a:prstGeom>
        <a:noFill/>
      </xdr:spPr>
    </xdr:pic>
    <xdr:clientData fLocksWithSheet="0"/>
  </xdr:oneCellAnchor>
  <xdr:oneCellAnchor>
    <xdr:from>
      <xdr:col>6</xdr:col>
      <xdr:colOff>38100</xdr:colOff>
      <xdr:row>646</xdr:row>
      <xdr:rowOff>38100</xdr:rowOff>
    </xdr:from>
    <xdr:ext cx="523875" cy="514350"/>
    <xdr:pic>
      <xdr:nvPicPr>
        <xdr:cNvPr id="0" name="image504.jpg"/>
        <xdr:cNvPicPr preferRelativeResize="0"/>
      </xdr:nvPicPr>
      <xdr:blipFill>
        <a:blip cstate="print" r:embed="rId378"/>
        <a:stretch>
          <a:fillRect/>
        </a:stretch>
      </xdr:blipFill>
      <xdr:spPr>
        <a:prstGeom prst="rect">
          <a:avLst/>
        </a:prstGeom>
        <a:noFill/>
      </xdr:spPr>
    </xdr:pic>
    <xdr:clientData fLocksWithSheet="0"/>
  </xdr:oneCellAnchor>
  <xdr:oneCellAnchor>
    <xdr:from>
      <xdr:col>6</xdr:col>
      <xdr:colOff>38100</xdr:colOff>
      <xdr:row>647</xdr:row>
      <xdr:rowOff>38100</xdr:rowOff>
    </xdr:from>
    <xdr:ext cx="400050" cy="514350"/>
    <xdr:pic>
      <xdr:nvPicPr>
        <xdr:cNvPr id="0" name="image456.jpg"/>
        <xdr:cNvPicPr preferRelativeResize="0"/>
      </xdr:nvPicPr>
      <xdr:blipFill>
        <a:blip cstate="print" r:embed="rId379"/>
        <a:stretch>
          <a:fillRect/>
        </a:stretch>
      </xdr:blipFill>
      <xdr:spPr>
        <a:prstGeom prst="rect">
          <a:avLst/>
        </a:prstGeom>
        <a:noFill/>
      </xdr:spPr>
    </xdr:pic>
    <xdr:clientData fLocksWithSheet="0"/>
  </xdr:oneCellAnchor>
  <xdr:oneCellAnchor>
    <xdr:from>
      <xdr:col>6</xdr:col>
      <xdr:colOff>38100</xdr:colOff>
      <xdr:row>648</xdr:row>
      <xdr:rowOff>38100</xdr:rowOff>
    </xdr:from>
    <xdr:ext cx="647700" cy="123825"/>
    <xdr:pic>
      <xdr:nvPicPr>
        <xdr:cNvPr id="0" name="image368.jpg"/>
        <xdr:cNvPicPr preferRelativeResize="0"/>
      </xdr:nvPicPr>
      <xdr:blipFill>
        <a:blip cstate="print" r:embed="rId380"/>
        <a:stretch>
          <a:fillRect/>
        </a:stretch>
      </xdr:blipFill>
      <xdr:spPr>
        <a:prstGeom prst="rect">
          <a:avLst/>
        </a:prstGeom>
        <a:noFill/>
      </xdr:spPr>
    </xdr:pic>
    <xdr:clientData fLocksWithSheet="0"/>
  </xdr:oneCellAnchor>
  <xdr:oneCellAnchor>
    <xdr:from>
      <xdr:col>6</xdr:col>
      <xdr:colOff>38100</xdr:colOff>
      <xdr:row>649</xdr:row>
      <xdr:rowOff>38100</xdr:rowOff>
    </xdr:from>
    <xdr:ext cx="361950" cy="514350"/>
    <xdr:pic>
      <xdr:nvPicPr>
        <xdr:cNvPr id="0" name="image365.jpg"/>
        <xdr:cNvPicPr preferRelativeResize="0"/>
      </xdr:nvPicPr>
      <xdr:blipFill>
        <a:blip cstate="print" r:embed="rId381"/>
        <a:stretch>
          <a:fillRect/>
        </a:stretch>
      </xdr:blipFill>
      <xdr:spPr>
        <a:prstGeom prst="rect">
          <a:avLst/>
        </a:prstGeom>
        <a:noFill/>
      </xdr:spPr>
    </xdr:pic>
    <xdr:clientData fLocksWithSheet="0"/>
  </xdr:oneCellAnchor>
  <xdr:oneCellAnchor>
    <xdr:from>
      <xdr:col>6</xdr:col>
      <xdr:colOff>38100</xdr:colOff>
      <xdr:row>650</xdr:row>
      <xdr:rowOff>38100</xdr:rowOff>
    </xdr:from>
    <xdr:ext cx="647700" cy="247650"/>
    <xdr:pic>
      <xdr:nvPicPr>
        <xdr:cNvPr id="0" name="image356.jpg"/>
        <xdr:cNvPicPr preferRelativeResize="0"/>
      </xdr:nvPicPr>
      <xdr:blipFill>
        <a:blip cstate="print" r:embed="rId382"/>
        <a:stretch>
          <a:fillRect/>
        </a:stretch>
      </xdr:blipFill>
      <xdr:spPr>
        <a:prstGeom prst="rect">
          <a:avLst/>
        </a:prstGeom>
        <a:noFill/>
      </xdr:spPr>
    </xdr:pic>
    <xdr:clientData fLocksWithSheet="0"/>
  </xdr:oneCellAnchor>
  <xdr:oneCellAnchor>
    <xdr:from>
      <xdr:col>6</xdr:col>
      <xdr:colOff>38100</xdr:colOff>
      <xdr:row>651</xdr:row>
      <xdr:rowOff>38100</xdr:rowOff>
    </xdr:from>
    <xdr:ext cx="647700" cy="438150"/>
    <xdr:pic>
      <xdr:nvPicPr>
        <xdr:cNvPr id="0" name="image353.jpg"/>
        <xdr:cNvPicPr preferRelativeResize="0"/>
      </xdr:nvPicPr>
      <xdr:blipFill>
        <a:blip cstate="print" r:embed="rId383"/>
        <a:stretch>
          <a:fillRect/>
        </a:stretch>
      </xdr:blipFill>
      <xdr:spPr>
        <a:prstGeom prst="rect">
          <a:avLst/>
        </a:prstGeom>
        <a:noFill/>
      </xdr:spPr>
    </xdr:pic>
    <xdr:clientData fLocksWithSheet="0"/>
  </xdr:oneCellAnchor>
  <xdr:oneCellAnchor>
    <xdr:from>
      <xdr:col>6</xdr:col>
      <xdr:colOff>38100</xdr:colOff>
      <xdr:row>652</xdr:row>
      <xdr:rowOff>38100</xdr:rowOff>
    </xdr:from>
    <xdr:ext cx="352425" cy="514350"/>
    <xdr:pic>
      <xdr:nvPicPr>
        <xdr:cNvPr id="0" name="image377.jpg"/>
        <xdr:cNvPicPr preferRelativeResize="0"/>
      </xdr:nvPicPr>
      <xdr:blipFill>
        <a:blip cstate="print" r:embed="rId384"/>
        <a:stretch>
          <a:fillRect/>
        </a:stretch>
      </xdr:blipFill>
      <xdr:spPr>
        <a:prstGeom prst="rect">
          <a:avLst/>
        </a:prstGeom>
        <a:noFill/>
      </xdr:spPr>
    </xdr:pic>
    <xdr:clientData fLocksWithSheet="0"/>
  </xdr:oneCellAnchor>
  <xdr:oneCellAnchor>
    <xdr:from>
      <xdr:col>6</xdr:col>
      <xdr:colOff>38100</xdr:colOff>
      <xdr:row>653</xdr:row>
      <xdr:rowOff>38100</xdr:rowOff>
    </xdr:from>
    <xdr:ext cx="647700" cy="171450"/>
    <xdr:pic>
      <xdr:nvPicPr>
        <xdr:cNvPr id="0" name="image378.jpg"/>
        <xdr:cNvPicPr preferRelativeResize="0"/>
      </xdr:nvPicPr>
      <xdr:blipFill>
        <a:blip cstate="print" r:embed="rId385"/>
        <a:stretch>
          <a:fillRect/>
        </a:stretch>
      </xdr:blipFill>
      <xdr:spPr>
        <a:prstGeom prst="rect">
          <a:avLst/>
        </a:prstGeom>
        <a:noFill/>
      </xdr:spPr>
    </xdr:pic>
    <xdr:clientData fLocksWithSheet="0"/>
  </xdr:oneCellAnchor>
  <xdr:oneCellAnchor>
    <xdr:from>
      <xdr:col>6</xdr:col>
      <xdr:colOff>38100</xdr:colOff>
      <xdr:row>654</xdr:row>
      <xdr:rowOff>38100</xdr:rowOff>
    </xdr:from>
    <xdr:ext cx="647700" cy="171450"/>
    <xdr:pic>
      <xdr:nvPicPr>
        <xdr:cNvPr id="0" name="image378.jpg"/>
        <xdr:cNvPicPr preferRelativeResize="0"/>
      </xdr:nvPicPr>
      <xdr:blipFill>
        <a:blip cstate="print" r:embed="rId385"/>
        <a:stretch>
          <a:fillRect/>
        </a:stretch>
      </xdr:blipFill>
      <xdr:spPr>
        <a:prstGeom prst="rect">
          <a:avLst/>
        </a:prstGeom>
        <a:noFill/>
      </xdr:spPr>
    </xdr:pic>
    <xdr:clientData fLocksWithSheet="0"/>
  </xdr:oneCellAnchor>
  <xdr:oneCellAnchor>
    <xdr:from>
      <xdr:col>6</xdr:col>
      <xdr:colOff>38100</xdr:colOff>
      <xdr:row>655</xdr:row>
      <xdr:rowOff>38100</xdr:rowOff>
    </xdr:from>
    <xdr:ext cx="647700" cy="447675"/>
    <xdr:pic>
      <xdr:nvPicPr>
        <xdr:cNvPr id="0" name="image461.jpg"/>
        <xdr:cNvPicPr preferRelativeResize="0"/>
      </xdr:nvPicPr>
      <xdr:blipFill>
        <a:blip cstate="print" r:embed="rId386"/>
        <a:stretch>
          <a:fillRect/>
        </a:stretch>
      </xdr:blipFill>
      <xdr:spPr>
        <a:prstGeom prst="rect">
          <a:avLst/>
        </a:prstGeom>
        <a:noFill/>
      </xdr:spPr>
    </xdr:pic>
    <xdr:clientData fLocksWithSheet="0"/>
  </xdr:oneCellAnchor>
  <xdr:oneCellAnchor>
    <xdr:from>
      <xdr:col>6</xdr:col>
      <xdr:colOff>38100</xdr:colOff>
      <xdr:row>656</xdr:row>
      <xdr:rowOff>38100</xdr:rowOff>
    </xdr:from>
    <xdr:ext cx="476250" cy="514350"/>
    <xdr:pic>
      <xdr:nvPicPr>
        <xdr:cNvPr id="0" name="image382.jpg"/>
        <xdr:cNvPicPr preferRelativeResize="0"/>
      </xdr:nvPicPr>
      <xdr:blipFill>
        <a:blip cstate="print" r:embed="rId387"/>
        <a:stretch>
          <a:fillRect/>
        </a:stretch>
      </xdr:blipFill>
      <xdr:spPr>
        <a:prstGeom prst="rect">
          <a:avLst/>
        </a:prstGeom>
        <a:noFill/>
      </xdr:spPr>
    </xdr:pic>
    <xdr:clientData fLocksWithSheet="0"/>
  </xdr:oneCellAnchor>
  <xdr:oneCellAnchor>
    <xdr:from>
      <xdr:col>6</xdr:col>
      <xdr:colOff>38100</xdr:colOff>
      <xdr:row>657</xdr:row>
      <xdr:rowOff>38100</xdr:rowOff>
    </xdr:from>
    <xdr:ext cx="457200" cy="514350"/>
    <xdr:pic>
      <xdr:nvPicPr>
        <xdr:cNvPr id="0" name="image449.jpg"/>
        <xdr:cNvPicPr preferRelativeResize="0"/>
      </xdr:nvPicPr>
      <xdr:blipFill>
        <a:blip cstate="print" r:embed="rId388"/>
        <a:stretch>
          <a:fillRect/>
        </a:stretch>
      </xdr:blipFill>
      <xdr:spPr>
        <a:prstGeom prst="rect">
          <a:avLst/>
        </a:prstGeom>
        <a:noFill/>
      </xdr:spPr>
    </xdr:pic>
    <xdr:clientData fLocksWithSheet="0"/>
  </xdr:oneCellAnchor>
  <xdr:oneCellAnchor>
    <xdr:from>
      <xdr:col>6</xdr:col>
      <xdr:colOff>38100</xdr:colOff>
      <xdr:row>658</xdr:row>
      <xdr:rowOff>38100</xdr:rowOff>
    </xdr:from>
    <xdr:ext cx="514350" cy="514350"/>
    <xdr:pic>
      <xdr:nvPicPr>
        <xdr:cNvPr id="0" name="image398.jpg"/>
        <xdr:cNvPicPr preferRelativeResize="0"/>
      </xdr:nvPicPr>
      <xdr:blipFill>
        <a:blip cstate="print" r:embed="rId389"/>
        <a:stretch>
          <a:fillRect/>
        </a:stretch>
      </xdr:blipFill>
      <xdr:spPr>
        <a:prstGeom prst="rect">
          <a:avLst/>
        </a:prstGeom>
        <a:noFill/>
      </xdr:spPr>
    </xdr:pic>
    <xdr:clientData fLocksWithSheet="0"/>
  </xdr:oneCellAnchor>
  <xdr:oneCellAnchor>
    <xdr:from>
      <xdr:col>6</xdr:col>
      <xdr:colOff>38100</xdr:colOff>
      <xdr:row>659</xdr:row>
      <xdr:rowOff>38100</xdr:rowOff>
    </xdr:from>
    <xdr:ext cx="647700" cy="285750"/>
    <xdr:pic>
      <xdr:nvPicPr>
        <xdr:cNvPr id="0" name="image391.jpg"/>
        <xdr:cNvPicPr preferRelativeResize="0"/>
      </xdr:nvPicPr>
      <xdr:blipFill>
        <a:blip cstate="print" r:embed="rId390"/>
        <a:stretch>
          <a:fillRect/>
        </a:stretch>
      </xdr:blipFill>
      <xdr:spPr>
        <a:prstGeom prst="rect">
          <a:avLst/>
        </a:prstGeom>
        <a:noFill/>
      </xdr:spPr>
    </xdr:pic>
    <xdr:clientData fLocksWithSheet="0"/>
  </xdr:oneCellAnchor>
  <xdr:oneCellAnchor>
    <xdr:from>
      <xdr:col>6</xdr:col>
      <xdr:colOff>38100</xdr:colOff>
      <xdr:row>660</xdr:row>
      <xdr:rowOff>38100</xdr:rowOff>
    </xdr:from>
    <xdr:ext cx="390525" cy="514350"/>
    <xdr:pic>
      <xdr:nvPicPr>
        <xdr:cNvPr id="0" name="image362.jpg"/>
        <xdr:cNvPicPr preferRelativeResize="0"/>
      </xdr:nvPicPr>
      <xdr:blipFill>
        <a:blip cstate="print" r:embed="rId391"/>
        <a:stretch>
          <a:fillRect/>
        </a:stretch>
      </xdr:blipFill>
      <xdr:spPr>
        <a:prstGeom prst="rect">
          <a:avLst/>
        </a:prstGeom>
        <a:noFill/>
      </xdr:spPr>
    </xdr:pic>
    <xdr:clientData fLocksWithSheet="0"/>
  </xdr:oneCellAnchor>
  <xdr:oneCellAnchor>
    <xdr:from>
      <xdr:col>6</xdr:col>
      <xdr:colOff>38100</xdr:colOff>
      <xdr:row>661</xdr:row>
      <xdr:rowOff>38100</xdr:rowOff>
    </xdr:from>
    <xdr:ext cx="219075" cy="514350"/>
    <xdr:pic>
      <xdr:nvPicPr>
        <xdr:cNvPr id="0" name="image358.jpg"/>
        <xdr:cNvPicPr preferRelativeResize="0"/>
      </xdr:nvPicPr>
      <xdr:blipFill>
        <a:blip cstate="print" r:embed="rId392"/>
        <a:stretch>
          <a:fillRect/>
        </a:stretch>
      </xdr:blipFill>
      <xdr:spPr>
        <a:prstGeom prst="rect">
          <a:avLst/>
        </a:prstGeom>
        <a:noFill/>
      </xdr:spPr>
    </xdr:pic>
    <xdr:clientData fLocksWithSheet="0"/>
  </xdr:oneCellAnchor>
  <xdr:oneCellAnchor>
    <xdr:from>
      <xdr:col>6</xdr:col>
      <xdr:colOff>38100</xdr:colOff>
      <xdr:row>662</xdr:row>
      <xdr:rowOff>38100</xdr:rowOff>
    </xdr:from>
    <xdr:ext cx="542925" cy="514350"/>
    <xdr:pic>
      <xdr:nvPicPr>
        <xdr:cNvPr id="0" name="image376.jpg"/>
        <xdr:cNvPicPr preferRelativeResize="0"/>
      </xdr:nvPicPr>
      <xdr:blipFill>
        <a:blip cstate="print" r:embed="rId393"/>
        <a:stretch>
          <a:fillRect/>
        </a:stretch>
      </xdr:blipFill>
      <xdr:spPr>
        <a:prstGeom prst="rect">
          <a:avLst/>
        </a:prstGeom>
        <a:noFill/>
      </xdr:spPr>
    </xdr:pic>
    <xdr:clientData fLocksWithSheet="0"/>
  </xdr:oneCellAnchor>
  <xdr:oneCellAnchor>
    <xdr:from>
      <xdr:col>6</xdr:col>
      <xdr:colOff>38100</xdr:colOff>
      <xdr:row>663</xdr:row>
      <xdr:rowOff>38100</xdr:rowOff>
    </xdr:from>
    <xdr:ext cx="390525" cy="514350"/>
    <xdr:pic>
      <xdr:nvPicPr>
        <xdr:cNvPr id="0" name="image361.jpg"/>
        <xdr:cNvPicPr preferRelativeResize="0"/>
      </xdr:nvPicPr>
      <xdr:blipFill>
        <a:blip cstate="print" r:embed="rId394"/>
        <a:stretch>
          <a:fillRect/>
        </a:stretch>
      </xdr:blipFill>
      <xdr:spPr>
        <a:prstGeom prst="rect">
          <a:avLst/>
        </a:prstGeom>
        <a:noFill/>
      </xdr:spPr>
    </xdr:pic>
    <xdr:clientData fLocksWithSheet="0"/>
  </xdr:oneCellAnchor>
  <xdr:oneCellAnchor>
    <xdr:from>
      <xdr:col>6</xdr:col>
      <xdr:colOff>38100</xdr:colOff>
      <xdr:row>664</xdr:row>
      <xdr:rowOff>38100</xdr:rowOff>
    </xdr:from>
    <xdr:ext cx="381000" cy="514350"/>
    <xdr:pic>
      <xdr:nvPicPr>
        <xdr:cNvPr id="0" name="image363.jpg"/>
        <xdr:cNvPicPr preferRelativeResize="0"/>
      </xdr:nvPicPr>
      <xdr:blipFill>
        <a:blip cstate="print" r:embed="rId395"/>
        <a:stretch>
          <a:fillRect/>
        </a:stretch>
      </xdr:blipFill>
      <xdr:spPr>
        <a:prstGeom prst="rect">
          <a:avLst/>
        </a:prstGeom>
        <a:noFill/>
      </xdr:spPr>
    </xdr:pic>
    <xdr:clientData fLocksWithSheet="0"/>
  </xdr:oneCellAnchor>
  <xdr:oneCellAnchor>
    <xdr:from>
      <xdr:col>6</xdr:col>
      <xdr:colOff>38100</xdr:colOff>
      <xdr:row>665</xdr:row>
      <xdr:rowOff>38100</xdr:rowOff>
    </xdr:from>
    <xdr:ext cx="247650" cy="514350"/>
    <xdr:pic>
      <xdr:nvPicPr>
        <xdr:cNvPr id="0" name="image372.jpg"/>
        <xdr:cNvPicPr preferRelativeResize="0"/>
      </xdr:nvPicPr>
      <xdr:blipFill>
        <a:blip cstate="print" r:embed="rId396"/>
        <a:stretch>
          <a:fillRect/>
        </a:stretch>
      </xdr:blipFill>
      <xdr:spPr>
        <a:prstGeom prst="rect">
          <a:avLst/>
        </a:prstGeom>
        <a:noFill/>
      </xdr:spPr>
    </xdr:pic>
    <xdr:clientData fLocksWithSheet="0"/>
  </xdr:oneCellAnchor>
  <xdr:oneCellAnchor>
    <xdr:from>
      <xdr:col>6</xdr:col>
      <xdr:colOff>38100</xdr:colOff>
      <xdr:row>666</xdr:row>
      <xdr:rowOff>38100</xdr:rowOff>
    </xdr:from>
    <xdr:ext cx="381000" cy="514350"/>
    <xdr:pic>
      <xdr:nvPicPr>
        <xdr:cNvPr id="0" name="image357.jpg"/>
        <xdr:cNvPicPr preferRelativeResize="0"/>
      </xdr:nvPicPr>
      <xdr:blipFill>
        <a:blip cstate="print" r:embed="rId397"/>
        <a:stretch>
          <a:fillRect/>
        </a:stretch>
      </xdr:blipFill>
      <xdr:spPr>
        <a:prstGeom prst="rect">
          <a:avLst/>
        </a:prstGeom>
        <a:noFill/>
      </xdr:spPr>
    </xdr:pic>
    <xdr:clientData fLocksWithSheet="0"/>
  </xdr:oneCellAnchor>
  <xdr:oneCellAnchor>
    <xdr:from>
      <xdr:col>6</xdr:col>
      <xdr:colOff>38100</xdr:colOff>
      <xdr:row>667</xdr:row>
      <xdr:rowOff>38100</xdr:rowOff>
    </xdr:from>
    <xdr:ext cx="209550" cy="514350"/>
    <xdr:pic>
      <xdr:nvPicPr>
        <xdr:cNvPr id="0" name="image422.jpg"/>
        <xdr:cNvPicPr preferRelativeResize="0"/>
      </xdr:nvPicPr>
      <xdr:blipFill>
        <a:blip cstate="print" r:embed="rId398"/>
        <a:stretch>
          <a:fillRect/>
        </a:stretch>
      </xdr:blipFill>
      <xdr:spPr>
        <a:prstGeom prst="rect">
          <a:avLst/>
        </a:prstGeom>
        <a:noFill/>
      </xdr:spPr>
    </xdr:pic>
    <xdr:clientData fLocksWithSheet="0"/>
  </xdr:oneCellAnchor>
  <xdr:oneCellAnchor>
    <xdr:from>
      <xdr:col>6</xdr:col>
      <xdr:colOff>38100</xdr:colOff>
      <xdr:row>668</xdr:row>
      <xdr:rowOff>38100</xdr:rowOff>
    </xdr:from>
    <xdr:ext cx="314325" cy="514350"/>
    <xdr:pic>
      <xdr:nvPicPr>
        <xdr:cNvPr id="0" name="image387.jpg"/>
        <xdr:cNvPicPr preferRelativeResize="0"/>
      </xdr:nvPicPr>
      <xdr:blipFill>
        <a:blip cstate="print" r:embed="rId399"/>
        <a:stretch>
          <a:fillRect/>
        </a:stretch>
      </xdr:blipFill>
      <xdr:spPr>
        <a:prstGeom prst="rect">
          <a:avLst/>
        </a:prstGeom>
        <a:noFill/>
      </xdr:spPr>
    </xdr:pic>
    <xdr:clientData fLocksWithSheet="0"/>
  </xdr:oneCellAnchor>
  <xdr:oneCellAnchor>
    <xdr:from>
      <xdr:col>6</xdr:col>
      <xdr:colOff>38100</xdr:colOff>
      <xdr:row>669</xdr:row>
      <xdr:rowOff>38100</xdr:rowOff>
    </xdr:from>
    <xdr:ext cx="428625" cy="514350"/>
    <xdr:pic>
      <xdr:nvPicPr>
        <xdr:cNvPr id="0" name="image360.jpg"/>
        <xdr:cNvPicPr preferRelativeResize="0"/>
      </xdr:nvPicPr>
      <xdr:blipFill>
        <a:blip cstate="print" r:embed="rId400"/>
        <a:stretch>
          <a:fillRect/>
        </a:stretch>
      </xdr:blipFill>
      <xdr:spPr>
        <a:prstGeom prst="rect">
          <a:avLst/>
        </a:prstGeom>
        <a:noFill/>
      </xdr:spPr>
    </xdr:pic>
    <xdr:clientData fLocksWithSheet="0"/>
  </xdr:oneCellAnchor>
  <xdr:oneCellAnchor>
    <xdr:from>
      <xdr:col>6</xdr:col>
      <xdr:colOff>38100</xdr:colOff>
      <xdr:row>670</xdr:row>
      <xdr:rowOff>38100</xdr:rowOff>
    </xdr:from>
    <xdr:ext cx="647700" cy="504825"/>
    <xdr:pic>
      <xdr:nvPicPr>
        <xdr:cNvPr id="0" name="image451.jpg"/>
        <xdr:cNvPicPr preferRelativeResize="0"/>
      </xdr:nvPicPr>
      <xdr:blipFill>
        <a:blip cstate="print" r:embed="rId401"/>
        <a:stretch>
          <a:fillRect/>
        </a:stretch>
      </xdr:blipFill>
      <xdr:spPr>
        <a:prstGeom prst="rect">
          <a:avLst/>
        </a:prstGeom>
        <a:noFill/>
      </xdr:spPr>
    </xdr:pic>
    <xdr:clientData fLocksWithSheet="0"/>
  </xdr:oneCellAnchor>
  <xdr:oneCellAnchor>
    <xdr:from>
      <xdr:col>6</xdr:col>
      <xdr:colOff>38100</xdr:colOff>
      <xdr:row>671</xdr:row>
      <xdr:rowOff>38100</xdr:rowOff>
    </xdr:from>
    <xdr:ext cx="619125" cy="514350"/>
    <xdr:pic>
      <xdr:nvPicPr>
        <xdr:cNvPr id="0" name="image383.jpg"/>
        <xdr:cNvPicPr preferRelativeResize="0"/>
      </xdr:nvPicPr>
      <xdr:blipFill>
        <a:blip cstate="print" r:embed="rId402"/>
        <a:stretch>
          <a:fillRect/>
        </a:stretch>
      </xdr:blipFill>
      <xdr:spPr>
        <a:prstGeom prst="rect">
          <a:avLst/>
        </a:prstGeom>
        <a:noFill/>
      </xdr:spPr>
    </xdr:pic>
    <xdr:clientData fLocksWithSheet="0"/>
  </xdr:oneCellAnchor>
  <xdr:oneCellAnchor>
    <xdr:from>
      <xdr:col>6</xdr:col>
      <xdr:colOff>38100</xdr:colOff>
      <xdr:row>672</xdr:row>
      <xdr:rowOff>38100</xdr:rowOff>
    </xdr:from>
    <xdr:ext cx="647700" cy="238125"/>
    <xdr:pic>
      <xdr:nvPicPr>
        <xdr:cNvPr id="0" name="image403.jpg"/>
        <xdr:cNvPicPr preferRelativeResize="0"/>
      </xdr:nvPicPr>
      <xdr:blipFill>
        <a:blip cstate="print" r:embed="rId403"/>
        <a:stretch>
          <a:fillRect/>
        </a:stretch>
      </xdr:blipFill>
      <xdr:spPr>
        <a:prstGeom prst="rect">
          <a:avLst/>
        </a:prstGeom>
        <a:noFill/>
      </xdr:spPr>
    </xdr:pic>
    <xdr:clientData fLocksWithSheet="0"/>
  </xdr:oneCellAnchor>
  <xdr:oneCellAnchor>
    <xdr:from>
      <xdr:col>6</xdr:col>
      <xdr:colOff>38100</xdr:colOff>
      <xdr:row>673</xdr:row>
      <xdr:rowOff>38100</xdr:rowOff>
    </xdr:from>
    <xdr:ext cx="647700" cy="228600"/>
    <xdr:pic>
      <xdr:nvPicPr>
        <xdr:cNvPr id="0" name="image374.jpg"/>
        <xdr:cNvPicPr preferRelativeResize="0"/>
      </xdr:nvPicPr>
      <xdr:blipFill>
        <a:blip cstate="print" r:embed="rId404"/>
        <a:stretch>
          <a:fillRect/>
        </a:stretch>
      </xdr:blipFill>
      <xdr:spPr>
        <a:prstGeom prst="rect">
          <a:avLst/>
        </a:prstGeom>
        <a:noFill/>
      </xdr:spPr>
    </xdr:pic>
    <xdr:clientData fLocksWithSheet="0"/>
  </xdr:oneCellAnchor>
  <xdr:oneCellAnchor>
    <xdr:from>
      <xdr:col>6</xdr:col>
      <xdr:colOff>38100</xdr:colOff>
      <xdr:row>674</xdr:row>
      <xdr:rowOff>38100</xdr:rowOff>
    </xdr:from>
    <xdr:ext cx="466725" cy="514350"/>
    <xdr:pic>
      <xdr:nvPicPr>
        <xdr:cNvPr id="0" name="image396.jpg"/>
        <xdr:cNvPicPr preferRelativeResize="0"/>
      </xdr:nvPicPr>
      <xdr:blipFill>
        <a:blip cstate="print" r:embed="rId405"/>
        <a:stretch>
          <a:fillRect/>
        </a:stretch>
      </xdr:blipFill>
      <xdr:spPr>
        <a:prstGeom prst="rect">
          <a:avLst/>
        </a:prstGeom>
        <a:noFill/>
      </xdr:spPr>
    </xdr:pic>
    <xdr:clientData fLocksWithSheet="0"/>
  </xdr:oneCellAnchor>
  <xdr:oneCellAnchor>
    <xdr:from>
      <xdr:col>6</xdr:col>
      <xdr:colOff>38100</xdr:colOff>
      <xdr:row>675</xdr:row>
      <xdr:rowOff>38100</xdr:rowOff>
    </xdr:from>
    <xdr:ext cx="323850" cy="514350"/>
    <xdr:pic>
      <xdr:nvPicPr>
        <xdr:cNvPr id="0" name="image473.jpg"/>
        <xdr:cNvPicPr preferRelativeResize="0"/>
      </xdr:nvPicPr>
      <xdr:blipFill>
        <a:blip cstate="print" r:embed="rId406"/>
        <a:stretch>
          <a:fillRect/>
        </a:stretch>
      </xdr:blipFill>
      <xdr:spPr>
        <a:prstGeom prst="rect">
          <a:avLst/>
        </a:prstGeom>
        <a:noFill/>
      </xdr:spPr>
    </xdr:pic>
    <xdr:clientData fLocksWithSheet="0"/>
  </xdr:oneCellAnchor>
  <xdr:oneCellAnchor>
    <xdr:from>
      <xdr:col>6</xdr:col>
      <xdr:colOff>38100</xdr:colOff>
      <xdr:row>676</xdr:row>
      <xdr:rowOff>38100</xdr:rowOff>
    </xdr:from>
    <xdr:ext cx="314325" cy="514350"/>
    <xdr:pic>
      <xdr:nvPicPr>
        <xdr:cNvPr id="0" name="image452.jpg"/>
        <xdr:cNvPicPr preferRelativeResize="0"/>
      </xdr:nvPicPr>
      <xdr:blipFill>
        <a:blip cstate="print" r:embed="rId407"/>
        <a:stretch>
          <a:fillRect/>
        </a:stretch>
      </xdr:blipFill>
      <xdr:spPr>
        <a:prstGeom prst="rect">
          <a:avLst/>
        </a:prstGeom>
        <a:noFill/>
      </xdr:spPr>
    </xdr:pic>
    <xdr:clientData fLocksWithSheet="0"/>
  </xdr:oneCellAnchor>
  <xdr:oneCellAnchor>
    <xdr:from>
      <xdr:col>6</xdr:col>
      <xdr:colOff>38100</xdr:colOff>
      <xdr:row>677</xdr:row>
      <xdr:rowOff>38100</xdr:rowOff>
    </xdr:from>
    <xdr:ext cx="371475" cy="514350"/>
    <xdr:pic>
      <xdr:nvPicPr>
        <xdr:cNvPr id="0" name="image373.jpg"/>
        <xdr:cNvPicPr preferRelativeResize="0"/>
      </xdr:nvPicPr>
      <xdr:blipFill>
        <a:blip cstate="print" r:embed="rId408"/>
        <a:stretch>
          <a:fillRect/>
        </a:stretch>
      </xdr:blipFill>
      <xdr:spPr>
        <a:prstGeom prst="rect">
          <a:avLst/>
        </a:prstGeom>
        <a:noFill/>
      </xdr:spPr>
    </xdr:pic>
    <xdr:clientData fLocksWithSheet="0"/>
  </xdr:oneCellAnchor>
  <xdr:oneCellAnchor>
    <xdr:from>
      <xdr:col>6</xdr:col>
      <xdr:colOff>38100</xdr:colOff>
      <xdr:row>678</xdr:row>
      <xdr:rowOff>38100</xdr:rowOff>
    </xdr:from>
    <xdr:ext cx="514350" cy="400050"/>
    <xdr:pic>
      <xdr:nvPicPr>
        <xdr:cNvPr id="0" name="image400.jpg"/>
        <xdr:cNvPicPr preferRelativeResize="0"/>
      </xdr:nvPicPr>
      <xdr:blipFill>
        <a:blip cstate="print" r:embed="rId409"/>
        <a:stretch>
          <a:fillRect/>
        </a:stretch>
      </xdr:blipFill>
      <xdr:spPr>
        <a:prstGeom prst="rect">
          <a:avLst/>
        </a:prstGeom>
        <a:noFill/>
      </xdr:spPr>
    </xdr:pic>
    <xdr:clientData fLocksWithSheet="0"/>
  </xdr:oneCellAnchor>
  <xdr:oneCellAnchor>
    <xdr:from>
      <xdr:col>6</xdr:col>
      <xdr:colOff>38100</xdr:colOff>
      <xdr:row>679</xdr:row>
      <xdr:rowOff>38100</xdr:rowOff>
    </xdr:from>
    <xdr:ext cx="323850" cy="428625"/>
    <xdr:pic>
      <xdr:nvPicPr>
        <xdr:cNvPr id="0" name="image478.jpg"/>
        <xdr:cNvPicPr preferRelativeResize="0"/>
      </xdr:nvPicPr>
      <xdr:blipFill>
        <a:blip cstate="print" r:embed="rId410"/>
        <a:stretch>
          <a:fillRect/>
        </a:stretch>
      </xdr:blipFill>
      <xdr:spPr>
        <a:prstGeom prst="rect">
          <a:avLst/>
        </a:prstGeom>
        <a:noFill/>
      </xdr:spPr>
    </xdr:pic>
    <xdr:clientData fLocksWithSheet="0"/>
  </xdr:oneCellAnchor>
  <xdr:oneCellAnchor>
    <xdr:from>
      <xdr:col>6</xdr:col>
      <xdr:colOff>38100</xdr:colOff>
      <xdr:row>680</xdr:row>
      <xdr:rowOff>38100</xdr:rowOff>
    </xdr:from>
    <xdr:ext cx="390525" cy="514350"/>
    <xdr:pic>
      <xdr:nvPicPr>
        <xdr:cNvPr id="0" name="image411.jpg"/>
        <xdr:cNvPicPr preferRelativeResize="0"/>
      </xdr:nvPicPr>
      <xdr:blipFill>
        <a:blip cstate="print" r:embed="rId411"/>
        <a:stretch>
          <a:fillRect/>
        </a:stretch>
      </xdr:blipFill>
      <xdr:spPr>
        <a:prstGeom prst="rect">
          <a:avLst/>
        </a:prstGeom>
        <a:noFill/>
      </xdr:spPr>
    </xdr:pic>
    <xdr:clientData fLocksWithSheet="0"/>
  </xdr:oneCellAnchor>
  <xdr:oneCellAnchor>
    <xdr:from>
      <xdr:col>6</xdr:col>
      <xdr:colOff>38100</xdr:colOff>
      <xdr:row>681</xdr:row>
      <xdr:rowOff>38100</xdr:rowOff>
    </xdr:from>
    <xdr:ext cx="390525" cy="514350"/>
    <xdr:pic>
      <xdr:nvPicPr>
        <xdr:cNvPr id="0" name="image411.jpg"/>
        <xdr:cNvPicPr preferRelativeResize="0"/>
      </xdr:nvPicPr>
      <xdr:blipFill>
        <a:blip cstate="print" r:embed="rId411"/>
        <a:stretch>
          <a:fillRect/>
        </a:stretch>
      </xdr:blipFill>
      <xdr:spPr>
        <a:prstGeom prst="rect">
          <a:avLst/>
        </a:prstGeom>
        <a:noFill/>
      </xdr:spPr>
    </xdr:pic>
    <xdr:clientData fLocksWithSheet="0"/>
  </xdr:oneCellAnchor>
  <xdr:oneCellAnchor>
    <xdr:from>
      <xdr:col>6</xdr:col>
      <xdr:colOff>38100</xdr:colOff>
      <xdr:row>682</xdr:row>
      <xdr:rowOff>38100</xdr:rowOff>
    </xdr:from>
    <xdr:ext cx="419100" cy="514350"/>
    <xdr:pic>
      <xdr:nvPicPr>
        <xdr:cNvPr id="0" name="image389.jpg"/>
        <xdr:cNvPicPr preferRelativeResize="0"/>
      </xdr:nvPicPr>
      <xdr:blipFill>
        <a:blip cstate="print" r:embed="rId412"/>
        <a:stretch>
          <a:fillRect/>
        </a:stretch>
      </xdr:blipFill>
      <xdr:spPr>
        <a:prstGeom prst="rect">
          <a:avLst/>
        </a:prstGeom>
        <a:noFill/>
      </xdr:spPr>
    </xdr:pic>
    <xdr:clientData fLocksWithSheet="0"/>
  </xdr:oneCellAnchor>
  <xdr:oneCellAnchor>
    <xdr:from>
      <xdr:col>6</xdr:col>
      <xdr:colOff>38100</xdr:colOff>
      <xdr:row>683</xdr:row>
      <xdr:rowOff>38100</xdr:rowOff>
    </xdr:from>
    <xdr:ext cx="419100" cy="514350"/>
    <xdr:pic>
      <xdr:nvPicPr>
        <xdr:cNvPr id="0" name="image389.jpg"/>
        <xdr:cNvPicPr preferRelativeResize="0"/>
      </xdr:nvPicPr>
      <xdr:blipFill>
        <a:blip cstate="print" r:embed="rId412"/>
        <a:stretch>
          <a:fillRect/>
        </a:stretch>
      </xdr:blipFill>
      <xdr:spPr>
        <a:prstGeom prst="rect">
          <a:avLst/>
        </a:prstGeom>
        <a:noFill/>
      </xdr:spPr>
    </xdr:pic>
    <xdr:clientData fLocksWithSheet="0"/>
  </xdr:oneCellAnchor>
  <xdr:oneCellAnchor>
    <xdr:from>
      <xdr:col>6</xdr:col>
      <xdr:colOff>38100</xdr:colOff>
      <xdr:row>684</xdr:row>
      <xdr:rowOff>38100</xdr:rowOff>
    </xdr:from>
    <xdr:ext cx="314325" cy="514350"/>
    <xdr:pic>
      <xdr:nvPicPr>
        <xdr:cNvPr id="0" name="image384.jpg"/>
        <xdr:cNvPicPr preferRelativeResize="0"/>
      </xdr:nvPicPr>
      <xdr:blipFill>
        <a:blip cstate="print" r:embed="rId413"/>
        <a:stretch>
          <a:fillRect/>
        </a:stretch>
      </xdr:blipFill>
      <xdr:spPr>
        <a:prstGeom prst="rect">
          <a:avLst/>
        </a:prstGeom>
        <a:noFill/>
      </xdr:spPr>
    </xdr:pic>
    <xdr:clientData fLocksWithSheet="0"/>
  </xdr:oneCellAnchor>
  <xdr:oneCellAnchor>
    <xdr:from>
      <xdr:col>6</xdr:col>
      <xdr:colOff>38100</xdr:colOff>
      <xdr:row>685</xdr:row>
      <xdr:rowOff>38100</xdr:rowOff>
    </xdr:from>
    <xdr:ext cx="438150" cy="514350"/>
    <xdr:pic>
      <xdr:nvPicPr>
        <xdr:cNvPr id="0" name="image381.jp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38100</xdr:colOff>
      <xdr:row>686</xdr:row>
      <xdr:rowOff>38100</xdr:rowOff>
    </xdr:from>
    <xdr:ext cx="409575" cy="514350"/>
    <xdr:pic>
      <xdr:nvPicPr>
        <xdr:cNvPr id="0" name="image408.jpg"/>
        <xdr:cNvPicPr preferRelativeResize="0"/>
      </xdr:nvPicPr>
      <xdr:blipFill>
        <a:blip cstate="print" r:embed="rId415"/>
        <a:stretch>
          <a:fillRect/>
        </a:stretch>
      </xdr:blipFill>
      <xdr:spPr>
        <a:prstGeom prst="rect">
          <a:avLst/>
        </a:prstGeom>
        <a:noFill/>
      </xdr:spPr>
    </xdr:pic>
    <xdr:clientData fLocksWithSheet="0"/>
  </xdr:oneCellAnchor>
  <xdr:oneCellAnchor>
    <xdr:from>
      <xdr:col>6</xdr:col>
      <xdr:colOff>38100</xdr:colOff>
      <xdr:row>687</xdr:row>
      <xdr:rowOff>38100</xdr:rowOff>
    </xdr:from>
    <xdr:ext cx="209550" cy="514350"/>
    <xdr:pic>
      <xdr:nvPicPr>
        <xdr:cNvPr id="0" name="image412.jpg"/>
        <xdr:cNvPicPr preferRelativeResize="0"/>
      </xdr:nvPicPr>
      <xdr:blipFill>
        <a:blip cstate="print" r:embed="rId416"/>
        <a:stretch>
          <a:fillRect/>
        </a:stretch>
      </xdr:blipFill>
      <xdr:spPr>
        <a:prstGeom prst="rect">
          <a:avLst/>
        </a:prstGeom>
        <a:noFill/>
      </xdr:spPr>
    </xdr:pic>
    <xdr:clientData fLocksWithSheet="0"/>
  </xdr:oneCellAnchor>
  <xdr:oneCellAnchor>
    <xdr:from>
      <xdr:col>6</xdr:col>
      <xdr:colOff>38100</xdr:colOff>
      <xdr:row>688</xdr:row>
      <xdr:rowOff>38100</xdr:rowOff>
    </xdr:from>
    <xdr:ext cx="514350" cy="514350"/>
    <xdr:pic>
      <xdr:nvPicPr>
        <xdr:cNvPr id="0" name="image397.jpg"/>
        <xdr:cNvPicPr preferRelativeResize="0"/>
      </xdr:nvPicPr>
      <xdr:blipFill>
        <a:blip cstate="print" r:embed="rId417"/>
        <a:stretch>
          <a:fillRect/>
        </a:stretch>
      </xdr:blipFill>
      <xdr:spPr>
        <a:prstGeom prst="rect">
          <a:avLst/>
        </a:prstGeom>
        <a:noFill/>
      </xdr:spPr>
    </xdr:pic>
    <xdr:clientData fLocksWithSheet="0"/>
  </xdr:oneCellAnchor>
  <xdr:oneCellAnchor>
    <xdr:from>
      <xdr:col>6</xdr:col>
      <xdr:colOff>38100</xdr:colOff>
      <xdr:row>689</xdr:row>
      <xdr:rowOff>38100</xdr:rowOff>
    </xdr:from>
    <xdr:ext cx="419100" cy="514350"/>
    <xdr:pic>
      <xdr:nvPicPr>
        <xdr:cNvPr id="0" name="image388.jpg"/>
        <xdr:cNvPicPr preferRelativeResize="0"/>
      </xdr:nvPicPr>
      <xdr:blipFill>
        <a:blip cstate="print" r:embed="rId418"/>
        <a:stretch>
          <a:fillRect/>
        </a:stretch>
      </xdr:blipFill>
      <xdr:spPr>
        <a:prstGeom prst="rect">
          <a:avLst/>
        </a:prstGeom>
        <a:noFill/>
      </xdr:spPr>
    </xdr:pic>
    <xdr:clientData fLocksWithSheet="0"/>
  </xdr:oneCellAnchor>
  <xdr:oneCellAnchor>
    <xdr:from>
      <xdr:col>6</xdr:col>
      <xdr:colOff>38100</xdr:colOff>
      <xdr:row>690</xdr:row>
      <xdr:rowOff>38100</xdr:rowOff>
    </xdr:from>
    <xdr:ext cx="419100" cy="514350"/>
    <xdr:pic>
      <xdr:nvPicPr>
        <xdr:cNvPr id="0" name="image388.jpg"/>
        <xdr:cNvPicPr preferRelativeResize="0"/>
      </xdr:nvPicPr>
      <xdr:blipFill>
        <a:blip cstate="print" r:embed="rId418"/>
        <a:stretch>
          <a:fillRect/>
        </a:stretch>
      </xdr:blipFill>
      <xdr:spPr>
        <a:prstGeom prst="rect">
          <a:avLst/>
        </a:prstGeom>
        <a:noFill/>
      </xdr:spPr>
    </xdr:pic>
    <xdr:clientData fLocksWithSheet="0"/>
  </xdr:oneCellAnchor>
  <xdr:oneCellAnchor>
    <xdr:from>
      <xdr:col>6</xdr:col>
      <xdr:colOff>38100</xdr:colOff>
      <xdr:row>691</xdr:row>
      <xdr:rowOff>38100</xdr:rowOff>
    </xdr:from>
    <xdr:ext cx="504825" cy="514350"/>
    <xdr:pic>
      <xdr:nvPicPr>
        <xdr:cNvPr id="0" name="image459.jpg"/>
        <xdr:cNvPicPr preferRelativeResize="0"/>
      </xdr:nvPicPr>
      <xdr:blipFill>
        <a:blip cstate="print" r:embed="rId419"/>
        <a:stretch>
          <a:fillRect/>
        </a:stretch>
      </xdr:blipFill>
      <xdr:spPr>
        <a:prstGeom prst="rect">
          <a:avLst/>
        </a:prstGeom>
        <a:noFill/>
      </xdr:spPr>
    </xdr:pic>
    <xdr:clientData fLocksWithSheet="0"/>
  </xdr:oneCellAnchor>
  <xdr:oneCellAnchor>
    <xdr:from>
      <xdr:col>6</xdr:col>
      <xdr:colOff>38100</xdr:colOff>
      <xdr:row>692</xdr:row>
      <xdr:rowOff>38100</xdr:rowOff>
    </xdr:from>
    <xdr:ext cx="514350" cy="400050"/>
    <xdr:pic>
      <xdr:nvPicPr>
        <xdr:cNvPr id="0" name="image400.jpg"/>
        <xdr:cNvPicPr preferRelativeResize="0"/>
      </xdr:nvPicPr>
      <xdr:blipFill>
        <a:blip cstate="print" r:embed="rId409"/>
        <a:stretch>
          <a:fillRect/>
        </a:stretch>
      </xdr:blipFill>
      <xdr:spPr>
        <a:prstGeom prst="rect">
          <a:avLst/>
        </a:prstGeom>
        <a:noFill/>
      </xdr:spPr>
    </xdr:pic>
    <xdr:clientData fLocksWithSheet="0"/>
  </xdr:oneCellAnchor>
  <xdr:oneCellAnchor>
    <xdr:from>
      <xdr:col>6</xdr:col>
      <xdr:colOff>38100</xdr:colOff>
      <xdr:row>693</xdr:row>
      <xdr:rowOff>38100</xdr:rowOff>
    </xdr:from>
    <xdr:ext cx="323850" cy="428625"/>
    <xdr:pic>
      <xdr:nvPicPr>
        <xdr:cNvPr id="0" name="image478.jpg"/>
        <xdr:cNvPicPr preferRelativeResize="0"/>
      </xdr:nvPicPr>
      <xdr:blipFill>
        <a:blip cstate="print" r:embed="rId410"/>
        <a:stretch>
          <a:fillRect/>
        </a:stretch>
      </xdr:blipFill>
      <xdr:spPr>
        <a:prstGeom prst="rect">
          <a:avLst/>
        </a:prstGeom>
        <a:noFill/>
      </xdr:spPr>
    </xdr:pic>
    <xdr:clientData fLocksWithSheet="0"/>
  </xdr:oneCellAnchor>
  <xdr:oneCellAnchor>
    <xdr:from>
      <xdr:col>6</xdr:col>
      <xdr:colOff>38100</xdr:colOff>
      <xdr:row>694</xdr:row>
      <xdr:rowOff>38100</xdr:rowOff>
    </xdr:from>
    <xdr:ext cx="323850" cy="428625"/>
    <xdr:pic>
      <xdr:nvPicPr>
        <xdr:cNvPr id="0" name="image478.jpg"/>
        <xdr:cNvPicPr preferRelativeResize="0"/>
      </xdr:nvPicPr>
      <xdr:blipFill>
        <a:blip cstate="print" r:embed="rId410"/>
        <a:stretch>
          <a:fillRect/>
        </a:stretch>
      </xdr:blipFill>
      <xdr:spPr>
        <a:prstGeom prst="rect">
          <a:avLst/>
        </a:prstGeom>
        <a:noFill/>
      </xdr:spPr>
    </xdr:pic>
    <xdr:clientData fLocksWithSheet="0"/>
  </xdr:oneCellAnchor>
  <xdr:oneCellAnchor>
    <xdr:from>
      <xdr:col>6</xdr:col>
      <xdr:colOff>38100</xdr:colOff>
      <xdr:row>695</xdr:row>
      <xdr:rowOff>38100</xdr:rowOff>
    </xdr:from>
    <xdr:ext cx="390525" cy="514350"/>
    <xdr:pic>
      <xdr:nvPicPr>
        <xdr:cNvPr id="0" name="image411.jpg"/>
        <xdr:cNvPicPr preferRelativeResize="0"/>
      </xdr:nvPicPr>
      <xdr:blipFill>
        <a:blip cstate="print" r:embed="rId411"/>
        <a:stretch>
          <a:fillRect/>
        </a:stretch>
      </xdr:blipFill>
      <xdr:spPr>
        <a:prstGeom prst="rect">
          <a:avLst/>
        </a:prstGeom>
        <a:noFill/>
      </xdr:spPr>
    </xdr:pic>
    <xdr:clientData fLocksWithSheet="0"/>
  </xdr:oneCellAnchor>
  <xdr:oneCellAnchor>
    <xdr:from>
      <xdr:col>6</xdr:col>
      <xdr:colOff>38100</xdr:colOff>
      <xdr:row>696</xdr:row>
      <xdr:rowOff>38100</xdr:rowOff>
    </xdr:from>
    <xdr:ext cx="333375" cy="428625"/>
    <xdr:pic>
      <xdr:nvPicPr>
        <xdr:cNvPr id="0" name="image453.jpg"/>
        <xdr:cNvPicPr preferRelativeResize="0"/>
      </xdr:nvPicPr>
      <xdr:blipFill>
        <a:blip cstate="print" r:embed="rId420"/>
        <a:stretch>
          <a:fillRect/>
        </a:stretch>
      </xdr:blipFill>
      <xdr:spPr>
        <a:prstGeom prst="rect">
          <a:avLst/>
        </a:prstGeom>
        <a:noFill/>
      </xdr:spPr>
    </xdr:pic>
    <xdr:clientData fLocksWithSheet="0"/>
  </xdr:oneCellAnchor>
  <xdr:oneCellAnchor>
    <xdr:from>
      <xdr:col>6</xdr:col>
      <xdr:colOff>38100</xdr:colOff>
      <xdr:row>697</xdr:row>
      <xdr:rowOff>38100</xdr:rowOff>
    </xdr:from>
    <xdr:ext cx="419100" cy="514350"/>
    <xdr:pic>
      <xdr:nvPicPr>
        <xdr:cNvPr id="0" name="image389.jpg"/>
        <xdr:cNvPicPr preferRelativeResize="0"/>
      </xdr:nvPicPr>
      <xdr:blipFill>
        <a:blip cstate="print" r:embed="rId412"/>
        <a:stretch>
          <a:fillRect/>
        </a:stretch>
      </xdr:blipFill>
      <xdr:spPr>
        <a:prstGeom prst="rect">
          <a:avLst/>
        </a:prstGeom>
        <a:noFill/>
      </xdr:spPr>
    </xdr:pic>
    <xdr:clientData fLocksWithSheet="0"/>
  </xdr:oneCellAnchor>
  <xdr:oneCellAnchor>
    <xdr:from>
      <xdr:col>6</xdr:col>
      <xdr:colOff>38100</xdr:colOff>
      <xdr:row>698</xdr:row>
      <xdr:rowOff>38100</xdr:rowOff>
    </xdr:from>
    <xdr:ext cx="209550" cy="514350"/>
    <xdr:pic>
      <xdr:nvPicPr>
        <xdr:cNvPr id="0" name="image412.jpg"/>
        <xdr:cNvPicPr preferRelativeResize="0"/>
      </xdr:nvPicPr>
      <xdr:blipFill>
        <a:blip cstate="print" r:embed="rId416"/>
        <a:stretch>
          <a:fillRect/>
        </a:stretch>
      </xdr:blipFill>
      <xdr:spPr>
        <a:prstGeom prst="rect">
          <a:avLst/>
        </a:prstGeom>
        <a:noFill/>
      </xdr:spPr>
    </xdr:pic>
    <xdr:clientData fLocksWithSheet="0"/>
  </xdr:oneCellAnchor>
  <xdr:oneCellAnchor>
    <xdr:from>
      <xdr:col>6</xdr:col>
      <xdr:colOff>38100</xdr:colOff>
      <xdr:row>699</xdr:row>
      <xdr:rowOff>38100</xdr:rowOff>
    </xdr:from>
    <xdr:ext cx="581025" cy="514350"/>
    <xdr:pic>
      <xdr:nvPicPr>
        <xdr:cNvPr id="0" name="image455.jpg"/>
        <xdr:cNvPicPr preferRelativeResize="0"/>
      </xdr:nvPicPr>
      <xdr:blipFill>
        <a:blip cstate="print" r:embed="rId421"/>
        <a:stretch>
          <a:fillRect/>
        </a:stretch>
      </xdr:blipFill>
      <xdr:spPr>
        <a:prstGeom prst="rect">
          <a:avLst/>
        </a:prstGeom>
        <a:noFill/>
      </xdr:spPr>
    </xdr:pic>
    <xdr:clientData fLocksWithSheet="0"/>
  </xdr:oneCellAnchor>
  <xdr:oneCellAnchor>
    <xdr:from>
      <xdr:col>6</xdr:col>
      <xdr:colOff>38100</xdr:colOff>
      <xdr:row>700</xdr:row>
      <xdr:rowOff>38100</xdr:rowOff>
    </xdr:from>
    <xdr:ext cx="400050" cy="514350"/>
    <xdr:pic>
      <xdr:nvPicPr>
        <xdr:cNvPr id="0" name="image401.jpg"/>
        <xdr:cNvPicPr preferRelativeResize="0"/>
      </xdr:nvPicPr>
      <xdr:blipFill>
        <a:blip cstate="print" r:embed="rId422"/>
        <a:stretch>
          <a:fillRect/>
        </a:stretch>
      </xdr:blipFill>
      <xdr:spPr>
        <a:prstGeom prst="rect">
          <a:avLst/>
        </a:prstGeom>
        <a:noFill/>
      </xdr:spPr>
    </xdr:pic>
    <xdr:clientData fLocksWithSheet="0"/>
  </xdr:oneCellAnchor>
  <xdr:oneCellAnchor>
    <xdr:from>
      <xdr:col>6</xdr:col>
      <xdr:colOff>38100</xdr:colOff>
      <xdr:row>701</xdr:row>
      <xdr:rowOff>38100</xdr:rowOff>
    </xdr:from>
    <xdr:ext cx="190500" cy="400050"/>
    <xdr:pic>
      <xdr:nvPicPr>
        <xdr:cNvPr id="0" name="image402.jpg"/>
        <xdr:cNvPicPr preferRelativeResize="0"/>
      </xdr:nvPicPr>
      <xdr:blipFill>
        <a:blip cstate="print" r:embed="rId423"/>
        <a:stretch>
          <a:fillRect/>
        </a:stretch>
      </xdr:blipFill>
      <xdr:spPr>
        <a:prstGeom prst="rect">
          <a:avLst/>
        </a:prstGeom>
        <a:noFill/>
      </xdr:spPr>
    </xdr:pic>
    <xdr:clientData fLocksWithSheet="0"/>
  </xdr:oneCellAnchor>
  <xdr:oneCellAnchor>
    <xdr:from>
      <xdr:col>6</xdr:col>
      <xdr:colOff>38100</xdr:colOff>
      <xdr:row>702</xdr:row>
      <xdr:rowOff>38100</xdr:rowOff>
    </xdr:from>
    <xdr:ext cx="190500" cy="400050"/>
    <xdr:pic>
      <xdr:nvPicPr>
        <xdr:cNvPr id="0" name="image402.jpg"/>
        <xdr:cNvPicPr preferRelativeResize="0"/>
      </xdr:nvPicPr>
      <xdr:blipFill>
        <a:blip cstate="print" r:embed="rId423"/>
        <a:stretch>
          <a:fillRect/>
        </a:stretch>
      </xdr:blipFill>
      <xdr:spPr>
        <a:prstGeom prst="rect">
          <a:avLst/>
        </a:prstGeom>
        <a:noFill/>
      </xdr:spPr>
    </xdr:pic>
    <xdr:clientData fLocksWithSheet="0"/>
  </xdr:oneCellAnchor>
  <xdr:oneCellAnchor>
    <xdr:from>
      <xdr:col>6</xdr:col>
      <xdr:colOff>38100</xdr:colOff>
      <xdr:row>703</xdr:row>
      <xdr:rowOff>38100</xdr:rowOff>
    </xdr:from>
    <xdr:ext cx="495300" cy="514350"/>
    <xdr:pic>
      <xdr:nvPicPr>
        <xdr:cNvPr id="0" name="image415.jpg"/>
        <xdr:cNvPicPr preferRelativeResize="0"/>
      </xdr:nvPicPr>
      <xdr:blipFill>
        <a:blip cstate="print" r:embed="rId424"/>
        <a:stretch>
          <a:fillRect/>
        </a:stretch>
      </xdr:blipFill>
      <xdr:spPr>
        <a:prstGeom prst="rect">
          <a:avLst/>
        </a:prstGeom>
        <a:noFill/>
      </xdr:spPr>
    </xdr:pic>
    <xdr:clientData fLocksWithSheet="0"/>
  </xdr:oneCellAnchor>
  <xdr:oneCellAnchor>
    <xdr:from>
      <xdr:col>6</xdr:col>
      <xdr:colOff>38100</xdr:colOff>
      <xdr:row>704</xdr:row>
      <xdr:rowOff>38100</xdr:rowOff>
    </xdr:from>
    <xdr:ext cx="419100" cy="447675"/>
    <xdr:pic>
      <xdr:nvPicPr>
        <xdr:cNvPr id="0" name="image407.jpg"/>
        <xdr:cNvPicPr preferRelativeResize="0"/>
      </xdr:nvPicPr>
      <xdr:blipFill>
        <a:blip cstate="print" r:embed="rId425"/>
        <a:stretch>
          <a:fillRect/>
        </a:stretch>
      </xdr:blipFill>
      <xdr:spPr>
        <a:prstGeom prst="rect">
          <a:avLst/>
        </a:prstGeom>
        <a:noFill/>
      </xdr:spPr>
    </xdr:pic>
    <xdr:clientData fLocksWithSheet="0"/>
  </xdr:oneCellAnchor>
  <xdr:oneCellAnchor>
    <xdr:from>
      <xdr:col>6</xdr:col>
      <xdr:colOff>38100</xdr:colOff>
      <xdr:row>705</xdr:row>
      <xdr:rowOff>38100</xdr:rowOff>
    </xdr:from>
    <xdr:ext cx="419100" cy="438150"/>
    <xdr:pic>
      <xdr:nvPicPr>
        <xdr:cNvPr id="0" name="image417.jpg"/>
        <xdr:cNvPicPr preferRelativeResize="0"/>
      </xdr:nvPicPr>
      <xdr:blipFill>
        <a:blip cstate="print" r:embed="rId426"/>
        <a:stretch>
          <a:fillRect/>
        </a:stretch>
      </xdr:blipFill>
      <xdr:spPr>
        <a:prstGeom prst="rect">
          <a:avLst/>
        </a:prstGeom>
        <a:noFill/>
      </xdr:spPr>
    </xdr:pic>
    <xdr:clientData fLocksWithSheet="0"/>
  </xdr:oneCellAnchor>
  <xdr:oneCellAnchor>
    <xdr:from>
      <xdr:col>6</xdr:col>
      <xdr:colOff>38100</xdr:colOff>
      <xdr:row>706</xdr:row>
      <xdr:rowOff>38100</xdr:rowOff>
    </xdr:from>
    <xdr:ext cx="381000" cy="514350"/>
    <xdr:pic>
      <xdr:nvPicPr>
        <xdr:cNvPr id="0" name="image492.jpg"/>
        <xdr:cNvPicPr preferRelativeResize="0"/>
      </xdr:nvPicPr>
      <xdr:blipFill>
        <a:blip cstate="print" r:embed="rId427"/>
        <a:stretch>
          <a:fillRect/>
        </a:stretch>
      </xdr:blipFill>
      <xdr:spPr>
        <a:prstGeom prst="rect">
          <a:avLst/>
        </a:prstGeom>
        <a:noFill/>
      </xdr:spPr>
    </xdr:pic>
    <xdr:clientData fLocksWithSheet="0"/>
  </xdr:oneCellAnchor>
  <xdr:oneCellAnchor>
    <xdr:from>
      <xdr:col>6</xdr:col>
      <xdr:colOff>38100</xdr:colOff>
      <xdr:row>707</xdr:row>
      <xdr:rowOff>38100</xdr:rowOff>
    </xdr:from>
    <xdr:ext cx="371475" cy="514350"/>
    <xdr:pic>
      <xdr:nvPicPr>
        <xdr:cNvPr id="0" name="image404.jpg"/>
        <xdr:cNvPicPr preferRelativeResize="0"/>
      </xdr:nvPicPr>
      <xdr:blipFill>
        <a:blip cstate="print" r:embed="rId428"/>
        <a:stretch>
          <a:fillRect/>
        </a:stretch>
      </xdr:blipFill>
      <xdr:spPr>
        <a:prstGeom prst="rect">
          <a:avLst/>
        </a:prstGeom>
        <a:noFill/>
      </xdr:spPr>
    </xdr:pic>
    <xdr:clientData fLocksWithSheet="0"/>
  </xdr:oneCellAnchor>
  <xdr:oneCellAnchor>
    <xdr:from>
      <xdr:col>6</xdr:col>
      <xdr:colOff>38100</xdr:colOff>
      <xdr:row>708</xdr:row>
      <xdr:rowOff>38100</xdr:rowOff>
    </xdr:from>
    <xdr:ext cx="647700" cy="361950"/>
    <xdr:pic>
      <xdr:nvPicPr>
        <xdr:cNvPr id="0" name="image424.jpg"/>
        <xdr:cNvPicPr preferRelativeResize="0"/>
      </xdr:nvPicPr>
      <xdr:blipFill>
        <a:blip cstate="print" r:embed="rId429"/>
        <a:stretch>
          <a:fillRect/>
        </a:stretch>
      </xdr:blipFill>
      <xdr:spPr>
        <a:prstGeom prst="rect">
          <a:avLst/>
        </a:prstGeom>
        <a:noFill/>
      </xdr:spPr>
    </xdr:pic>
    <xdr:clientData fLocksWithSheet="0"/>
  </xdr:oneCellAnchor>
  <xdr:oneCellAnchor>
    <xdr:from>
      <xdr:col>6</xdr:col>
      <xdr:colOff>38100</xdr:colOff>
      <xdr:row>709</xdr:row>
      <xdr:rowOff>38100</xdr:rowOff>
    </xdr:from>
    <xdr:ext cx="638175" cy="514350"/>
    <xdr:pic>
      <xdr:nvPicPr>
        <xdr:cNvPr id="0" name="image438.jpg"/>
        <xdr:cNvPicPr preferRelativeResize="0"/>
      </xdr:nvPicPr>
      <xdr:blipFill>
        <a:blip cstate="print" r:embed="rId430"/>
        <a:stretch>
          <a:fillRect/>
        </a:stretch>
      </xdr:blipFill>
      <xdr:spPr>
        <a:prstGeom prst="rect">
          <a:avLst/>
        </a:prstGeom>
        <a:noFill/>
      </xdr:spPr>
    </xdr:pic>
    <xdr:clientData fLocksWithSheet="0"/>
  </xdr:oneCellAnchor>
  <xdr:oneCellAnchor>
    <xdr:from>
      <xdr:col>6</xdr:col>
      <xdr:colOff>38100</xdr:colOff>
      <xdr:row>710</xdr:row>
      <xdr:rowOff>38100</xdr:rowOff>
    </xdr:from>
    <xdr:ext cx="647700" cy="504825"/>
    <xdr:pic>
      <xdr:nvPicPr>
        <xdr:cNvPr id="0" name="image413.jpg"/>
        <xdr:cNvPicPr preferRelativeResize="0"/>
      </xdr:nvPicPr>
      <xdr:blipFill>
        <a:blip cstate="print" r:embed="rId431"/>
        <a:stretch>
          <a:fillRect/>
        </a:stretch>
      </xdr:blipFill>
      <xdr:spPr>
        <a:prstGeom prst="rect">
          <a:avLst/>
        </a:prstGeom>
        <a:noFill/>
      </xdr:spPr>
    </xdr:pic>
    <xdr:clientData fLocksWithSheet="0"/>
  </xdr:oneCellAnchor>
  <xdr:oneCellAnchor>
    <xdr:from>
      <xdr:col>6</xdr:col>
      <xdr:colOff>38100</xdr:colOff>
      <xdr:row>711</xdr:row>
      <xdr:rowOff>38100</xdr:rowOff>
    </xdr:from>
    <xdr:ext cx="342900" cy="514350"/>
    <xdr:pic>
      <xdr:nvPicPr>
        <xdr:cNvPr id="0" name="image406.jpg"/>
        <xdr:cNvPicPr preferRelativeResize="0"/>
      </xdr:nvPicPr>
      <xdr:blipFill>
        <a:blip cstate="print" r:embed="rId432"/>
        <a:stretch>
          <a:fillRect/>
        </a:stretch>
      </xdr:blipFill>
      <xdr:spPr>
        <a:prstGeom prst="rect">
          <a:avLst/>
        </a:prstGeom>
        <a:noFill/>
      </xdr:spPr>
    </xdr:pic>
    <xdr:clientData fLocksWithSheet="0"/>
  </xdr:oneCellAnchor>
  <xdr:oneCellAnchor>
    <xdr:from>
      <xdr:col>6</xdr:col>
      <xdr:colOff>38100</xdr:colOff>
      <xdr:row>712</xdr:row>
      <xdr:rowOff>38100</xdr:rowOff>
    </xdr:from>
    <xdr:ext cx="409575" cy="514350"/>
    <xdr:pic>
      <xdr:nvPicPr>
        <xdr:cNvPr id="0" name="image409.jpg"/>
        <xdr:cNvPicPr preferRelativeResize="0"/>
      </xdr:nvPicPr>
      <xdr:blipFill>
        <a:blip cstate="print" r:embed="rId433"/>
        <a:stretch>
          <a:fillRect/>
        </a:stretch>
      </xdr:blipFill>
      <xdr:spPr>
        <a:prstGeom prst="rect">
          <a:avLst/>
        </a:prstGeom>
        <a:noFill/>
      </xdr:spPr>
    </xdr:pic>
    <xdr:clientData fLocksWithSheet="0"/>
  </xdr:oneCellAnchor>
  <xdr:oneCellAnchor>
    <xdr:from>
      <xdr:col>6</xdr:col>
      <xdr:colOff>38100</xdr:colOff>
      <xdr:row>713</xdr:row>
      <xdr:rowOff>38100</xdr:rowOff>
    </xdr:from>
    <xdr:ext cx="495300" cy="514350"/>
    <xdr:pic>
      <xdr:nvPicPr>
        <xdr:cNvPr id="0" name="image440.jpg"/>
        <xdr:cNvPicPr preferRelativeResize="0"/>
      </xdr:nvPicPr>
      <xdr:blipFill>
        <a:blip cstate="print" r:embed="rId434"/>
        <a:stretch>
          <a:fillRect/>
        </a:stretch>
      </xdr:blipFill>
      <xdr:spPr>
        <a:prstGeom prst="rect">
          <a:avLst/>
        </a:prstGeom>
        <a:noFill/>
      </xdr:spPr>
    </xdr:pic>
    <xdr:clientData fLocksWithSheet="0"/>
  </xdr:oneCellAnchor>
  <xdr:oneCellAnchor>
    <xdr:from>
      <xdr:col>6</xdr:col>
      <xdr:colOff>38100</xdr:colOff>
      <xdr:row>714</xdr:row>
      <xdr:rowOff>38100</xdr:rowOff>
    </xdr:from>
    <xdr:ext cx="514350" cy="514350"/>
    <xdr:pic>
      <xdr:nvPicPr>
        <xdr:cNvPr id="0" name="image439.jpg"/>
        <xdr:cNvPicPr preferRelativeResize="0"/>
      </xdr:nvPicPr>
      <xdr:blipFill>
        <a:blip cstate="print" r:embed="rId435"/>
        <a:stretch>
          <a:fillRect/>
        </a:stretch>
      </xdr:blipFill>
      <xdr:spPr>
        <a:prstGeom prst="rect">
          <a:avLst/>
        </a:prstGeom>
        <a:noFill/>
      </xdr:spPr>
    </xdr:pic>
    <xdr:clientData fLocksWithSheet="0"/>
  </xdr:oneCellAnchor>
  <xdr:oneCellAnchor>
    <xdr:from>
      <xdr:col>6</xdr:col>
      <xdr:colOff>38100</xdr:colOff>
      <xdr:row>715</xdr:row>
      <xdr:rowOff>38100</xdr:rowOff>
    </xdr:from>
    <xdr:ext cx="514350" cy="514350"/>
    <xdr:pic>
      <xdr:nvPicPr>
        <xdr:cNvPr id="0" name="image434.jpg"/>
        <xdr:cNvPicPr preferRelativeResize="0"/>
      </xdr:nvPicPr>
      <xdr:blipFill>
        <a:blip cstate="print" r:embed="rId436"/>
        <a:stretch>
          <a:fillRect/>
        </a:stretch>
      </xdr:blipFill>
      <xdr:spPr>
        <a:prstGeom prst="rect">
          <a:avLst/>
        </a:prstGeom>
        <a:noFill/>
      </xdr:spPr>
    </xdr:pic>
    <xdr:clientData fLocksWithSheet="0"/>
  </xdr:oneCellAnchor>
  <xdr:oneCellAnchor>
    <xdr:from>
      <xdr:col>6</xdr:col>
      <xdr:colOff>38100</xdr:colOff>
      <xdr:row>716</xdr:row>
      <xdr:rowOff>38100</xdr:rowOff>
    </xdr:from>
    <xdr:ext cx="647700" cy="476250"/>
    <xdr:pic>
      <xdr:nvPicPr>
        <xdr:cNvPr id="0" name="image443.jpg"/>
        <xdr:cNvPicPr preferRelativeResize="0"/>
      </xdr:nvPicPr>
      <xdr:blipFill>
        <a:blip cstate="print" r:embed="rId437"/>
        <a:stretch>
          <a:fillRect/>
        </a:stretch>
      </xdr:blipFill>
      <xdr:spPr>
        <a:prstGeom prst="rect">
          <a:avLst/>
        </a:prstGeom>
        <a:noFill/>
      </xdr:spPr>
    </xdr:pic>
    <xdr:clientData fLocksWithSheet="0"/>
  </xdr:oneCellAnchor>
  <xdr:oneCellAnchor>
    <xdr:from>
      <xdr:col>6</xdr:col>
      <xdr:colOff>38100</xdr:colOff>
      <xdr:row>717</xdr:row>
      <xdr:rowOff>38100</xdr:rowOff>
    </xdr:from>
    <xdr:ext cx="323850" cy="438150"/>
    <xdr:pic>
      <xdr:nvPicPr>
        <xdr:cNvPr id="0" name="image533.jpg"/>
        <xdr:cNvPicPr preferRelativeResize="0"/>
      </xdr:nvPicPr>
      <xdr:blipFill>
        <a:blip cstate="print" r:embed="rId438"/>
        <a:stretch>
          <a:fillRect/>
        </a:stretch>
      </xdr:blipFill>
      <xdr:spPr>
        <a:prstGeom prst="rect">
          <a:avLst/>
        </a:prstGeom>
        <a:noFill/>
      </xdr:spPr>
    </xdr:pic>
    <xdr:clientData fLocksWithSheet="0"/>
  </xdr:oneCellAnchor>
  <xdr:oneCellAnchor>
    <xdr:from>
      <xdr:col>6</xdr:col>
      <xdr:colOff>38100</xdr:colOff>
      <xdr:row>718</xdr:row>
      <xdr:rowOff>38100</xdr:rowOff>
    </xdr:from>
    <xdr:ext cx="647700" cy="409575"/>
    <xdr:pic>
      <xdr:nvPicPr>
        <xdr:cNvPr id="0" name="image426.jpg"/>
        <xdr:cNvPicPr preferRelativeResize="0"/>
      </xdr:nvPicPr>
      <xdr:blipFill>
        <a:blip cstate="print" r:embed="rId439"/>
        <a:stretch>
          <a:fillRect/>
        </a:stretch>
      </xdr:blipFill>
      <xdr:spPr>
        <a:prstGeom prst="rect">
          <a:avLst/>
        </a:prstGeom>
        <a:noFill/>
      </xdr:spPr>
    </xdr:pic>
    <xdr:clientData fLocksWithSheet="0"/>
  </xdr:oneCellAnchor>
  <xdr:oneCellAnchor>
    <xdr:from>
      <xdr:col>6</xdr:col>
      <xdr:colOff>38100</xdr:colOff>
      <xdr:row>719</xdr:row>
      <xdr:rowOff>38100</xdr:rowOff>
    </xdr:from>
    <xdr:ext cx="647700" cy="428625"/>
    <xdr:pic>
      <xdr:nvPicPr>
        <xdr:cNvPr id="0" name="image414.jpg"/>
        <xdr:cNvPicPr preferRelativeResize="0"/>
      </xdr:nvPicPr>
      <xdr:blipFill>
        <a:blip cstate="print" r:embed="rId440"/>
        <a:stretch>
          <a:fillRect/>
        </a:stretch>
      </xdr:blipFill>
      <xdr:spPr>
        <a:prstGeom prst="rect">
          <a:avLst/>
        </a:prstGeom>
        <a:noFill/>
      </xdr:spPr>
    </xdr:pic>
    <xdr:clientData fLocksWithSheet="0"/>
  </xdr:oneCellAnchor>
  <xdr:oneCellAnchor>
    <xdr:from>
      <xdr:col>6</xdr:col>
      <xdr:colOff>38100</xdr:colOff>
      <xdr:row>720</xdr:row>
      <xdr:rowOff>38100</xdr:rowOff>
    </xdr:from>
    <xdr:ext cx="561975" cy="419100"/>
    <xdr:pic>
      <xdr:nvPicPr>
        <xdr:cNvPr id="0" name="image432.jpg"/>
        <xdr:cNvPicPr preferRelativeResize="0"/>
      </xdr:nvPicPr>
      <xdr:blipFill>
        <a:blip cstate="print" r:embed="rId441"/>
        <a:stretch>
          <a:fillRect/>
        </a:stretch>
      </xdr:blipFill>
      <xdr:spPr>
        <a:prstGeom prst="rect">
          <a:avLst/>
        </a:prstGeom>
        <a:noFill/>
      </xdr:spPr>
    </xdr:pic>
    <xdr:clientData fLocksWithSheet="0"/>
  </xdr:oneCellAnchor>
  <xdr:oneCellAnchor>
    <xdr:from>
      <xdr:col>6</xdr:col>
      <xdr:colOff>38100</xdr:colOff>
      <xdr:row>721</xdr:row>
      <xdr:rowOff>38100</xdr:rowOff>
    </xdr:from>
    <xdr:ext cx="647700" cy="457200"/>
    <xdr:pic>
      <xdr:nvPicPr>
        <xdr:cNvPr id="0" name="image410.jpg"/>
        <xdr:cNvPicPr preferRelativeResize="0"/>
      </xdr:nvPicPr>
      <xdr:blipFill>
        <a:blip cstate="print" r:embed="rId442"/>
        <a:stretch>
          <a:fillRect/>
        </a:stretch>
      </xdr:blipFill>
      <xdr:spPr>
        <a:prstGeom prst="rect">
          <a:avLst/>
        </a:prstGeom>
        <a:noFill/>
      </xdr:spPr>
    </xdr:pic>
    <xdr:clientData fLocksWithSheet="0"/>
  </xdr:oneCellAnchor>
  <xdr:oneCellAnchor>
    <xdr:from>
      <xdr:col>6</xdr:col>
      <xdr:colOff>38100</xdr:colOff>
      <xdr:row>722</xdr:row>
      <xdr:rowOff>38100</xdr:rowOff>
    </xdr:from>
    <xdr:ext cx="647700" cy="409575"/>
    <xdr:pic>
      <xdr:nvPicPr>
        <xdr:cNvPr id="0" name="image428.jpg"/>
        <xdr:cNvPicPr preferRelativeResize="0"/>
      </xdr:nvPicPr>
      <xdr:blipFill>
        <a:blip cstate="print" r:embed="rId443"/>
        <a:stretch>
          <a:fillRect/>
        </a:stretch>
      </xdr:blipFill>
      <xdr:spPr>
        <a:prstGeom prst="rect">
          <a:avLst/>
        </a:prstGeom>
        <a:noFill/>
      </xdr:spPr>
    </xdr:pic>
    <xdr:clientData fLocksWithSheet="0"/>
  </xdr:oneCellAnchor>
  <xdr:oneCellAnchor>
    <xdr:from>
      <xdr:col>6</xdr:col>
      <xdr:colOff>38100</xdr:colOff>
      <xdr:row>723</xdr:row>
      <xdr:rowOff>38100</xdr:rowOff>
    </xdr:from>
    <xdr:ext cx="466725" cy="514350"/>
    <xdr:pic>
      <xdr:nvPicPr>
        <xdr:cNvPr id="0" name="image435.jpg"/>
        <xdr:cNvPicPr preferRelativeResize="0"/>
      </xdr:nvPicPr>
      <xdr:blipFill>
        <a:blip cstate="print" r:embed="rId444"/>
        <a:stretch>
          <a:fillRect/>
        </a:stretch>
      </xdr:blipFill>
      <xdr:spPr>
        <a:prstGeom prst="rect">
          <a:avLst/>
        </a:prstGeom>
        <a:noFill/>
      </xdr:spPr>
    </xdr:pic>
    <xdr:clientData fLocksWithSheet="0"/>
  </xdr:oneCellAnchor>
  <xdr:oneCellAnchor>
    <xdr:from>
      <xdr:col>6</xdr:col>
      <xdr:colOff>38100</xdr:colOff>
      <xdr:row>724</xdr:row>
      <xdr:rowOff>38100</xdr:rowOff>
    </xdr:from>
    <xdr:ext cx="647700" cy="457200"/>
    <xdr:pic>
      <xdr:nvPicPr>
        <xdr:cNvPr id="0" name="image410.jpg"/>
        <xdr:cNvPicPr preferRelativeResize="0"/>
      </xdr:nvPicPr>
      <xdr:blipFill>
        <a:blip cstate="print" r:embed="rId442"/>
        <a:stretch>
          <a:fillRect/>
        </a:stretch>
      </xdr:blipFill>
      <xdr:spPr>
        <a:prstGeom prst="rect">
          <a:avLst/>
        </a:prstGeom>
        <a:noFill/>
      </xdr:spPr>
    </xdr:pic>
    <xdr:clientData fLocksWithSheet="0"/>
  </xdr:oneCellAnchor>
  <xdr:oneCellAnchor>
    <xdr:from>
      <xdr:col>6</xdr:col>
      <xdr:colOff>38100</xdr:colOff>
      <xdr:row>725</xdr:row>
      <xdr:rowOff>38100</xdr:rowOff>
    </xdr:from>
    <xdr:ext cx="647700" cy="457200"/>
    <xdr:pic>
      <xdr:nvPicPr>
        <xdr:cNvPr id="0" name="image410.jpg"/>
        <xdr:cNvPicPr preferRelativeResize="0"/>
      </xdr:nvPicPr>
      <xdr:blipFill>
        <a:blip cstate="print" r:embed="rId442"/>
        <a:stretch>
          <a:fillRect/>
        </a:stretch>
      </xdr:blipFill>
      <xdr:spPr>
        <a:prstGeom prst="rect">
          <a:avLst/>
        </a:prstGeom>
        <a:noFill/>
      </xdr:spPr>
    </xdr:pic>
    <xdr:clientData fLocksWithSheet="0"/>
  </xdr:oneCellAnchor>
  <xdr:oneCellAnchor>
    <xdr:from>
      <xdr:col>6</xdr:col>
      <xdr:colOff>38100</xdr:colOff>
      <xdr:row>726</xdr:row>
      <xdr:rowOff>38100</xdr:rowOff>
    </xdr:from>
    <xdr:ext cx="647700" cy="457200"/>
    <xdr:pic>
      <xdr:nvPicPr>
        <xdr:cNvPr id="0" name="image410.jpg"/>
        <xdr:cNvPicPr preferRelativeResize="0"/>
      </xdr:nvPicPr>
      <xdr:blipFill>
        <a:blip cstate="print" r:embed="rId442"/>
        <a:stretch>
          <a:fillRect/>
        </a:stretch>
      </xdr:blipFill>
      <xdr:spPr>
        <a:prstGeom prst="rect">
          <a:avLst/>
        </a:prstGeom>
        <a:noFill/>
      </xdr:spPr>
    </xdr:pic>
    <xdr:clientData fLocksWithSheet="0"/>
  </xdr:oneCellAnchor>
  <xdr:oneCellAnchor>
    <xdr:from>
      <xdr:col>6</xdr:col>
      <xdr:colOff>38100</xdr:colOff>
      <xdr:row>727</xdr:row>
      <xdr:rowOff>38100</xdr:rowOff>
    </xdr:from>
    <xdr:ext cx="647700" cy="447675"/>
    <xdr:pic>
      <xdr:nvPicPr>
        <xdr:cNvPr id="0" name="image419.jpg"/>
        <xdr:cNvPicPr preferRelativeResize="0"/>
      </xdr:nvPicPr>
      <xdr:blipFill>
        <a:blip cstate="print" r:embed="rId445"/>
        <a:stretch>
          <a:fillRect/>
        </a:stretch>
      </xdr:blipFill>
      <xdr:spPr>
        <a:prstGeom prst="rect">
          <a:avLst/>
        </a:prstGeom>
        <a:noFill/>
      </xdr:spPr>
    </xdr:pic>
    <xdr:clientData fLocksWithSheet="0"/>
  </xdr:oneCellAnchor>
  <xdr:oneCellAnchor>
    <xdr:from>
      <xdr:col>6</xdr:col>
      <xdr:colOff>38100</xdr:colOff>
      <xdr:row>728</xdr:row>
      <xdr:rowOff>38100</xdr:rowOff>
    </xdr:from>
    <xdr:ext cx="466725" cy="514350"/>
    <xdr:pic>
      <xdr:nvPicPr>
        <xdr:cNvPr id="0" name="image435.jpg"/>
        <xdr:cNvPicPr preferRelativeResize="0"/>
      </xdr:nvPicPr>
      <xdr:blipFill>
        <a:blip cstate="print" r:embed="rId444"/>
        <a:stretch>
          <a:fillRect/>
        </a:stretch>
      </xdr:blipFill>
      <xdr:spPr>
        <a:prstGeom prst="rect">
          <a:avLst/>
        </a:prstGeom>
        <a:noFill/>
      </xdr:spPr>
    </xdr:pic>
    <xdr:clientData fLocksWithSheet="0"/>
  </xdr:oneCellAnchor>
  <xdr:oneCellAnchor>
    <xdr:from>
      <xdr:col>6</xdr:col>
      <xdr:colOff>38100</xdr:colOff>
      <xdr:row>729</xdr:row>
      <xdr:rowOff>38100</xdr:rowOff>
    </xdr:from>
    <xdr:ext cx="352425" cy="514350"/>
    <xdr:pic>
      <xdr:nvPicPr>
        <xdr:cNvPr id="0" name="image450.jpg"/>
        <xdr:cNvPicPr preferRelativeResize="0"/>
      </xdr:nvPicPr>
      <xdr:blipFill>
        <a:blip cstate="print" r:embed="rId446"/>
        <a:stretch>
          <a:fillRect/>
        </a:stretch>
      </xdr:blipFill>
      <xdr:spPr>
        <a:prstGeom prst="rect">
          <a:avLst/>
        </a:prstGeom>
        <a:noFill/>
      </xdr:spPr>
    </xdr:pic>
    <xdr:clientData fLocksWithSheet="0"/>
  </xdr:oneCellAnchor>
  <xdr:oneCellAnchor>
    <xdr:from>
      <xdr:col>6</xdr:col>
      <xdr:colOff>38100</xdr:colOff>
      <xdr:row>730</xdr:row>
      <xdr:rowOff>38100</xdr:rowOff>
    </xdr:from>
    <xdr:ext cx="647700" cy="457200"/>
    <xdr:pic>
      <xdr:nvPicPr>
        <xdr:cNvPr id="0" name="image418.jpg"/>
        <xdr:cNvPicPr preferRelativeResize="0"/>
      </xdr:nvPicPr>
      <xdr:blipFill>
        <a:blip cstate="print" r:embed="rId447"/>
        <a:stretch>
          <a:fillRect/>
        </a:stretch>
      </xdr:blipFill>
      <xdr:spPr>
        <a:prstGeom prst="rect">
          <a:avLst/>
        </a:prstGeom>
        <a:noFill/>
      </xdr:spPr>
    </xdr:pic>
    <xdr:clientData fLocksWithSheet="0"/>
  </xdr:oneCellAnchor>
  <xdr:oneCellAnchor>
    <xdr:from>
      <xdr:col>6</xdr:col>
      <xdr:colOff>38100</xdr:colOff>
      <xdr:row>731</xdr:row>
      <xdr:rowOff>38100</xdr:rowOff>
    </xdr:from>
    <xdr:ext cx="409575" cy="514350"/>
    <xdr:pic>
      <xdr:nvPicPr>
        <xdr:cNvPr id="0" name="image420.jpg"/>
        <xdr:cNvPicPr preferRelativeResize="0"/>
      </xdr:nvPicPr>
      <xdr:blipFill>
        <a:blip cstate="print" r:embed="rId448"/>
        <a:stretch>
          <a:fillRect/>
        </a:stretch>
      </xdr:blipFill>
      <xdr:spPr>
        <a:prstGeom prst="rect">
          <a:avLst/>
        </a:prstGeom>
        <a:noFill/>
      </xdr:spPr>
    </xdr:pic>
    <xdr:clientData fLocksWithSheet="0"/>
  </xdr:oneCellAnchor>
  <xdr:oneCellAnchor>
    <xdr:from>
      <xdr:col>6</xdr:col>
      <xdr:colOff>38100</xdr:colOff>
      <xdr:row>732</xdr:row>
      <xdr:rowOff>38100</xdr:rowOff>
    </xdr:from>
    <xdr:ext cx="361950" cy="514350"/>
    <xdr:pic>
      <xdr:nvPicPr>
        <xdr:cNvPr id="0" name="image423.jpg"/>
        <xdr:cNvPicPr preferRelativeResize="0"/>
      </xdr:nvPicPr>
      <xdr:blipFill>
        <a:blip cstate="print" r:embed="rId449"/>
        <a:stretch>
          <a:fillRect/>
        </a:stretch>
      </xdr:blipFill>
      <xdr:spPr>
        <a:prstGeom prst="rect">
          <a:avLst/>
        </a:prstGeom>
        <a:noFill/>
      </xdr:spPr>
    </xdr:pic>
    <xdr:clientData fLocksWithSheet="0"/>
  </xdr:oneCellAnchor>
  <xdr:oneCellAnchor>
    <xdr:from>
      <xdr:col>6</xdr:col>
      <xdr:colOff>38100</xdr:colOff>
      <xdr:row>733</xdr:row>
      <xdr:rowOff>38100</xdr:rowOff>
    </xdr:from>
    <xdr:ext cx="428625" cy="514350"/>
    <xdr:pic>
      <xdr:nvPicPr>
        <xdr:cNvPr id="0" name="image430.jpg"/>
        <xdr:cNvPicPr preferRelativeResize="0"/>
      </xdr:nvPicPr>
      <xdr:blipFill>
        <a:blip cstate="print" r:embed="rId450"/>
        <a:stretch>
          <a:fillRect/>
        </a:stretch>
      </xdr:blipFill>
      <xdr:spPr>
        <a:prstGeom prst="rect">
          <a:avLst/>
        </a:prstGeom>
        <a:noFill/>
      </xdr:spPr>
    </xdr:pic>
    <xdr:clientData fLocksWithSheet="0"/>
  </xdr:oneCellAnchor>
  <xdr:oneCellAnchor>
    <xdr:from>
      <xdr:col>6</xdr:col>
      <xdr:colOff>38100</xdr:colOff>
      <xdr:row>734</xdr:row>
      <xdr:rowOff>38100</xdr:rowOff>
    </xdr:from>
    <xdr:ext cx="276225" cy="514350"/>
    <xdr:pic>
      <xdr:nvPicPr>
        <xdr:cNvPr id="0" name="image421.jpg"/>
        <xdr:cNvPicPr preferRelativeResize="0"/>
      </xdr:nvPicPr>
      <xdr:blipFill>
        <a:blip cstate="print" r:embed="rId451"/>
        <a:stretch>
          <a:fillRect/>
        </a:stretch>
      </xdr:blipFill>
      <xdr:spPr>
        <a:prstGeom prst="rect">
          <a:avLst/>
        </a:prstGeom>
        <a:noFill/>
      </xdr:spPr>
    </xdr:pic>
    <xdr:clientData fLocksWithSheet="0"/>
  </xdr:oneCellAnchor>
  <xdr:oneCellAnchor>
    <xdr:from>
      <xdr:col>6</xdr:col>
      <xdr:colOff>38100</xdr:colOff>
      <xdr:row>735</xdr:row>
      <xdr:rowOff>38100</xdr:rowOff>
    </xdr:from>
    <xdr:ext cx="276225" cy="514350"/>
    <xdr:pic>
      <xdr:nvPicPr>
        <xdr:cNvPr id="0" name="image421.jpg"/>
        <xdr:cNvPicPr preferRelativeResize="0"/>
      </xdr:nvPicPr>
      <xdr:blipFill>
        <a:blip cstate="print" r:embed="rId451"/>
        <a:stretch>
          <a:fillRect/>
        </a:stretch>
      </xdr:blipFill>
      <xdr:spPr>
        <a:prstGeom prst="rect">
          <a:avLst/>
        </a:prstGeom>
        <a:noFill/>
      </xdr:spPr>
    </xdr:pic>
    <xdr:clientData fLocksWithSheet="0"/>
  </xdr:oneCellAnchor>
  <xdr:oneCellAnchor>
    <xdr:from>
      <xdr:col>6</xdr:col>
      <xdr:colOff>38100</xdr:colOff>
      <xdr:row>736</xdr:row>
      <xdr:rowOff>38100</xdr:rowOff>
    </xdr:from>
    <xdr:ext cx="438150" cy="514350"/>
    <xdr:pic>
      <xdr:nvPicPr>
        <xdr:cNvPr id="0" name="image471.jpg"/>
        <xdr:cNvPicPr preferRelativeResize="0"/>
      </xdr:nvPicPr>
      <xdr:blipFill>
        <a:blip cstate="print" r:embed="rId452"/>
        <a:stretch>
          <a:fillRect/>
        </a:stretch>
      </xdr:blipFill>
      <xdr:spPr>
        <a:prstGeom prst="rect">
          <a:avLst/>
        </a:prstGeom>
        <a:noFill/>
      </xdr:spPr>
    </xdr:pic>
    <xdr:clientData fLocksWithSheet="0"/>
  </xdr:oneCellAnchor>
  <xdr:oneCellAnchor>
    <xdr:from>
      <xdr:col>6</xdr:col>
      <xdr:colOff>38100</xdr:colOff>
      <xdr:row>737</xdr:row>
      <xdr:rowOff>38100</xdr:rowOff>
    </xdr:from>
    <xdr:ext cx="495300" cy="495300"/>
    <xdr:pic>
      <xdr:nvPicPr>
        <xdr:cNvPr id="0" name="image454.jpg"/>
        <xdr:cNvPicPr preferRelativeResize="0"/>
      </xdr:nvPicPr>
      <xdr:blipFill>
        <a:blip cstate="print" r:embed="rId453"/>
        <a:stretch>
          <a:fillRect/>
        </a:stretch>
      </xdr:blipFill>
      <xdr:spPr>
        <a:prstGeom prst="rect">
          <a:avLst/>
        </a:prstGeom>
        <a:noFill/>
      </xdr:spPr>
    </xdr:pic>
    <xdr:clientData fLocksWithSheet="0"/>
  </xdr:oneCellAnchor>
  <xdr:oneCellAnchor>
    <xdr:from>
      <xdr:col>6</xdr:col>
      <xdr:colOff>38100</xdr:colOff>
      <xdr:row>738</xdr:row>
      <xdr:rowOff>38100</xdr:rowOff>
    </xdr:from>
    <xdr:ext cx="647700" cy="514350"/>
    <xdr:pic>
      <xdr:nvPicPr>
        <xdr:cNvPr id="0" name="image462.jpg"/>
        <xdr:cNvPicPr preferRelativeResize="0"/>
      </xdr:nvPicPr>
      <xdr:blipFill>
        <a:blip cstate="print" r:embed="rId454"/>
        <a:stretch>
          <a:fillRect/>
        </a:stretch>
      </xdr:blipFill>
      <xdr:spPr>
        <a:prstGeom prst="rect">
          <a:avLst/>
        </a:prstGeom>
        <a:noFill/>
      </xdr:spPr>
    </xdr:pic>
    <xdr:clientData fLocksWithSheet="0"/>
  </xdr:oneCellAnchor>
  <xdr:oneCellAnchor>
    <xdr:from>
      <xdr:col>6</xdr:col>
      <xdr:colOff>38100</xdr:colOff>
      <xdr:row>739</xdr:row>
      <xdr:rowOff>38100</xdr:rowOff>
    </xdr:from>
    <xdr:ext cx="647700" cy="457200"/>
    <xdr:pic>
      <xdr:nvPicPr>
        <xdr:cNvPr id="0" name="image548.jpg"/>
        <xdr:cNvPicPr preferRelativeResize="0"/>
      </xdr:nvPicPr>
      <xdr:blipFill>
        <a:blip cstate="print" r:embed="rId455"/>
        <a:stretch>
          <a:fillRect/>
        </a:stretch>
      </xdr:blipFill>
      <xdr:spPr>
        <a:prstGeom prst="rect">
          <a:avLst/>
        </a:prstGeom>
        <a:noFill/>
      </xdr:spPr>
    </xdr:pic>
    <xdr:clientData fLocksWithSheet="0"/>
  </xdr:oneCellAnchor>
  <xdr:oneCellAnchor>
    <xdr:from>
      <xdr:col>6</xdr:col>
      <xdr:colOff>38100</xdr:colOff>
      <xdr:row>740</xdr:row>
      <xdr:rowOff>38100</xdr:rowOff>
    </xdr:from>
    <xdr:ext cx="647700" cy="457200"/>
    <xdr:pic>
      <xdr:nvPicPr>
        <xdr:cNvPr id="0" name="image548.jpg"/>
        <xdr:cNvPicPr preferRelativeResize="0"/>
      </xdr:nvPicPr>
      <xdr:blipFill>
        <a:blip cstate="print" r:embed="rId455"/>
        <a:stretch>
          <a:fillRect/>
        </a:stretch>
      </xdr:blipFill>
      <xdr:spPr>
        <a:prstGeom prst="rect">
          <a:avLst/>
        </a:prstGeom>
        <a:noFill/>
      </xdr:spPr>
    </xdr:pic>
    <xdr:clientData fLocksWithSheet="0"/>
  </xdr:oneCellAnchor>
  <xdr:oneCellAnchor>
    <xdr:from>
      <xdr:col>6</xdr:col>
      <xdr:colOff>38100</xdr:colOff>
      <xdr:row>741</xdr:row>
      <xdr:rowOff>38100</xdr:rowOff>
    </xdr:from>
    <xdr:ext cx="304800" cy="514350"/>
    <xdr:pic>
      <xdr:nvPicPr>
        <xdr:cNvPr id="0" name="image425.jpg"/>
        <xdr:cNvPicPr preferRelativeResize="0"/>
      </xdr:nvPicPr>
      <xdr:blipFill>
        <a:blip cstate="print" r:embed="rId456"/>
        <a:stretch>
          <a:fillRect/>
        </a:stretch>
      </xdr:blipFill>
      <xdr:spPr>
        <a:prstGeom prst="rect">
          <a:avLst/>
        </a:prstGeom>
        <a:noFill/>
      </xdr:spPr>
    </xdr:pic>
    <xdr:clientData fLocksWithSheet="0"/>
  </xdr:oneCellAnchor>
  <xdr:oneCellAnchor>
    <xdr:from>
      <xdr:col>6</xdr:col>
      <xdr:colOff>38100</xdr:colOff>
      <xdr:row>742</xdr:row>
      <xdr:rowOff>38100</xdr:rowOff>
    </xdr:from>
    <xdr:ext cx="647700" cy="352425"/>
    <xdr:pic>
      <xdr:nvPicPr>
        <xdr:cNvPr id="0" name="image447.jpg"/>
        <xdr:cNvPicPr preferRelativeResize="0"/>
      </xdr:nvPicPr>
      <xdr:blipFill>
        <a:blip cstate="print" r:embed="rId457"/>
        <a:stretch>
          <a:fillRect/>
        </a:stretch>
      </xdr:blipFill>
      <xdr:spPr>
        <a:prstGeom prst="rect">
          <a:avLst/>
        </a:prstGeom>
        <a:noFill/>
      </xdr:spPr>
    </xdr:pic>
    <xdr:clientData fLocksWithSheet="0"/>
  </xdr:oneCellAnchor>
  <xdr:oneCellAnchor>
    <xdr:from>
      <xdr:col>6</xdr:col>
      <xdr:colOff>38100</xdr:colOff>
      <xdr:row>743</xdr:row>
      <xdr:rowOff>38100</xdr:rowOff>
    </xdr:from>
    <xdr:ext cx="647700" cy="190500"/>
    <xdr:pic>
      <xdr:nvPicPr>
        <xdr:cNvPr id="0" name="image474.jpg"/>
        <xdr:cNvPicPr preferRelativeResize="0"/>
      </xdr:nvPicPr>
      <xdr:blipFill>
        <a:blip cstate="print" r:embed="rId458"/>
        <a:stretch>
          <a:fillRect/>
        </a:stretch>
      </xdr:blipFill>
      <xdr:spPr>
        <a:prstGeom prst="rect">
          <a:avLst/>
        </a:prstGeom>
        <a:noFill/>
      </xdr:spPr>
    </xdr:pic>
    <xdr:clientData fLocksWithSheet="0"/>
  </xdr:oneCellAnchor>
  <xdr:oneCellAnchor>
    <xdr:from>
      <xdr:col>6</xdr:col>
      <xdr:colOff>38100</xdr:colOff>
      <xdr:row>744</xdr:row>
      <xdr:rowOff>38100</xdr:rowOff>
    </xdr:from>
    <xdr:ext cx="638175" cy="514350"/>
    <xdr:pic>
      <xdr:nvPicPr>
        <xdr:cNvPr id="0" name="image431.jpg"/>
        <xdr:cNvPicPr preferRelativeResize="0"/>
      </xdr:nvPicPr>
      <xdr:blipFill>
        <a:blip cstate="print" r:embed="rId459"/>
        <a:stretch>
          <a:fillRect/>
        </a:stretch>
      </xdr:blipFill>
      <xdr:spPr>
        <a:prstGeom prst="rect">
          <a:avLst/>
        </a:prstGeom>
        <a:noFill/>
      </xdr:spPr>
    </xdr:pic>
    <xdr:clientData fLocksWithSheet="0"/>
  </xdr:oneCellAnchor>
  <xdr:oneCellAnchor>
    <xdr:from>
      <xdr:col>6</xdr:col>
      <xdr:colOff>38100</xdr:colOff>
      <xdr:row>745</xdr:row>
      <xdr:rowOff>38100</xdr:rowOff>
    </xdr:from>
    <xdr:ext cx="323850" cy="419100"/>
    <xdr:pic>
      <xdr:nvPicPr>
        <xdr:cNvPr id="0" name="image446.jpg"/>
        <xdr:cNvPicPr preferRelativeResize="0"/>
      </xdr:nvPicPr>
      <xdr:blipFill>
        <a:blip cstate="print" r:embed="rId460"/>
        <a:stretch>
          <a:fillRect/>
        </a:stretch>
      </xdr:blipFill>
      <xdr:spPr>
        <a:prstGeom prst="rect">
          <a:avLst/>
        </a:prstGeom>
        <a:noFill/>
      </xdr:spPr>
    </xdr:pic>
    <xdr:clientData fLocksWithSheet="0"/>
  </xdr:oneCellAnchor>
  <xdr:oneCellAnchor>
    <xdr:from>
      <xdr:col>6</xdr:col>
      <xdr:colOff>38100</xdr:colOff>
      <xdr:row>746</xdr:row>
      <xdr:rowOff>38100</xdr:rowOff>
    </xdr:from>
    <xdr:ext cx="323850" cy="419100"/>
    <xdr:pic>
      <xdr:nvPicPr>
        <xdr:cNvPr id="0" name="image446.jpg"/>
        <xdr:cNvPicPr preferRelativeResize="0"/>
      </xdr:nvPicPr>
      <xdr:blipFill>
        <a:blip cstate="print" r:embed="rId460"/>
        <a:stretch>
          <a:fillRect/>
        </a:stretch>
      </xdr:blipFill>
      <xdr:spPr>
        <a:prstGeom prst="rect">
          <a:avLst/>
        </a:prstGeom>
        <a:noFill/>
      </xdr:spPr>
    </xdr:pic>
    <xdr:clientData fLocksWithSheet="0"/>
  </xdr:oneCellAnchor>
  <xdr:oneCellAnchor>
    <xdr:from>
      <xdr:col>6</xdr:col>
      <xdr:colOff>38100</xdr:colOff>
      <xdr:row>747</xdr:row>
      <xdr:rowOff>38100</xdr:rowOff>
    </xdr:from>
    <xdr:ext cx="609600" cy="514350"/>
    <xdr:pic>
      <xdr:nvPicPr>
        <xdr:cNvPr id="0" name="image489.jpg"/>
        <xdr:cNvPicPr preferRelativeResize="0"/>
      </xdr:nvPicPr>
      <xdr:blipFill>
        <a:blip cstate="print" r:embed="rId461"/>
        <a:stretch>
          <a:fillRect/>
        </a:stretch>
      </xdr:blipFill>
      <xdr:spPr>
        <a:prstGeom prst="rect">
          <a:avLst/>
        </a:prstGeom>
        <a:noFill/>
      </xdr:spPr>
    </xdr:pic>
    <xdr:clientData fLocksWithSheet="0"/>
  </xdr:oneCellAnchor>
  <xdr:oneCellAnchor>
    <xdr:from>
      <xdr:col>6</xdr:col>
      <xdr:colOff>38100</xdr:colOff>
      <xdr:row>748</xdr:row>
      <xdr:rowOff>38100</xdr:rowOff>
    </xdr:from>
    <xdr:ext cx="428625" cy="514350"/>
    <xdr:pic>
      <xdr:nvPicPr>
        <xdr:cNvPr id="0" name="image445.jpg"/>
        <xdr:cNvPicPr preferRelativeResize="0"/>
      </xdr:nvPicPr>
      <xdr:blipFill>
        <a:blip cstate="print" r:embed="rId462"/>
        <a:stretch>
          <a:fillRect/>
        </a:stretch>
      </xdr:blipFill>
      <xdr:spPr>
        <a:prstGeom prst="rect">
          <a:avLst/>
        </a:prstGeom>
        <a:noFill/>
      </xdr:spPr>
    </xdr:pic>
    <xdr:clientData fLocksWithSheet="0"/>
  </xdr:oneCellAnchor>
  <xdr:oneCellAnchor>
    <xdr:from>
      <xdr:col>6</xdr:col>
      <xdr:colOff>38100</xdr:colOff>
      <xdr:row>749</xdr:row>
      <xdr:rowOff>38100</xdr:rowOff>
    </xdr:from>
    <xdr:ext cx="428625" cy="514350"/>
    <xdr:pic>
      <xdr:nvPicPr>
        <xdr:cNvPr id="0" name="image445.jpg"/>
        <xdr:cNvPicPr preferRelativeResize="0"/>
      </xdr:nvPicPr>
      <xdr:blipFill>
        <a:blip cstate="print" r:embed="rId462"/>
        <a:stretch>
          <a:fillRect/>
        </a:stretch>
      </xdr:blipFill>
      <xdr:spPr>
        <a:prstGeom prst="rect">
          <a:avLst/>
        </a:prstGeom>
        <a:noFill/>
      </xdr:spPr>
    </xdr:pic>
    <xdr:clientData fLocksWithSheet="0"/>
  </xdr:oneCellAnchor>
  <xdr:oneCellAnchor>
    <xdr:from>
      <xdr:col>6</xdr:col>
      <xdr:colOff>38100</xdr:colOff>
      <xdr:row>750</xdr:row>
      <xdr:rowOff>38100</xdr:rowOff>
    </xdr:from>
    <xdr:ext cx="428625" cy="514350"/>
    <xdr:pic>
      <xdr:nvPicPr>
        <xdr:cNvPr id="0" name="image445.jpg"/>
        <xdr:cNvPicPr preferRelativeResize="0"/>
      </xdr:nvPicPr>
      <xdr:blipFill>
        <a:blip cstate="print" r:embed="rId462"/>
        <a:stretch>
          <a:fillRect/>
        </a:stretch>
      </xdr:blipFill>
      <xdr:spPr>
        <a:prstGeom prst="rect">
          <a:avLst/>
        </a:prstGeom>
        <a:noFill/>
      </xdr:spPr>
    </xdr:pic>
    <xdr:clientData fLocksWithSheet="0"/>
  </xdr:oneCellAnchor>
  <xdr:oneCellAnchor>
    <xdr:from>
      <xdr:col>6</xdr:col>
      <xdr:colOff>38100</xdr:colOff>
      <xdr:row>751</xdr:row>
      <xdr:rowOff>38100</xdr:rowOff>
    </xdr:from>
    <xdr:ext cx="504825" cy="409575"/>
    <xdr:pic>
      <xdr:nvPicPr>
        <xdr:cNvPr id="0" name="image448.jpg"/>
        <xdr:cNvPicPr preferRelativeResize="0"/>
      </xdr:nvPicPr>
      <xdr:blipFill>
        <a:blip cstate="print" r:embed="rId463"/>
        <a:stretch>
          <a:fillRect/>
        </a:stretch>
      </xdr:blipFill>
      <xdr:spPr>
        <a:prstGeom prst="rect">
          <a:avLst/>
        </a:prstGeom>
        <a:noFill/>
      </xdr:spPr>
    </xdr:pic>
    <xdr:clientData fLocksWithSheet="0"/>
  </xdr:oneCellAnchor>
  <xdr:oneCellAnchor>
    <xdr:from>
      <xdr:col>6</xdr:col>
      <xdr:colOff>38100</xdr:colOff>
      <xdr:row>752</xdr:row>
      <xdr:rowOff>38100</xdr:rowOff>
    </xdr:from>
    <xdr:ext cx="609600" cy="514350"/>
    <xdr:pic>
      <xdr:nvPicPr>
        <xdr:cNvPr id="0" name="image457.jpg"/>
        <xdr:cNvPicPr preferRelativeResize="0"/>
      </xdr:nvPicPr>
      <xdr:blipFill>
        <a:blip cstate="print" r:embed="rId464"/>
        <a:stretch>
          <a:fillRect/>
        </a:stretch>
      </xdr:blipFill>
      <xdr:spPr>
        <a:prstGeom prst="rect">
          <a:avLst/>
        </a:prstGeom>
        <a:noFill/>
      </xdr:spPr>
    </xdr:pic>
    <xdr:clientData fLocksWithSheet="0"/>
  </xdr:oneCellAnchor>
  <xdr:oneCellAnchor>
    <xdr:from>
      <xdr:col>6</xdr:col>
      <xdr:colOff>38100</xdr:colOff>
      <xdr:row>753</xdr:row>
      <xdr:rowOff>38100</xdr:rowOff>
    </xdr:from>
    <xdr:ext cx="600075" cy="514350"/>
    <xdr:pic>
      <xdr:nvPicPr>
        <xdr:cNvPr id="0" name="image442.jpg"/>
        <xdr:cNvPicPr preferRelativeResize="0"/>
      </xdr:nvPicPr>
      <xdr:blipFill>
        <a:blip cstate="print" r:embed="rId465"/>
        <a:stretch>
          <a:fillRect/>
        </a:stretch>
      </xdr:blipFill>
      <xdr:spPr>
        <a:prstGeom prst="rect">
          <a:avLst/>
        </a:prstGeom>
        <a:noFill/>
      </xdr:spPr>
    </xdr:pic>
    <xdr:clientData fLocksWithSheet="0"/>
  </xdr:oneCellAnchor>
  <xdr:oneCellAnchor>
    <xdr:from>
      <xdr:col>6</xdr:col>
      <xdr:colOff>38100</xdr:colOff>
      <xdr:row>754</xdr:row>
      <xdr:rowOff>38100</xdr:rowOff>
    </xdr:from>
    <xdr:ext cx="561975" cy="514350"/>
    <xdr:pic>
      <xdr:nvPicPr>
        <xdr:cNvPr id="0" name="image521.jpg"/>
        <xdr:cNvPicPr preferRelativeResize="0"/>
      </xdr:nvPicPr>
      <xdr:blipFill>
        <a:blip cstate="print" r:embed="rId466"/>
        <a:stretch>
          <a:fillRect/>
        </a:stretch>
      </xdr:blipFill>
      <xdr:spPr>
        <a:prstGeom prst="rect">
          <a:avLst/>
        </a:prstGeom>
        <a:noFill/>
      </xdr:spPr>
    </xdr:pic>
    <xdr:clientData fLocksWithSheet="0"/>
  </xdr:oneCellAnchor>
  <xdr:oneCellAnchor>
    <xdr:from>
      <xdr:col>6</xdr:col>
      <xdr:colOff>38100</xdr:colOff>
      <xdr:row>755</xdr:row>
      <xdr:rowOff>38100</xdr:rowOff>
    </xdr:from>
    <xdr:ext cx="561975" cy="514350"/>
    <xdr:pic>
      <xdr:nvPicPr>
        <xdr:cNvPr id="0" name="image521.jpg"/>
        <xdr:cNvPicPr preferRelativeResize="0"/>
      </xdr:nvPicPr>
      <xdr:blipFill>
        <a:blip cstate="print" r:embed="rId466"/>
        <a:stretch>
          <a:fillRect/>
        </a:stretch>
      </xdr:blipFill>
      <xdr:spPr>
        <a:prstGeom prst="rect">
          <a:avLst/>
        </a:prstGeom>
        <a:noFill/>
      </xdr:spPr>
    </xdr:pic>
    <xdr:clientData fLocksWithSheet="0"/>
  </xdr:oneCellAnchor>
  <xdr:oneCellAnchor>
    <xdr:from>
      <xdr:col>6</xdr:col>
      <xdr:colOff>38100</xdr:colOff>
      <xdr:row>756</xdr:row>
      <xdr:rowOff>38100</xdr:rowOff>
    </xdr:from>
    <xdr:ext cx="647700" cy="400050"/>
    <xdr:pic>
      <xdr:nvPicPr>
        <xdr:cNvPr id="0" name="image482.jpg"/>
        <xdr:cNvPicPr preferRelativeResize="0"/>
      </xdr:nvPicPr>
      <xdr:blipFill>
        <a:blip cstate="print" r:embed="rId467"/>
        <a:stretch>
          <a:fillRect/>
        </a:stretch>
      </xdr:blipFill>
      <xdr:spPr>
        <a:prstGeom prst="rect">
          <a:avLst/>
        </a:prstGeom>
        <a:noFill/>
      </xdr:spPr>
    </xdr:pic>
    <xdr:clientData fLocksWithSheet="0"/>
  </xdr:oneCellAnchor>
  <xdr:oneCellAnchor>
    <xdr:from>
      <xdr:col>6</xdr:col>
      <xdr:colOff>38100</xdr:colOff>
      <xdr:row>757</xdr:row>
      <xdr:rowOff>38100</xdr:rowOff>
    </xdr:from>
    <xdr:ext cx="476250" cy="238125"/>
    <xdr:pic>
      <xdr:nvPicPr>
        <xdr:cNvPr id="0" name="image476.jpg"/>
        <xdr:cNvPicPr preferRelativeResize="0"/>
      </xdr:nvPicPr>
      <xdr:blipFill>
        <a:blip cstate="print" r:embed="rId468"/>
        <a:stretch>
          <a:fillRect/>
        </a:stretch>
      </xdr:blipFill>
      <xdr:spPr>
        <a:prstGeom prst="rect">
          <a:avLst/>
        </a:prstGeom>
        <a:noFill/>
      </xdr:spPr>
    </xdr:pic>
    <xdr:clientData fLocksWithSheet="0"/>
  </xdr:oneCellAnchor>
  <xdr:oneCellAnchor>
    <xdr:from>
      <xdr:col>6</xdr:col>
      <xdr:colOff>38100</xdr:colOff>
      <xdr:row>758</xdr:row>
      <xdr:rowOff>38100</xdr:rowOff>
    </xdr:from>
    <xdr:ext cx="647700" cy="266700"/>
    <xdr:pic>
      <xdr:nvPicPr>
        <xdr:cNvPr id="0" name="image437.jpg"/>
        <xdr:cNvPicPr preferRelativeResize="0"/>
      </xdr:nvPicPr>
      <xdr:blipFill>
        <a:blip cstate="print" r:embed="rId469"/>
        <a:stretch>
          <a:fillRect/>
        </a:stretch>
      </xdr:blipFill>
      <xdr:spPr>
        <a:prstGeom prst="rect">
          <a:avLst/>
        </a:prstGeom>
        <a:noFill/>
      </xdr:spPr>
    </xdr:pic>
    <xdr:clientData fLocksWithSheet="0"/>
  </xdr:oneCellAnchor>
  <xdr:oneCellAnchor>
    <xdr:from>
      <xdr:col>6</xdr:col>
      <xdr:colOff>38100</xdr:colOff>
      <xdr:row>759</xdr:row>
      <xdr:rowOff>38100</xdr:rowOff>
    </xdr:from>
    <xdr:ext cx="647700" cy="409575"/>
    <xdr:pic>
      <xdr:nvPicPr>
        <xdr:cNvPr id="0" name="image488.jpg"/>
        <xdr:cNvPicPr preferRelativeResize="0"/>
      </xdr:nvPicPr>
      <xdr:blipFill>
        <a:blip cstate="print" r:embed="rId470"/>
        <a:stretch>
          <a:fillRect/>
        </a:stretch>
      </xdr:blipFill>
      <xdr:spPr>
        <a:prstGeom prst="rect">
          <a:avLst/>
        </a:prstGeom>
        <a:noFill/>
      </xdr:spPr>
    </xdr:pic>
    <xdr:clientData fLocksWithSheet="0"/>
  </xdr:oneCellAnchor>
  <xdr:oneCellAnchor>
    <xdr:from>
      <xdr:col>6</xdr:col>
      <xdr:colOff>38100</xdr:colOff>
      <xdr:row>760</xdr:row>
      <xdr:rowOff>38100</xdr:rowOff>
    </xdr:from>
    <xdr:ext cx="561975" cy="514350"/>
    <xdr:pic>
      <xdr:nvPicPr>
        <xdr:cNvPr id="0" name="image521.jpg"/>
        <xdr:cNvPicPr preferRelativeResize="0"/>
      </xdr:nvPicPr>
      <xdr:blipFill>
        <a:blip cstate="print" r:embed="rId466"/>
        <a:stretch>
          <a:fillRect/>
        </a:stretch>
      </xdr:blipFill>
      <xdr:spPr>
        <a:prstGeom prst="rect">
          <a:avLst/>
        </a:prstGeom>
        <a:noFill/>
      </xdr:spPr>
    </xdr:pic>
    <xdr:clientData fLocksWithSheet="0"/>
  </xdr:oneCellAnchor>
  <xdr:oneCellAnchor>
    <xdr:from>
      <xdr:col>6</xdr:col>
      <xdr:colOff>38100</xdr:colOff>
      <xdr:row>761</xdr:row>
      <xdr:rowOff>38100</xdr:rowOff>
    </xdr:from>
    <xdr:ext cx="457200" cy="428625"/>
    <xdr:pic>
      <xdr:nvPicPr>
        <xdr:cNvPr id="0" name="image475.jpg"/>
        <xdr:cNvPicPr preferRelativeResize="0"/>
      </xdr:nvPicPr>
      <xdr:blipFill>
        <a:blip cstate="print" r:embed="rId471"/>
        <a:stretch>
          <a:fillRect/>
        </a:stretch>
      </xdr:blipFill>
      <xdr:spPr>
        <a:prstGeom prst="rect">
          <a:avLst/>
        </a:prstGeom>
        <a:noFill/>
      </xdr:spPr>
    </xdr:pic>
    <xdr:clientData fLocksWithSheet="0"/>
  </xdr:oneCellAnchor>
  <xdr:oneCellAnchor>
    <xdr:from>
      <xdr:col>6</xdr:col>
      <xdr:colOff>38100</xdr:colOff>
      <xdr:row>762</xdr:row>
      <xdr:rowOff>38100</xdr:rowOff>
    </xdr:from>
    <xdr:ext cx="647700" cy="409575"/>
    <xdr:pic>
      <xdr:nvPicPr>
        <xdr:cNvPr id="0" name="image444.jpg"/>
        <xdr:cNvPicPr preferRelativeResize="0"/>
      </xdr:nvPicPr>
      <xdr:blipFill>
        <a:blip cstate="print" r:embed="rId472"/>
        <a:stretch>
          <a:fillRect/>
        </a:stretch>
      </xdr:blipFill>
      <xdr:spPr>
        <a:prstGeom prst="rect">
          <a:avLst/>
        </a:prstGeom>
        <a:noFill/>
      </xdr:spPr>
    </xdr:pic>
    <xdr:clientData fLocksWithSheet="0"/>
  </xdr:oneCellAnchor>
  <xdr:oneCellAnchor>
    <xdr:from>
      <xdr:col>6</xdr:col>
      <xdr:colOff>38100</xdr:colOff>
      <xdr:row>763</xdr:row>
      <xdr:rowOff>38100</xdr:rowOff>
    </xdr:from>
    <xdr:ext cx="571500" cy="514350"/>
    <xdr:pic>
      <xdr:nvPicPr>
        <xdr:cNvPr id="0" name="image466.jpg"/>
        <xdr:cNvPicPr preferRelativeResize="0"/>
      </xdr:nvPicPr>
      <xdr:blipFill>
        <a:blip cstate="print" r:embed="rId473"/>
        <a:stretch>
          <a:fillRect/>
        </a:stretch>
      </xdr:blipFill>
      <xdr:spPr>
        <a:prstGeom prst="rect">
          <a:avLst/>
        </a:prstGeom>
        <a:noFill/>
      </xdr:spPr>
    </xdr:pic>
    <xdr:clientData fLocksWithSheet="0"/>
  </xdr:oneCellAnchor>
  <xdr:oneCellAnchor>
    <xdr:from>
      <xdr:col>6</xdr:col>
      <xdr:colOff>38100</xdr:colOff>
      <xdr:row>764</xdr:row>
      <xdr:rowOff>38100</xdr:rowOff>
    </xdr:from>
    <xdr:ext cx="647700" cy="514350"/>
    <xdr:pic>
      <xdr:nvPicPr>
        <xdr:cNvPr id="0" name="image441.jpg"/>
        <xdr:cNvPicPr preferRelativeResize="0"/>
      </xdr:nvPicPr>
      <xdr:blipFill>
        <a:blip cstate="print" r:embed="rId474"/>
        <a:stretch>
          <a:fillRect/>
        </a:stretch>
      </xdr:blipFill>
      <xdr:spPr>
        <a:prstGeom prst="rect">
          <a:avLst/>
        </a:prstGeom>
        <a:noFill/>
      </xdr:spPr>
    </xdr:pic>
    <xdr:clientData fLocksWithSheet="0"/>
  </xdr:oneCellAnchor>
  <xdr:oneCellAnchor>
    <xdr:from>
      <xdr:col>6</xdr:col>
      <xdr:colOff>38100</xdr:colOff>
      <xdr:row>765</xdr:row>
      <xdr:rowOff>38100</xdr:rowOff>
    </xdr:from>
    <xdr:ext cx="647700" cy="514350"/>
    <xdr:pic>
      <xdr:nvPicPr>
        <xdr:cNvPr id="0" name="image506.jpg"/>
        <xdr:cNvPicPr preferRelativeResize="0"/>
      </xdr:nvPicPr>
      <xdr:blipFill>
        <a:blip cstate="print" r:embed="rId475"/>
        <a:stretch>
          <a:fillRect/>
        </a:stretch>
      </xdr:blipFill>
      <xdr:spPr>
        <a:prstGeom prst="rect">
          <a:avLst/>
        </a:prstGeom>
        <a:noFill/>
      </xdr:spPr>
    </xdr:pic>
    <xdr:clientData fLocksWithSheet="0"/>
  </xdr:oneCellAnchor>
  <xdr:oneCellAnchor>
    <xdr:from>
      <xdr:col>6</xdr:col>
      <xdr:colOff>38100</xdr:colOff>
      <xdr:row>766</xdr:row>
      <xdr:rowOff>38100</xdr:rowOff>
    </xdr:from>
    <xdr:ext cx="533400" cy="514350"/>
    <xdr:pic>
      <xdr:nvPicPr>
        <xdr:cNvPr id="0" name="image436.jpg"/>
        <xdr:cNvPicPr preferRelativeResize="0"/>
      </xdr:nvPicPr>
      <xdr:blipFill>
        <a:blip cstate="print" r:embed="rId476"/>
        <a:stretch>
          <a:fillRect/>
        </a:stretch>
      </xdr:blipFill>
      <xdr:spPr>
        <a:prstGeom prst="rect">
          <a:avLst/>
        </a:prstGeom>
        <a:noFill/>
      </xdr:spPr>
    </xdr:pic>
    <xdr:clientData fLocksWithSheet="0"/>
  </xdr:oneCellAnchor>
  <xdr:oneCellAnchor>
    <xdr:from>
      <xdr:col>6</xdr:col>
      <xdr:colOff>38100</xdr:colOff>
      <xdr:row>767</xdr:row>
      <xdr:rowOff>38100</xdr:rowOff>
    </xdr:from>
    <xdr:ext cx="514350" cy="514350"/>
    <xdr:pic>
      <xdr:nvPicPr>
        <xdr:cNvPr id="0" name="image468.jpg"/>
        <xdr:cNvPicPr preferRelativeResize="0"/>
      </xdr:nvPicPr>
      <xdr:blipFill>
        <a:blip cstate="print" r:embed="rId477"/>
        <a:stretch>
          <a:fillRect/>
        </a:stretch>
      </xdr:blipFill>
      <xdr:spPr>
        <a:prstGeom prst="rect">
          <a:avLst/>
        </a:prstGeom>
        <a:noFill/>
      </xdr:spPr>
    </xdr:pic>
    <xdr:clientData fLocksWithSheet="0"/>
  </xdr:oneCellAnchor>
  <xdr:oneCellAnchor>
    <xdr:from>
      <xdr:col>6</xdr:col>
      <xdr:colOff>38100</xdr:colOff>
      <xdr:row>768</xdr:row>
      <xdr:rowOff>38100</xdr:rowOff>
    </xdr:from>
    <xdr:ext cx="514350" cy="514350"/>
    <xdr:pic>
      <xdr:nvPicPr>
        <xdr:cNvPr id="0" name="image484.jpg"/>
        <xdr:cNvPicPr preferRelativeResize="0"/>
      </xdr:nvPicPr>
      <xdr:blipFill>
        <a:blip cstate="print" r:embed="rId478"/>
        <a:stretch>
          <a:fillRect/>
        </a:stretch>
      </xdr:blipFill>
      <xdr:spPr>
        <a:prstGeom prst="rect">
          <a:avLst/>
        </a:prstGeom>
        <a:noFill/>
      </xdr:spPr>
    </xdr:pic>
    <xdr:clientData fLocksWithSheet="0"/>
  </xdr:oneCellAnchor>
  <xdr:oneCellAnchor>
    <xdr:from>
      <xdr:col>6</xdr:col>
      <xdr:colOff>38100</xdr:colOff>
      <xdr:row>769</xdr:row>
      <xdr:rowOff>38100</xdr:rowOff>
    </xdr:from>
    <xdr:ext cx="542925" cy="447675"/>
    <xdr:pic>
      <xdr:nvPicPr>
        <xdr:cNvPr id="0" name="image565.jpg"/>
        <xdr:cNvPicPr preferRelativeResize="0"/>
      </xdr:nvPicPr>
      <xdr:blipFill>
        <a:blip cstate="print" r:embed="rId479"/>
        <a:stretch>
          <a:fillRect/>
        </a:stretch>
      </xdr:blipFill>
      <xdr:spPr>
        <a:prstGeom prst="rect">
          <a:avLst/>
        </a:prstGeom>
        <a:noFill/>
      </xdr:spPr>
    </xdr:pic>
    <xdr:clientData fLocksWithSheet="0"/>
  </xdr:oneCellAnchor>
  <xdr:oneCellAnchor>
    <xdr:from>
      <xdr:col>6</xdr:col>
      <xdr:colOff>38100</xdr:colOff>
      <xdr:row>770</xdr:row>
      <xdr:rowOff>38100</xdr:rowOff>
    </xdr:from>
    <xdr:ext cx="476250" cy="409575"/>
    <xdr:pic>
      <xdr:nvPicPr>
        <xdr:cNvPr id="0" name="image458.jpg"/>
        <xdr:cNvPicPr preferRelativeResize="0"/>
      </xdr:nvPicPr>
      <xdr:blipFill>
        <a:blip cstate="print" r:embed="rId480"/>
        <a:stretch>
          <a:fillRect/>
        </a:stretch>
      </xdr:blipFill>
      <xdr:spPr>
        <a:prstGeom prst="rect">
          <a:avLst/>
        </a:prstGeom>
        <a:noFill/>
      </xdr:spPr>
    </xdr:pic>
    <xdr:clientData fLocksWithSheet="0"/>
  </xdr:oneCellAnchor>
  <xdr:oneCellAnchor>
    <xdr:from>
      <xdr:col>6</xdr:col>
      <xdr:colOff>38100</xdr:colOff>
      <xdr:row>771</xdr:row>
      <xdr:rowOff>38100</xdr:rowOff>
    </xdr:from>
    <xdr:ext cx="514350" cy="514350"/>
    <xdr:pic>
      <xdr:nvPicPr>
        <xdr:cNvPr id="0" name="image468.jpg"/>
        <xdr:cNvPicPr preferRelativeResize="0"/>
      </xdr:nvPicPr>
      <xdr:blipFill>
        <a:blip cstate="print" r:embed="rId477"/>
        <a:stretch>
          <a:fillRect/>
        </a:stretch>
      </xdr:blipFill>
      <xdr:spPr>
        <a:prstGeom prst="rect">
          <a:avLst/>
        </a:prstGeom>
        <a:noFill/>
      </xdr:spPr>
    </xdr:pic>
    <xdr:clientData fLocksWithSheet="0"/>
  </xdr:oneCellAnchor>
  <xdr:oneCellAnchor>
    <xdr:from>
      <xdr:col>6</xdr:col>
      <xdr:colOff>38100</xdr:colOff>
      <xdr:row>772</xdr:row>
      <xdr:rowOff>38100</xdr:rowOff>
    </xdr:from>
    <xdr:ext cx="514350" cy="514350"/>
    <xdr:pic>
      <xdr:nvPicPr>
        <xdr:cNvPr id="0" name="image484.jpg"/>
        <xdr:cNvPicPr preferRelativeResize="0"/>
      </xdr:nvPicPr>
      <xdr:blipFill>
        <a:blip cstate="print" r:embed="rId478"/>
        <a:stretch>
          <a:fillRect/>
        </a:stretch>
      </xdr:blipFill>
      <xdr:spPr>
        <a:prstGeom prst="rect">
          <a:avLst/>
        </a:prstGeom>
        <a:noFill/>
      </xdr:spPr>
    </xdr:pic>
    <xdr:clientData fLocksWithSheet="0"/>
  </xdr:oneCellAnchor>
  <xdr:oneCellAnchor>
    <xdr:from>
      <xdr:col>6</xdr:col>
      <xdr:colOff>38100</xdr:colOff>
      <xdr:row>773</xdr:row>
      <xdr:rowOff>38100</xdr:rowOff>
    </xdr:from>
    <xdr:ext cx="542925" cy="447675"/>
    <xdr:pic>
      <xdr:nvPicPr>
        <xdr:cNvPr id="0" name="image565.jpg"/>
        <xdr:cNvPicPr preferRelativeResize="0"/>
      </xdr:nvPicPr>
      <xdr:blipFill>
        <a:blip cstate="print" r:embed="rId479"/>
        <a:stretch>
          <a:fillRect/>
        </a:stretch>
      </xdr:blipFill>
      <xdr:spPr>
        <a:prstGeom prst="rect">
          <a:avLst/>
        </a:prstGeom>
        <a:noFill/>
      </xdr:spPr>
    </xdr:pic>
    <xdr:clientData fLocksWithSheet="0"/>
  </xdr:oneCellAnchor>
  <xdr:oneCellAnchor>
    <xdr:from>
      <xdr:col>6</xdr:col>
      <xdr:colOff>38100</xdr:colOff>
      <xdr:row>775</xdr:row>
      <xdr:rowOff>38100</xdr:rowOff>
    </xdr:from>
    <xdr:ext cx="647700" cy="371475"/>
    <xdr:pic>
      <xdr:nvPicPr>
        <xdr:cNvPr id="0" name="image495.jpg"/>
        <xdr:cNvPicPr preferRelativeResize="0"/>
      </xdr:nvPicPr>
      <xdr:blipFill>
        <a:blip cstate="print" r:embed="rId481"/>
        <a:stretch>
          <a:fillRect/>
        </a:stretch>
      </xdr:blipFill>
      <xdr:spPr>
        <a:prstGeom prst="rect">
          <a:avLst/>
        </a:prstGeom>
        <a:noFill/>
      </xdr:spPr>
    </xdr:pic>
    <xdr:clientData fLocksWithSheet="0"/>
  </xdr:oneCellAnchor>
  <xdr:oneCellAnchor>
    <xdr:from>
      <xdr:col>6</xdr:col>
      <xdr:colOff>38100</xdr:colOff>
      <xdr:row>776</xdr:row>
      <xdr:rowOff>38100</xdr:rowOff>
    </xdr:from>
    <xdr:ext cx="647700" cy="409575"/>
    <xdr:pic>
      <xdr:nvPicPr>
        <xdr:cNvPr id="0" name="image460.jpg"/>
        <xdr:cNvPicPr preferRelativeResize="0"/>
      </xdr:nvPicPr>
      <xdr:blipFill>
        <a:blip cstate="print" r:embed="rId482"/>
        <a:stretch>
          <a:fillRect/>
        </a:stretch>
      </xdr:blipFill>
      <xdr:spPr>
        <a:prstGeom prst="rect">
          <a:avLst/>
        </a:prstGeom>
        <a:noFill/>
      </xdr:spPr>
    </xdr:pic>
    <xdr:clientData fLocksWithSheet="0"/>
  </xdr:oneCellAnchor>
  <xdr:oneCellAnchor>
    <xdr:from>
      <xdr:col>6</xdr:col>
      <xdr:colOff>38100</xdr:colOff>
      <xdr:row>777</xdr:row>
      <xdr:rowOff>38100</xdr:rowOff>
    </xdr:from>
    <xdr:ext cx="628650" cy="514350"/>
    <xdr:pic>
      <xdr:nvPicPr>
        <xdr:cNvPr id="0" name="image615.jpg"/>
        <xdr:cNvPicPr preferRelativeResize="0"/>
      </xdr:nvPicPr>
      <xdr:blipFill>
        <a:blip cstate="print" r:embed="rId483"/>
        <a:stretch>
          <a:fillRect/>
        </a:stretch>
      </xdr:blipFill>
      <xdr:spPr>
        <a:prstGeom prst="rect">
          <a:avLst/>
        </a:prstGeom>
        <a:noFill/>
      </xdr:spPr>
    </xdr:pic>
    <xdr:clientData fLocksWithSheet="0"/>
  </xdr:oneCellAnchor>
  <xdr:oneCellAnchor>
    <xdr:from>
      <xdr:col>6</xdr:col>
      <xdr:colOff>38100</xdr:colOff>
      <xdr:row>778</xdr:row>
      <xdr:rowOff>38100</xdr:rowOff>
    </xdr:from>
    <xdr:ext cx="514350" cy="514350"/>
    <xdr:pic>
      <xdr:nvPicPr>
        <xdr:cNvPr id="0" name="image468.jpg"/>
        <xdr:cNvPicPr preferRelativeResize="0"/>
      </xdr:nvPicPr>
      <xdr:blipFill>
        <a:blip cstate="print" r:embed="rId477"/>
        <a:stretch>
          <a:fillRect/>
        </a:stretch>
      </xdr:blipFill>
      <xdr:spPr>
        <a:prstGeom prst="rect">
          <a:avLst/>
        </a:prstGeom>
        <a:noFill/>
      </xdr:spPr>
    </xdr:pic>
    <xdr:clientData fLocksWithSheet="0"/>
  </xdr:oneCellAnchor>
  <xdr:oneCellAnchor>
    <xdr:from>
      <xdr:col>6</xdr:col>
      <xdr:colOff>38100</xdr:colOff>
      <xdr:row>779</xdr:row>
      <xdr:rowOff>38100</xdr:rowOff>
    </xdr:from>
    <xdr:ext cx="647700" cy="476250"/>
    <xdr:pic>
      <xdr:nvPicPr>
        <xdr:cNvPr id="0" name="image463.jpg"/>
        <xdr:cNvPicPr preferRelativeResize="0"/>
      </xdr:nvPicPr>
      <xdr:blipFill>
        <a:blip cstate="print" r:embed="rId484"/>
        <a:stretch>
          <a:fillRect/>
        </a:stretch>
      </xdr:blipFill>
      <xdr:spPr>
        <a:prstGeom prst="rect">
          <a:avLst/>
        </a:prstGeom>
        <a:noFill/>
      </xdr:spPr>
    </xdr:pic>
    <xdr:clientData fLocksWithSheet="0"/>
  </xdr:oneCellAnchor>
  <xdr:oneCellAnchor>
    <xdr:from>
      <xdr:col>6</xdr:col>
      <xdr:colOff>38100</xdr:colOff>
      <xdr:row>780</xdr:row>
      <xdr:rowOff>38100</xdr:rowOff>
    </xdr:from>
    <xdr:ext cx="514350" cy="514350"/>
    <xdr:pic>
      <xdr:nvPicPr>
        <xdr:cNvPr id="0" name="image468.jpg"/>
        <xdr:cNvPicPr preferRelativeResize="0"/>
      </xdr:nvPicPr>
      <xdr:blipFill>
        <a:blip cstate="print" r:embed="rId477"/>
        <a:stretch>
          <a:fillRect/>
        </a:stretch>
      </xdr:blipFill>
      <xdr:spPr>
        <a:prstGeom prst="rect">
          <a:avLst/>
        </a:prstGeom>
        <a:noFill/>
      </xdr:spPr>
    </xdr:pic>
    <xdr:clientData fLocksWithSheet="0"/>
  </xdr:oneCellAnchor>
  <xdr:oneCellAnchor>
    <xdr:from>
      <xdr:col>6</xdr:col>
      <xdr:colOff>38100</xdr:colOff>
      <xdr:row>781</xdr:row>
      <xdr:rowOff>38100</xdr:rowOff>
    </xdr:from>
    <xdr:ext cx="514350" cy="514350"/>
    <xdr:pic>
      <xdr:nvPicPr>
        <xdr:cNvPr id="0" name="image484.jpg"/>
        <xdr:cNvPicPr preferRelativeResize="0"/>
      </xdr:nvPicPr>
      <xdr:blipFill>
        <a:blip cstate="print" r:embed="rId478"/>
        <a:stretch>
          <a:fillRect/>
        </a:stretch>
      </xdr:blipFill>
      <xdr:spPr>
        <a:prstGeom prst="rect">
          <a:avLst/>
        </a:prstGeom>
        <a:noFill/>
      </xdr:spPr>
    </xdr:pic>
    <xdr:clientData fLocksWithSheet="0"/>
  </xdr:oneCellAnchor>
  <xdr:oneCellAnchor>
    <xdr:from>
      <xdr:col>6</xdr:col>
      <xdr:colOff>38100</xdr:colOff>
      <xdr:row>782</xdr:row>
      <xdr:rowOff>38100</xdr:rowOff>
    </xdr:from>
    <xdr:ext cx="514350" cy="514350"/>
    <xdr:pic>
      <xdr:nvPicPr>
        <xdr:cNvPr id="0" name="image468.jpg"/>
        <xdr:cNvPicPr preferRelativeResize="0"/>
      </xdr:nvPicPr>
      <xdr:blipFill>
        <a:blip cstate="print" r:embed="rId477"/>
        <a:stretch>
          <a:fillRect/>
        </a:stretch>
      </xdr:blipFill>
      <xdr:spPr>
        <a:prstGeom prst="rect">
          <a:avLst/>
        </a:prstGeom>
        <a:noFill/>
      </xdr:spPr>
    </xdr:pic>
    <xdr:clientData fLocksWithSheet="0"/>
  </xdr:oneCellAnchor>
  <xdr:oneCellAnchor>
    <xdr:from>
      <xdr:col>6</xdr:col>
      <xdr:colOff>38100</xdr:colOff>
      <xdr:row>783</xdr:row>
      <xdr:rowOff>38100</xdr:rowOff>
    </xdr:from>
    <xdr:ext cx="514350" cy="514350"/>
    <xdr:pic>
      <xdr:nvPicPr>
        <xdr:cNvPr id="0" name="image484.jpg"/>
        <xdr:cNvPicPr preferRelativeResize="0"/>
      </xdr:nvPicPr>
      <xdr:blipFill>
        <a:blip cstate="print" r:embed="rId478"/>
        <a:stretch>
          <a:fillRect/>
        </a:stretch>
      </xdr:blipFill>
      <xdr:spPr>
        <a:prstGeom prst="rect">
          <a:avLst/>
        </a:prstGeom>
        <a:noFill/>
      </xdr:spPr>
    </xdr:pic>
    <xdr:clientData fLocksWithSheet="0"/>
  </xdr:oneCellAnchor>
  <xdr:oneCellAnchor>
    <xdr:from>
      <xdr:col>6</xdr:col>
      <xdr:colOff>38100</xdr:colOff>
      <xdr:row>784</xdr:row>
      <xdr:rowOff>38100</xdr:rowOff>
    </xdr:from>
    <xdr:ext cx="561975" cy="514350"/>
    <xdr:pic>
      <xdr:nvPicPr>
        <xdr:cNvPr id="0" name="image528.jpg"/>
        <xdr:cNvPicPr preferRelativeResize="0"/>
      </xdr:nvPicPr>
      <xdr:blipFill>
        <a:blip cstate="print" r:embed="rId485"/>
        <a:stretch>
          <a:fillRect/>
        </a:stretch>
      </xdr:blipFill>
      <xdr:spPr>
        <a:prstGeom prst="rect">
          <a:avLst/>
        </a:prstGeom>
        <a:noFill/>
      </xdr:spPr>
    </xdr:pic>
    <xdr:clientData fLocksWithSheet="0"/>
  </xdr:oneCellAnchor>
  <xdr:oneCellAnchor>
    <xdr:from>
      <xdr:col>6</xdr:col>
      <xdr:colOff>38100</xdr:colOff>
      <xdr:row>785</xdr:row>
      <xdr:rowOff>38100</xdr:rowOff>
    </xdr:from>
    <xdr:ext cx="514350" cy="514350"/>
    <xdr:pic>
      <xdr:nvPicPr>
        <xdr:cNvPr id="0" name="image500.jpg"/>
        <xdr:cNvPicPr preferRelativeResize="0"/>
      </xdr:nvPicPr>
      <xdr:blipFill>
        <a:blip cstate="print" r:embed="rId486"/>
        <a:stretch>
          <a:fillRect/>
        </a:stretch>
      </xdr:blipFill>
      <xdr:spPr>
        <a:prstGeom prst="rect">
          <a:avLst/>
        </a:prstGeom>
        <a:noFill/>
      </xdr:spPr>
    </xdr:pic>
    <xdr:clientData fLocksWithSheet="0"/>
  </xdr:oneCellAnchor>
  <xdr:oneCellAnchor>
    <xdr:from>
      <xdr:col>6</xdr:col>
      <xdr:colOff>38100</xdr:colOff>
      <xdr:row>786</xdr:row>
      <xdr:rowOff>38100</xdr:rowOff>
    </xdr:from>
    <xdr:ext cx="476250" cy="514350"/>
    <xdr:pic>
      <xdr:nvPicPr>
        <xdr:cNvPr id="0" name="image529.jpg"/>
        <xdr:cNvPicPr preferRelativeResize="0"/>
      </xdr:nvPicPr>
      <xdr:blipFill>
        <a:blip cstate="print" r:embed="rId487"/>
        <a:stretch>
          <a:fillRect/>
        </a:stretch>
      </xdr:blipFill>
      <xdr:spPr>
        <a:prstGeom prst="rect">
          <a:avLst/>
        </a:prstGeom>
        <a:noFill/>
      </xdr:spPr>
    </xdr:pic>
    <xdr:clientData fLocksWithSheet="0"/>
  </xdr:oneCellAnchor>
  <xdr:oneCellAnchor>
    <xdr:from>
      <xdr:col>6</xdr:col>
      <xdr:colOff>38100</xdr:colOff>
      <xdr:row>787</xdr:row>
      <xdr:rowOff>38100</xdr:rowOff>
    </xdr:from>
    <xdr:ext cx="514350" cy="400050"/>
    <xdr:pic>
      <xdr:nvPicPr>
        <xdr:cNvPr id="0" name="image400.jpg"/>
        <xdr:cNvPicPr preferRelativeResize="0"/>
      </xdr:nvPicPr>
      <xdr:blipFill>
        <a:blip cstate="print" r:embed="rId409"/>
        <a:stretch>
          <a:fillRect/>
        </a:stretch>
      </xdr:blipFill>
      <xdr:spPr>
        <a:prstGeom prst="rect">
          <a:avLst/>
        </a:prstGeom>
        <a:noFill/>
      </xdr:spPr>
    </xdr:pic>
    <xdr:clientData fLocksWithSheet="0"/>
  </xdr:oneCellAnchor>
  <xdr:oneCellAnchor>
    <xdr:from>
      <xdr:col>6</xdr:col>
      <xdr:colOff>38100</xdr:colOff>
      <xdr:row>788</xdr:row>
      <xdr:rowOff>38100</xdr:rowOff>
    </xdr:from>
    <xdr:ext cx="609600" cy="514350"/>
    <xdr:pic>
      <xdr:nvPicPr>
        <xdr:cNvPr id="0" name="image526.jpg"/>
        <xdr:cNvPicPr preferRelativeResize="0"/>
      </xdr:nvPicPr>
      <xdr:blipFill>
        <a:blip cstate="print" r:embed="rId488"/>
        <a:stretch>
          <a:fillRect/>
        </a:stretch>
      </xdr:blipFill>
      <xdr:spPr>
        <a:prstGeom prst="rect">
          <a:avLst/>
        </a:prstGeom>
        <a:noFill/>
      </xdr:spPr>
    </xdr:pic>
    <xdr:clientData fLocksWithSheet="0"/>
  </xdr:oneCellAnchor>
  <xdr:oneCellAnchor>
    <xdr:from>
      <xdr:col>6</xdr:col>
      <xdr:colOff>38100</xdr:colOff>
      <xdr:row>789</xdr:row>
      <xdr:rowOff>38100</xdr:rowOff>
    </xdr:from>
    <xdr:ext cx="609600" cy="514350"/>
    <xdr:pic>
      <xdr:nvPicPr>
        <xdr:cNvPr id="0" name="image526.jpg"/>
        <xdr:cNvPicPr preferRelativeResize="0"/>
      </xdr:nvPicPr>
      <xdr:blipFill>
        <a:blip cstate="print" r:embed="rId488"/>
        <a:stretch>
          <a:fillRect/>
        </a:stretch>
      </xdr:blipFill>
      <xdr:spPr>
        <a:prstGeom prst="rect">
          <a:avLst/>
        </a:prstGeom>
        <a:noFill/>
      </xdr:spPr>
    </xdr:pic>
    <xdr:clientData fLocksWithSheet="0"/>
  </xdr:oneCellAnchor>
  <xdr:oneCellAnchor>
    <xdr:from>
      <xdr:col>6</xdr:col>
      <xdr:colOff>38100</xdr:colOff>
      <xdr:row>790</xdr:row>
      <xdr:rowOff>38100</xdr:rowOff>
    </xdr:from>
    <xdr:ext cx="428625" cy="514350"/>
    <xdr:pic>
      <xdr:nvPicPr>
        <xdr:cNvPr id="0" name="image511.jpg"/>
        <xdr:cNvPicPr preferRelativeResize="0"/>
      </xdr:nvPicPr>
      <xdr:blipFill>
        <a:blip cstate="print" r:embed="rId489"/>
        <a:stretch>
          <a:fillRect/>
        </a:stretch>
      </xdr:blipFill>
      <xdr:spPr>
        <a:prstGeom prst="rect">
          <a:avLst/>
        </a:prstGeom>
        <a:noFill/>
      </xdr:spPr>
    </xdr:pic>
    <xdr:clientData fLocksWithSheet="0"/>
  </xdr:oneCellAnchor>
  <xdr:oneCellAnchor>
    <xdr:from>
      <xdr:col>6</xdr:col>
      <xdr:colOff>38100</xdr:colOff>
      <xdr:row>791</xdr:row>
      <xdr:rowOff>38100</xdr:rowOff>
    </xdr:from>
    <xdr:ext cx="466725" cy="514350"/>
    <xdr:pic>
      <xdr:nvPicPr>
        <xdr:cNvPr id="0" name="image464.jpg"/>
        <xdr:cNvPicPr preferRelativeResize="0"/>
      </xdr:nvPicPr>
      <xdr:blipFill>
        <a:blip cstate="print" r:embed="rId490"/>
        <a:stretch>
          <a:fillRect/>
        </a:stretch>
      </xdr:blipFill>
      <xdr:spPr>
        <a:prstGeom prst="rect">
          <a:avLst/>
        </a:prstGeom>
        <a:noFill/>
      </xdr:spPr>
    </xdr:pic>
    <xdr:clientData fLocksWithSheet="0"/>
  </xdr:oneCellAnchor>
  <xdr:oneCellAnchor>
    <xdr:from>
      <xdr:col>6</xdr:col>
      <xdr:colOff>38100</xdr:colOff>
      <xdr:row>792</xdr:row>
      <xdr:rowOff>38100</xdr:rowOff>
    </xdr:from>
    <xdr:ext cx="523875" cy="514350"/>
    <xdr:pic>
      <xdr:nvPicPr>
        <xdr:cNvPr id="0" name="image469.jpg"/>
        <xdr:cNvPicPr preferRelativeResize="0"/>
      </xdr:nvPicPr>
      <xdr:blipFill>
        <a:blip cstate="print" r:embed="rId491"/>
        <a:stretch>
          <a:fillRect/>
        </a:stretch>
      </xdr:blipFill>
      <xdr:spPr>
        <a:prstGeom prst="rect">
          <a:avLst/>
        </a:prstGeom>
        <a:noFill/>
      </xdr:spPr>
    </xdr:pic>
    <xdr:clientData fLocksWithSheet="0"/>
  </xdr:oneCellAnchor>
  <xdr:oneCellAnchor>
    <xdr:from>
      <xdr:col>6</xdr:col>
      <xdr:colOff>38100</xdr:colOff>
      <xdr:row>793</xdr:row>
      <xdr:rowOff>38100</xdr:rowOff>
    </xdr:from>
    <xdr:ext cx="523875" cy="514350"/>
    <xdr:pic>
      <xdr:nvPicPr>
        <xdr:cNvPr id="0" name="image465.jpg"/>
        <xdr:cNvPicPr preferRelativeResize="0"/>
      </xdr:nvPicPr>
      <xdr:blipFill>
        <a:blip cstate="print" r:embed="rId492"/>
        <a:stretch>
          <a:fillRect/>
        </a:stretch>
      </xdr:blipFill>
      <xdr:spPr>
        <a:prstGeom prst="rect">
          <a:avLst/>
        </a:prstGeom>
        <a:noFill/>
      </xdr:spPr>
    </xdr:pic>
    <xdr:clientData fLocksWithSheet="0"/>
  </xdr:oneCellAnchor>
  <xdr:oneCellAnchor>
    <xdr:from>
      <xdr:col>6</xdr:col>
      <xdr:colOff>38100</xdr:colOff>
      <xdr:row>794</xdr:row>
      <xdr:rowOff>38100</xdr:rowOff>
    </xdr:from>
    <xdr:ext cx="523875" cy="514350"/>
    <xdr:pic>
      <xdr:nvPicPr>
        <xdr:cNvPr id="0" name="image465.jpg"/>
        <xdr:cNvPicPr preferRelativeResize="0"/>
      </xdr:nvPicPr>
      <xdr:blipFill>
        <a:blip cstate="print" r:embed="rId492"/>
        <a:stretch>
          <a:fillRect/>
        </a:stretch>
      </xdr:blipFill>
      <xdr:spPr>
        <a:prstGeom prst="rect">
          <a:avLst/>
        </a:prstGeom>
        <a:noFill/>
      </xdr:spPr>
    </xdr:pic>
    <xdr:clientData fLocksWithSheet="0"/>
  </xdr:oneCellAnchor>
  <xdr:oneCellAnchor>
    <xdr:from>
      <xdr:col>6</xdr:col>
      <xdr:colOff>38100</xdr:colOff>
      <xdr:row>795</xdr:row>
      <xdr:rowOff>38100</xdr:rowOff>
    </xdr:from>
    <xdr:ext cx="609600" cy="514350"/>
    <xdr:pic>
      <xdr:nvPicPr>
        <xdr:cNvPr id="0" name="image494.jpg"/>
        <xdr:cNvPicPr preferRelativeResize="0"/>
      </xdr:nvPicPr>
      <xdr:blipFill>
        <a:blip cstate="print" r:embed="rId493"/>
        <a:stretch>
          <a:fillRect/>
        </a:stretch>
      </xdr:blipFill>
      <xdr:spPr>
        <a:prstGeom prst="rect">
          <a:avLst/>
        </a:prstGeom>
        <a:noFill/>
      </xdr:spPr>
    </xdr:pic>
    <xdr:clientData fLocksWithSheet="0"/>
  </xdr:oneCellAnchor>
  <xdr:oneCellAnchor>
    <xdr:from>
      <xdr:col>6</xdr:col>
      <xdr:colOff>38100</xdr:colOff>
      <xdr:row>796</xdr:row>
      <xdr:rowOff>38100</xdr:rowOff>
    </xdr:from>
    <xdr:ext cx="514350" cy="514350"/>
    <xdr:pic>
      <xdr:nvPicPr>
        <xdr:cNvPr id="0" name="image472.jpg"/>
        <xdr:cNvPicPr preferRelativeResize="0"/>
      </xdr:nvPicPr>
      <xdr:blipFill>
        <a:blip cstate="print" r:embed="rId494"/>
        <a:stretch>
          <a:fillRect/>
        </a:stretch>
      </xdr:blipFill>
      <xdr:spPr>
        <a:prstGeom prst="rect">
          <a:avLst/>
        </a:prstGeom>
        <a:noFill/>
      </xdr:spPr>
    </xdr:pic>
    <xdr:clientData fLocksWithSheet="0"/>
  </xdr:oneCellAnchor>
  <xdr:oneCellAnchor>
    <xdr:from>
      <xdr:col>6</xdr:col>
      <xdr:colOff>38100</xdr:colOff>
      <xdr:row>797</xdr:row>
      <xdr:rowOff>38100</xdr:rowOff>
    </xdr:from>
    <xdr:ext cx="523875" cy="514350"/>
    <xdr:pic>
      <xdr:nvPicPr>
        <xdr:cNvPr id="0" name="image490.jpg"/>
        <xdr:cNvPicPr preferRelativeResize="0"/>
      </xdr:nvPicPr>
      <xdr:blipFill>
        <a:blip cstate="print" r:embed="rId495"/>
        <a:stretch>
          <a:fillRect/>
        </a:stretch>
      </xdr:blipFill>
      <xdr:spPr>
        <a:prstGeom prst="rect">
          <a:avLst/>
        </a:prstGeom>
        <a:noFill/>
      </xdr:spPr>
    </xdr:pic>
    <xdr:clientData fLocksWithSheet="0"/>
  </xdr:oneCellAnchor>
  <xdr:oneCellAnchor>
    <xdr:from>
      <xdr:col>6</xdr:col>
      <xdr:colOff>38100</xdr:colOff>
      <xdr:row>798</xdr:row>
      <xdr:rowOff>38100</xdr:rowOff>
    </xdr:from>
    <xdr:ext cx="600075" cy="514350"/>
    <xdr:pic>
      <xdr:nvPicPr>
        <xdr:cNvPr id="0" name="image493.jpg"/>
        <xdr:cNvPicPr preferRelativeResize="0"/>
      </xdr:nvPicPr>
      <xdr:blipFill>
        <a:blip cstate="print" r:embed="rId496"/>
        <a:stretch>
          <a:fillRect/>
        </a:stretch>
      </xdr:blipFill>
      <xdr:spPr>
        <a:prstGeom prst="rect">
          <a:avLst/>
        </a:prstGeom>
        <a:noFill/>
      </xdr:spPr>
    </xdr:pic>
    <xdr:clientData fLocksWithSheet="0"/>
  </xdr:oneCellAnchor>
  <xdr:oneCellAnchor>
    <xdr:from>
      <xdr:col>6</xdr:col>
      <xdr:colOff>38100</xdr:colOff>
      <xdr:row>799</xdr:row>
      <xdr:rowOff>38100</xdr:rowOff>
    </xdr:from>
    <xdr:ext cx="523875" cy="485775"/>
    <xdr:pic>
      <xdr:nvPicPr>
        <xdr:cNvPr id="0" name="image479.jpg"/>
        <xdr:cNvPicPr preferRelativeResize="0"/>
      </xdr:nvPicPr>
      <xdr:blipFill>
        <a:blip cstate="print" r:embed="rId497"/>
        <a:stretch>
          <a:fillRect/>
        </a:stretch>
      </xdr:blipFill>
      <xdr:spPr>
        <a:prstGeom prst="rect">
          <a:avLst/>
        </a:prstGeom>
        <a:noFill/>
      </xdr:spPr>
    </xdr:pic>
    <xdr:clientData fLocksWithSheet="0"/>
  </xdr:oneCellAnchor>
  <xdr:oneCellAnchor>
    <xdr:from>
      <xdr:col>6</xdr:col>
      <xdr:colOff>38100</xdr:colOff>
      <xdr:row>800</xdr:row>
      <xdr:rowOff>38100</xdr:rowOff>
    </xdr:from>
    <xdr:ext cx="485775" cy="419100"/>
    <xdr:pic>
      <xdr:nvPicPr>
        <xdr:cNvPr id="0" name="image544.jpg"/>
        <xdr:cNvPicPr preferRelativeResize="0"/>
      </xdr:nvPicPr>
      <xdr:blipFill>
        <a:blip cstate="print" r:embed="rId498"/>
        <a:stretch>
          <a:fillRect/>
        </a:stretch>
      </xdr:blipFill>
      <xdr:spPr>
        <a:prstGeom prst="rect">
          <a:avLst/>
        </a:prstGeom>
        <a:noFill/>
      </xdr:spPr>
    </xdr:pic>
    <xdr:clientData fLocksWithSheet="0"/>
  </xdr:oneCellAnchor>
  <xdr:oneCellAnchor>
    <xdr:from>
      <xdr:col>6</xdr:col>
      <xdr:colOff>38100</xdr:colOff>
      <xdr:row>801</xdr:row>
      <xdr:rowOff>38100</xdr:rowOff>
    </xdr:from>
    <xdr:ext cx="276225" cy="514350"/>
    <xdr:pic>
      <xdr:nvPicPr>
        <xdr:cNvPr id="0" name="image512.jpg"/>
        <xdr:cNvPicPr preferRelativeResize="0"/>
      </xdr:nvPicPr>
      <xdr:blipFill>
        <a:blip cstate="print" r:embed="rId499"/>
        <a:stretch>
          <a:fillRect/>
        </a:stretch>
      </xdr:blipFill>
      <xdr:spPr>
        <a:prstGeom prst="rect">
          <a:avLst/>
        </a:prstGeom>
        <a:noFill/>
      </xdr:spPr>
    </xdr:pic>
    <xdr:clientData fLocksWithSheet="0"/>
  </xdr:oneCellAnchor>
  <xdr:oneCellAnchor>
    <xdr:from>
      <xdr:col>6</xdr:col>
      <xdr:colOff>38100</xdr:colOff>
      <xdr:row>802</xdr:row>
      <xdr:rowOff>38100</xdr:rowOff>
    </xdr:from>
    <xdr:ext cx="314325" cy="485775"/>
    <xdr:pic>
      <xdr:nvPicPr>
        <xdr:cNvPr id="0" name="image517.jpg"/>
        <xdr:cNvPicPr preferRelativeResize="0"/>
      </xdr:nvPicPr>
      <xdr:blipFill>
        <a:blip cstate="print" r:embed="rId500"/>
        <a:stretch>
          <a:fillRect/>
        </a:stretch>
      </xdr:blipFill>
      <xdr:spPr>
        <a:prstGeom prst="rect">
          <a:avLst/>
        </a:prstGeom>
        <a:noFill/>
      </xdr:spPr>
    </xdr:pic>
    <xdr:clientData fLocksWithSheet="0"/>
  </xdr:oneCellAnchor>
  <xdr:oneCellAnchor>
    <xdr:from>
      <xdr:col>6</xdr:col>
      <xdr:colOff>38100</xdr:colOff>
      <xdr:row>803</xdr:row>
      <xdr:rowOff>38100</xdr:rowOff>
    </xdr:from>
    <xdr:ext cx="457200" cy="514350"/>
    <xdr:pic>
      <xdr:nvPicPr>
        <xdr:cNvPr id="0" name="image467.jpg"/>
        <xdr:cNvPicPr preferRelativeResize="0"/>
      </xdr:nvPicPr>
      <xdr:blipFill>
        <a:blip cstate="print" r:embed="rId501"/>
        <a:stretch>
          <a:fillRect/>
        </a:stretch>
      </xdr:blipFill>
      <xdr:spPr>
        <a:prstGeom prst="rect">
          <a:avLst/>
        </a:prstGeom>
        <a:noFill/>
      </xdr:spPr>
    </xdr:pic>
    <xdr:clientData fLocksWithSheet="0"/>
  </xdr:oneCellAnchor>
  <xdr:oneCellAnchor>
    <xdr:from>
      <xdr:col>6</xdr:col>
      <xdr:colOff>38100</xdr:colOff>
      <xdr:row>804</xdr:row>
      <xdr:rowOff>38100</xdr:rowOff>
    </xdr:from>
    <xdr:ext cx="314325" cy="514350"/>
    <xdr:pic>
      <xdr:nvPicPr>
        <xdr:cNvPr id="0" name="image518.jpg"/>
        <xdr:cNvPicPr preferRelativeResize="0"/>
      </xdr:nvPicPr>
      <xdr:blipFill>
        <a:blip cstate="print" r:embed="rId502"/>
        <a:stretch>
          <a:fillRect/>
        </a:stretch>
      </xdr:blipFill>
      <xdr:spPr>
        <a:prstGeom prst="rect">
          <a:avLst/>
        </a:prstGeom>
        <a:noFill/>
      </xdr:spPr>
    </xdr:pic>
    <xdr:clientData fLocksWithSheet="0"/>
  </xdr:oneCellAnchor>
  <xdr:oneCellAnchor>
    <xdr:from>
      <xdr:col>6</xdr:col>
      <xdr:colOff>38100</xdr:colOff>
      <xdr:row>805</xdr:row>
      <xdr:rowOff>38100</xdr:rowOff>
    </xdr:from>
    <xdr:ext cx="466725" cy="438150"/>
    <xdr:pic>
      <xdr:nvPicPr>
        <xdr:cNvPr id="0" name="image515.jpg"/>
        <xdr:cNvPicPr preferRelativeResize="0"/>
      </xdr:nvPicPr>
      <xdr:blipFill>
        <a:blip cstate="print" r:embed="rId503"/>
        <a:stretch>
          <a:fillRect/>
        </a:stretch>
      </xdr:blipFill>
      <xdr:spPr>
        <a:prstGeom prst="rect">
          <a:avLst/>
        </a:prstGeom>
        <a:noFill/>
      </xdr:spPr>
    </xdr:pic>
    <xdr:clientData fLocksWithSheet="0"/>
  </xdr:oneCellAnchor>
  <xdr:oneCellAnchor>
    <xdr:from>
      <xdr:col>6</xdr:col>
      <xdr:colOff>38100</xdr:colOff>
      <xdr:row>806</xdr:row>
      <xdr:rowOff>38100</xdr:rowOff>
    </xdr:from>
    <xdr:ext cx="428625" cy="514350"/>
    <xdr:pic>
      <xdr:nvPicPr>
        <xdr:cNvPr id="0" name="image470.jpg"/>
        <xdr:cNvPicPr preferRelativeResize="0"/>
      </xdr:nvPicPr>
      <xdr:blipFill>
        <a:blip cstate="print" r:embed="rId504"/>
        <a:stretch>
          <a:fillRect/>
        </a:stretch>
      </xdr:blipFill>
      <xdr:spPr>
        <a:prstGeom prst="rect">
          <a:avLst/>
        </a:prstGeom>
        <a:noFill/>
      </xdr:spPr>
    </xdr:pic>
    <xdr:clientData fLocksWithSheet="0"/>
  </xdr:oneCellAnchor>
  <xdr:oneCellAnchor>
    <xdr:from>
      <xdr:col>6</xdr:col>
      <xdr:colOff>38100</xdr:colOff>
      <xdr:row>807</xdr:row>
      <xdr:rowOff>38100</xdr:rowOff>
    </xdr:from>
    <xdr:ext cx="428625" cy="514350"/>
    <xdr:pic>
      <xdr:nvPicPr>
        <xdr:cNvPr id="0" name="image470.jpg"/>
        <xdr:cNvPicPr preferRelativeResize="0"/>
      </xdr:nvPicPr>
      <xdr:blipFill>
        <a:blip cstate="print" r:embed="rId504"/>
        <a:stretch>
          <a:fillRect/>
        </a:stretch>
      </xdr:blipFill>
      <xdr:spPr>
        <a:prstGeom prst="rect">
          <a:avLst/>
        </a:prstGeom>
        <a:noFill/>
      </xdr:spPr>
    </xdr:pic>
    <xdr:clientData fLocksWithSheet="0"/>
  </xdr:oneCellAnchor>
  <xdr:oneCellAnchor>
    <xdr:from>
      <xdr:col>6</xdr:col>
      <xdr:colOff>38100</xdr:colOff>
      <xdr:row>808</xdr:row>
      <xdr:rowOff>38100</xdr:rowOff>
    </xdr:from>
    <xdr:ext cx="381000" cy="514350"/>
    <xdr:pic>
      <xdr:nvPicPr>
        <xdr:cNvPr id="0" name="image487.jpg"/>
        <xdr:cNvPicPr preferRelativeResize="0"/>
      </xdr:nvPicPr>
      <xdr:blipFill>
        <a:blip cstate="print" r:embed="rId505"/>
        <a:stretch>
          <a:fillRect/>
        </a:stretch>
      </xdr:blipFill>
      <xdr:spPr>
        <a:prstGeom prst="rect">
          <a:avLst/>
        </a:prstGeom>
        <a:noFill/>
      </xdr:spPr>
    </xdr:pic>
    <xdr:clientData fLocksWithSheet="0"/>
  </xdr:oneCellAnchor>
  <xdr:oneCellAnchor>
    <xdr:from>
      <xdr:col>6</xdr:col>
      <xdr:colOff>38100</xdr:colOff>
      <xdr:row>809</xdr:row>
      <xdr:rowOff>38100</xdr:rowOff>
    </xdr:from>
    <xdr:ext cx="390525" cy="514350"/>
    <xdr:pic>
      <xdr:nvPicPr>
        <xdr:cNvPr id="0" name="image477.jpg"/>
        <xdr:cNvPicPr preferRelativeResize="0"/>
      </xdr:nvPicPr>
      <xdr:blipFill>
        <a:blip cstate="print" r:embed="rId506"/>
        <a:stretch>
          <a:fillRect/>
        </a:stretch>
      </xdr:blipFill>
      <xdr:spPr>
        <a:prstGeom prst="rect">
          <a:avLst/>
        </a:prstGeom>
        <a:noFill/>
      </xdr:spPr>
    </xdr:pic>
    <xdr:clientData fLocksWithSheet="0"/>
  </xdr:oneCellAnchor>
  <xdr:oneCellAnchor>
    <xdr:from>
      <xdr:col>6</xdr:col>
      <xdr:colOff>38100</xdr:colOff>
      <xdr:row>810</xdr:row>
      <xdr:rowOff>38100</xdr:rowOff>
    </xdr:from>
    <xdr:ext cx="409575" cy="514350"/>
    <xdr:pic>
      <xdr:nvPicPr>
        <xdr:cNvPr id="0" name="image486.jpg"/>
        <xdr:cNvPicPr preferRelativeResize="0"/>
      </xdr:nvPicPr>
      <xdr:blipFill>
        <a:blip cstate="print" r:embed="rId507"/>
        <a:stretch>
          <a:fillRect/>
        </a:stretch>
      </xdr:blipFill>
      <xdr:spPr>
        <a:prstGeom prst="rect">
          <a:avLst/>
        </a:prstGeom>
        <a:noFill/>
      </xdr:spPr>
    </xdr:pic>
    <xdr:clientData fLocksWithSheet="0"/>
  </xdr:oneCellAnchor>
  <xdr:oneCellAnchor>
    <xdr:from>
      <xdr:col>6</xdr:col>
      <xdr:colOff>38100</xdr:colOff>
      <xdr:row>811</xdr:row>
      <xdr:rowOff>38100</xdr:rowOff>
    </xdr:from>
    <xdr:ext cx="419100" cy="514350"/>
    <xdr:pic>
      <xdr:nvPicPr>
        <xdr:cNvPr id="0" name="image481.jpg"/>
        <xdr:cNvPicPr preferRelativeResize="0"/>
      </xdr:nvPicPr>
      <xdr:blipFill>
        <a:blip cstate="print" r:embed="rId508"/>
        <a:stretch>
          <a:fillRect/>
        </a:stretch>
      </xdr:blipFill>
      <xdr:spPr>
        <a:prstGeom prst="rect">
          <a:avLst/>
        </a:prstGeom>
        <a:noFill/>
      </xdr:spPr>
    </xdr:pic>
    <xdr:clientData fLocksWithSheet="0"/>
  </xdr:oneCellAnchor>
  <xdr:oneCellAnchor>
    <xdr:from>
      <xdr:col>6</xdr:col>
      <xdr:colOff>38100</xdr:colOff>
      <xdr:row>812</xdr:row>
      <xdr:rowOff>38100</xdr:rowOff>
    </xdr:from>
    <xdr:ext cx="390525" cy="514350"/>
    <xdr:pic>
      <xdr:nvPicPr>
        <xdr:cNvPr id="0" name="image508.jpg"/>
        <xdr:cNvPicPr preferRelativeResize="0"/>
      </xdr:nvPicPr>
      <xdr:blipFill>
        <a:blip cstate="print" r:embed="rId509"/>
        <a:stretch>
          <a:fillRect/>
        </a:stretch>
      </xdr:blipFill>
      <xdr:spPr>
        <a:prstGeom prst="rect">
          <a:avLst/>
        </a:prstGeom>
        <a:noFill/>
      </xdr:spPr>
    </xdr:pic>
    <xdr:clientData fLocksWithSheet="0"/>
  </xdr:oneCellAnchor>
  <xdr:oneCellAnchor>
    <xdr:from>
      <xdr:col>6</xdr:col>
      <xdr:colOff>38100</xdr:colOff>
      <xdr:row>813</xdr:row>
      <xdr:rowOff>38100</xdr:rowOff>
    </xdr:from>
    <xdr:ext cx="447675" cy="514350"/>
    <xdr:pic>
      <xdr:nvPicPr>
        <xdr:cNvPr id="0" name="image583.jpg"/>
        <xdr:cNvPicPr preferRelativeResize="0"/>
      </xdr:nvPicPr>
      <xdr:blipFill>
        <a:blip cstate="print" r:embed="rId510"/>
        <a:stretch>
          <a:fillRect/>
        </a:stretch>
      </xdr:blipFill>
      <xdr:spPr>
        <a:prstGeom prst="rect">
          <a:avLst/>
        </a:prstGeom>
        <a:noFill/>
      </xdr:spPr>
    </xdr:pic>
    <xdr:clientData fLocksWithSheet="0"/>
  </xdr:oneCellAnchor>
  <xdr:oneCellAnchor>
    <xdr:from>
      <xdr:col>6</xdr:col>
      <xdr:colOff>38100</xdr:colOff>
      <xdr:row>814</xdr:row>
      <xdr:rowOff>38100</xdr:rowOff>
    </xdr:from>
    <xdr:ext cx="495300" cy="514350"/>
    <xdr:pic>
      <xdr:nvPicPr>
        <xdr:cNvPr id="0" name="image480.jpg"/>
        <xdr:cNvPicPr preferRelativeResize="0"/>
      </xdr:nvPicPr>
      <xdr:blipFill>
        <a:blip cstate="print" r:embed="rId511"/>
        <a:stretch>
          <a:fillRect/>
        </a:stretch>
      </xdr:blipFill>
      <xdr:spPr>
        <a:prstGeom prst="rect">
          <a:avLst/>
        </a:prstGeom>
        <a:noFill/>
      </xdr:spPr>
    </xdr:pic>
    <xdr:clientData fLocksWithSheet="0"/>
  </xdr:oneCellAnchor>
  <xdr:oneCellAnchor>
    <xdr:from>
      <xdr:col>6</xdr:col>
      <xdr:colOff>38100</xdr:colOff>
      <xdr:row>815</xdr:row>
      <xdr:rowOff>38100</xdr:rowOff>
    </xdr:from>
    <xdr:ext cx="400050" cy="514350"/>
    <xdr:pic>
      <xdr:nvPicPr>
        <xdr:cNvPr id="0" name="image610.jpg"/>
        <xdr:cNvPicPr preferRelativeResize="0"/>
      </xdr:nvPicPr>
      <xdr:blipFill>
        <a:blip cstate="print" r:embed="rId512"/>
        <a:stretch>
          <a:fillRect/>
        </a:stretch>
      </xdr:blipFill>
      <xdr:spPr>
        <a:prstGeom prst="rect">
          <a:avLst/>
        </a:prstGeom>
        <a:noFill/>
      </xdr:spPr>
    </xdr:pic>
    <xdr:clientData fLocksWithSheet="0"/>
  </xdr:oneCellAnchor>
  <xdr:oneCellAnchor>
    <xdr:from>
      <xdr:col>6</xdr:col>
      <xdr:colOff>38100</xdr:colOff>
      <xdr:row>816</xdr:row>
      <xdr:rowOff>38100</xdr:rowOff>
    </xdr:from>
    <xdr:ext cx="381000" cy="514350"/>
    <xdr:pic>
      <xdr:nvPicPr>
        <xdr:cNvPr id="0" name="image496.jpg"/>
        <xdr:cNvPicPr preferRelativeResize="0"/>
      </xdr:nvPicPr>
      <xdr:blipFill>
        <a:blip cstate="print" r:embed="rId513"/>
        <a:stretch>
          <a:fillRect/>
        </a:stretch>
      </xdr:blipFill>
      <xdr:spPr>
        <a:prstGeom prst="rect">
          <a:avLst/>
        </a:prstGeom>
        <a:noFill/>
      </xdr:spPr>
    </xdr:pic>
    <xdr:clientData fLocksWithSheet="0"/>
  </xdr:oneCellAnchor>
  <xdr:oneCellAnchor>
    <xdr:from>
      <xdr:col>6</xdr:col>
      <xdr:colOff>38100</xdr:colOff>
      <xdr:row>817</xdr:row>
      <xdr:rowOff>38100</xdr:rowOff>
    </xdr:from>
    <xdr:ext cx="419100" cy="514350"/>
    <xdr:pic>
      <xdr:nvPicPr>
        <xdr:cNvPr id="0" name="image557.jpg"/>
        <xdr:cNvPicPr preferRelativeResize="0"/>
      </xdr:nvPicPr>
      <xdr:blipFill>
        <a:blip cstate="print" r:embed="rId514"/>
        <a:stretch>
          <a:fillRect/>
        </a:stretch>
      </xdr:blipFill>
      <xdr:spPr>
        <a:prstGeom prst="rect">
          <a:avLst/>
        </a:prstGeom>
        <a:noFill/>
      </xdr:spPr>
    </xdr:pic>
    <xdr:clientData fLocksWithSheet="0"/>
  </xdr:oneCellAnchor>
  <xdr:oneCellAnchor>
    <xdr:from>
      <xdr:col>6</xdr:col>
      <xdr:colOff>38100</xdr:colOff>
      <xdr:row>818</xdr:row>
      <xdr:rowOff>38100</xdr:rowOff>
    </xdr:from>
    <xdr:ext cx="352425" cy="438150"/>
    <xdr:pic>
      <xdr:nvPicPr>
        <xdr:cNvPr id="0" name="image569.jpg"/>
        <xdr:cNvPicPr preferRelativeResize="0"/>
      </xdr:nvPicPr>
      <xdr:blipFill>
        <a:blip cstate="print" r:embed="rId515"/>
        <a:stretch>
          <a:fillRect/>
        </a:stretch>
      </xdr:blipFill>
      <xdr:spPr>
        <a:prstGeom prst="rect">
          <a:avLst/>
        </a:prstGeom>
        <a:noFill/>
      </xdr:spPr>
    </xdr:pic>
    <xdr:clientData fLocksWithSheet="0"/>
  </xdr:oneCellAnchor>
  <xdr:oneCellAnchor>
    <xdr:from>
      <xdr:col>6</xdr:col>
      <xdr:colOff>38100</xdr:colOff>
      <xdr:row>819</xdr:row>
      <xdr:rowOff>38100</xdr:rowOff>
    </xdr:from>
    <xdr:ext cx="352425" cy="438150"/>
    <xdr:pic>
      <xdr:nvPicPr>
        <xdr:cNvPr id="0" name="image569.jpg"/>
        <xdr:cNvPicPr preferRelativeResize="0"/>
      </xdr:nvPicPr>
      <xdr:blipFill>
        <a:blip cstate="print" r:embed="rId515"/>
        <a:stretch>
          <a:fillRect/>
        </a:stretch>
      </xdr:blipFill>
      <xdr:spPr>
        <a:prstGeom prst="rect">
          <a:avLst/>
        </a:prstGeom>
        <a:noFill/>
      </xdr:spPr>
    </xdr:pic>
    <xdr:clientData fLocksWithSheet="0"/>
  </xdr:oneCellAnchor>
  <xdr:oneCellAnchor>
    <xdr:from>
      <xdr:col>6</xdr:col>
      <xdr:colOff>38100</xdr:colOff>
      <xdr:row>820</xdr:row>
      <xdr:rowOff>38100</xdr:rowOff>
    </xdr:from>
    <xdr:ext cx="581025" cy="514350"/>
    <xdr:pic>
      <xdr:nvPicPr>
        <xdr:cNvPr id="0" name="image534.jpg"/>
        <xdr:cNvPicPr preferRelativeResize="0"/>
      </xdr:nvPicPr>
      <xdr:blipFill>
        <a:blip cstate="print" r:embed="rId516"/>
        <a:stretch>
          <a:fillRect/>
        </a:stretch>
      </xdr:blipFill>
      <xdr:spPr>
        <a:prstGeom prst="rect">
          <a:avLst/>
        </a:prstGeom>
        <a:noFill/>
      </xdr:spPr>
    </xdr:pic>
    <xdr:clientData fLocksWithSheet="0"/>
  </xdr:oneCellAnchor>
  <xdr:oneCellAnchor>
    <xdr:from>
      <xdr:col>6</xdr:col>
      <xdr:colOff>38100</xdr:colOff>
      <xdr:row>821</xdr:row>
      <xdr:rowOff>38100</xdr:rowOff>
    </xdr:from>
    <xdr:ext cx="514350" cy="514350"/>
    <xdr:pic>
      <xdr:nvPicPr>
        <xdr:cNvPr id="0" name="image483.jpg"/>
        <xdr:cNvPicPr preferRelativeResize="0"/>
      </xdr:nvPicPr>
      <xdr:blipFill>
        <a:blip cstate="print" r:embed="rId517"/>
        <a:stretch>
          <a:fillRect/>
        </a:stretch>
      </xdr:blipFill>
      <xdr:spPr>
        <a:prstGeom prst="rect">
          <a:avLst/>
        </a:prstGeom>
        <a:noFill/>
      </xdr:spPr>
    </xdr:pic>
    <xdr:clientData fLocksWithSheet="0"/>
  </xdr:oneCellAnchor>
  <xdr:oneCellAnchor>
    <xdr:from>
      <xdr:col>6</xdr:col>
      <xdr:colOff>38100</xdr:colOff>
      <xdr:row>822</xdr:row>
      <xdr:rowOff>38100</xdr:rowOff>
    </xdr:from>
    <xdr:ext cx="638175" cy="514350"/>
    <xdr:pic>
      <xdr:nvPicPr>
        <xdr:cNvPr id="0" name="image498.jpg"/>
        <xdr:cNvPicPr preferRelativeResize="0"/>
      </xdr:nvPicPr>
      <xdr:blipFill>
        <a:blip cstate="print" r:embed="rId518"/>
        <a:stretch>
          <a:fillRect/>
        </a:stretch>
      </xdr:blipFill>
      <xdr:spPr>
        <a:prstGeom prst="rect">
          <a:avLst/>
        </a:prstGeom>
        <a:noFill/>
      </xdr:spPr>
    </xdr:pic>
    <xdr:clientData fLocksWithSheet="0"/>
  </xdr:oneCellAnchor>
  <xdr:oneCellAnchor>
    <xdr:from>
      <xdr:col>6</xdr:col>
      <xdr:colOff>38100</xdr:colOff>
      <xdr:row>823</xdr:row>
      <xdr:rowOff>38100</xdr:rowOff>
    </xdr:from>
    <xdr:ext cx="409575" cy="514350"/>
    <xdr:pic>
      <xdr:nvPicPr>
        <xdr:cNvPr id="0" name="image561.jpg"/>
        <xdr:cNvPicPr preferRelativeResize="0"/>
      </xdr:nvPicPr>
      <xdr:blipFill>
        <a:blip cstate="print" r:embed="rId519"/>
        <a:stretch>
          <a:fillRect/>
        </a:stretch>
      </xdr:blipFill>
      <xdr:spPr>
        <a:prstGeom prst="rect">
          <a:avLst/>
        </a:prstGeom>
        <a:noFill/>
      </xdr:spPr>
    </xdr:pic>
    <xdr:clientData fLocksWithSheet="0"/>
  </xdr:oneCellAnchor>
  <xdr:oneCellAnchor>
    <xdr:from>
      <xdr:col>6</xdr:col>
      <xdr:colOff>38100</xdr:colOff>
      <xdr:row>824</xdr:row>
      <xdr:rowOff>38100</xdr:rowOff>
    </xdr:from>
    <xdr:ext cx="514350" cy="514350"/>
    <xdr:pic>
      <xdr:nvPicPr>
        <xdr:cNvPr id="0" name="image485.jpg"/>
        <xdr:cNvPicPr preferRelativeResize="0"/>
      </xdr:nvPicPr>
      <xdr:blipFill>
        <a:blip cstate="print" r:embed="rId520"/>
        <a:stretch>
          <a:fillRect/>
        </a:stretch>
      </xdr:blipFill>
      <xdr:spPr>
        <a:prstGeom prst="rect">
          <a:avLst/>
        </a:prstGeom>
        <a:noFill/>
      </xdr:spPr>
    </xdr:pic>
    <xdr:clientData fLocksWithSheet="0"/>
  </xdr:oneCellAnchor>
  <xdr:oneCellAnchor>
    <xdr:from>
      <xdr:col>6</xdr:col>
      <xdr:colOff>38100</xdr:colOff>
      <xdr:row>825</xdr:row>
      <xdr:rowOff>38100</xdr:rowOff>
    </xdr:from>
    <xdr:ext cx="504825" cy="514350"/>
    <xdr:pic>
      <xdr:nvPicPr>
        <xdr:cNvPr id="0" name="image491.jpg"/>
        <xdr:cNvPicPr preferRelativeResize="0"/>
      </xdr:nvPicPr>
      <xdr:blipFill>
        <a:blip cstate="print" r:embed="rId521"/>
        <a:stretch>
          <a:fillRect/>
        </a:stretch>
      </xdr:blipFill>
      <xdr:spPr>
        <a:prstGeom prst="rect">
          <a:avLst/>
        </a:prstGeom>
        <a:noFill/>
      </xdr:spPr>
    </xdr:pic>
    <xdr:clientData fLocksWithSheet="0"/>
  </xdr:oneCellAnchor>
  <xdr:oneCellAnchor>
    <xdr:from>
      <xdr:col>6</xdr:col>
      <xdr:colOff>38100</xdr:colOff>
      <xdr:row>826</xdr:row>
      <xdr:rowOff>38100</xdr:rowOff>
    </xdr:from>
    <xdr:ext cx="504825" cy="514350"/>
    <xdr:pic>
      <xdr:nvPicPr>
        <xdr:cNvPr id="0" name="image491.jpg"/>
        <xdr:cNvPicPr preferRelativeResize="0"/>
      </xdr:nvPicPr>
      <xdr:blipFill>
        <a:blip cstate="print" r:embed="rId521"/>
        <a:stretch>
          <a:fillRect/>
        </a:stretch>
      </xdr:blipFill>
      <xdr:spPr>
        <a:prstGeom prst="rect">
          <a:avLst/>
        </a:prstGeom>
        <a:noFill/>
      </xdr:spPr>
    </xdr:pic>
    <xdr:clientData fLocksWithSheet="0"/>
  </xdr:oneCellAnchor>
  <xdr:oneCellAnchor>
    <xdr:from>
      <xdr:col>6</xdr:col>
      <xdr:colOff>38100</xdr:colOff>
      <xdr:row>827</xdr:row>
      <xdr:rowOff>38100</xdr:rowOff>
    </xdr:from>
    <xdr:ext cx="457200" cy="238125"/>
    <xdr:pic>
      <xdr:nvPicPr>
        <xdr:cNvPr id="0" name="image505.jpg"/>
        <xdr:cNvPicPr preferRelativeResize="0"/>
      </xdr:nvPicPr>
      <xdr:blipFill>
        <a:blip cstate="print" r:embed="rId522"/>
        <a:stretch>
          <a:fillRect/>
        </a:stretch>
      </xdr:blipFill>
      <xdr:spPr>
        <a:prstGeom prst="rect">
          <a:avLst/>
        </a:prstGeom>
        <a:noFill/>
      </xdr:spPr>
    </xdr:pic>
    <xdr:clientData fLocksWithSheet="0"/>
  </xdr:oneCellAnchor>
  <xdr:oneCellAnchor>
    <xdr:from>
      <xdr:col>6</xdr:col>
      <xdr:colOff>38100</xdr:colOff>
      <xdr:row>828</xdr:row>
      <xdr:rowOff>38100</xdr:rowOff>
    </xdr:from>
    <xdr:ext cx="400050" cy="400050"/>
    <xdr:pic>
      <xdr:nvPicPr>
        <xdr:cNvPr id="0" name="image499.jpg"/>
        <xdr:cNvPicPr preferRelativeResize="0"/>
      </xdr:nvPicPr>
      <xdr:blipFill>
        <a:blip cstate="print" r:embed="rId523"/>
        <a:stretch>
          <a:fillRect/>
        </a:stretch>
      </xdr:blipFill>
      <xdr:spPr>
        <a:prstGeom prst="rect">
          <a:avLst/>
        </a:prstGeom>
        <a:noFill/>
      </xdr:spPr>
    </xdr:pic>
    <xdr:clientData fLocksWithSheet="0"/>
  </xdr:oneCellAnchor>
  <xdr:oneCellAnchor>
    <xdr:from>
      <xdr:col>6</xdr:col>
      <xdr:colOff>38100</xdr:colOff>
      <xdr:row>829</xdr:row>
      <xdr:rowOff>38100</xdr:rowOff>
    </xdr:from>
    <xdr:ext cx="447675" cy="514350"/>
    <xdr:pic>
      <xdr:nvPicPr>
        <xdr:cNvPr id="0" name="image501.jpg"/>
        <xdr:cNvPicPr preferRelativeResize="0"/>
      </xdr:nvPicPr>
      <xdr:blipFill>
        <a:blip cstate="print" r:embed="rId524"/>
        <a:stretch>
          <a:fillRect/>
        </a:stretch>
      </xdr:blipFill>
      <xdr:spPr>
        <a:prstGeom prst="rect">
          <a:avLst/>
        </a:prstGeom>
        <a:noFill/>
      </xdr:spPr>
    </xdr:pic>
    <xdr:clientData fLocksWithSheet="0"/>
  </xdr:oneCellAnchor>
  <xdr:oneCellAnchor>
    <xdr:from>
      <xdr:col>6</xdr:col>
      <xdr:colOff>38100</xdr:colOff>
      <xdr:row>830</xdr:row>
      <xdr:rowOff>38100</xdr:rowOff>
    </xdr:from>
    <xdr:ext cx="647700" cy="457200"/>
    <xdr:pic>
      <xdr:nvPicPr>
        <xdr:cNvPr id="0" name="image551.jpg"/>
        <xdr:cNvPicPr preferRelativeResize="0"/>
      </xdr:nvPicPr>
      <xdr:blipFill>
        <a:blip cstate="print" r:embed="rId525"/>
        <a:stretch>
          <a:fillRect/>
        </a:stretch>
      </xdr:blipFill>
      <xdr:spPr>
        <a:prstGeom prst="rect">
          <a:avLst/>
        </a:prstGeom>
        <a:noFill/>
      </xdr:spPr>
    </xdr:pic>
    <xdr:clientData fLocksWithSheet="0"/>
  </xdr:oneCellAnchor>
  <xdr:oneCellAnchor>
    <xdr:from>
      <xdr:col>6</xdr:col>
      <xdr:colOff>38100</xdr:colOff>
      <xdr:row>831</xdr:row>
      <xdr:rowOff>38100</xdr:rowOff>
    </xdr:from>
    <xdr:ext cx="647700" cy="457200"/>
    <xdr:pic>
      <xdr:nvPicPr>
        <xdr:cNvPr id="0" name="image551.jpg"/>
        <xdr:cNvPicPr preferRelativeResize="0"/>
      </xdr:nvPicPr>
      <xdr:blipFill>
        <a:blip cstate="print" r:embed="rId525"/>
        <a:stretch>
          <a:fillRect/>
        </a:stretch>
      </xdr:blipFill>
      <xdr:spPr>
        <a:prstGeom prst="rect">
          <a:avLst/>
        </a:prstGeom>
        <a:noFill/>
      </xdr:spPr>
    </xdr:pic>
    <xdr:clientData fLocksWithSheet="0"/>
  </xdr:oneCellAnchor>
  <xdr:oneCellAnchor>
    <xdr:from>
      <xdr:col>6</xdr:col>
      <xdr:colOff>38100</xdr:colOff>
      <xdr:row>832</xdr:row>
      <xdr:rowOff>38100</xdr:rowOff>
    </xdr:from>
    <xdr:ext cx="647700" cy="495300"/>
    <xdr:pic>
      <xdr:nvPicPr>
        <xdr:cNvPr id="0" name="image550.jpg"/>
        <xdr:cNvPicPr preferRelativeResize="0"/>
      </xdr:nvPicPr>
      <xdr:blipFill>
        <a:blip cstate="print" r:embed="rId526"/>
        <a:stretch>
          <a:fillRect/>
        </a:stretch>
      </xdr:blipFill>
      <xdr:spPr>
        <a:prstGeom prst="rect">
          <a:avLst/>
        </a:prstGeom>
        <a:noFill/>
      </xdr:spPr>
    </xdr:pic>
    <xdr:clientData fLocksWithSheet="0"/>
  </xdr:oneCellAnchor>
  <xdr:oneCellAnchor>
    <xdr:from>
      <xdr:col>6</xdr:col>
      <xdr:colOff>38100</xdr:colOff>
      <xdr:row>833</xdr:row>
      <xdr:rowOff>38100</xdr:rowOff>
    </xdr:from>
    <xdr:ext cx="647700" cy="371475"/>
    <xdr:pic>
      <xdr:nvPicPr>
        <xdr:cNvPr id="0" name="image609.jpg"/>
        <xdr:cNvPicPr preferRelativeResize="0"/>
      </xdr:nvPicPr>
      <xdr:blipFill>
        <a:blip cstate="print" r:embed="rId527"/>
        <a:stretch>
          <a:fillRect/>
        </a:stretch>
      </xdr:blipFill>
      <xdr:spPr>
        <a:prstGeom prst="rect">
          <a:avLst/>
        </a:prstGeom>
        <a:noFill/>
      </xdr:spPr>
    </xdr:pic>
    <xdr:clientData fLocksWithSheet="0"/>
  </xdr:oneCellAnchor>
  <xdr:oneCellAnchor>
    <xdr:from>
      <xdr:col>6</xdr:col>
      <xdr:colOff>38100</xdr:colOff>
      <xdr:row>834</xdr:row>
      <xdr:rowOff>38100</xdr:rowOff>
    </xdr:from>
    <xdr:ext cx="647700" cy="400050"/>
    <xdr:pic>
      <xdr:nvPicPr>
        <xdr:cNvPr id="0" name="image502.jpg"/>
        <xdr:cNvPicPr preferRelativeResize="0"/>
      </xdr:nvPicPr>
      <xdr:blipFill>
        <a:blip cstate="print" r:embed="rId528"/>
        <a:stretch>
          <a:fillRect/>
        </a:stretch>
      </xdr:blipFill>
      <xdr:spPr>
        <a:prstGeom prst="rect">
          <a:avLst/>
        </a:prstGeom>
        <a:noFill/>
      </xdr:spPr>
    </xdr:pic>
    <xdr:clientData fLocksWithSheet="0"/>
  </xdr:oneCellAnchor>
  <xdr:oneCellAnchor>
    <xdr:from>
      <xdr:col>6</xdr:col>
      <xdr:colOff>38100</xdr:colOff>
      <xdr:row>835</xdr:row>
      <xdr:rowOff>38100</xdr:rowOff>
    </xdr:from>
    <xdr:ext cx="219075" cy="514350"/>
    <xdr:pic>
      <xdr:nvPicPr>
        <xdr:cNvPr id="0" name="image531.jpg"/>
        <xdr:cNvPicPr preferRelativeResize="0"/>
      </xdr:nvPicPr>
      <xdr:blipFill>
        <a:blip cstate="print" r:embed="rId529"/>
        <a:stretch>
          <a:fillRect/>
        </a:stretch>
      </xdr:blipFill>
      <xdr:spPr>
        <a:prstGeom prst="rect">
          <a:avLst/>
        </a:prstGeom>
        <a:noFill/>
      </xdr:spPr>
    </xdr:pic>
    <xdr:clientData fLocksWithSheet="0"/>
  </xdr:oneCellAnchor>
  <xdr:oneCellAnchor>
    <xdr:from>
      <xdr:col>6</xdr:col>
      <xdr:colOff>38100</xdr:colOff>
      <xdr:row>836</xdr:row>
      <xdr:rowOff>38100</xdr:rowOff>
    </xdr:from>
    <xdr:ext cx="647700" cy="390525"/>
    <xdr:pic>
      <xdr:nvPicPr>
        <xdr:cNvPr id="0" name="image624.jpg"/>
        <xdr:cNvPicPr preferRelativeResize="0"/>
      </xdr:nvPicPr>
      <xdr:blipFill>
        <a:blip cstate="print" r:embed="rId530"/>
        <a:stretch>
          <a:fillRect/>
        </a:stretch>
      </xdr:blipFill>
      <xdr:spPr>
        <a:prstGeom prst="rect">
          <a:avLst/>
        </a:prstGeom>
        <a:noFill/>
      </xdr:spPr>
    </xdr:pic>
    <xdr:clientData fLocksWithSheet="0"/>
  </xdr:oneCellAnchor>
  <xdr:oneCellAnchor>
    <xdr:from>
      <xdr:col>6</xdr:col>
      <xdr:colOff>38100</xdr:colOff>
      <xdr:row>837</xdr:row>
      <xdr:rowOff>38100</xdr:rowOff>
    </xdr:from>
    <xdr:ext cx="647700" cy="457200"/>
    <xdr:pic>
      <xdr:nvPicPr>
        <xdr:cNvPr id="0" name="image497.jpg"/>
        <xdr:cNvPicPr preferRelativeResize="0"/>
      </xdr:nvPicPr>
      <xdr:blipFill>
        <a:blip cstate="print" r:embed="rId531"/>
        <a:stretch>
          <a:fillRect/>
        </a:stretch>
      </xdr:blipFill>
      <xdr:spPr>
        <a:prstGeom prst="rect">
          <a:avLst/>
        </a:prstGeom>
        <a:noFill/>
      </xdr:spPr>
    </xdr:pic>
    <xdr:clientData fLocksWithSheet="0"/>
  </xdr:oneCellAnchor>
  <xdr:oneCellAnchor>
    <xdr:from>
      <xdr:col>6</xdr:col>
      <xdr:colOff>38100</xdr:colOff>
      <xdr:row>838</xdr:row>
      <xdr:rowOff>38100</xdr:rowOff>
    </xdr:from>
    <xdr:ext cx="647700" cy="457200"/>
    <xdr:pic>
      <xdr:nvPicPr>
        <xdr:cNvPr id="0" name="image497.jpg"/>
        <xdr:cNvPicPr preferRelativeResize="0"/>
      </xdr:nvPicPr>
      <xdr:blipFill>
        <a:blip cstate="print" r:embed="rId531"/>
        <a:stretch>
          <a:fillRect/>
        </a:stretch>
      </xdr:blipFill>
      <xdr:spPr>
        <a:prstGeom prst="rect">
          <a:avLst/>
        </a:prstGeom>
        <a:noFill/>
      </xdr:spPr>
    </xdr:pic>
    <xdr:clientData fLocksWithSheet="0"/>
  </xdr:oneCellAnchor>
  <xdr:oneCellAnchor>
    <xdr:from>
      <xdr:col>6</xdr:col>
      <xdr:colOff>38100</xdr:colOff>
      <xdr:row>839</xdr:row>
      <xdr:rowOff>38100</xdr:rowOff>
    </xdr:from>
    <xdr:ext cx="333375" cy="514350"/>
    <xdr:pic>
      <xdr:nvPicPr>
        <xdr:cNvPr id="0" name="image507.jpg"/>
        <xdr:cNvPicPr preferRelativeResize="0"/>
      </xdr:nvPicPr>
      <xdr:blipFill>
        <a:blip cstate="print" r:embed="rId532"/>
        <a:stretch>
          <a:fillRect/>
        </a:stretch>
      </xdr:blipFill>
      <xdr:spPr>
        <a:prstGeom prst="rect">
          <a:avLst/>
        </a:prstGeom>
        <a:noFill/>
      </xdr:spPr>
    </xdr:pic>
    <xdr:clientData fLocksWithSheet="0"/>
  </xdr:oneCellAnchor>
  <xdr:oneCellAnchor>
    <xdr:from>
      <xdr:col>6</xdr:col>
      <xdr:colOff>38100</xdr:colOff>
      <xdr:row>840</xdr:row>
      <xdr:rowOff>38100</xdr:rowOff>
    </xdr:from>
    <xdr:ext cx="304800" cy="504825"/>
    <xdr:pic>
      <xdr:nvPicPr>
        <xdr:cNvPr id="0" name="image519.jpg"/>
        <xdr:cNvPicPr preferRelativeResize="0"/>
      </xdr:nvPicPr>
      <xdr:blipFill>
        <a:blip cstate="print" r:embed="rId533"/>
        <a:stretch>
          <a:fillRect/>
        </a:stretch>
      </xdr:blipFill>
      <xdr:spPr>
        <a:prstGeom prst="rect">
          <a:avLst/>
        </a:prstGeom>
        <a:noFill/>
      </xdr:spPr>
    </xdr:pic>
    <xdr:clientData fLocksWithSheet="0"/>
  </xdr:oneCellAnchor>
  <xdr:oneCellAnchor>
    <xdr:from>
      <xdr:col>6</xdr:col>
      <xdr:colOff>38100</xdr:colOff>
      <xdr:row>841</xdr:row>
      <xdr:rowOff>38100</xdr:rowOff>
    </xdr:from>
    <xdr:ext cx="314325" cy="514350"/>
    <xdr:pic>
      <xdr:nvPicPr>
        <xdr:cNvPr id="0" name="image509.jpg"/>
        <xdr:cNvPicPr preferRelativeResize="0"/>
      </xdr:nvPicPr>
      <xdr:blipFill>
        <a:blip cstate="print" r:embed="rId534"/>
        <a:stretch>
          <a:fillRect/>
        </a:stretch>
      </xdr:blipFill>
      <xdr:spPr>
        <a:prstGeom prst="rect">
          <a:avLst/>
        </a:prstGeom>
        <a:noFill/>
      </xdr:spPr>
    </xdr:pic>
    <xdr:clientData fLocksWithSheet="0"/>
  </xdr:oneCellAnchor>
  <xdr:oneCellAnchor>
    <xdr:from>
      <xdr:col>6</xdr:col>
      <xdr:colOff>38100</xdr:colOff>
      <xdr:row>842</xdr:row>
      <xdr:rowOff>38100</xdr:rowOff>
    </xdr:from>
    <xdr:ext cx="514350" cy="514350"/>
    <xdr:pic>
      <xdr:nvPicPr>
        <xdr:cNvPr id="0" name="image523.jpg"/>
        <xdr:cNvPicPr preferRelativeResize="0"/>
      </xdr:nvPicPr>
      <xdr:blipFill>
        <a:blip cstate="print" r:embed="rId535"/>
        <a:stretch>
          <a:fillRect/>
        </a:stretch>
      </xdr:blipFill>
      <xdr:spPr>
        <a:prstGeom prst="rect">
          <a:avLst/>
        </a:prstGeom>
        <a:noFill/>
      </xdr:spPr>
    </xdr:pic>
    <xdr:clientData fLocksWithSheet="0"/>
  </xdr:oneCellAnchor>
  <xdr:oneCellAnchor>
    <xdr:from>
      <xdr:col>6</xdr:col>
      <xdr:colOff>38100</xdr:colOff>
      <xdr:row>843</xdr:row>
      <xdr:rowOff>38100</xdr:rowOff>
    </xdr:from>
    <xdr:ext cx="514350" cy="514350"/>
    <xdr:pic>
      <xdr:nvPicPr>
        <xdr:cNvPr id="0" name="image523.jpg"/>
        <xdr:cNvPicPr preferRelativeResize="0"/>
      </xdr:nvPicPr>
      <xdr:blipFill>
        <a:blip cstate="print" r:embed="rId535"/>
        <a:stretch>
          <a:fillRect/>
        </a:stretch>
      </xdr:blipFill>
      <xdr:spPr>
        <a:prstGeom prst="rect">
          <a:avLst/>
        </a:prstGeom>
        <a:noFill/>
      </xdr:spPr>
    </xdr:pic>
    <xdr:clientData fLocksWithSheet="0"/>
  </xdr:oneCellAnchor>
  <xdr:oneCellAnchor>
    <xdr:from>
      <xdr:col>6</xdr:col>
      <xdr:colOff>38100</xdr:colOff>
      <xdr:row>844</xdr:row>
      <xdr:rowOff>38100</xdr:rowOff>
    </xdr:from>
    <xdr:ext cx="371475" cy="514350"/>
    <xdr:pic>
      <xdr:nvPicPr>
        <xdr:cNvPr id="0" name="image527.jpg"/>
        <xdr:cNvPicPr preferRelativeResize="0"/>
      </xdr:nvPicPr>
      <xdr:blipFill>
        <a:blip cstate="print" r:embed="rId536"/>
        <a:stretch>
          <a:fillRect/>
        </a:stretch>
      </xdr:blipFill>
      <xdr:spPr>
        <a:prstGeom prst="rect">
          <a:avLst/>
        </a:prstGeom>
        <a:noFill/>
      </xdr:spPr>
    </xdr:pic>
    <xdr:clientData fLocksWithSheet="0"/>
  </xdr:oneCellAnchor>
  <xdr:oneCellAnchor>
    <xdr:from>
      <xdr:col>6</xdr:col>
      <xdr:colOff>38100</xdr:colOff>
      <xdr:row>845</xdr:row>
      <xdr:rowOff>38100</xdr:rowOff>
    </xdr:from>
    <xdr:ext cx="371475" cy="514350"/>
    <xdr:pic>
      <xdr:nvPicPr>
        <xdr:cNvPr id="0" name="image527.jpg"/>
        <xdr:cNvPicPr preferRelativeResize="0"/>
      </xdr:nvPicPr>
      <xdr:blipFill>
        <a:blip cstate="print" r:embed="rId536"/>
        <a:stretch>
          <a:fillRect/>
        </a:stretch>
      </xdr:blipFill>
      <xdr:spPr>
        <a:prstGeom prst="rect">
          <a:avLst/>
        </a:prstGeom>
        <a:noFill/>
      </xdr:spPr>
    </xdr:pic>
    <xdr:clientData fLocksWithSheet="0"/>
  </xdr:oneCellAnchor>
  <xdr:oneCellAnchor>
    <xdr:from>
      <xdr:col>6</xdr:col>
      <xdr:colOff>38100</xdr:colOff>
      <xdr:row>846</xdr:row>
      <xdr:rowOff>38100</xdr:rowOff>
    </xdr:from>
    <xdr:ext cx="371475" cy="514350"/>
    <xdr:pic>
      <xdr:nvPicPr>
        <xdr:cNvPr id="0" name="image527.jpg"/>
        <xdr:cNvPicPr preferRelativeResize="0"/>
      </xdr:nvPicPr>
      <xdr:blipFill>
        <a:blip cstate="print" r:embed="rId536"/>
        <a:stretch>
          <a:fillRect/>
        </a:stretch>
      </xdr:blipFill>
      <xdr:spPr>
        <a:prstGeom prst="rect">
          <a:avLst/>
        </a:prstGeom>
        <a:noFill/>
      </xdr:spPr>
    </xdr:pic>
    <xdr:clientData fLocksWithSheet="0"/>
  </xdr:oneCellAnchor>
  <xdr:oneCellAnchor>
    <xdr:from>
      <xdr:col>6</xdr:col>
      <xdr:colOff>38100</xdr:colOff>
      <xdr:row>847</xdr:row>
      <xdr:rowOff>38100</xdr:rowOff>
    </xdr:from>
    <xdr:ext cx="371475" cy="514350"/>
    <xdr:pic>
      <xdr:nvPicPr>
        <xdr:cNvPr id="0" name="image527.jpg"/>
        <xdr:cNvPicPr preferRelativeResize="0"/>
      </xdr:nvPicPr>
      <xdr:blipFill>
        <a:blip cstate="print" r:embed="rId536"/>
        <a:stretch>
          <a:fillRect/>
        </a:stretch>
      </xdr:blipFill>
      <xdr:spPr>
        <a:prstGeom prst="rect">
          <a:avLst/>
        </a:prstGeom>
        <a:noFill/>
      </xdr:spPr>
    </xdr:pic>
    <xdr:clientData fLocksWithSheet="0"/>
  </xdr:oneCellAnchor>
  <xdr:oneCellAnchor>
    <xdr:from>
      <xdr:col>6</xdr:col>
      <xdr:colOff>38100</xdr:colOff>
      <xdr:row>848</xdr:row>
      <xdr:rowOff>38100</xdr:rowOff>
    </xdr:from>
    <xdr:ext cx="466725" cy="476250"/>
    <xdr:pic>
      <xdr:nvPicPr>
        <xdr:cNvPr id="0" name="image503.jpg"/>
        <xdr:cNvPicPr preferRelativeResize="0"/>
      </xdr:nvPicPr>
      <xdr:blipFill>
        <a:blip cstate="print" r:embed="rId537"/>
        <a:stretch>
          <a:fillRect/>
        </a:stretch>
      </xdr:blipFill>
      <xdr:spPr>
        <a:prstGeom prst="rect">
          <a:avLst/>
        </a:prstGeom>
        <a:noFill/>
      </xdr:spPr>
    </xdr:pic>
    <xdr:clientData fLocksWithSheet="0"/>
  </xdr:oneCellAnchor>
  <xdr:oneCellAnchor>
    <xdr:from>
      <xdr:col>6</xdr:col>
      <xdr:colOff>38100</xdr:colOff>
      <xdr:row>849</xdr:row>
      <xdr:rowOff>38100</xdr:rowOff>
    </xdr:from>
    <xdr:ext cx="400050" cy="457200"/>
    <xdr:pic>
      <xdr:nvPicPr>
        <xdr:cNvPr id="0" name="image513.jpg"/>
        <xdr:cNvPicPr preferRelativeResize="0"/>
      </xdr:nvPicPr>
      <xdr:blipFill>
        <a:blip cstate="print" r:embed="rId538"/>
        <a:stretch>
          <a:fillRect/>
        </a:stretch>
      </xdr:blipFill>
      <xdr:spPr>
        <a:prstGeom prst="rect">
          <a:avLst/>
        </a:prstGeom>
        <a:noFill/>
      </xdr:spPr>
    </xdr:pic>
    <xdr:clientData fLocksWithSheet="0"/>
  </xdr:oneCellAnchor>
  <xdr:oneCellAnchor>
    <xdr:from>
      <xdr:col>6</xdr:col>
      <xdr:colOff>38100</xdr:colOff>
      <xdr:row>850</xdr:row>
      <xdr:rowOff>38100</xdr:rowOff>
    </xdr:from>
    <xdr:ext cx="542925" cy="514350"/>
    <xdr:pic>
      <xdr:nvPicPr>
        <xdr:cNvPr id="0" name="image593.jpg"/>
        <xdr:cNvPicPr preferRelativeResize="0"/>
      </xdr:nvPicPr>
      <xdr:blipFill>
        <a:blip cstate="print" r:embed="rId539"/>
        <a:stretch>
          <a:fillRect/>
        </a:stretch>
      </xdr:blipFill>
      <xdr:spPr>
        <a:prstGeom prst="rect">
          <a:avLst/>
        </a:prstGeom>
        <a:noFill/>
      </xdr:spPr>
    </xdr:pic>
    <xdr:clientData fLocksWithSheet="0"/>
  </xdr:oneCellAnchor>
  <xdr:oneCellAnchor>
    <xdr:from>
      <xdr:col>6</xdr:col>
      <xdr:colOff>38100</xdr:colOff>
      <xdr:row>851</xdr:row>
      <xdr:rowOff>38100</xdr:rowOff>
    </xdr:from>
    <xdr:ext cx="523875" cy="514350"/>
    <xdr:pic>
      <xdr:nvPicPr>
        <xdr:cNvPr id="0" name="image524.jpg"/>
        <xdr:cNvPicPr preferRelativeResize="0"/>
      </xdr:nvPicPr>
      <xdr:blipFill>
        <a:blip cstate="print" r:embed="rId540"/>
        <a:stretch>
          <a:fillRect/>
        </a:stretch>
      </xdr:blipFill>
      <xdr:spPr>
        <a:prstGeom prst="rect">
          <a:avLst/>
        </a:prstGeom>
        <a:noFill/>
      </xdr:spPr>
    </xdr:pic>
    <xdr:clientData fLocksWithSheet="0"/>
  </xdr:oneCellAnchor>
  <xdr:oneCellAnchor>
    <xdr:from>
      <xdr:col>6</xdr:col>
      <xdr:colOff>38100</xdr:colOff>
      <xdr:row>852</xdr:row>
      <xdr:rowOff>38100</xdr:rowOff>
    </xdr:from>
    <xdr:ext cx="495300" cy="514350"/>
    <xdr:pic>
      <xdr:nvPicPr>
        <xdr:cNvPr id="0" name="image522.jpg"/>
        <xdr:cNvPicPr preferRelativeResize="0"/>
      </xdr:nvPicPr>
      <xdr:blipFill>
        <a:blip cstate="print" r:embed="rId541"/>
        <a:stretch>
          <a:fillRect/>
        </a:stretch>
      </xdr:blipFill>
      <xdr:spPr>
        <a:prstGeom prst="rect">
          <a:avLst/>
        </a:prstGeom>
        <a:noFill/>
      </xdr:spPr>
    </xdr:pic>
    <xdr:clientData fLocksWithSheet="0"/>
  </xdr:oneCellAnchor>
  <xdr:oneCellAnchor>
    <xdr:from>
      <xdr:col>6</xdr:col>
      <xdr:colOff>38100</xdr:colOff>
      <xdr:row>853</xdr:row>
      <xdr:rowOff>38100</xdr:rowOff>
    </xdr:from>
    <xdr:ext cx="561975" cy="514350"/>
    <xdr:pic>
      <xdr:nvPicPr>
        <xdr:cNvPr id="0" name="image516.jpg"/>
        <xdr:cNvPicPr preferRelativeResize="0"/>
      </xdr:nvPicPr>
      <xdr:blipFill>
        <a:blip cstate="print" r:embed="rId542"/>
        <a:stretch>
          <a:fillRect/>
        </a:stretch>
      </xdr:blipFill>
      <xdr:spPr>
        <a:prstGeom prst="rect">
          <a:avLst/>
        </a:prstGeom>
        <a:noFill/>
      </xdr:spPr>
    </xdr:pic>
    <xdr:clientData fLocksWithSheet="0"/>
  </xdr:oneCellAnchor>
  <xdr:oneCellAnchor>
    <xdr:from>
      <xdr:col>6</xdr:col>
      <xdr:colOff>38100</xdr:colOff>
      <xdr:row>854</xdr:row>
      <xdr:rowOff>38100</xdr:rowOff>
    </xdr:from>
    <xdr:ext cx="476250" cy="514350"/>
    <xdr:pic>
      <xdr:nvPicPr>
        <xdr:cNvPr id="0" name="image520.jpg"/>
        <xdr:cNvPicPr preferRelativeResize="0"/>
      </xdr:nvPicPr>
      <xdr:blipFill>
        <a:blip cstate="print" r:embed="rId543"/>
        <a:stretch>
          <a:fillRect/>
        </a:stretch>
      </xdr:blipFill>
      <xdr:spPr>
        <a:prstGeom prst="rect">
          <a:avLst/>
        </a:prstGeom>
        <a:noFill/>
      </xdr:spPr>
    </xdr:pic>
    <xdr:clientData fLocksWithSheet="0"/>
  </xdr:oneCellAnchor>
  <xdr:oneCellAnchor>
    <xdr:from>
      <xdr:col>6</xdr:col>
      <xdr:colOff>38100</xdr:colOff>
      <xdr:row>855</xdr:row>
      <xdr:rowOff>38100</xdr:rowOff>
    </xdr:from>
    <xdr:ext cx="523875" cy="514350"/>
    <xdr:pic>
      <xdr:nvPicPr>
        <xdr:cNvPr id="0" name="image532.jpg"/>
        <xdr:cNvPicPr preferRelativeResize="0"/>
      </xdr:nvPicPr>
      <xdr:blipFill>
        <a:blip cstate="print" r:embed="rId544"/>
        <a:stretch>
          <a:fillRect/>
        </a:stretch>
      </xdr:blipFill>
      <xdr:spPr>
        <a:prstGeom prst="rect">
          <a:avLst/>
        </a:prstGeom>
        <a:noFill/>
      </xdr:spPr>
    </xdr:pic>
    <xdr:clientData fLocksWithSheet="0"/>
  </xdr:oneCellAnchor>
  <xdr:oneCellAnchor>
    <xdr:from>
      <xdr:col>6</xdr:col>
      <xdr:colOff>38100</xdr:colOff>
      <xdr:row>856</xdr:row>
      <xdr:rowOff>38100</xdr:rowOff>
    </xdr:from>
    <xdr:ext cx="523875" cy="514350"/>
    <xdr:pic>
      <xdr:nvPicPr>
        <xdr:cNvPr id="0" name="image510.jpg"/>
        <xdr:cNvPicPr preferRelativeResize="0"/>
      </xdr:nvPicPr>
      <xdr:blipFill>
        <a:blip cstate="print" r:embed="rId545"/>
        <a:stretch>
          <a:fillRect/>
        </a:stretch>
      </xdr:blipFill>
      <xdr:spPr>
        <a:prstGeom prst="rect">
          <a:avLst/>
        </a:prstGeom>
        <a:noFill/>
      </xdr:spPr>
    </xdr:pic>
    <xdr:clientData fLocksWithSheet="0"/>
  </xdr:oneCellAnchor>
  <xdr:oneCellAnchor>
    <xdr:from>
      <xdr:col>6</xdr:col>
      <xdr:colOff>38100</xdr:colOff>
      <xdr:row>857</xdr:row>
      <xdr:rowOff>38100</xdr:rowOff>
    </xdr:from>
    <xdr:ext cx="390525" cy="333375"/>
    <xdr:pic>
      <xdr:nvPicPr>
        <xdr:cNvPr id="0" name="image546.jpg"/>
        <xdr:cNvPicPr preferRelativeResize="0"/>
      </xdr:nvPicPr>
      <xdr:blipFill>
        <a:blip cstate="print" r:embed="rId546"/>
        <a:stretch>
          <a:fillRect/>
        </a:stretch>
      </xdr:blipFill>
      <xdr:spPr>
        <a:prstGeom prst="rect">
          <a:avLst/>
        </a:prstGeom>
        <a:noFill/>
      </xdr:spPr>
    </xdr:pic>
    <xdr:clientData fLocksWithSheet="0"/>
  </xdr:oneCellAnchor>
  <xdr:oneCellAnchor>
    <xdr:from>
      <xdr:col>6</xdr:col>
      <xdr:colOff>38100</xdr:colOff>
      <xdr:row>858</xdr:row>
      <xdr:rowOff>38100</xdr:rowOff>
    </xdr:from>
    <xdr:ext cx="495300" cy="514350"/>
    <xdr:pic>
      <xdr:nvPicPr>
        <xdr:cNvPr id="0" name="image584.jpg"/>
        <xdr:cNvPicPr preferRelativeResize="0"/>
      </xdr:nvPicPr>
      <xdr:blipFill>
        <a:blip cstate="print" r:embed="rId547"/>
        <a:stretch>
          <a:fillRect/>
        </a:stretch>
      </xdr:blipFill>
      <xdr:spPr>
        <a:prstGeom prst="rect">
          <a:avLst/>
        </a:prstGeom>
        <a:noFill/>
      </xdr:spPr>
    </xdr:pic>
    <xdr:clientData fLocksWithSheet="0"/>
  </xdr:oneCellAnchor>
  <xdr:oneCellAnchor>
    <xdr:from>
      <xdr:col>6</xdr:col>
      <xdr:colOff>38100</xdr:colOff>
      <xdr:row>859</xdr:row>
      <xdr:rowOff>38100</xdr:rowOff>
    </xdr:from>
    <xdr:ext cx="323850" cy="514350"/>
    <xdr:pic>
      <xdr:nvPicPr>
        <xdr:cNvPr id="0" name="image525.jpg"/>
        <xdr:cNvPicPr preferRelativeResize="0"/>
      </xdr:nvPicPr>
      <xdr:blipFill>
        <a:blip cstate="print" r:embed="rId548"/>
        <a:stretch>
          <a:fillRect/>
        </a:stretch>
      </xdr:blipFill>
      <xdr:spPr>
        <a:prstGeom prst="rect">
          <a:avLst/>
        </a:prstGeom>
        <a:noFill/>
      </xdr:spPr>
    </xdr:pic>
    <xdr:clientData fLocksWithSheet="0"/>
  </xdr:oneCellAnchor>
  <xdr:oneCellAnchor>
    <xdr:from>
      <xdr:col>6</xdr:col>
      <xdr:colOff>38100</xdr:colOff>
      <xdr:row>860</xdr:row>
      <xdr:rowOff>38100</xdr:rowOff>
    </xdr:from>
    <xdr:ext cx="266700" cy="514350"/>
    <xdr:pic>
      <xdr:nvPicPr>
        <xdr:cNvPr id="0" name="image514.jpg"/>
        <xdr:cNvPicPr preferRelativeResize="0"/>
      </xdr:nvPicPr>
      <xdr:blipFill>
        <a:blip cstate="print" r:embed="rId549"/>
        <a:stretch>
          <a:fillRect/>
        </a:stretch>
      </xdr:blipFill>
      <xdr:spPr>
        <a:prstGeom prst="rect">
          <a:avLst/>
        </a:prstGeom>
        <a:noFill/>
      </xdr:spPr>
    </xdr:pic>
    <xdr:clientData fLocksWithSheet="0"/>
  </xdr:oneCellAnchor>
  <xdr:oneCellAnchor>
    <xdr:from>
      <xdr:col>6</xdr:col>
      <xdr:colOff>38100</xdr:colOff>
      <xdr:row>861</xdr:row>
      <xdr:rowOff>38100</xdr:rowOff>
    </xdr:from>
    <xdr:ext cx="390525" cy="333375"/>
    <xdr:pic>
      <xdr:nvPicPr>
        <xdr:cNvPr id="0" name="image546.jpg"/>
        <xdr:cNvPicPr preferRelativeResize="0"/>
      </xdr:nvPicPr>
      <xdr:blipFill>
        <a:blip cstate="print" r:embed="rId546"/>
        <a:stretch>
          <a:fillRect/>
        </a:stretch>
      </xdr:blipFill>
      <xdr:spPr>
        <a:prstGeom prst="rect">
          <a:avLst/>
        </a:prstGeom>
        <a:noFill/>
      </xdr:spPr>
    </xdr:pic>
    <xdr:clientData fLocksWithSheet="0"/>
  </xdr:oneCellAnchor>
  <xdr:oneCellAnchor>
    <xdr:from>
      <xdr:col>6</xdr:col>
      <xdr:colOff>38100</xdr:colOff>
      <xdr:row>862</xdr:row>
      <xdr:rowOff>38100</xdr:rowOff>
    </xdr:from>
    <xdr:ext cx="323850" cy="514350"/>
    <xdr:pic>
      <xdr:nvPicPr>
        <xdr:cNvPr id="0" name="image667.jpg"/>
        <xdr:cNvPicPr preferRelativeResize="0"/>
      </xdr:nvPicPr>
      <xdr:blipFill>
        <a:blip cstate="print" r:embed="rId550"/>
        <a:stretch>
          <a:fillRect/>
        </a:stretch>
      </xdr:blipFill>
      <xdr:spPr>
        <a:prstGeom prst="rect">
          <a:avLst/>
        </a:prstGeom>
        <a:noFill/>
      </xdr:spPr>
    </xdr:pic>
    <xdr:clientData fLocksWithSheet="0"/>
  </xdr:oneCellAnchor>
  <xdr:oneCellAnchor>
    <xdr:from>
      <xdr:col>6</xdr:col>
      <xdr:colOff>38100</xdr:colOff>
      <xdr:row>863</xdr:row>
      <xdr:rowOff>38100</xdr:rowOff>
    </xdr:from>
    <xdr:ext cx="371475" cy="514350"/>
    <xdr:pic>
      <xdr:nvPicPr>
        <xdr:cNvPr id="0" name="image536.jpg"/>
        <xdr:cNvPicPr preferRelativeResize="0"/>
      </xdr:nvPicPr>
      <xdr:blipFill>
        <a:blip cstate="print" r:embed="rId551"/>
        <a:stretch>
          <a:fillRect/>
        </a:stretch>
      </xdr:blipFill>
      <xdr:spPr>
        <a:prstGeom prst="rect">
          <a:avLst/>
        </a:prstGeom>
        <a:noFill/>
      </xdr:spPr>
    </xdr:pic>
    <xdr:clientData fLocksWithSheet="0"/>
  </xdr:oneCellAnchor>
  <xdr:oneCellAnchor>
    <xdr:from>
      <xdr:col>6</xdr:col>
      <xdr:colOff>38100</xdr:colOff>
      <xdr:row>864</xdr:row>
      <xdr:rowOff>38100</xdr:rowOff>
    </xdr:from>
    <xdr:ext cx="419100" cy="514350"/>
    <xdr:pic>
      <xdr:nvPicPr>
        <xdr:cNvPr id="0" name="image540.jpg"/>
        <xdr:cNvPicPr preferRelativeResize="0"/>
      </xdr:nvPicPr>
      <xdr:blipFill>
        <a:blip cstate="print" r:embed="rId552"/>
        <a:stretch>
          <a:fillRect/>
        </a:stretch>
      </xdr:blipFill>
      <xdr:spPr>
        <a:prstGeom prst="rect">
          <a:avLst/>
        </a:prstGeom>
        <a:noFill/>
      </xdr:spPr>
    </xdr:pic>
    <xdr:clientData fLocksWithSheet="0"/>
  </xdr:oneCellAnchor>
  <xdr:oneCellAnchor>
    <xdr:from>
      <xdr:col>6</xdr:col>
      <xdr:colOff>38100</xdr:colOff>
      <xdr:row>865</xdr:row>
      <xdr:rowOff>38100</xdr:rowOff>
    </xdr:from>
    <xdr:ext cx="342900" cy="514350"/>
    <xdr:pic>
      <xdr:nvPicPr>
        <xdr:cNvPr id="0" name="image541.jpg"/>
        <xdr:cNvPicPr preferRelativeResize="0"/>
      </xdr:nvPicPr>
      <xdr:blipFill>
        <a:blip cstate="print" r:embed="rId553"/>
        <a:stretch>
          <a:fillRect/>
        </a:stretch>
      </xdr:blipFill>
      <xdr:spPr>
        <a:prstGeom prst="rect">
          <a:avLst/>
        </a:prstGeom>
        <a:noFill/>
      </xdr:spPr>
    </xdr:pic>
    <xdr:clientData fLocksWithSheet="0"/>
  </xdr:oneCellAnchor>
  <xdr:oneCellAnchor>
    <xdr:from>
      <xdr:col>6</xdr:col>
      <xdr:colOff>38100</xdr:colOff>
      <xdr:row>866</xdr:row>
      <xdr:rowOff>38100</xdr:rowOff>
    </xdr:from>
    <xdr:ext cx="180975" cy="514350"/>
    <xdr:pic>
      <xdr:nvPicPr>
        <xdr:cNvPr id="0" name="image530.jpg"/>
        <xdr:cNvPicPr preferRelativeResize="0"/>
      </xdr:nvPicPr>
      <xdr:blipFill>
        <a:blip cstate="print" r:embed="rId554"/>
        <a:stretch>
          <a:fillRect/>
        </a:stretch>
      </xdr:blipFill>
      <xdr:spPr>
        <a:prstGeom prst="rect">
          <a:avLst/>
        </a:prstGeom>
        <a:noFill/>
      </xdr:spPr>
    </xdr:pic>
    <xdr:clientData fLocksWithSheet="0"/>
  </xdr:oneCellAnchor>
  <xdr:oneCellAnchor>
    <xdr:from>
      <xdr:col>6</xdr:col>
      <xdr:colOff>38100</xdr:colOff>
      <xdr:row>867</xdr:row>
      <xdr:rowOff>38100</xdr:rowOff>
    </xdr:from>
    <xdr:ext cx="180975" cy="514350"/>
    <xdr:pic>
      <xdr:nvPicPr>
        <xdr:cNvPr id="0" name="image530.jpg"/>
        <xdr:cNvPicPr preferRelativeResize="0"/>
      </xdr:nvPicPr>
      <xdr:blipFill>
        <a:blip cstate="print" r:embed="rId554"/>
        <a:stretch>
          <a:fillRect/>
        </a:stretch>
      </xdr:blipFill>
      <xdr:spPr>
        <a:prstGeom prst="rect">
          <a:avLst/>
        </a:prstGeom>
        <a:noFill/>
      </xdr:spPr>
    </xdr:pic>
    <xdr:clientData fLocksWithSheet="0"/>
  </xdr:oneCellAnchor>
  <xdr:oneCellAnchor>
    <xdr:from>
      <xdr:col>6</xdr:col>
      <xdr:colOff>38100</xdr:colOff>
      <xdr:row>868</xdr:row>
      <xdr:rowOff>38100</xdr:rowOff>
    </xdr:from>
    <xdr:ext cx="333375" cy="514350"/>
    <xdr:pic>
      <xdr:nvPicPr>
        <xdr:cNvPr id="0" name="image563.jpg"/>
        <xdr:cNvPicPr preferRelativeResize="0"/>
      </xdr:nvPicPr>
      <xdr:blipFill>
        <a:blip cstate="print" r:embed="rId555"/>
        <a:stretch>
          <a:fillRect/>
        </a:stretch>
      </xdr:blipFill>
      <xdr:spPr>
        <a:prstGeom prst="rect">
          <a:avLst/>
        </a:prstGeom>
        <a:noFill/>
      </xdr:spPr>
    </xdr:pic>
    <xdr:clientData fLocksWithSheet="0"/>
  </xdr:oneCellAnchor>
  <xdr:oneCellAnchor>
    <xdr:from>
      <xdr:col>6</xdr:col>
      <xdr:colOff>38100</xdr:colOff>
      <xdr:row>869</xdr:row>
      <xdr:rowOff>38100</xdr:rowOff>
    </xdr:from>
    <xdr:ext cx="647700" cy="428625"/>
    <xdr:pic>
      <xdr:nvPicPr>
        <xdr:cNvPr id="0" name="image535.jpg"/>
        <xdr:cNvPicPr preferRelativeResize="0"/>
      </xdr:nvPicPr>
      <xdr:blipFill>
        <a:blip cstate="print" r:embed="rId556"/>
        <a:stretch>
          <a:fillRect/>
        </a:stretch>
      </xdr:blipFill>
      <xdr:spPr>
        <a:prstGeom prst="rect">
          <a:avLst/>
        </a:prstGeom>
        <a:noFill/>
      </xdr:spPr>
    </xdr:pic>
    <xdr:clientData fLocksWithSheet="0"/>
  </xdr:oneCellAnchor>
  <xdr:oneCellAnchor>
    <xdr:from>
      <xdr:col>6</xdr:col>
      <xdr:colOff>38100</xdr:colOff>
      <xdr:row>870</xdr:row>
      <xdr:rowOff>38100</xdr:rowOff>
    </xdr:from>
    <xdr:ext cx="247650" cy="514350"/>
    <xdr:pic>
      <xdr:nvPicPr>
        <xdr:cNvPr id="0" name="image564.jpg"/>
        <xdr:cNvPicPr preferRelativeResize="0"/>
      </xdr:nvPicPr>
      <xdr:blipFill>
        <a:blip cstate="print" r:embed="rId557"/>
        <a:stretch>
          <a:fillRect/>
        </a:stretch>
      </xdr:blipFill>
      <xdr:spPr>
        <a:prstGeom prst="rect">
          <a:avLst/>
        </a:prstGeom>
        <a:noFill/>
      </xdr:spPr>
    </xdr:pic>
    <xdr:clientData fLocksWithSheet="0"/>
  </xdr:oneCellAnchor>
  <xdr:oneCellAnchor>
    <xdr:from>
      <xdr:col>6</xdr:col>
      <xdr:colOff>38100</xdr:colOff>
      <xdr:row>871</xdr:row>
      <xdr:rowOff>38100</xdr:rowOff>
    </xdr:from>
    <xdr:ext cx="504825" cy="514350"/>
    <xdr:pic>
      <xdr:nvPicPr>
        <xdr:cNvPr id="0" name="image558.jpg"/>
        <xdr:cNvPicPr preferRelativeResize="0"/>
      </xdr:nvPicPr>
      <xdr:blipFill>
        <a:blip cstate="print" r:embed="rId558"/>
        <a:stretch>
          <a:fillRect/>
        </a:stretch>
      </xdr:blipFill>
      <xdr:spPr>
        <a:prstGeom prst="rect">
          <a:avLst/>
        </a:prstGeom>
        <a:noFill/>
      </xdr:spPr>
    </xdr:pic>
    <xdr:clientData fLocksWithSheet="0"/>
  </xdr:oneCellAnchor>
  <xdr:oneCellAnchor>
    <xdr:from>
      <xdr:col>6</xdr:col>
      <xdr:colOff>38100</xdr:colOff>
      <xdr:row>872</xdr:row>
      <xdr:rowOff>38100</xdr:rowOff>
    </xdr:from>
    <xdr:ext cx="523875" cy="514350"/>
    <xdr:pic>
      <xdr:nvPicPr>
        <xdr:cNvPr id="0" name="image537.jpg"/>
        <xdr:cNvPicPr preferRelativeResize="0"/>
      </xdr:nvPicPr>
      <xdr:blipFill>
        <a:blip cstate="print" r:embed="rId559"/>
        <a:stretch>
          <a:fillRect/>
        </a:stretch>
      </xdr:blipFill>
      <xdr:spPr>
        <a:prstGeom prst="rect">
          <a:avLst/>
        </a:prstGeom>
        <a:noFill/>
      </xdr:spPr>
    </xdr:pic>
    <xdr:clientData fLocksWithSheet="0"/>
  </xdr:oneCellAnchor>
  <xdr:oneCellAnchor>
    <xdr:from>
      <xdr:col>6</xdr:col>
      <xdr:colOff>38100</xdr:colOff>
      <xdr:row>873</xdr:row>
      <xdr:rowOff>38100</xdr:rowOff>
    </xdr:from>
    <xdr:ext cx="647700" cy="447675"/>
    <xdr:pic>
      <xdr:nvPicPr>
        <xdr:cNvPr id="0" name="image542.jpg"/>
        <xdr:cNvPicPr preferRelativeResize="0"/>
      </xdr:nvPicPr>
      <xdr:blipFill>
        <a:blip cstate="print" r:embed="rId560"/>
        <a:stretch>
          <a:fillRect/>
        </a:stretch>
      </xdr:blipFill>
      <xdr:spPr>
        <a:prstGeom prst="rect">
          <a:avLst/>
        </a:prstGeom>
        <a:noFill/>
      </xdr:spPr>
    </xdr:pic>
    <xdr:clientData fLocksWithSheet="0"/>
  </xdr:oneCellAnchor>
  <xdr:oneCellAnchor>
    <xdr:from>
      <xdr:col>6</xdr:col>
      <xdr:colOff>38100</xdr:colOff>
      <xdr:row>874</xdr:row>
      <xdr:rowOff>38100</xdr:rowOff>
    </xdr:from>
    <xdr:ext cx="647700" cy="447675"/>
    <xdr:pic>
      <xdr:nvPicPr>
        <xdr:cNvPr id="0" name="image542.jpg"/>
        <xdr:cNvPicPr preferRelativeResize="0"/>
      </xdr:nvPicPr>
      <xdr:blipFill>
        <a:blip cstate="print" r:embed="rId560"/>
        <a:stretch>
          <a:fillRect/>
        </a:stretch>
      </xdr:blipFill>
      <xdr:spPr>
        <a:prstGeom prst="rect">
          <a:avLst/>
        </a:prstGeom>
        <a:noFill/>
      </xdr:spPr>
    </xdr:pic>
    <xdr:clientData fLocksWithSheet="0"/>
  </xdr:oneCellAnchor>
  <xdr:oneCellAnchor>
    <xdr:from>
      <xdr:col>6</xdr:col>
      <xdr:colOff>38100</xdr:colOff>
      <xdr:row>875</xdr:row>
      <xdr:rowOff>38100</xdr:rowOff>
    </xdr:from>
    <xdr:ext cx="609600" cy="514350"/>
    <xdr:pic>
      <xdr:nvPicPr>
        <xdr:cNvPr id="0" name="image652.jpg"/>
        <xdr:cNvPicPr preferRelativeResize="0"/>
      </xdr:nvPicPr>
      <xdr:blipFill>
        <a:blip cstate="print" r:embed="rId561"/>
        <a:stretch>
          <a:fillRect/>
        </a:stretch>
      </xdr:blipFill>
      <xdr:spPr>
        <a:prstGeom prst="rect">
          <a:avLst/>
        </a:prstGeom>
        <a:noFill/>
      </xdr:spPr>
    </xdr:pic>
    <xdr:clientData fLocksWithSheet="0"/>
  </xdr:oneCellAnchor>
  <xdr:oneCellAnchor>
    <xdr:from>
      <xdr:col>6</xdr:col>
      <xdr:colOff>38100</xdr:colOff>
      <xdr:row>876</xdr:row>
      <xdr:rowOff>38100</xdr:rowOff>
    </xdr:from>
    <xdr:ext cx="609600" cy="514350"/>
    <xdr:pic>
      <xdr:nvPicPr>
        <xdr:cNvPr id="0" name="image652.jpg"/>
        <xdr:cNvPicPr preferRelativeResize="0"/>
      </xdr:nvPicPr>
      <xdr:blipFill>
        <a:blip cstate="print" r:embed="rId561"/>
        <a:stretch>
          <a:fillRect/>
        </a:stretch>
      </xdr:blipFill>
      <xdr:spPr>
        <a:prstGeom prst="rect">
          <a:avLst/>
        </a:prstGeom>
        <a:noFill/>
      </xdr:spPr>
    </xdr:pic>
    <xdr:clientData fLocksWithSheet="0"/>
  </xdr:oneCellAnchor>
  <xdr:oneCellAnchor>
    <xdr:from>
      <xdr:col>6</xdr:col>
      <xdr:colOff>38100</xdr:colOff>
      <xdr:row>877</xdr:row>
      <xdr:rowOff>38100</xdr:rowOff>
    </xdr:from>
    <xdr:ext cx="609600" cy="514350"/>
    <xdr:pic>
      <xdr:nvPicPr>
        <xdr:cNvPr id="0" name="image652.jpg"/>
        <xdr:cNvPicPr preferRelativeResize="0"/>
      </xdr:nvPicPr>
      <xdr:blipFill>
        <a:blip cstate="print" r:embed="rId561"/>
        <a:stretch>
          <a:fillRect/>
        </a:stretch>
      </xdr:blipFill>
      <xdr:spPr>
        <a:prstGeom prst="rect">
          <a:avLst/>
        </a:prstGeom>
        <a:noFill/>
      </xdr:spPr>
    </xdr:pic>
    <xdr:clientData fLocksWithSheet="0"/>
  </xdr:oneCellAnchor>
  <xdr:oneCellAnchor>
    <xdr:from>
      <xdr:col>6</xdr:col>
      <xdr:colOff>38100</xdr:colOff>
      <xdr:row>878</xdr:row>
      <xdr:rowOff>38100</xdr:rowOff>
    </xdr:from>
    <xdr:ext cx="647700" cy="457200"/>
    <xdr:pic>
      <xdr:nvPicPr>
        <xdr:cNvPr id="0" name="image559.jpg"/>
        <xdr:cNvPicPr preferRelativeResize="0"/>
      </xdr:nvPicPr>
      <xdr:blipFill>
        <a:blip cstate="print" r:embed="rId562"/>
        <a:stretch>
          <a:fillRect/>
        </a:stretch>
      </xdr:blipFill>
      <xdr:spPr>
        <a:prstGeom prst="rect">
          <a:avLst/>
        </a:prstGeom>
        <a:noFill/>
      </xdr:spPr>
    </xdr:pic>
    <xdr:clientData fLocksWithSheet="0"/>
  </xdr:oneCellAnchor>
  <xdr:oneCellAnchor>
    <xdr:from>
      <xdr:col>6</xdr:col>
      <xdr:colOff>38100</xdr:colOff>
      <xdr:row>879</xdr:row>
      <xdr:rowOff>38100</xdr:rowOff>
    </xdr:from>
    <xdr:ext cx="647700" cy="457200"/>
    <xdr:pic>
      <xdr:nvPicPr>
        <xdr:cNvPr id="0" name="image559.jpg"/>
        <xdr:cNvPicPr preferRelativeResize="0"/>
      </xdr:nvPicPr>
      <xdr:blipFill>
        <a:blip cstate="print" r:embed="rId562"/>
        <a:stretch>
          <a:fillRect/>
        </a:stretch>
      </xdr:blipFill>
      <xdr:spPr>
        <a:prstGeom prst="rect">
          <a:avLst/>
        </a:prstGeom>
        <a:noFill/>
      </xdr:spPr>
    </xdr:pic>
    <xdr:clientData fLocksWithSheet="0"/>
  </xdr:oneCellAnchor>
  <xdr:oneCellAnchor>
    <xdr:from>
      <xdr:col>6</xdr:col>
      <xdr:colOff>38100</xdr:colOff>
      <xdr:row>880</xdr:row>
      <xdr:rowOff>38100</xdr:rowOff>
    </xdr:from>
    <xdr:ext cx="647700" cy="457200"/>
    <xdr:pic>
      <xdr:nvPicPr>
        <xdr:cNvPr id="0" name="image559.jpg"/>
        <xdr:cNvPicPr preferRelativeResize="0"/>
      </xdr:nvPicPr>
      <xdr:blipFill>
        <a:blip cstate="print" r:embed="rId562"/>
        <a:stretch>
          <a:fillRect/>
        </a:stretch>
      </xdr:blipFill>
      <xdr:spPr>
        <a:prstGeom prst="rect">
          <a:avLst/>
        </a:prstGeom>
        <a:noFill/>
      </xdr:spPr>
    </xdr:pic>
    <xdr:clientData fLocksWithSheet="0"/>
  </xdr:oneCellAnchor>
  <xdr:oneCellAnchor>
    <xdr:from>
      <xdr:col>6</xdr:col>
      <xdr:colOff>38100</xdr:colOff>
      <xdr:row>881</xdr:row>
      <xdr:rowOff>38100</xdr:rowOff>
    </xdr:from>
    <xdr:ext cx="581025" cy="514350"/>
    <xdr:pic>
      <xdr:nvPicPr>
        <xdr:cNvPr id="0" name="image539.jpg"/>
        <xdr:cNvPicPr preferRelativeResize="0"/>
      </xdr:nvPicPr>
      <xdr:blipFill>
        <a:blip cstate="print" r:embed="rId563"/>
        <a:stretch>
          <a:fillRect/>
        </a:stretch>
      </xdr:blipFill>
      <xdr:spPr>
        <a:prstGeom prst="rect">
          <a:avLst/>
        </a:prstGeom>
        <a:noFill/>
      </xdr:spPr>
    </xdr:pic>
    <xdr:clientData fLocksWithSheet="0"/>
  </xdr:oneCellAnchor>
  <xdr:oneCellAnchor>
    <xdr:from>
      <xdr:col>6</xdr:col>
      <xdr:colOff>38100</xdr:colOff>
      <xdr:row>882</xdr:row>
      <xdr:rowOff>38100</xdr:rowOff>
    </xdr:from>
    <xdr:ext cx="647700" cy="504825"/>
    <xdr:pic>
      <xdr:nvPicPr>
        <xdr:cNvPr id="0" name="image636.jpg"/>
        <xdr:cNvPicPr preferRelativeResize="0"/>
      </xdr:nvPicPr>
      <xdr:blipFill>
        <a:blip cstate="print" r:embed="rId564"/>
        <a:stretch>
          <a:fillRect/>
        </a:stretch>
      </xdr:blipFill>
      <xdr:spPr>
        <a:prstGeom prst="rect">
          <a:avLst/>
        </a:prstGeom>
        <a:noFill/>
      </xdr:spPr>
    </xdr:pic>
    <xdr:clientData fLocksWithSheet="0"/>
  </xdr:oneCellAnchor>
  <xdr:oneCellAnchor>
    <xdr:from>
      <xdr:col>6</xdr:col>
      <xdr:colOff>38100</xdr:colOff>
      <xdr:row>883</xdr:row>
      <xdr:rowOff>38100</xdr:rowOff>
    </xdr:from>
    <xdr:ext cx="647700" cy="514350"/>
    <xdr:pic>
      <xdr:nvPicPr>
        <xdr:cNvPr id="0" name="image538.jpg"/>
        <xdr:cNvPicPr preferRelativeResize="0"/>
      </xdr:nvPicPr>
      <xdr:blipFill>
        <a:blip cstate="print" r:embed="rId565"/>
        <a:stretch>
          <a:fillRect/>
        </a:stretch>
      </xdr:blipFill>
      <xdr:spPr>
        <a:prstGeom prst="rect">
          <a:avLst/>
        </a:prstGeom>
        <a:noFill/>
      </xdr:spPr>
    </xdr:pic>
    <xdr:clientData fLocksWithSheet="0"/>
  </xdr:oneCellAnchor>
  <xdr:oneCellAnchor>
    <xdr:from>
      <xdr:col>6</xdr:col>
      <xdr:colOff>38100</xdr:colOff>
      <xdr:row>884</xdr:row>
      <xdr:rowOff>38100</xdr:rowOff>
    </xdr:from>
    <xdr:ext cx="647700" cy="352425"/>
    <xdr:pic>
      <xdr:nvPicPr>
        <xdr:cNvPr id="0" name="image769.jpg"/>
        <xdr:cNvPicPr preferRelativeResize="0"/>
      </xdr:nvPicPr>
      <xdr:blipFill>
        <a:blip cstate="print" r:embed="rId566"/>
        <a:stretch>
          <a:fillRect/>
        </a:stretch>
      </xdr:blipFill>
      <xdr:spPr>
        <a:prstGeom prst="rect">
          <a:avLst/>
        </a:prstGeom>
        <a:noFill/>
      </xdr:spPr>
    </xdr:pic>
    <xdr:clientData fLocksWithSheet="0"/>
  </xdr:oneCellAnchor>
  <xdr:oneCellAnchor>
    <xdr:from>
      <xdr:col>6</xdr:col>
      <xdr:colOff>38100</xdr:colOff>
      <xdr:row>885</xdr:row>
      <xdr:rowOff>38100</xdr:rowOff>
    </xdr:from>
    <xdr:ext cx="647700" cy="457200"/>
    <xdr:pic>
      <xdr:nvPicPr>
        <xdr:cNvPr id="0" name="image577.jpg"/>
        <xdr:cNvPicPr preferRelativeResize="0"/>
      </xdr:nvPicPr>
      <xdr:blipFill>
        <a:blip cstate="print" r:embed="rId567"/>
        <a:stretch>
          <a:fillRect/>
        </a:stretch>
      </xdr:blipFill>
      <xdr:spPr>
        <a:prstGeom prst="rect">
          <a:avLst/>
        </a:prstGeom>
        <a:noFill/>
      </xdr:spPr>
    </xdr:pic>
    <xdr:clientData fLocksWithSheet="0"/>
  </xdr:oneCellAnchor>
  <xdr:oneCellAnchor>
    <xdr:from>
      <xdr:col>6</xdr:col>
      <xdr:colOff>38100</xdr:colOff>
      <xdr:row>886</xdr:row>
      <xdr:rowOff>38100</xdr:rowOff>
    </xdr:from>
    <xdr:ext cx="647700" cy="457200"/>
    <xdr:pic>
      <xdr:nvPicPr>
        <xdr:cNvPr id="0" name="image577.jpg"/>
        <xdr:cNvPicPr preferRelativeResize="0"/>
      </xdr:nvPicPr>
      <xdr:blipFill>
        <a:blip cstate="print" r:embed="rId567"/>
        <a:stretch>
          <a:fillRect/>
        </a:stretch>
      </xdr:blipFill>
      <xdr:spPr>
        <a:prstGeom prst="rect">
          <a:avLst/>
        </a:prstGeom>
        <a:noFill/>
      </xdr:spPr>
    </xdr:pic>
    <xdr:clientData fLocksWithSheet="0"/>
  </xdr:oneCellAnchor>
  <xdr:oneCellAnchor>
    <xdr:from>
      <xdr:col>6</xdr:col>
      <xdr:colOff>38100</xdr:colOff>
      <xdr:row>887</xdr:row>
      <xdr:rowOff>38100</xdr:rowOff>
    </xdr:from>
    <xdr:ext cx="333375" cy="514350"/>
    <xdr:pic>
      <xdr:nvPicPr>
        <xdr:cNvPr id="0" name="image553.jpg"/>
        <xdr:cNvPicPr preferRelativeResize="0"/>
      </xdr:nvPicPr>
      <xdr:blipFill>
        <a:blip cstate="print" r:embed="rId568"/>
        <a:stretch>
          <a:fillRect/>
        </a:stretch>
      </xdr:blipFill>
      <xdr:spPr>
        <a:prstGeom prst="rect">
          <a:avLst/>
        </a:prstGeom>
        <a:noFill/>
      </xdr:spPr>
    </xdr:pic>
    <xdr:clientData fLocksWithSheet="0"/>
  </xdr:oneCellAnchor>
  <xdr:oneCellAnchor>
    <xdr:from>
      <xdr:col>6</xdr:col>
      <xdr:colOff>38100</xdr:colOff>
      <xdr:row>888</xdr:row>
      <xdr:rowOff>38100</xdr:rowOff>
    </xdr:from>
    <xdr:ext cx="333375" cy="514350"/>
    <xdr:pic>
      <xdr:nvPicPr>
        <xdr:cNvPr id="0" name="image553.jpg"/>
        <xdr:cNvPicPr preferRelativeResize="0"/>
      </xdr:nvPicPr>
      <xdr:blipFill>
        <a:blip cstate="print" r:embed="rId568"/>
        <a:stretch>
          <a:fillRect/>
        </a:stretch>
      </xdr:blipFill>
      <xdr:spPr>
        <a:prstGeom prst="rect">
          <a:avLst/>
        </a:prstGeom>
        <a:noFill/>
      </xdr:spPr>
    </xdr:pic>
    <xdr:clientData fLocksWithSheet="0"/>
  </xdr:oneCellAnchor>
  <xdr:oneCellAnchor>
    <xdr:from>
      <xdr:col>6</xdr:col>
      <xdr:colOff>38100</xdr:colOff>
      <xdr:row>889</xdr:row>
      <xdr:rowOff>38100</xdr:rowOff>
    </xdr:from>
    <xdr:ext cx="552450" cy="514350"/>
    <xdr:pic>
      <xdr:nvPicPr>
        <xdr:cNvPr id="0" name="image567.jpg"/>
        <xdr:cNvPicPr preferRelativeResize="0"/>
      </xdr:nvPicPr>
      <xdr:blipFill>
        <a:blip cstate="print" r:embed="rId569"/>
        <a:stretch>
          <a:fillRect/>
        </a:stretch>
      </xdr:blipFill>
      <xdr:spPr>
        <a:prstGeom prst="rect">
          <a:avLst/>
        </a:prstGeom>
        <a:noFill/>
      </xdr:spPr>
    </xdr:pic>
    <xdr:clientData fLocksWithSheet="0"/>
  </xdr:oneCellAnchor>
  <xdr:oneCellAnchor>
    <xdr:from>
      <xdr:col>6</xdr:col>
      <xdr:colOff>38100</xdr:colOff>
      <xdr:row>890</xdr:row>
      <xdr:rowOff>38100</xdr:rowOff>
    </xdr:from>
    <xdr:ext cx="609600" cy="514350"/>
    <xdr:pic>
      <xdr:nvPicPr>
        <xdr:cNvPr id="0" name="image652.jpg"/>
        <xdr:cNvPicPr preferRelativeResize="0"/>
      </xdr:nvPicPr>
      <xdr:blipFill>
        <a:blip cstate="print" r:embed="rId561"/>
        <a:stretch>
          <a:fillRect/>
        </a:stretch>
      </xdr:blipFill>
      <xdr:spPr>
        <a:prstGeom prst="rect">
          <a:avLst/>
        </a:prstGeom>
        <a:noFill/>
      </xdr:spPr>
    </xdr:pic>
    <xdr:clientData fLocksWithSheet="0"/>
  </xdr:oneCellAnchor>
  <xdr:oneCellAnchor>
    <xdr:from>
      <xdr:col>6</xdr:col>
      <xdr:colOff>38100</xdr:colOff>
      <xdr:row>891</xdr:row>
      <xdr:rowOff>38100</xdr:rowOff>
    </xdr:from>
    <xdr:ext cx="647700" cy="409575"/>
    <xdr:pic>
      <xdr:nvPicPr>
        <xdr:cNvPr id="0" name="image543.jpg"/>
        <xdr:cNvPicPr preferRelativeResize="0"/>
      </xdr:nvPicPr>
      <xdr:blipFill>
        <a:blip cstate="print" r:embed="rId570"/>
        <a:stretch>
          <a:fillRect/>
        </a:stretch>
      </xdr:blipFill>
      <xdr:spPr>
        <a:prstGeom prst="rect">
          <a:avLst/>
        </a:prstGeom>
        <a:noFill/>
      </xdr:spPr>
    </xdr:pic>
    <xdr:clientData fLocksWithSheet="0"/>
  </xdr:oneCellAnchor>
  <xdr:oneCellAnchor>
    <xdr:from>
      <xdr:col>6</xdr:col>
      <xdr:colOff>38100</xdr:colOff>
      <xdr:row>892</xdr:row>
      <xdr:rowOff>38100</xdr:rowOff>
    </xdr:from>
    <xdr:ext cx="647700" cy="457200"/>
    <xdr:pic>
      <xdr:nvPicPr>
        <xdr:cNvPr id="0" name="image545.jpg"/>
        <xdr:cNvPicPr preferRelativeResize="0"/>
      </xdr:nvPicPr>
      <xdr:blipFill>
        <a:blip cstate="print" r:embed="rId571"/>
        <a:stretch>
          <a:fillRect/>
        </a:stretch>
      </xdr:blipFill>
      <xdr:spPr>
        <a:prstGeom prst="rect">
          <a:avLst/>
        </a:prstGeom>
        <a:noFill/>
      </xdr:spPr>
    </xdr:pic>
    <xdr:clientData fLocksWithSheet="0"/>
  </xdr:oneCellAnchor>
  <xdr:oneCellAnchor>
    <xdr:from>
      <xdr:col>6</xdr:col>
      <xdr:colOff>38100</xdr:colOff>
      <xdr:row>893</xdr:row>
      <xdr:rowOff>38100</xdr:rowOff>
    </xdr:from>
    <xdr:ext cx="647700" cy="361950"/>
    <xdr:pic>
      <xdr:nvPicPr>
        <xdr:cNvPr id="0" name="image581.jpg"/>
        <xdr:cNvPicPr preferRelativeResize="0"/>
      </xdr:nvPicPr>
      <xdr:blipFill>
        <a:blip cstate="print" r:embed="rId572"/>
        <a:stretch>
          <a:fillRect/>
        </a:stretch>
      </xdr:blipFill>
      <xdr:spPr>
        <a:prstGeom prst="rect">
          <a:avLst/>
        </a:prstGeom>
        <a:noFill/>
      </xdr:spPr>
    </xdr:pic>
    <xdr:clientData fLocksWithSheet="0"/>
  </xdr:oneCellAnchor>
  <xdr:oneCellAnchor>
    <xdr:from>
      <xdr:col>6</xdr:col>
      <xdr:colOff>38100</xdr:colOff>
      <xdr:row>894</xdr:row>
      <xdr:rowOff>38100</xdr:rowOff>
    </xdr:from>
    <xdr:ext cx="647700" cy="361950"/>
    <xdr:pic>
      <xdr:nvPicPr>
        <xdr:cNvPr id="0" name="image552.jpg"/>
        <xdr:cNvPicPr preferRelativeResize="0"/>
      </xdr:nvPicPr>
      <xdr:blipFill>
        <a:blip cstate="print" r:embed="rId573"/>
        <a:stretch>
          <a:fillRect/>
        </a:stretch>
      </xdr:blipFill>
      <xdr:spPr>
        <a:prstGeom prst="rect">
          <a:avLst/>
        </a:prstGeom>
        <a:noFill/>
      </xdr:spPr>
    </xdr:pic>
    <xdr:clientData fLocksWithSheet="0"/>
  </xdr:oneCellAnchor>
  <xdr:oneCellAnchor>
    <xdr:from>
      <xdr:col>6</xdr:col>
      <xdr:colOff>38100</xdr:colOff>
      <xdr:row>895</xdr:row>
      <xdr:rowOff>38100</xdr:rowOff>
    </xdr:from>
    <xdr:ext cx="647700" cy="361950"/>
    <xdr:pic>
      <xdr:nvPicPr>
        <xdr:cNvPr id="0" name="image576.jpg"/>
        <xdr:cNvPicPr preferRelativeResize="0"/>
      </xdr:nvPicPr>
      <xdr:blipFill>
        <a:blip cstate="print" r:embed="rId574"/>
        <a:stretch>
          <a:fillRect/>
        </a:stretch>
      </xdr:blipFill>
      <xdr:spPr>
        <a:prstGeom prst="rect">
          <a:avLst/>
        </a:prstGeom>
        <a:noFill/>
      </xdr:spPr>
    </xdr:pic>
    <xdr:clientData fLocksWithSheet="0"/>
  </xdr:oneCellAnchor>
  <xdr:oneCellAnchor>
    <xdr:from>
      <xdr:col>6</xdr:col>
      <xdr:colOff>38100</xdr:colOff>
      <xdr:row>896</xdr:row>
      <xdr:rowOff>38100</xdr:rowOff>
    </xdr:from>
    <xdr:ext cx="304800" cy="371475"/>
    <xdr:pic>
      <xdr:nvPicPr>
        <xdr:cNvPr id="0" name="image547.jpg"/>
        <xdr:cNvPicPr preferRelativeResize="0"/>
      </xdr:nvPicPr>
      <xdr:blipFill>
        <a:blip cstate="print" r:embed="rId575"/>
        <a:stretch>
          <a:fillRect/>
        </a:stretch>
      </xdr:blipFill>
      <xdr:spPr>
        <a:prstGeom prst="rect">
          <a:avLst/>
        </a:prstGeom>
        <a:noFill/>
      </xdr:spPr>
    </xdr:pic>
    <xdr:clientData fLocksWithSheet="0"/>
  </xdr:oneCellAnchor>
  <xdr:oneCellAnchor>
    <xdr:from>
      <xdr:col>6</xdr:col>
      <xdr:colOff>38100</xdr:colOff>
      <xdr:row>897</xdr:row>
      <xdr:rowOff>38100</xdr:rowOff>
    </xdr:from>
    <xdr:ext cx="647700" cy="361950"/>
    <xdr:pic>
      <xdr:nvPicPr>
        <xdr:cNvPr id="0" name="image555.jpg"/>
        <xdr:cNvPicPr preferRelativeResize="0"/>
      </xdr:nvPicPr>
      <xdr:blipFill>
        <a:blip cstate="print" r:embed="rId576"/>
        <a:stretch>
          <a:fillRect/>
        </a:stretch>
      </xdr:blipFill>
      <xdr:spPr>
        <a:prstGeom prst="rect">
          <a:avLst/>
        </a:prstGeom>
        <a:noFill/>
      </xdr:spPr>
    </xdr:pic>
    <xdr:clientData fLocksWithSheet="0"/>
  </xdr:oneCellAnchor>
  <xdr:oneCellAnchor>
    <xdr:from>
      <xdr:col>6</xdr:col>
      <xdr:colOff>38100</xdr:colOff>
      <xdr:row>898</xdr:row>
      <xdr:rowOff>38100</xdr:rowOff>
    </xdr:from>
    <xdr:ext cx="647700" cy="361950"/>
    <xdr:pic>
      <xdr:nvPicPr>
        <xdr:cNvPr id="0" name="image556.jpg"/>
        <xdr:cNvPicPr preferRelativeResize="0"/>
      </xdr:nvPicPr>
      <xdr:blipFill>
        <a:blip cstate="print" r:embed="rId577"/>
        <a:stretch>
          <a:fillRect/>
        </a:stretch>
      </xdr:blipFill>
      <xdr:spPr>
        <a:prstGeom prst="rect">
          <a:avLst/>
        </a:prstGeom>
        <a:noFill/>
      </xdr:spPr>
    </xdr:pic>
    <xdr:clientData fLocksWithSheet="0"/>
  </xdr:oneCellAnchor>
  <xdr:oneCellAnchor>
    <xdr:from>
      <xdr:col>6</xdr:col>
      <xdr:colOff>38100</xdr:colOff>
      <xdr:row>899</xdr:row>
      <xdr:rowOff>38100</xdr:rowOff>
    </xdr:from>
    <xdr:ext cx="266700" cy="266700"/>
    <xdr:pic>
      <xdr:nvPicPr>
        <xdr:cNvPr id="0" name="image654.jpg"/>
        <xdr:cNvPicPr preferRelativeResize="0"/>
      </xdr:nvPicPr>
      <xdr:blipFill>
        <a:blip cstate="print" r:embed="rId578"/>
        <a:stretch>
          <a:fillRect/>
        </a:stretch>
      </xdr:blipFill>
      <xdr:spPr>
        <a:prstGeom prst="rect">
          <a:avLst/>
        </a:prstGeom>
        <a:noFill/>
      </xdr:spPr>
    </xdr:pic>
    <xdr:clientData fLocksWithSheet="0"/>
  </xdr:oneCellAnchor>
  <xdr:oneCellAnchor>
    <xdr:from>
      <xdr:col>6</xdr:col>
      <xdr:colOff>38100</xdr:colOff>
      <xdr:row>900</xdr:row>
      <xdr:rowOff>38100</xdr:rowOff>
    </xdr:from>
    <xdr:ext cx="476250" cy="476250"/>
    <xdr:pic>
      <xdr:nvPicPr>
        <xdr:cNvPr id="0" name="image549.jpg"/>
        <xdr:cNvPicPr preferRelativeResize="0"/>
      </xdr:nvPicPr>
      <xdr:blipFill>
        <a:blip cstate="print" r:embed="rId579"/>
        <a:stretch>
          <a:fillRect/>
        </a:stretch>
      </xdr:blipFill>
      <xdr:spPr>
        <a:prstGeom prst="rect">
          <a:avLst/>
        </a:prstGeom>
        <a:noFill/>
      </xdr:spPr>
    </xdr:pic>
    <xdr:clientData fLocksWithSheet="0"/>
  </xdr:oneCellAnchor>
  <xdr:oneCellAnchor>
    <xdr:from>
      <xdr:col>6</xdr:col>
      <xdr:colOff>38100</xdr:colOff>
      <xdr:row>901</xdr:row>
      <xdr:rowOff>38100</xdr:rowOff>
    </xdr:from>
    <xdr:ext cx="647700" cy="361950"/>
    <xdr:pic>
      <xdr:nvPicPr>
        <xdr:cNvPr id="0" name="image562.jpg"/>
        <xdr:cNvPicPr preferRelativeResize="0"/>
      </xdr:nvPicPr>
      <xdr:blipFill>
        <a:blip cstate="print" r:embed="rId580"/>
        <a:stretch>
          <a:fillRect/>
        </a:stretch>
      </xdr:blipFill>
      <xdr:spPr>
        <a:prstGeom prst="rect">
          <a:avLst/>
        </a:prstGeom>
        <a:noFill/>
      </xdr:spPr>
    </xdr:pic>
    <xdr:clientData fLocksWithSheet="0"/>
  </xdr:oneCellAnchor>
  <xdr:oneCellAnchor>
    <xdr:from>
      <xdr:col>6</xdr:col>
      <xdr:colOff>38100</xdr:colOff>
      <xdr:row>902</xdr:row>
      <xdr:rowOff>38100</xdr:rowOff>
    </xdr:from>
    <xdr:ext cx="647700" cy="361950"/>
    <xdr:pic>
      <xdr:nvPicPr>
        <xdr:cNvPr id="0" name="image554.jpg"/>
        <xdr:cNvPicPr preferRelativeResize="0"/>
      </xdr:nvPicPr>
      <xdr:blipFill>
        <a:blip cstate="print" r:embed="rId581"/>
        <a:stretch>
          <a:fillRect/>
        </a:stretch>
      </xdr:blipFill>
      <xdr:spPr>
        <a:prstGeom prst="rect">
          <a:avLst/>
        </a:prstGeom>
        <a:noFill/>
      </xdr:spPr>
    </xdr:pic>
    <xdr:clientData fLocksWithSheet="0"/>
  </xdr:oneCellAnchor>
  <xdr:oneCellAnchor>
    <xdr:from>
      <xdr:col>6</xdr:col>
      <xdr:colOff>38100</xdr:colOff>
      <xdr:row>903</xdr:row>
      <xdr:rowOff>38100</xdr:rowOff>
    </xdr:from>
    <xdr:ext cx="342900" cy="257175"/>
    <xdr:pic>
      <xdr:nvPicPr>
        <xdr:cNvPr id="0" name="image575.jpg"/>
        <xdr:cNvPicPr preferRelativeResize="0"/>
      </xdr:nvPicPr>
      <xdr:blipFill>
        <a:blip cstate="print" r:embed="rId582"/>
        <a:stretch>
          <a:fillRect/>
        </a:stretch>
      </xdr:blipFill>
      <xdr:spPr>
        <a:prstGeom prst="rect">
          <a:avLst/>
        </a:prstGeom>
        <a:noFill/>
      </xdr:spPr>
    </xdr:pic>
    <xdr:clientData fLocksWithSheet="0"/>
  </xdr:oneCellAnchor>
  <xdr:oneCellAnchor>
    <xdr:from>
      <xdr:col>6</xdr:col>
      <xdr:colOff>38100</xdr:colOff>
      <xdr:row>904</xdr:row>
      <xdr:rowOff>38100</xdr:rowOff>
    </xdr:from>
    <xdr:ext cx="600075" cy="514350"/>
    <xdr:pic>
      <xdr:nvPicPr>
        <xdr:cNvPr id="0" name="image560.jpg"/>
        <xdr:cNvPicPr preferRelativeResize="0"/>
      </xdr:nvPicPr>
      <xdr:blipFill>
        <a:blip cstate="print" r:embed="rId583"/>
        <a:stretch>
          <a:fillRect/>
        </a:stretch>
      </xdr:blipFill>
      <xdr:spPr>
        <a:prstGeom prst="rect">
          <a:avLst/>
        </a:prstGeom>
        <a:noFill/>
      </xdr:spPr>
    </xdr:pic>
    <xdr:clientData fLocksWithSheet="0"/>
  </xdr:oneCellAnchor>
  <xdr:oneCellAnchor>
    <xdr:from>
      <xdr:col>6</xdr:col>
      <xdr:colOff>38100</xdr:colOff>
      <xdr:row>905</xdr:row>
      <xdr:rowOff>38100</xdr:rowOff>
    </xdr:from>
    <xdr:ext cx="495300" cy="514350"/>
    <xdr:pic>
      <xdr:nvPicPr>
        <xdr:cNvPr id="0" name="image571.jpg"/>
        <xdr:cNvPicPr preferRelativeResize="0"/>
      </xdr:nvPicPr>
      <xdr:blipFill>
        <a:blip cstate="print" r:embed="rId584"/>
        <a:stretch>
          <a:fillRect/>
        </a:stretch>
      </xdr:blipFill>
      <xdr:spPr>
        <a:prstGeom prst="rect">
          <a:avLst/>
        </a:prstGeom>
        <a:noFill/>
      </xdr:spPr>
    </xdr:pic>
    <xdr:clientData fLocksWithSheet="0"/>
  </xdr:oneCellAnchor>
  <xdr:oneCellAnchor>
    <xdr:from>
      <xdr:col>6</xdr:col>
      <xdr:colOff>38100</xdr:colOff>
      <xdr:row>906</xdr:row>
      <xdr:rowOff>38100</xdr:rowOff>
    </xdr:from>
    <xdr:ext cx="600075" cy="514350"/>
    <xdr:pic>
      <xdr:nvPicPr>
        <xdr:cNvPr id="0" name="image560.jpg"/>
        <xdr:cNvPicPr preferRelativeResize="0"/>
      </xdr:nvPicPr>
      <xdr:blipFill>
        <a:blip cstate="print" r:embed="rId583"/>
        <a:stretch>
          <a:fillRect/>
        </a:stretch>
      </xdr:blipFill>
      <xdr:spPr>
        <a:prstGeom prst="rect">
          <a:avLst/>
        </a:prstGeom>
        <a:noFill/>
      </xdr:spPr>
    </xdr:pic>
    <xdr:clientData fLocksWithSheet="0"/>
  </xdr:oneCellAnchor>
  <xdr:oneCellAnchor>
    <xdr:from>
      <xdr:col>6</xdr:col>
      <xdr:colOff>38100</xdr:colOff>
      <xdr:row>907</xdr:row>
      <xdr:rowOff>38100</xdr:rowOff>
    </xdr:from>
    <xdr:ext cx="495300" cy="514350"/>
    <xdr:pic>
      <xdr:nvPicPr>
        <xdr:cNvPr id="0" name="image571.jpg"/>
        <xdr:cNvPicPr preferRelativeResize="0"/>
      </xdr:nvPicPr>
      <xdr:blipFill>
        <a:blip cstate="print" r:embed="rId584"/>
        <a:stretch>
          <a:fillRect/>
        </a:stretch>
      </xdr:blipFill>
      <xdr:spPr>
        <a:prstGeom prst="rect">
          <a:avLst/>
        </a:prstGeom>
        <a:noFill/>
      </xdr:spPr>
    </xdr:pic>
    <xdr:clientData fLocksWithSheet="0"/>
  </xdr:oneCellAnchor>
  <xdr:oneCellAnchor>
    <xdr:from>
      <xdr:col>6</xdr:col>
      <xdr:colOff>38100</xdr:colOff>
      <xdr:row>908</xdr:row>
      <xdr:rowOff>38100</xdr:rowOff>
    </xdr:from>
    <xdr:ext cx="647700" cy="371475"/>
    <xdr:pic>
      <xdr:nvPicPr>
        <xdr:cNvPr id="0" name="image602.jpg"/>
        <xdr:cNvPicPr preferRelativeResize="0"/>
      </xdr:nvPicPr>
      <xdr:blipFill>
        <a:blip cstate="print" r:embed="rId585"/>
        <a:stretch>
          <a:fillRect/>
        </a:stretch>
      </xdr:blipFill>
      <xdr:spPr>
        <a:prstGeom prst="rect">
          <a:avLst/>
        </a:prstGeom>
        <a:noFill/>
      </xdr:spPr>
    </xdr:pic>
    <xdr:clientData fLocksWithSheet="0"/>
  </xdr:oneCellAnchor>
  <xdr:oneCellAnchor>
    <xdr:from>
      <xdr:col>6</xdr:col>
      <xdr:colOff>38100</xdr:colOff>
      <xdr:row>909</xdr:row>
      <xdr:rowOff>38100</xdr:rowOff>
    </xdr:from>
    <xdr:ext cx="647700" cy="419100"/>
    <xdr:pic>
      <xdr:nvPicPr>
        <xdr:cNvPr id="0" name="image605.jpg"/>
        <xdr:cNvPicPr preferRelativeResize="0"/>
      </xdr:nvPicPr>
      <xdr:blipFill>
        <a:blip cstate="print" r:embed="rId586"/>
        <a:stretch>
          <a:fillRect/>
        </a:stretch>
      </xdr:blipFill>
      <xdr:spPr>
        <a:prstGeom prst="rect">
          <a:avLst/>
        </a:prstGeom>
        <a:noFill/>
      </xdr:spPr>
    </xdr:pic>
    <xdr:clientData fLocksWithSheet="0"/>
  </xdr:oneCellAnchor>
  <xdr:oneCellAnchor>
    <xdr:from>
      <xdr:col>6</xdr:col>
      <xdr:colOff>38100</xdr:colOff>
      <xdr:row>910</xdr:row>
      <xdr:rowOff>38100</xdr:rowOff>
    </xdr:from>
    <xdr:ext cx="304800" cy="514350"/>
    <xdr:pic>
      <xdr:nvPicPr>
        <xdr:cNvPr id="0" name="image578.jpg"/>
        <xdr:cNvPicPr preferRelativeResize="0"/>
      </xdr:nvPicPr>
      <xdr:blipFill>
        <a:blip cstate="print" r:embed="rId587"/>
        <a:stretch>
          <a:fillRect/>
        </a:stretch>
      </xdr:blipFill>
      <xdr:spPr>
        <a:prstGeom prst="rect">
          <a:avLst/>
        </a:prstGeom>
        <a:noFill/>
      </xdr:spPr>
    </xdr:pic>
    <xdr:clientData fLocksWithSheet="0"/>
  </xdr:oneCellAnchor>
  <xdr:oneCellAnchor>
    <xdr:from>
      <xdr:col>6</xdr:col>
      <xdr:colOff>38100</xdr:colOff>
      <xdr:row>911</xdr:row>
      <xdr:rowOff>38100</xdr:rowOff>
    </xdr:from>
    <xdr:ext cx="276225" cy="514350"/>
    <xdr:pic>
      <xdr:nvPicPr>
        <xdr:cNvPr id="0" name="image566.jpg"/>
        <xdr:cNvPicPr preferRelativeResize="0"/>
      </xdr:nvPicPr>
      <xdr:blipFill>
        <a:blip cstate="print" r:embed="rId588"/>
        <a:stretch>
          <a:fillRect/>
        </a:stretch>
      </xdr:blipFill>
      <xdr:spPr>
        <a:prstGeom prst="rect">
          <a:avLst/>
        </a:prstGeom>
        <a:noFill/>
      </xdr:spPr>
    </xdr:pic>
    <xdr:clientData fLocksWithSheet="0"/>
  </xdr:oneCellAnchor>
  <xdr:oneCellAnchor>
    <xdr:from>
      <xdr:col>6</xdr:col>
      <xdr:colOff>38100</xdr:colOff>
      <xdr:row>912</xdr:row>
      <xdr:rowOff>38100</xdr:rowOff>
    </xdr:from>
    <xdr:ext cx="266700" cy="514350"/>
    <xdr:pic>
      <xdr:nvPicPr>
        <xdr:cNvPr id="0" name="image598.jpg"/>
        <xdr:cNvPicPr preferRelativeResize="0"/>
      </xdr:nvPicPr>
      <xdr:blipFill>
        <a:blip cstate="print" r:embed="rId589"/>
        <a:stretch>
          <a:fillRect/>
        </a:stretch>
      </xdr:blipFill>
      <xdr:spPr>
        <a:prstGeom prst="rect">
          <a:avLst/>
        </a:prstGeom>
        <a:noFill/>
      </xdr:spPr>
    </xdr:pic>
    <xdr:clientData fLocksWithSheet="0"/>
  </xdr:oneCellAnchor>
  <xdr:oneCellAnchor>
    <xdr:from>
      <xdr:col>6</xdr:col>
      <xdr:colOff>38100</xdr:colOff>
      <xdr:row>913</xdr:row>
      <xdr:rowOff>38100</xdr:rowOff>
    </xdr:from>
    <xdr:ext cx="228600" cy="514350"/>
    <xdr:pic>
      <xdr:nvPicPr>
        <xdr:cNvPr id="0" name="image579.jpg"/>
        <xdr:cNvPicPr preferRelativeResize="0"/>
      </xdr:nvPicPr>
      <xdr:blipFill>
        <a:blip cstate="print" r:embed="rId590"/>
        <a:stretch>
          <a:fillRect/>
        </a:stretch>
      </xdr:blipFill>
      <xdr:spPr>
        <a:prstGeom prst="rect">
          <a:avLst/>
        </a:prstGeom>
        <a:noFill/>
      </xdr:spPr>
    </xdr:pic>
    <xdr:clientData fLocksWithSheet="0"/>
  </xdr:oneCellAnchor>
  <xdr:oneCellAnchor>
    <xdr:from>
      <xdr:col>6</xdr:col>
      <xdr:colOff>38100</xdr:colOff>
      <xdr:row>914</xdr:row>
      <xdr:rowOff>38100</xdr:rowOff>
    </xdr:from>
    <xdr:ext cx="276225" cy="514350"/>
    <xdr:pic>
      <xdr:nvPicPr>
        <xdr:cNvPr id="0" name="image570.jpg"/>
        <xdr:cNvPicPr preferRelativeResize="0"/>
      </xdr:nvPicPr>
      <xdr:blipFill>
        <a:blip cstate="print" r:embed="rId591"/>
        <a:stretch>
          <a:fillRect/>
        </a:stretch>
      </xdr:blipFill>
      <xdr:spPr>
        <a:prstGeom prst="rect">
          <a:avLst/>
        </a:prstGeom>
        <a:noFill/>
      </xdr:spPr>
    </xdr:pic>
    <xdr:clientData fLocksWithSheet="0"/>
  </xdr:oneCellAnchor>
  <xdr:oneCellAnchor>
    <xdr:from>
      <xdr:col>6</xdr:col>
      <xdr:colOff>38100</xdr:colOff>
      <xdr:row>915</xdr:row>
      <xdr:rowOff>38100</xdr:rowOff>
    </xdr:from>
    <xdr:ext cx="228600" cy="514350"/>
    <xdr:pic>
      <xdr:nvPicPr>
        <xdr:cNvPr id="0" name="image572.jpg"/>
        <xdr:cNvPicPr preferRelativeResize="0"/>
      </xdr:nvPicPr>
      <xdr:blipFill>
        <a:blip cstate="print" r:embed="rId592"/>
        <a:stretch>
          <a:fillRect/>
        </a:stretch>
      </xdr:blipFill>
      <xdr:spPr>
        <a:prstGeom prst="rect">
          <a:avLst/>
        </a:prstGeom>
        <a:noFill/>
      </xdr:spPr>
    </xdr:pic>
    <xdr:clientData fLocksWithSheet="0"/>
  </xdr:oneCellAnchor>
  <xdr:oneCellAnchor>
    <xdr:from>
      <xdr:col>6</xdr:col>
      <xdr:colOff>38100</xdr:colOff>
      <xdr:row>916</xdr:row>
      <xdr:rowOff>38100</xdr:rowOff>
    </xdr:from>
    <xdr:ext cx="209550" cy="514350"/>
    <xdr:pic>
      <xdr:nvPicPr>
        <xdr:cNvPr id="0" name="image568.jpg"/>
        <xdr:cNvPicPr preferRelativeResize="0"/>
      </xdr:nvPicPr>
      <xdr:blipFill>
        <a:blip cstate="print" r:embed="rId593"/>
        <a:stretch>
          <a:fillRect/>
        </a:stretch>
      </xdr:blipFill>
      <xdr:spPr>
        <a:prstGeom prst="rect">
          <a:avLst/>
        </a:prstGeom>
        <a:noFill/>
      </xdr:spPr>
    </xdr:pic>
    <xdr:clientData fLocksWithSheet="0"/>
  </xdr:oneCellAnchor>
  <xdr:oneCellAnchor>
    <xdr:from>
      <xdr:col>6</xdr:col>
      <xdr:colOff>38100</xdr:colOff>
      <xdr:row>917</xdr:row>
      <xdr:rowOff>38100</xdr:rowOff>
    </xdr:from>
    <xdr:ext cx="209550" cy="514350"/>
    <xdr:pic>
      <xdr:nvPicPr>
        <xdr:cNvPr id="0" name="image568.jpg"/>
        <xdr:cNvPicPr preferRelativeResize="0"/>
      </xdr:nvPicPr>
      <xdr:blipFill>
        <a:blip cstate="print" r:embed="rId593"/>
        <a:stretch>
          <a:fillRect/>
        </a:stretch>
      </xdr:blipFill>
      <xdr:spPr>
        <a:prstGeom prst="rect">
          <a:avLst/>
        </a:prstGeom>
        <a:noFill/>
      </xdr:spPr>
    </xdr:pic>
    <xdr:clientData fLocksWithSheet="0"/>
  </xdr:oneCellAnchor>
  <xdr:oneCellAnchor>
    <xdr:from>
      <xdr:col>6</xdr:col>
      <xdr:colOff>38100</xdr:colOff>
      <xdr:row>918</xdr:row>
      <xdr:rowOff>38100</xdr:rowOff>
    </xdr:from>
    <xdr:ext cx="209550" cy="514350"/>
    <xdr:pic>
      <xdr:nvPicPr>
        <xdr:cNvPr id="0" name="image568.jpg"/>
        <xdr:cNvPicPr preferRelativeResize="0"/>
      </xdr:nvPicPr>
      <xdr:blipFill>
        <a:blip cstate="print" r:embed="rId593"/>
        <a:stretch>
          <a:fillRect/>
        </a:stretch>
      </xdr:blipFill>
      <xdr:spPr>
        <a:prstGeom prst="rect">
          <a:avLst/>
        </a:prstGeom>
        <a:noFill/>
      </xdr:spPr>
    </xdr:pic>
    <xdr:clientData fLocksWithSheet="0"/>
  </xdr:oneCellAnchor>
  <xdr:oneCellAnchor>
    <xdr:from>
      <xdr:col>6</xdr:col>
      <xdr:colOff>38100</xdr:colOff>
      <xdr:row>919</xdr:row>
      <xdr:rowOff>38100</xdr:rowOff>
    </xdr:from>
    <xdr:ext cx="647700" cy="409575"/>
    <xdr:pic>
      <xdr:nvPicPr>
        <xdr:cNvPr id="0" name="image574.jpg"/>
        <xdr:cNvPicPr preferRelativeResize="0"/>
      </xdr:nvPicPr>
      <xdr:blipFill>
        <a:blip cstate="print" r:embed="rId594"/>
        <a:stretch>
          <a:fillRect/>
        </a:stretch>
      </xdr:blipFill>
      <xdr:spPr>
        <a:prstGeom prst="rect">
          <a:avLst/>
        </a:prstGeom>
        <a:noFill/>
      </xdr:spPr>
    </xdr:pic>
    <xdr:clientData fLocksWithSheet="0"/>
  </xdr:oneCellAnchor>
  <xdr:oneCellAnchor>
    <xdr:from>
      <xdr:col>6</xdr:col>
      <xdr:colOff>38100</xdr:colOff>
      <xdr:row>920</xdr:row>
      <xdr:rowOff>38100</xdr:rowOff>
    </xdr:from>
    <xdr:ext cx="457200" cy="485775"/>
    <xdr:pic>
      <xdr:nvPicPr>
        <xdr:cNvPr id="0" name="image573.jpg"/>
        <xdr:cNvPicPr preferRelativeResize="0"/>
      </xdr:nvPicPr>
      <xdr:blipFill>
        <a:blip cstate="print" r:embed="rId595"/>
        <a:stretch>
          <a:fillRect/>
        </a:stretch>
      </xdr:blipFill>
      <xdr:spPr>
        <a:prstGeom prst="rect">
          <a:avLst/>
        </a:prstGeom>
        <a:noFill/>
      </xdr:spPr>
    </xdr:pic>
    <xdr:clientData fLocksWithSheet="0"/>
  </xdr:oneCellAnchor>
  <xdr:oneCellAnchor>
    <xdr:from>
      <xdr:col>6</xdr:col>
      <xdr:colOff>38100</xdr:colOff>
      <xdr:row>921</xdr:row>
      <xdr:rowOff>38100</xdr:rowOff>
    </xdr:from>
    <xdr:ext cx="457200" cy="485775"/>
    <xdr:pic>
      <xdr:nvPicPr>
        <xdr:cNvPr id="0" name="image573.jpg"/>
        <xdr:cNvPicPr preferRelativeResize="0"/>
      </xdr:nvPicPr>
      <xdr:blipFill>
        <a:blip cstate="print" r:embed="rId595"/>
        <a:stretch>
          <a:fillRect/>
        </a:stretch>
      </xdr:blipFill>
      <xdr:spPr>
        <a:prstGeom prst="rect">
          <a:avLst/>
        </a:prstGeom>
        <a:noFill/>
      </xdr:spPr>
    </xdr:pic>
    <xdr:clientData fLocksWithSheet="0"/>
  </xdr:oneCellAnchor>
  <xdr:oneCellAnchor>
    <xdr:from>
      <xdr:col>6</xdr:col>
      <xdr:colOff>38100</xdr:colOff>
      <xdr:row>922</xdr:row>
      <xdr:rowOff>38100</xdr:rowOff>
    </xdr:from>
    <xdr:ext cx="457200" cy="485775"/>
    <xdr:pic>
      <xdr:nvPicPr>
        <xdr:cNvPr id="0" name="image573.jpg"/>
        <xdr:cNvPicPr preferRelativeResize="0"/>
      </xdr:nvPicPr>
      <xdr:blipFill>
        <a:blip cstate="print" r:embed="rId595"/>
        <a:stretch>
          <a:fillRect/>
        </a:stretch>
      </xdr:blipFill>
      <xdr:spPr>
        <a:prstGeom prst="rect">
          <a:avLst/>
        </a:prstGeom>
        <a:noFill/>
      </xdr:spPr>
    </xdr:pic>
    <xdr:clientData fLocksWithSheet="0"/>
  </xdr:oneCellAnchor>
  <xdr:oneCellAnchor>
    <xdr:from>
      <xdr:col>6</xdr:col>
      <xdr:colOff>38100</xdr:colOff>
      <xdr:row>923</xdr:row>
      <xdr:rowOff>38100</xdr:rowOff>
    </xdr:from>
    <xdr:ext cx="457200" cy="485775"/>
    <xdr:pic>
      <xdr:nvPicPr>
        <xdr:cNvPr id="0" name="image573.jpg"/>
        <xdr:cNvPicPr preferRelativeResize="0"/>
      </xdr:nvPicPr>
      <xdr:blipFill>
        <a:blip cstate="print" r:embed="rId595"/>
        <a:stretch>
          <a:fillRect/>
        </a:stretch>
      </xdr:blipFill>
      <xdr:spPr>
        <a:prstGeom prst="rect">
          <a:avLst/>
        </a:prstGeom>
        <a:noFill/>
      </xdr:spPr>
    </xdr:pic>
    <xdr:clientData fLocksWithSheet="0"/>
  </xdr:oneCellAnchor>
  <xdr:oneCellAnchor>
    <xdr:from>
      <xdr:col>6</xdr:col>
      <xdr:colOff>38100</xdr:colOff>
      <xdr:row>924</xdr:row>
      <xdr:rowOff>38100</xdr:rowOff>
    </xdr:from>
    <xdr:ext cx="457200" cy="485775"/>
    <xdr:pic>
      <xdr:nvPicPr>
        <xdr:cNvPr id="0" name="image573.jpg"/>
        <xdr:cNvPicPr preferRelativeResize="0"/>
      </xdr:nvPicPr>
      <xdr:blipFill>
        <a:blip cstate="print" r:embed="rId595"/>
        <a:stretch>
          <a:fillRect/>
        </a:stretch>
      </xdr:blipFill>
      <xdr:spPr>
        <a:prstGeom prst="rect">
          <a:avLst/>
        </a:prstGeom>
        <a:noFill/>
      </xdr:spPr>
    </xdr:pic>
    <xdr:clientData fLocksWithSheet="0"/>
  </xdr:oneCellAnchor>
  <xdr:oneCellAnchor>
    <xdr:from>
      <xdr:col>6</xdr:col>
      <xdr:colOff>38100</xdr:colOff>
      <xdr:row>925</xdr:row>
      <xdr:rowOff>38100</xdr:rowOff>
    </xdr:from>
    <xdr:ext cx="476250" cy="514350"/>
    <xdr:pic>
      <xdr:nvPicPr>
        <xdr:cNvPr id="0" name="image585.jpg"/>
        <xdr:cNvPicPr preferRelativeResize="0"/>
      </xdr:nvPicPr>
      <xdr:blipFill>
        <a:blip cstate="print" r:embed="rId596"/>
        <a:stretch>
          <a:fillRect/>
        </a:stretch>
      </xdr:blipFill>
      <xdr:spPr>
        <a:prstGeom prst="rect">
          <a:avLst/>
        </a:prstGeom>
        <a:noFill/>
      </xdr:spPr>
    </xdr:pic>
    <xdr:clientData fLocksWithSheet="0"/>
  </xdr:oneCellAnchor>
  <xdr:oneCellAnchor>
    <xdr:from>
      <xdr:col>6</xdr:col>
      <xdr:colOff>38100</xdr:colOff>
      <xdr:row>926</xdr:row>
      <xdr:rowOff>38100</xdr:rowOff>
    </xdr:from>
    <xdr:ext cx="476250" cy="514350"/>
    <xdr:pic>
      <xdr:nvPicPr>
        <xdr:cNvPr id="0" name="image585.jpg"/>
        <xdr:cNvPicPr preferRelativeResize="0"/>
      </xdr:nvPicPr>
      <xdr:blipFill>
        <a:blip cstate="print" r:embed="rId596"/>
        <a:stretch>
          <a:fillRect/>
        </a:stretch>
      </xdr:blipFill>
      <xdr:spPr>
        <a:prstGeom prst="rect">
          <a:avLst/>
        </a:prstGeom>
        <a:noFill/>
      </xdr:spPr>
    </xdr:pic>
    <xdr:clientData fLocksWithSheet="0"/>
  </xdr:oneCellAnchor>
  <xdr:oneCellAnchor>
    <xdr:from>
      <xdr:col>6</xdr:col>
      <xdr:colOff>38100</xdr:colOff>
      <xdr:row>927</xdr:row>
      <xdr:rowOff>38100</xdr:rowOff>
    </xdr:from>
    <xdr:ext cx="647700" cy="342900"/>
    <xdr:pic>
      <xdr:nvPicPr>
        <xdr:cNvPr id="0" name="image595.jpg"/>
        <xdr:cNvPicPr preferRelativeResize="0"/>
      </xdr:nvPicPr>
      <xdr:blipFill>
        <a:blip cstate="print" r:embed="rId597"/>
        <a:stretch>
          <a:fillRect/>
        </a:stretch>
      </xdr:blipFill>
      <xdr:spPr>
        <a:prstGeom prst="rect">
          <a:avLst/>
        </a:prstGeom>
        <a:noFill/>
      </xdr:spPr>
    </xdr:pic>
    <xdr:clientData fLocksWithSheet="0"/>
  </xdr:oneCellAnchor>
  <xdr:oneCellAnchor>
    <xdr:from>
      <xdr:col>6</xdr:col>
      <xdr:colOff>38100</xdr:colOff>
      <xdr:row>928</xdr:row>
      <xdr:rowOff>38100</xdr:rowOff>
    </xdr:from>
    <xdr:ext cx="647700" cy="342900"/>
    <xdr:pic>
      <xdr:nvPicPr>
        <xdr:cNvPr id="0" name="image595.jpg"/>
        <xdr:cNvPicPr preferRelativeResize="0"/>
      </xdr:nvPicPr>
      <xdr:blipFill>
        <a:blip cstate="print" r:embed="rId597"/>
        <a:stretch>
          <a:fillRect/>
        </a:stretch>
      </xdr:blipFill>
      <xdr:spPr>
        <a:prstGeom prst="rect">
          <a:avLst/>
        </a:prstGeom>
        <a:noFill/>
      </xdr:spPr>
    </xdr:pic>
    <xdr:clientData fLocksWithSheet="0"/>
  </xdr:oneCellAnchor>
  <xdr:oneCellAnchor>
    <xdr:from>
      <xdr:col>6</xdr:col>
      <xdr:colOff>38100</xdr:colOff>
      <xdr:row>929</xdr:row>
      <xdr:rowOff>38100</xdr:rowOff>
    </xdr:from>
    <xdr:ext cx="647700" cy="371475"/>
    <xdr:pic>
      <xdr:nvPicPr>
        <xdr:cNvPr id="0" name="image587.jpg"/>
        <xdr:cNvPicPr preferRelativeResize="0"/>
      </xdr:nvPicPr>
      <xdr:blipFill>
        <a:blip cstate="print" r:embed="rId598"/>
        <a:stretch>
          <a:fillRect/>
        </a:stretch>
      </xdr:blipFill>
      <xdr:spPr>
        <a:prstGeom prst="rect">
          <a:avLst/>
        </a:prstGeom>
        <a:noFill/>
      </xdr:spPr>
    </xdr:pic>
    <xdr:clientData fLocksWithSheet="0"/>
  </xdr:oneCellAnchor>
  <xdr:oneCellAnchor>
    <xdr:from>
      <xdr:col>6</xdr:col>
      <xdr:colOff>38100</xdr:colOff>
      <xdr:row>930</xdr:row>
      <xdr:rowOff>38100</xdr:rowOff>
    </xdr:from>
    <xdr:ext cx="647700" cy="333375"/>
    <xdr:pic>
      <xdr:nvPicPr>
        <xdr:cNvPr id="0" name="image632.jpg"/>
        <xdr:cNvPicPr preferRelativeResize="0"/>
      </xdr:nvPicPr>
      <xdr:blipFill>
        <a:blip cstate="print" r:embed="rId599"/>
        <a:stretch>
          <a:fillRect/>
        </a:stretch>
      </xdr:blipFill>
      <xdr:spPr>
        <a:prstGeom prst="rect">
          <a:avLst/>
        </a:prstGeom>
        <a:noFill/>
      </xdr:spPr>
    </xdr:pic>
    <xdr:clientData fLocksWithSheet="0"/>
  </xdr:oneCellAnchor>
  <xdr:oneCellAnchor>
    <xdr:from>
      <xdr:col>6</xdr:col>
      <xdr:colOff>38100</xdr:colOff>
      <xdr:row>931</xdr:row>
      <xdr:rowOff>38100</xdr:rowOff>
    </xdr:from>
    <xdr:ext cx="485775" cy="514350"/>
    <xdr:pic>
      <xdr:nvPicPr>
        <xdr:cNvPr id="0" name="image580.jpg"/>
        <xdr:cNvPicPr preferRelativeResize="0"/>
      </xdr:nvPicPr>
      <xdr:blipFill>
        <a:blip cstate="print" r:embed="rId600"/>
        <a:stretch>
          <a:fillRect/>
        </a:stretch>
      </xdr:blipFill>
      <xdr:spPr>
        <a:prstGeom prst="rect">
          <a:avLst/>
        </a:prstGeom>
        <a:noFill/>
      </xdr:spPr>
    </xdr:pic>
    <xdr:clientData fLocksWithSheet="0"/>
  </xdr:oneCellAnchor>
  <xdr:oneCellAnchor>
    <xdr:from>
      <xdr:col>6</xdr:col>
      <xdr:colOff>38100</xdr:colOff>
      <xdr:row>932</xdr:row>
      <xdr:rowOff>38100</xdr:rowOff>
    </xdr:from>
    <xdr:ext cx="485775" cy="381000"/>
    <xdr:pic>
      <xdr:nvPicPr>
        <xdr:cNvPr id="0" name="image586.jpg"/>
        <xdr:cNvPicPr preferRelativeResize="0"/>
      </xdr:nvPicPr>
      <xdr:blipFill>
        <a:blip cstate="print" r:embed="rId601"/>
        <a:stretch>
          <a:fillRect/>
        </a:stretch>
      </xdr:blipFill>
      <xdr:spPr>
        <a:prstGeom prst="rect">
          <a:avLst/>
        </a:prstGeom>
        <a:noFill/>
      </xdr:spPr>
    </xdr:pic>
    <xdr:clientData fLocksWithSheet="0"/>
  </xdr:oneCellAnchor>
  <xdr:oneCellAnchor>
    <xdr:from>
      <xdr:col>6</xdr:col>
      <xdr:colOff>38100</xdr:colOff>
      <xdr:row>933</xdr:row>
      <xdr:rowOff>38100</xdr:rowOff>
    </xdr:from>
    <xdr:ext cx="485775" cy="381000"/>
    <xdr:pic>
      <xdr:nvPicPr>
        <xdr:cNvPr id="0" name="image586.jpg"/>
        <xdr:cNvPicPr preferRelativeResize="0"/>
      </xdr:nvPicPr>
      <xdr:blipFill>
        <a:blip cstate="print" r:embed="rId601"/>
        <a:stretch>
          <a:fillRect/>
        </a:stretch>
      </xdr:blipFill>
      <xdr:spPr>
        <a:prstGeom prst="rect">
          <a:avLst/>
        </a:prstGeom>
        <a:noFill/>
      </xdr:spPr>
    </xdr:pic>
    <xdr:clientData fLocksWithSheet="0"/>
  </xdr:oneCellAnchor>
  <xdr:oneCellAnchor>
    <xdr:from>
      <xdr:col>6</xdr:col>
      <xdr:colOff>38100</xdr:colOff>
      <xdr:row>934</xdr:row>
      <xdr:rowOff>38100</xdr:rowOff>
    </xdr:from>
    <xdr:ext cx="552450" cy="514350"/>
    <xdr:pic>
      <xdr:nvPicPr>
        <xdr:cNvPr id="0" name="image638.jpg"/>
        <xdr:cNvPicPr preferRelativeResize="0"/>
      </xdr:nvPicPr>
      <xdr:blipFill>
        <a:blip cstate="print" r:embed="rId602"/>
        <a:stretch>
          <a:fillRect/>
        </a:stretch>
      </xdr:blipFill>
      <xdr:spPr>
        <a:prstGeom prst="rect">
          <a:avLst/>
        </a:prstGeom>
        <a:noFill/>
      </xdr:spPr>
    </xdr:pic>
    <xdr:clientData fLocksWithSheet="0"/>
  </xdr:oneCellAnchor>
  <xdr:oneCellAnchor>
    <xdr:from>
      <xdr:col>6</xdr:col>
      <xdr:colOff>38100</xdr:colOff>
      <xdr:row>935</xdr:row>
      <xdr:rowOff>38100</xdr:rowOff>
    </xdr:from>
    <xdr:ext cx="495300" cy="514350"/>
    <xdr:pic>
      <xdr:nvPicPr>
        <xdr:cNvPr id="0" name="image582.jpg"/>
        <xdr:cNvPicPr preferRelativeResize="0"/>
      </xdr:nvPicPr>
      <xdr:blipFill>
        <a:blip cstate="print" r:embed="rId603"/>
        <a:stretch>
          <a:fillRect/>
        </a:stretch>
      </xdr:blipFill>
      <xdr:spPr>
        <a:prstGeom prst="rect">
          <a:avLst/>
        </a:prstGeom>
        <a:noFill/>
      </xdr:spPr>
    </xdr:pic>
    <xdr:clientData fLocksWithSheet="0"/>
  </xdr:oneCellAnchor>
  <xdr:oneCellAnchor>
    <xdr:from>
      <xdr:col>6</xdr:col>
      <xdr:colOff>38100</xdr:colOff>
      <xdr:row>936</xdr:row>
      <xdr:rowOff>38100</xdr:rowOff>
    </xdr:from>
    <xdr:ext cx="552450" cy="514350"/>
    <xdr:pic>
      <xdr:nvPicPr>
        <xdr:cNvPr id="0" name="image591.jpg"/>
        <xdr:cNvPicPr preferRelativeResize="0"/>
      </xdr:nvPicPr>
      <xdr:blipFill>
        <a:blip cstate="print" r:embed="rId604"/>
        <a:stretch>
          <a:fillRect/>
        </a:stretch>
      </xdr:blipFill>
      <xdr:spPr>
        <a:prstGeom prst="rect">
          <a:avLst/>
        </a:prstGeom>
        <a:noFill/>
      </xdr:spPr>
    </xdr:pic>
    <xdr:clientData fLocksWithSheet="0"/>
  </xdr:oneCellAnchor>
  <xdr:oneCellAnchor>
    <xdr:from>
      <xdr:col>6</xdr:col>
      <xdr:colOff>38100</xdr:colOff>
      <xdr:row>937</xdr:row>
      <xdr:rowOff>38100</xdr:rowOff>
    </xdr:from>
    <xdr:ext cx="552450" cy="514350"/>
    <xdr:pic>
      <xdr:nvPicPr>
        <xdr:cNvPr id="0" name="image591.jpg"/>
        <xdr:cNvPicPr preferRelativeResize="0"/>
      </xdr:nvPicPr>
      <xdr:blipFill>
        <a:blip cstate="print" r:embed="rId604"/>
        <a:stretch>
          <a:fillRect/>
        </a:stretch>
      </xdr:blipFill>
      <xdr:spPr>
        <a:prstGeom prst="rect">
          <a:avLst/>
        </a:prstGeom>
        <a:noFill/>
      </xdr:spPr>
    </xdr:pic>
    <xdr:clientData fLocksWithSheet="0"/>
  </xdr:oneCellAnchor>
  <xdr:oneCellAnchor>
    <xdr:from>
      <xdr:col>6</xdr:col>
      <xdr:colOff>38100</xdr:colOff>
      <xdr:row>938</xdr:row>
      <xdr:rowOff>38100</xdr:rowOff>
    </xdr:from>
    <xdr:ext cx="371475" cy="428625"/>
    <xdr:pic>
      <xdr:nvPicPr>
        <xdr:cNvPr id="0" name="image603.jpg"/>
        <xdr:cNvPicPr preferRelativeResize="0"/>
      </xdr:nvPicPr>
      <xdr:blipFill>
        <a:blip cstate="print" r:embed="rId605"/>
        <a:stretch>
          <a:fillRect/>
        </a:stretch>
      </xdr:blipFill>
      <xdr:spPr>
        <a:prstGeom prst="rect">
          <a:avLst/>
        </a:prstGeom>
        <a:noFill/>
      </xdr:spPr>
    </xdr:pic>
    <xdr:clientData fLocksWithSheet="0"/>
  </xdr:oneCellAnchor>
  <xdr:oneCellAnchor>
    <xdr:from>
      <xdr:col>6</xdr:col>
      <xdr:colOff>38100</xdr:colOff>
      <xdr:row>939</xdr:row>
      <xdr:rowOff>38100</xdr:rowOff>
    </xdr:from>
    <xdr:ext cx="523875" cy="419100"/>
    <xdr:pic>
      <xdr:nvPicPr>
        <xdr:cNvPr id="0" name="image635.jpg"/>
        <xdr:cNvPicPr preferRelativeResize="0"/>
      </xdr:nvPicPr>
      <xdr:blipFill>
        <a:blip cstate="print" r:embed="rId606"/>
        <a:stretch>
          <a:fillRect/>
        </a:stretch>
      </xdr:blipFill>
      <xdr:spPr>
        <a:prstGeom prst="rect">
          <a:avLst/>
        </a:prstGeom>
        <a:noFill/>
      </xdr:spPr>
    </xdr:pic>
    <xdr:clientData fLocksWithSheet="0"/>
  </xdr:oneCellAnchor>
  <xdr:oneCellAnchor>
    <xdr:from>
      <xdr:col>6</xdr:col>
      <xdr:colOff>38100</xdr:colOff>
      <xdr:row>940</xdr:row>
      <xdr:rowOff>38100</xdr:rowOff>
    </xdr:from>
    <xdr:ext cx="361950" cy="352425"/>
    <xdr:pic>
      <xdr:nvPicPr>
        <xdr:cNvPr id="0" name="image588.jpg"/>
        <xdr:cNvPicPr preferRelativeResize="0"/>
      </xdr:nvPicPr>
      <xdr:blipFill>
        <a:blip cstate="print" r:embed="rId607"/>
        <a:stretch>
          <a:fillRect/>
        </a:stretch>
      </xdr:blipFill>
      <xdr:spPr>
        <a:prstGeom prst="rect">
          <a:avLst/>
        </a:prstGeom>
        <a:noFill/>
      </xdr:spPr>
    </xdr:pic>
    <xdr:clientData fLocksWithSheet="0"/>
  </xdr:oneCellAnchor>
  <xdr:oneCellAnchor>
    <xdr:from>
      <xdr:col>6</xdr:col>
      <xdr:colOff>38100</xdr:colOff>
      <xdr:row>941</xdr:row>
      <xdr:rowOff>38100</xdr:rowOff>
    </xdr:from>
    <xdr:ext cx="571500" cy="514350"/>
    <xdr:pic>
      <xdr:nvPicPr>
        <xdr:cNvPr id="0" name="image665.jpg"/>
        <xdr:cNvPicPr preferRelativeResize="0"/>
      </xdr:nvPicPr>
      <xdr:blipFill>
        <a:blip cstate="print" r:embed="rId608"/>
        <a:stretch>
          <a:fillRect/>
        </a:stretch>
      </xdr:blipFill>
      <xdr:spPr>
        <a:prstGeom prst="rect">
          <a:avLst/>
        </a:prstGeom>
        <a:noFill/>
      </xdr:spPr>
    </xdr:pic>
    <xdr:clientData fLocksWithSheet="0"/>
  </xdr:oneCellAnchor>
  <xdr:oneCellAnchor>
    <xdr:from>
      <xdr:col>6</xdr:col>
      <xdr:colOff>38100</xdr:colOff>
      <xdr:row>942</xdr:row>
      <xdr:rowOff>38100</xdr:rowOff>
    </xdr:from>
    <xdr:ext cx="571500" cy="514350"/>
    <xdr:pic>
      <xdr:nvPicPr>
        <xdr:cNvPr id="0" name="image665.jpg"/>
        <xdr:cNvPicPr preferRelativeResize="0"/>
      </xdr:nvPicPr>
      <xdr:blipFill>
        <a:blip cstate="print" r:embed="rId608"/>
        <a:stretch>
          <a:fillRect/>
        </a:stretch>
      </xdr:blipFill>
      <xdr:spPr>
        <a:prstGeom prst="rect">
          <a:avLst/>
        </a:prstGeom>
        <a:noFill/>
      </xdr:spPr>
    </xdr:pic>
    <xdr:clientData fLocksWithSheet="0"/>
  </xdr:oneCellAnchor>
  <xdr:oneCellAnchor>
    <xdr:from>
      <xdr:col>6</xdr:col>
      <xdr:colOff>38100</xdr:colOff>
      <xdr:row>943</xdr:row>
      <xdr:rowOff>38100</xdr:rowOff>
    </xdr:from>
    <xdr:ext cx="571500" cy="514350"/>
    <xdr:pic>
      <xdr:nvPicPr>
        <xdr:cNvPr id="0" name="image665.jpg"/>
        <xdr:cNvPicPr preferRelativeResize="0"/>
      </xdr:nvPicPr>
      <xdr:blipFill>
        <a:blip cstate="print" r:embed="rId608"/>
        <a:stretch>
          <a:fillRect/>
        </a:stretch>
      </xdr:blipFill>
      <xdr:spPr>
        <a:prstGeom prst="rect">
          <a:avLst/>
        </a:prstGeom>
        <a:noFill/>
      </xdr:spPr>
    </xdr:pic>
    <xdr:clientData fLocksWithSheet="0"/>
  </xdr:oneCellAnchor>
  <xdr:oneCellAnchor>
    <xdr:from>
      <xdr:col>6</xdr:col>
      <xdr:colOff>38100</xdr:colOff>
      <xdr:row>944</xdr:row>
      <xdr:rowOff>38100</xdr:rowOff>
    </xdr:from>
    <xdr:ext cx="361950" cy="352425"/>
    <xdr:pic>
      <xdr:nvPicPr>
        <xdr:cNvPr id="0" name="image588.jpg"/>
        <xdr:cNvPicPr preferRelativeResize="0"/>
      </xdr:nvPicPr>
      <xdr:blipFill>
        <a:blip cstate="print" r:embed="rId607"/>
        <a:stretch>
          <a:fillRect/>
        </a:stretch>
      </xdr:blipFill>
      <xdr:spPr>
        <a:prstGeom prst="rect">
          <a:avLst/>
        </a:prstGeom>
        <a:noFill/>
      </xdr:spPr>
    </xdr:pic>
    <xdr:clientData fLocksWithSheet="0"/>
  </xdr:oneCellAnchor>
  <xdr:oneCellAnchor>
    <xdr:from>
      <xdr:col>6</xdr:col>
      <xdr:colOff>38100</xdr:colOff>
      <xdr:row>945</xdr:row>
      <xdr:rowOff>38100</xdr:rowOff>
    </xdr:from>
    <xdr:ext cx="361950" cy="352425"/>
    <xdr:pic>
      <xdr:nvPicPr>
        <xdr:cNvPr id="0" name="image588.jpg"/>
        <xdr:cNvPicPr preferRelativeResize="0"/>
      </xdr:nvPicPr>
      <xdr:blipFill>
        <a:blip cstate="print" r:embed="rId607"/>
        <a:stretch>
          <a:fillRect/>
        </a:stretch>
      </xdr:blipFill>
      <xdr:spPr>
        <a:prstGeom prst="rect">
          <a:avLst/>
        </a:prstGeom>
        <a:noFill/>
      </xdr:spPr>
    </xdr:pic>
    <xdr:clientData fLocksWithSheet="0"/>
  </xdr:oneCellAnchor>
  <xdr:oneCellAnchor>
    <xdr:from>
      <xdr:col>6</xdr:col>
      <xdr:colOff>38100</xdr:colOff>
      <xdr:row>946</xdr:row>
      <xdr:rowOff>38100</xdr:rowOff>
    </xdr:from>
    <xdr:ext cx="466725" cy="438150"/>
    <xdr:pic>
      <xdr:nvPicPr>
        <xdr:cNvPr id="0" name="image589.jpg"/>
        <xdr:cNvPicPr preferRelativeResize="0"/>
      </xdr:nvPicPr>
      <xdr:blipFill>
        <a:blip cstate="print" r:embed="rId609"/>
        <a:stretch>
          <a:fillRect/>
        </a:stretch>
      </xdr:blipFill>
      <xdr:spPr>
        <a:prstGeom prst="rect">
          <a:avLst/>
        </a:prstGeom>
        <a:noFill/>
      </xdr:spPr>
    </xdr:pic>
    <xdr:clientData fLocksWithSheet="0"/>
  </xdr:oneCellAnchor>
  <xdr:oneCellAnchor>
    <xdr:from>
      <xdr:col>6</xdr:col>
      <xdr:colOff>38100</xdr:colOff>
      <xdr:row>947</xdr:row>
      <xdr:rowOff>38100</xdr:rowOff>
    </xdr:from>
    <xdr:ext cx="466725" cy="438150"/>
    <xdr:pic>
      <xdr:nvPicPr>
        <xdr:cNvPr id="0" name="image589.jpg"/>
        <xdr:cNvPicPr preferRelativeResize="0"/>
      </xdr:nvPicPr>
      <xdr:blipFill>
        <a:blip cstate="print" r:embed="rId609"/>
        <a:stretch>
          <a:fillRect/>
        </a:stretch>
      </xdr:blipFill>
      <xdr:spPr>
        <a:prstGeom prst="rect">
          <a:avLst/>
        </a:prstGeom>
        <a:noFill/>
      </xdr:spPr>
    </xdr:pic>
    <xdr:clientData fLocksWithSheet="0"/>
  </xdr:oneCellAnchor>
  <xdr:oneCellAnchor>
    <xdr:from>
      <xdr:col>6</xdr:col>
      <xdr:colOff>38100</xdr:colOff>
      <xdr:row>948</xdr:row>
      <xdr:rowOff>38100</xdr:rowOff>
    </xdr:from>
    <xdr:ext cx="523875" cy="419100"/>
    <xdr:pic>
      <xdr:nvPicPr>
        <xdr:cNvPr id="0" name="image635.jpg"/>
        <xdr:cNvPicPr preferRelativeResize="0"/>
      </xdr:nvPicPr>
      <xdr:blipFill>
        <a:blip cstate="print" r:embed="rId606"/>
        <a:stretch>
          <a:fillRect/>
        </a:stretch>
      </xdr:blipFill>
      <xdr:spPr>
        <a:prstGeom prst="rect">
          <a:avLst/>
        </a:prstGeom>
        <a:noFill/>
      </xdr:spPr>
    </xdr:pic>
    <xdr:clientData fLocksWithSheet="0"/>
  </xdr:oneCellAnchor>
  <xdr:oneCellAnchor>
    <xdr:from>
      <xdr:col>6</xdr:col>
      <xdr:colOff>38100</xdr:colOff>
      <xdr:row>949</xdr:row>
      <xdr:rowOff>38100</xdr:rowOff>
    </xdr:from>
    <xdr:ext cx="523875" cy="419100"/>
    <xdr:pic>
      <xdr:nvPicPr>
        <xdr:cNvPr id="0" name="image635.jpg"/>
        <xdr:cNvPicPr preferRelativeResize="0"/>
      </xdr:nvPicPr>
      <xdr:blipFill>
        <a:blip cstate="print" r:embed="rId606"/>
        <a:stretch>
          <a:fillRect/>
        </a:stretch>
      </xdr:blipFill>
      <xdr:spPr>
        <a:prstGeom prst="rect">
          <a:avLst/>
        </a:prstGeom>
        <a:noFill/>
      </xdr:spPr>
    </xdr:pic>
    <xdr:clientData fLocksWithSheet="0"/>
  </xdr:oneCellAnchor>
  <xdr:oneCellAnchor>
    <xdr:from>
      <xdr:col>6</xdr:col>
      <xdr:colOff>38100</xdr:colOff>
      <xdr:row>950</xdr:row>
      <xdr:rowOff>38100</xdr:rowOff>
    </xdr:from>
    <xdr:ext cx="514350" cy="514350"/>
    <xdr:pic>
      <xdr:nvPicPr>
        <xdr:cNvPr id="0" name="image590.jpg"/>
        <xdr:cNvPicPr preferRelativeResize="0"/>
      </xdr:nvPicPr>
      <xdr:blipFill>
        <a:blip cstate="print" r:embed="rId610"/>
        <a:stretch>
          <a:fillRect/>
        </a:stretch>
      </xdr:blipFill>
      <xdr:spPr>
        <a:prstGeom prst="rect">
          <a:avLst/>
        </a:prstGeom>
        <a:noFill/>
      </xdr:spPr>
    </xdr:pic>
    <xdr:clientData fLocksWithSheet="0"/>
  </xdr:oneCellAnchor>
  <xdr:oneCellAnchor>
    <xdr:from>
      <xdr:col>6</xdr:col>
      <xdr:colOff>38100</xdr:colOff>
      <xdr:row>951</xdr:row>
      <xdr:rowOff>38100</xdr:rowOff>
    </xdr:from>
    <xdr:ext cx="609600" cy="514350"/>
    <xdr:pic>
      <xdr:nvPicPr>
        <xdr:cNvPr id="0" name="image601.jpg"/>
        <xdr:cNvPicPr preferRelativeResize="0"/>
      </xdr:nvPicPr>
      <xdr:blipFill>
        <a:blip cstate="print" r:embed="rId611"/>
        <a:stretch>
          <a:fillRect/>
        </a:stretch>
      </xdr:blipFill>
      <xdr:spPr>
        <a:prstGeom prst="rect">
          <a:avLst/>
        </a:prstGeom>
        <a:noFill/>
      </xdr:spPr>
    </xdr:pic>
    <xdr:clientData fLocksWithSheet="0"/>
  </xdr:oneCellAnchor>
  <xdr:oneCellAnchor>
    <xdr:from>
      <xdr:col>6</xdr:col>
      <xdr:colOff>38100</xdr:colOff>
      <xdr:row>952</xdr:row>
      <xdr:rowOff>38100</xdr:rowOff>
    </xdr:from>
    <xdr:ext cx="533400" cy="514350"/>
    <xdr:pic>
      <xdr:nvPicPr>
        <xdr:cNvPr id="0" name="image606.jpg"/>
        <xdr:cNvPicPr preferRelativeResize="0"/>
      </xdr:nvPicPr>
      <xdr:blipFill>
        <a:blip cstate="print" r:embed="rId612"/>
        <a:stretch>
          <a:fillRect/>
        </a:stretch>
      </xdr:blipFill>
      <xdr:spPr>
        <a:prstGeom prst="rect">
          <a:avLst/>
        </a:prstGeom>
        <a:noFill/>
      </xdr:spPr>
    </xdr:pic>
    <xdr:clientData fLocksWithSheet="0"/>
  </xdr:oneCellAnchor>
  <xdr:oneCellAnchor>
    <xdr:from>
      <xdr:col>6</xdr:col>
      <xdr:colOff>38100</xdr:colOff>
      <xdr:row>953</xdr:row>
      <xdr:rowOff>38100</xdr:rowOff>
    </xdr:from>
    <xdr:ext cx="647700" cy="457200"/>
    <xdr:pic>
      <xdr:nvPicPr>
        <xdr:cNvPr id="0" name="image592.jpg"/>
        <xdr:cNvPicPr preferRelativeResize="0"/>
      </xdr:nvPicPr>
      <xdr:blipFill>
        <a:blip cstate="print" r:embed="rId613"/>
        <a:stretch>
          <a:fillRect/>
        </a:stretch>
      </xdr:blipFill>
      <xdr:spPr>
        <a:prstGeom prst="rect">
          <a:avLst/>
        </a:prstGeom>
        <a:noFill/>
      </xdr:spPr>
    </xdr:pic>
    <xdr:clientData fLocksWithSheet="0"/>
  </xdr:oneCellAnchor>
  <xdr:oneCellAnchor>
    <xdr:from>
      <xdr:col>6</xdr:col>
      <xdr:colOff>38100</xdr:colOff>
      <xdr:row>954</xdr:row>
      <xdr:rowOff>38100</xdr:rowOff>
    </xdr:from>
    <xdr:ext cx="647700" cy="428625"/>
    <xdr:pic>
      <xdr:nvPicPr>
        <xdr:cNvPr id="0" name="image646.jpg"/>
        <xdr:cNvPicPr preferRelativeResize="0"/>
      </xdr:nvPicPr>
      <xdr:blipFill>
        <a:blip cstate="print" r:embed="rId614"/>
        <a:stretch>
          <a:fillRect/>
        </a:stretch>
      </xdr:blipFill>
      <xdr:spPr>
        <a:prstGeom prst="rect">
          <a:avLst/>
        </a:prstGeom>
        <a:noFill/>
      </xdr:spPr>
    </xdr:pic>
    <xdr:clientData fLocksWithSheet="0"/>
  </xdr:oneCellAnchor>
  <xdr:oneCellAnchor>
    <xdr:from>
      <xdr:col>6</xdr:col>
      <xdr:colOff>38100</xdr:colOff>
      <xdr:row>955</xdr:row>
      <xdr:rowOff>38100</xdr:rowOff>
    </xdr:from>
    <xdr:ext cx="647700" cy="428625"/>
    <xdr:pic>
      <xdr:nvPicPr>
        <xdr:cNvPr id="0" name="image646.jpg"/>
        <xdr:cNvPicPr preferRelativeResize="0"/>
      </xdr:nvPicPr>
      <xdr:blipFill>
        <a:blip cstate="print" r:embed="rId614"/>
        <a:stretch>
          <a:fillRect/>
        </a:stretch>
      </xdr:blipFill>
      <xdr:spPr>
        <a:prstGeom prst="rect">
          <a:avLst/>
        </a:prstGeom>
        <a:noFill/>
      </xdr:spPr>
    </xdr:pic>
    <xdr:clientData fLocksWithSheet="0"/>
  </xdr:oneCellAnchor>
  <xdr:oneCellAnchor>
    <xdr:from>
      <xdr:col>6</xdr:col>
      <xdr:colOff>38100</xdr:colOff>
      <xdr:row>956</xdr:row>
      <xdr:rowOff>38100</xdr:rowOff>
    </xdr:from>
    <xdr:ext cx="523875" cy="514350"/>
    <xdr:pic>
      <xdr:nvPicPr>
        <xdr:cNvPr id="0" name="image596.jpg"/>
        <xdr:cNvPicPr preferRelativeResize="0"/>
      </xdr:nvPicPr>
      <xdr:blipFill>
        <a:blip cstate="print" r:embed="rId615"/>
        <a:stretch>
          <a:fillRect/>
        </a:stretch>
      </xdr:blipFill>
      <xdr:spPr>
        <a:prstGeom prst="rect">
          <a:avLst/>
        </a:prstGeom>
        <a:noFill/>
      </xdr:spPr>
    </xdr:pic>
    <xdr:clientData fLocksWithSheet="0"/>
  </xdr:oneCellAnchor>
  <xdr:oneCellAnchor>
    <xdr:from>
      <xdr:col>6</xdr:col>
      <xdr:colOff>38100</xdr:colOff>
      <xdr:row>957</xdr:row>
      <xdr:rowOff>38100</xdr:rowOff>
    </xdr:from>
    <xdr:ext cx="371475" cy="390525"/>
    <xdr:pic>
      <xdr:nvPicPr>
        <xdr:cNvPr id="0" name="image600.jpg"/>
        <xdr:cNvPicPr preferRelativeResize="0"/>
      </xdr:nvPicPr>
      <xdr:blipFill>
        <a:blip cstate="print" r:embed="rId616"/>
        <a:stretch>
          <a:fillRect/>
        </a:stretch>
      </xdr:blipFill>
      <xdr:spPr>
        <a:prstGeom prst="rect">
          <a:avLst/>
        </a:prstGeom>
        <a:noFill/>
      </xdr:spPr>
    </xdr:pic>
    <xdr:clientData fLocksWithSheet="0"/>
  </xdr:oneCellAnchor>
  <xdr:oneCellAnchor>
    <xdr:from>
      <xdr:col>6</xdr:col>
      <xdr:colOff>38100</xdr:colOff>
      <xdr:row>958</xdr:row>
      <xdr:rowOff>38100</xdr:rowOff>
    </xdr:from>
    <xdr:ext cx="647700" cy="466725"/>
    <xdr:pic>
      <xdr:nvPicPr>
        <xdr:cNvPr id="0" name="image594.jpg"/>
        <xdr:cNvPicPr preferRelativeResize="0"/>
      </xdr:nvPicPr>
      <xdr:blipFill>
        <a:blip cstate="print" r:embed="rId617"/>
        <a:stretch>
          <a:fillRect/>
        </a:stretch>
      </xdr:blipFill>
      <xdr:spPr>
        <a:prstGeom prst="rect">
          <a:avLst/>
        </a:prstGeom>
        <a:noFill/>
      </xdr:spPr>
    </xdr:pic>
    <xdr:clientData fLocksWithSheet="0"/>
  </xdr:oneCellAnchor>
  <xdr:oneCellAnchor>
    <xdr:from>
      <xdr:col>6</xdr:col>
      <xdr:colOff>38100</xdr:colOff>
      <xdr:row>959</xdr:row>
      <xdr:rowOff>38100</xdr:rowOff>
    </xdr:from>
    <xdr:ext cx="390525" cy="361950"/>
    <xdr:pic>
      <xdr:nvPicPr>
        <xdr:cNvPr id="0" name="image648.jpg"/>
        <xdr:cNvPicPr preferRelativeResize="0"/>
      </xdr:nvPicPr>
      <xdr:blipFill>
        <a:blip cstate="print" r:embed="rId618"/>
        <a:stretch>
          <a:fillRect/>
        </a:stretch>
      </xdr:blipFill>
      <xdr:spPr>
        <a:prstGeom prst="rect">
          <a:avLst/>
        </a:prstGeom>
        <a:noFill/>
      </xdr:spPr>
    </xdr:pic>
    <xdr:clientData fLocksWithSheet="0"/>
  </xdr:oneCellAnchor>
  <xdr:oneCellAnchor>
    <xdr:from>
      <xdr:col>6</xdr:col>
      <xdr:colOff>38100</xdr:colOff>
      <xdr:row>960</xdr:row>
      <xdr:rowOff>38100</xdr:rowOff>
    </xdr:from>
    <xdr:ext cx="304800" cy="514350"/>
    <xdr:pic>
      <xdr:nvPicPr>
        <xdr:cNvPr id="0" name="image597.jpg"/>
        <xdr:cNvPicPr preferRelativeResize="0"/>
      </xdr:nvPicPr>
      <xdr:blipFill>
        <a:blip cstate="print" r:embed="rId619"/>
        <a:stretch>
          <a:fillRect/>
        </a:stretch>
      </xdr:blipFill>
      <xdr:spPr>
        <a:prstGeom prst="rect">
          <a:avLst/>
        </a:prstGeom>
        <a:noFill/>
      </xdr:spPr>
    </xdr:pic>
    <xdr:clientData fLocksWithSheet="0"/>
  </xdr:oneCellAnchor>
  <xdr:oneCellAnchor>
    <xdr:from>
      <xdr:col>6</xdr:col>
      <xdr:colOff>38100</xdr:colOff>
      <xdr:row>961</xdr:row>
      <xdr:rowOff>38100</xdr:rowOff>
    </xdr:from>
    <xdr:ext cx="581025" cy="514350"/>
    <xdr:pic>
      <xdr:nvPicPr>
        <xdr:cNvPr id="0" name="image607.jpg"/>
        <xdr:cNvPicPr preferRelativeResize="0"/>
      </xdr:nvPicPr>
      <xdr:blipFill>
        <a:blip cstate="print" r:embed="rId620"/>
        <a:stretch>
          <a:fillRect/>
        </a:stretch>
      </xdr:blipFill>
      <xdr:spPr>
        <a:prstGeom prst="rect">
          <a:avLst/>
        </a:prstGeom>
        <a:noFill/>
      </xdr:spPr>
    </xdr:pic>
    <xdr:clientData fLocksWithSheet="0"/>
  </xdr:oneCellAnchor>
  <xdr:oneCellAnchor>
    <xdr:from>
      <xdr:col>6</xdr:col>
      <xdr:colOff>38100</xdr:colOff>
      <xdr:row>962</xdr:row>
      <xdr:rowOff>38100</xdr:rowOff>
    </xdr:from>
    <xdr:ext cx="647700" cy="390525"/>
    <xdr:pic>
      <xdr:nvPicPr>
        <xdr:cNvPr id="0" name="image599.jpg"/>
        <xdr:cNvPicPr preferRelativeResize="0"/>
      </xdr:nvPicPr>
      <xdr:blipFill>
        <a:blip cstate="print" r:embed="rId621"/>
        <a:stretch>
          <a:fillRect/>
        </a:stretch>
      </xdr:blipFill>
      <xdr:spPr>
        <a:prstGeom prst="rect">
          <a:avLst/>
        </a:prstGeom>
        <a:noFill/>
      </xdr:spPr>
    </xdr:pic>
    <xdr:clientData fLocksWithSheet="0"/>
  </xdr:oneCellAnchor>
  <xdr:oneCellAnchor>
    <xdr:from>
      <xdr:col>6</xdr:col>
      <xdr:colOff>38100</xdr:colOff>
      <xdr:row>963</xdr:row>
      <xdr:rowOff>38100</xdr:rowOff>
    </xdr:from>
    <xdr:ext cx="361950" cy="514350"/>
    <xdr:pic>
      <xdr:nvPicPr>
        <xdr:cNvPr id="0" name="image620.jpg"/>
        <xdr:cNvPicPr preferRelativeResize="0"/>
      </xdr:nvPicPr>
      <xdr:blipFill>
        <a:blip cstate="print" r:embed="rId622"/>
        <a:stretch>
          <a:fillRect/>
        </a:stretch>
      </xdr:blipFill>
      <xdr:spPr>
        <a:prstGeom prst="rect">
          <a:avLst/>
        </a:prstGeom>
        <a:noFill/>
      </xdr:spPr>
    </xdr:pic>
    <xdr:clientData fLocksWithSheet="0"/>
  </xdr:oneCellAnchor>
  <xdr:oneCellAnchor>
    <xdr:from>
      <xdr:col>6</xdr:col>
      <xdr:colOff>38100</xdr:colOff>
      <xdr:row>964</xdr:row>
      <xdr:rowOff>38100</xdr:rowOff>
    </xdr:from>
    <xdr:ext cx="514350" cy="514350"/>
    <xdr:pic>
      <xdr:nvPicPr>
        <xdr:cNvPr id="0" name="image604.jpg"/>
        <xdr:cNvPicPr preferRelativeResize="0"/>
      </xdr:nvPicPr>
      <xdr:blipFill>
        <a:blip cstate="print" r:embed="rId623"/>
        <a:stretch>
          <a:fillRect/>
        </a:stretch>
      </xdr:blipFill>
      <xdr:spPr>
        <a:prstGeom prst="rect">
          <a:avLst/>
        </a:prstGeom>
        <a:noFill/>
      </xdr:spPr>
    </xdr:pic>
    <xdr:clientData fLocksWithSheet="0"/>
  </xdr:oneCellAnchor>
  <xdr:oneCellAnchor>
    <xdr:from>
      <xdr:col>6</xdr:col>
      <xdr:colOff>38100</xdr:colOff>
      <xdr:row>965</xdr:row>
      <xdr:rowOff>38100</xdr:rowOff>
    </xdr:from>
    <xdr:ext cx="552450" cy="514350"/>
    <xdr:pic>
      <xdr:nvPicPr>
        <xdr:cNvPr id="0" name="image627.jpg"/>
        <xdr:cNvPicPr preferRelativeResize="0"/>
      </xdr:nvPicPr>
      <xdr:blipFill>
        <a:blip cstate="print" r:embed="rId624"/>
        <a:stretch>
          <a:fillRect/>
        </a:stretch>
      </xdr:blipFill>
      <xdr:spPr>
        <a:prstGeom prst="rect">
          <a:avLst/>
        </a:prstGeom>
        <a:noFill/>
      </xdr:spPr>
    </xdr:pic>
    <xdr:clientData fLocksWithSheet="0"/>
  </xdr:oneCellAnchor>
  <xdr:oneCellAnchor>
    <xdr:from>
      <xdr:col>6</xdr:col>
      <xdr:colOff>38100</xdr:colOff>
      <xdr:row>966</xdr:row>
      <xdr:rowOff>38100</xdr:rowOff>
    </xdr:from>
    <xdr:ext cx="523875" cy="514350"/>
    <xdr:pic>
      <xdr:nvPicPr>
        <xdr:cNvPr id="0" name="image612.jpg"/>
        <xdr:cNvPicPr preferRelativeResize="0"/>
      </xdr:nvPicPr>
      <xdr:blipFill>
        <a:blip cstate="print" r:embed="rId625"/>
        <a:stretch>
          <a:fillRect/>
        </a:stretch>
      </xdr:blipFill>
      <xdr:spPr>
        <a:prstGeom prst="rect">
          <a:avLst/>
        </a:prstGeom>
        <a:noFill/>
      </xdr:spPr>
    </xdr:pic>
    <xdr:clientData fLocksWithSheet="0"/>
  </xdr:oneCellAnchor>
  <xdr:oneCellAnchor>
    <xdr:from>
      <xdr:col>6</xdr:col>
      <xdr:colOff>38100</xdr:colOff>
      <xdr:row>967</xdr:row>
      <xdr:rowOff>38100</xdr:rowOff>
    </xdr:from>
    <xdr:ext cx="581025" cy="514350"/>
    <xdr:pic>
      <xdr:nvPicPr>
        <xdr:cNvPr id="0" name="image607.jpg"/>
        <xdr:cNvPicPr preferRelativeResize="0"/>
      </xdr:nvPicPr>
      <xdr:blipFill>
        <a:blip cstate="print" r:embed="rId620"/>
        <a:stretch>
          <a:fillRect/>
        </a:stretch>
      </xdr:blipFill>
      <xdr:spPr>
        <a:prstGeom prst="rect">
          <a:avLst/>
        </a:prstGeom>
        <a:noFill/>
      </xdr:spPr>
    </xdr:pic>
    <xdr:clientData fLocksWithSheet="0"/>
  </xdr:oneCellAnchor>
  <xdr:oneCellAnchor>
    <xdr:from>
      <xdr:col>6</xdr:col>
      <xdr:colOff>38100</xdr:colOff>
      <xdr:row>968</xdr:row>
      <xdr:rowOff>38100</xdr:rowOff>
    </xdr:from>
    <xdr:ext cx="581025" cy="514350"/>
    <xdr:pic>
      <xdr:nvPicPr>
        <xdr:cNvPr id="0" name="image607.jpg"/>
        <xdr:cNvPicPr preferRelativeResize="0"/>
      </xdr:nvPicPr>
      <xdr:blipFill>
        <a:blip cstate="print" r:embed="rId620"/>
        <a:stretch>
          <a:fillRect/>
        </a:stretch>
      </xdr:blipFill>
      <xdr:spPr>
        <a:prstGeom prst="rect">
          <a:avLst/>
        </a:prstGeom>
        <a:noFill/>
      </xdr:spPr>
    </xdr:pic>
    <xdr:clientData fLocksWithSheet="0"/>
  </xdr:oneCellAnchor>
  <xdr:oneCellAnchor>
    <xdr:from>
      <xdr:col>6</xdr:col>
      <xdr:colOff>38100</xdr:colOff>
      <xdr:row>969</xdr:row>
      <xdr:rowOff>38100</xdr:rowOff>
    </xdr:from>
    <xdr:ext cx="581025" cy="514350"/>
    <xdr:pic>
      <xdr:nvPicPr>
        <xdr:cNvPr id="0" name="image607.jpg"/>
        <xdr:cNvPicPr preferRelativeResize="0"/>
      </xdr:nvPicPr>
      <xdr:blipFill>
        <a:blip cstate="print" r:embed="rId620"/>
        <a:stretch>
          <a:fillRect/>
        </a:stretch>
      </xdr:blipFill>
      <xdr:spPr>
        <a:prstGeom prst="rect">
          <a:avLst/>
        </a:prstGeom>
        <a:noFill/>
      </xdr:spPr>
    </xdr:pic>
    <xdr:clientData fLocksWithSheet="0"/>
  </xdr:oneCellAnchor>
  <xdr:oneCellAnchor>
    <xdr:from>
      <xdr:col>6</xdr:col>
      <xdr:colOff>38100</xdr:colOff>
      <xdr:row>970</xdr:row>
      <xdr:rowOff>38100</xdr:rowOff>
    </xdr:from>
    <xdr:ext cx="581025" cy="514350"/>
    <xdr:pic>
      <xdr:nvPicPr>
        <xdr:cNvPr id="0" name="image607.jpg"/>
        <xdr:cNvPicPr preferRelativeResize="0"/>
      </xdr:nvPicPr>
      <xdr:blipFill>
        <a:blip cstate="print" r:embed="rId620"/>
        <a:stretch>
          <a:fillRect/>
        </a:stretch>
      </xdr:blipFill>
      <xdr:spPr>
        <a:prstGeom prst="rect">
          <a:avLst/>
        </a:prstGeom>
        <a:noFill/>
      </xdr:spPr>
    </xdr:pic>
    <xdr:clientData fLocksWithSheet="0"/>
  </xdr:oneCellAnchor>
  <xdr:oneCellAnchor>
    <xdr:from>
      <xdr:col>6</xdr:col>
      <xdr:colOff>38100</xdr:colOff>
      <xdr:row>971</xdr:row>
      <xdr:rowOff>38100</xdr:rowOff>
    </xdr:from>
    <xdr:ext cx="523875" cy="514350"/>
    <xdr:pic>
      <xdr:nvPicPr>
        <xdr:cNvPr id="0" name="image612.jpg"/>
        <xdr:cNvPicPr preferRelativeResize="0"/>
      </xdr:nvPicPr>
      <xdr:blipFill>
        <a:blip cstate="print" r:embed="rId625"/>
        <a:stretch>
          <a:fillRect/>
        </a:stretch>
      </xdr:blipFill>
      <xdr:spPr>
        <a:prstGeom prst="rect">
          <a:avLst/>
        </a:prstGeom>
        <a:noFill/>
      </xdr:spPr>
    </xdr:pic>
    <xdr:clientData fLocksWithSheet="0"/>
  </xdr:oneCellAnchor>
  <xdr:oneCellAnchor>
    <xdr:from>
      <xdr:col>6</xdr:col>
      <xdr:colOff>38100</xdr:colOff>
      <xdr:row>972</xdr:row>
      <xdr:rowOff>38100</xdr:rowOff>
    </xdr:from>
    <xdr:ext cx="333375" cy="485775"/>
    <xdr:pic>
      <xdr:nvPicPr>
        <xdr:cNvPr id="0" name="image634.jpg"/>
        <xdr:cNvPicPr preferRelativeResize="0"/>
      </xdr:nvPicPr>
      <xdr:blipFill>
        <a:blip cstate="print" r:embed="rId626"/>
        <a:stretch>
          <a:fillRect/>
        </a:stretch>
      </xdr:blipFill>
      <xdr:spPr>
        <a:prstGeom prst="rect">
          <a:avLst/>
        </a:prstGeom>
        <a:noFill/>
      </xdr:spPr>
    </xdr:pic>
    <xdr:clientData fLocksWithSheet="0"/>
  </xdr:oneCellAnchor>
  <xdr:oneCellAnchor>
    <xdr:from>
      <xdr:col>6</xdr:col>
      <xdr:colOff>38100</xdr:colOff>
      <xdr:row>973</xdr:row>
      <xdr:rowOff>38100</xdr:rowOff>
    </xdr:from>
    <xdr:ext cx="333375" cy="485775"/>
    <xdr:pic>
      <xdr:nvPicPr>
        <xdr:cNvPr id="0" name="image634.jpg"/>
        <xdr:cNvPicPr preferRelativeResize="0"/>
      </xdr:nvPicPr>
      <xdr:blipFill>
        <a:blip cstate="print" r:embed="rId626"/>
        <a:stretch>
          <a:fillRect/>
        </a:stretch>
      </xdr:blipFill>
      <xdr:spPr>
        <a:prstGeom prst="rect">
          <a:avLst/>
        </a:prstGeom>
        <a:noFill/>
      </xdr:spPr>
    </xdr:pic>
    <xdr:clientData fLocksWithSheet="0"/>
  </xdr:oneCellAnchor>
  <xdr:oneCellAnchor>
    <xdr:from>
      <xdr:col>6</xdr:col>
      <xdr:colOff>38100</xdr:colOff>
      <xdr:row>974</xdr:row>
      <xdr:rowOff>38100</xdr:rowOff>
    </xdr:from>
    <xdr:ext cx="333375" cy="485775"/>
    <xdr:pic>
      <xdr:nvPicPr>
        <xdr:cNvPr id="0" name="image634.jpg"/>
        <xdr:cNvPicPr preferRelativeResize="0"/>
      </xdr:nvPicPr>
      <xdr:blipFill>
        <a:blip cstate="print" r:embed="rId626"/>
        <a:stretch>
          <a:fillRect/>
        </a:stretch>
      </xdr:blipFill>
      <xdr:spPr>
        <a:prstGeom prst="rect">
          <a:avLst/>
        </a:prstGeom>
        <a:noFill/>
      </xdr:spPr>
    </xdr:pic>
    <xdr:clientData fLocksWithSheet="0"/>
  </xdr:oneCellAnchor>
  <xdr:oneCellAnchor>
    <xdr:from>
      <xdr:col>6</xdr:col>
      <xdr:colOff>38100</xdr:colOff>
      <xdr:row>975</xdr:row>
      <xdr:rowOff>38100</xdr:rowOff>
    </xdr:from>
    <xdr:ext cx="333375" cy="485775"/>
    <xdr:pic>
      <xdr:nvPicPr>
        <xdr:cNvPr id="0" name="image634.jpg"/>
        <xdr:cNvPicPr preferRelativeResize="0"/>
      </xdr:nvPicPr>
      <xdr:blipFill>
        <a:blip cstate="print" r:embed="rId626"/>
        <a:stretch>
          <a:fillRect/>
        </a:stretch>
      </xdr:blipFill>
      <xdr:spPr>
        <a:prstGeom prst="rect">
          <a:avLst/>
        </a:prstGeom>
        <a:noFill/>
      </xdr:spPr>
    </xdr:pic>
    <xdr:clientData fLocksWithSheet="0"/>
  </xdr:oneCellAnchor>
  <xdr:oneCellAnchor>
    <xdr:from>
      <xdr:col>6</xdr:col>
      <xdr:colOff>38100</xdr:colOff>
      <xdr:row>976</xdr:row>
      <xdr:rowOff>38100</xdr:rowOff>
    </xdr:from>
    <xdr:ext cx="647700" cy="457200"/>
    <xdr:pic>
      <xdr:nvPicPr>
        <xdr:cNvPr id="0" name="image608.jpg"/>
        <xdr:cNvPicPr preferRelativeResize="0"/>
      </xdr:nvPicPr>
      <xdr:blipFill>
        <a:blip cstate="print" r:embed="rId627"/>
        <a:stretch>
          <a:fillRect/>
        </a:stretch>
      </xdr:blipFill>
      <xdr:spPr>
        <a:prstGeom prst="rect">
          <a:avLst/>
        </a:prstGeom>
        <a:noFill/>
      </xdr:spPr>
    </xdr:pic>
    <xdr:clientData fLocksWithSheet="0"/>
  </xdr:oneCellAnchor>
  <xdr:oneCellAnchor>
    <xdr:from>
      <xdr:col>6</xdr:col>
      <xdr:colOff>38100</xdr:colOff>
      <xdr:row>977</xdr:row>
      <xdr:rowOff>38100</xdr:rowOff>
    </xdr:from>
    <xdr:ext cx="504825" cy="514350"/>
    <xdr:pic>
      <xdr:nvPicPr>
        <xdr:cNvPr id="0" name="image630.jpg"/>
        <xdr:cNvPicPr preferRelativeResize="0"/>
      </xdr:nvPicPr>
      <xdr:blipFill>
        <a:blip cstate="print" r:embed="rId628"/>
        <a:stretch>
          <a:fillRect/>
        </a:stretch>
      </xdr:blipFill>
      <xdr:spPr>
        <a:prstGeom prst="rect">
          <a:avLst/>
        </a:prstGeom>
        <a:noFill/>
      </xdr:spPr>
    </xdr:pic>
    <xdr:clientData fLocksWithSheet="0"/>
  </xdr:oneCellAnchor>
  <xdr:oneCellAnchor>
    <xdr:from>
      <xdr:col>6</xdr:col>
      <xdr:colOff>38100</xdr:colOff>
      <xdr:row>978</xdr:row>
      <xdr:rowOff>38100</xdr:rowOff>
    </xdr:from>
    <xdr:ext cx="476250" cy="514350"/>
    <xdr:pic>
      <xdr:nvPicPr>
        <xdr:cNvPr id="0" name="image629.jpg"/>
        <xdr:cNvPicPr preferRelativeResize="0"/>
      </xdr:nvPicPr>
      <xdr:blipFill>
        <a:blip cstate="print" r:embed="rId629"/>
        <a:stretch>
          <a:fillRect/>
        </a:stretch>
      </xdr:blipFill>
      <xdr:spPr>
        <a:prstGeom prst="rect">
          <a:avLst/>
        </a:prstGeom>
        <a:noFill/>
      </xdr:spPr>
    </xdr:pic>
    <xdr:clientData fLocksWithSheet="0"/>
  </xdr:oneCellAnchor>
  <xdr:oneCellAnchor>
    <xdr:from>
      <xdr:col>6</xdr:col>
      <xdr:colOff>38100</xdr:colOff>
      <xdr:row>979</xdr:row>
      <xdr:rowOff>38100</xdr:rowOff>
    </xdr:from>
    <xdr:ext cx="647700" cy="428625"/>
    <xdr:pic>
      <xdr:nvPicPr>
        <xdr:cNvPr id="0" name="image642.jpg"/>
        <xdr:cNvPicPr preferRelativeResize="0"/>
      </xdr:nvPicPr>
      <xdr:blipFill>
        <a:blip cstate="print" r:embed="rId630"/>
        <a:stretch>
          <a:fillRect/>
        </a:stretch>
      </xdr:blipFill>
      <xdr:spPr>
        <a:prstGeom prst="rect">
          <a:avLst/>
        </a:prstGeom>
        <a:noFill/>
      </xdr:spPr>
    </xdr:pic>
    <xdr:clientData fLocksWithSheet="0"/>
  </xdr:oneCellAnchor>
  <xdr:oneCellAnchor>
    <xdr:from>
      <xdr:col>6</xdr:col>
      <xdr:colOff>38100</xdr:colOff>
      <xdr:row>980</xdr:row>
      <xdr:rowOff>38100</xdr:rowOff>
    </xdr:from>
    <xdr:ext cx="638175" cy="514350"/>
    <xdr:pic>
      <xdr:nvPicPr>
        <xdr:cNvPr id="0" name="image498.jpg"/>
        <xdr:cNvPicPr preferRelativeResize="0"/>
      </xdr:nvPicPr>
      <xdr:blipFill>
        <a:blip cstate="print" r:embed="rId518"/>
        <a:stretch>
          <a:fillRect/>
        </a:stretch>
      </xdr:blipFill>
      <xdr:spPr>
        <a:prstGeom prst="rect">
          <a:avLst/>
        </a:prstGeom>
        <a:noFill/>
      </xdr:spPr>
    </xdr:pic>
    <xdr:clientData fLocksWithSheet="0"/>
  </xdr:oneCellAnchor>
  <xdr:oneCellAnchor>
    <xdr:from>
      <xdr:col>6</xdr:col>
      <xdr:colOff>38100</xdr:colOff>
      <xdr:row>981</xdr:row>
      <xdr:rowOff>38100</xdr:rowOff>
    </xdr:from>
    <xdr:ext cx="400050" cy="514350"/>
    <xdr:pic>
      <xdr:nvPicPr>
        <xdr:cNvPr id="0" name="image618.jpg"/>
        <xdr:cNvPicPr preferRelativeResize="0"/>
      </xdr:nvPicPr>
      <xdr:blipFill>
        <a:blip cstate="print" r:embed="rId631"/>
        <a:stretch>
          <a:fillRect/>
        </a:stretch>
      </xdr:blipFill>
      <xdr:spPr>
        <a:prstGeom prst="rect">
          <a:avLst/>
        </a:prstGeom>
        <a:noFill/>
      </xdr:spPr>
    </xdr:pic>
    <xdr:clientData fLocksWithSheet="0"/>
  </xdr:oneCellAnchor>
  <xdr:oneCellAnchor>
    <xdr:from>
      <xdr:col>6</xdr:col>
      <xdr:colOff>38100</xdr:colOff>
      <xdr:row>982</xdr:row>
      <xdr:rowOff>38100</xdr:rowOff>
    </xdr:from>
    <xdr:ext cx="400050" cy="514350"/>
    <xdr:pic>
      <xdr:nvPicPr>
        <xdr:cNvPr id="0" name="image618.jpg"/>
        <xdr:cNvPicPr preferRelativeResize="0"/>
      </xdr:nvPicPr>
      <xdr:blipFill>
        <a:blip cstate="print" r:embed="rId631"/>
        <a:stretch>
          <a:fillRect/>
        </a:stretch>
      </xdr:blipFill>
      <xdr:spPr>
        <a:prstGeom prst="rect">
          <a:avLst/>
        </a:prstGeom>
        <a:noFill/>
      </xdr:spPr>
    </xdr:pic>
    <xdr:clientData fLocksWithSheet="0"/>
  </xdr:oneCellAnchor>
  <xdr:oneCellAnchor>
    <xdr:from>
      <xdr:col>6</xdr:col>
      <xdr:colOff>38100</xdr:colOff>
      <xdr:row>983</xdr:row>
      <xdr:rowOff>38100</xdr:rowOff>
    </xdr:from>
    <xdr:ext cx="428625" cy="485775"/>
    <xdr:pic>
      <xdr:nvPicPr>
        <xdr:cNvPr id="0" name="image614.jpg"/>
        <xdr:cNvPicPr preferRelativeResize="0"/>
      </xdr:nvPicPr>
      <xdr:blipFill>
        <a:blip cstate="print" r:embed="rId632"/>
        <a:stretch>
          <a:fillRect/>
        </a:stretch>
      </xdr:blipFill>
      <xdr:spPr>
        <a:prstGeom prst="rect">
          <a:avLst/>
        </a:prstGeom>
        <a:noFill/>
      </xdr:spPr>
    </xdr:pic>
    <xdr:clientData fLocksWithSheet="0"/>
  </xdr:oneCellAnchor>
  <xdr:oneCellAnchor>
    <xdr:from>
      <xdr:col>6</xdr:col>
      <xdr:colOff>38100</xdr:colOff>
      <xdr:row>984</xdr:row>
      <xdr:rowOff>38100</xdr:rowOff>
    </xdr:from>
    <xdr:ext cx="523875" cy="514350"/>
    <xdr:pic>
      <xdr:nvPicPr>
        <xdr:cNvPr id="0" name="image631.jpg"/>
        <xdr:cNvPicPr preferRelativeResize="0"/>
      </xdr:nvPicPr>
      <xdr:blipFill>
        <a:blip cstate="print" r:embed="rId633"/>
        <a:stretch>
          <a:fillRect/>
        </a:stretch>
      </xdr:blipFill>
      <xdr:spPr>
        <a:prstGeom prst="rect">
          <a:avLst/>
        </a:prstGeom>
        <a:noFill/>
      </xdr:spPr>
    </xdr:pic>
    <xdr:clientData fLocksWithSheet="0"/>
  </xdr:oneCellAnchor>
  <xdr:oneCellAnchor>
    <xdr:from>
      <xdr:col>6</xdr:col>
      <xdr:colOff>38100</xdr:colOff>
      <xdr:row>985</xdr:row>
      <xdr:rowOff>38100</xdr:rowOff>
    </xdr:from>
    <xdr:ext cx="476250" cy="514350"/>
    <xdr:pic>
      <xdr:nvPicPr>
        <xdr:cNvPr id="0" name="image611.jpg"/>
        <xdr:cNvPicPr preferRelativeResize="0"/>
      </xdr:nvPicPr>
      <xdr:blipFill>
        <a:blip cstate="print" r:embed="rId634"/>
        <a:stretch>
          <a:fillRect/>
        </a:stretch>
      </xdr:blipFill>
      <xdr:spPr>
        <a:prstGeom prst="rect">
          <a:avLst/>
        </a:prstGeom>
        <a:noFill/>
      </xdr:spPr>
    </xdr:pic>
    <xdr:clientData fLocksWithSheet="0"/>
  </xdr:oneCellAnchor>
  <xdr:oneCellAnchor>
    <xdr:from>
      <xdr:col>6</xdr:col>
      <xdr:colOff>38100</xdr:colOff>
      <xdr:row>986</xdr:row>
      <xdr:rowOff>38100</xdr:rowOff>
    </xdr:from>
    <xdr:ext cx="352425" cy="514350"/>
    <xdr:pic>
      <xdr:nvPicPr>
        <xdr:cNvPr id="0" name="image706.jpg"/>
        <xdr:cNvPicPr preferRelativeResize="0"/>
      </xdr:nvPicPr>
      <xdr:blipFill>
        <a:blip cstate="print" r:embed="rId635"/>
        <a:stretch>
          <a:fillRect/>
        </a:stretch>
      </xdr:blipFill>
      <xdr:spPr>
        <a:prstGeom prst="rect">
          <a:avLst/>
        </a:prstGeom>
        <a:noFill/>
      </xdr:spPr>
    </xdr:pic>
    <xdr:clientData fLocksWithSheet="0"/>
  </xdr:oneCellAnchor>
  <xdr:oneCellAnchor>
    <xdr:from>
      <xdr:col>6</xdr:col>
      <xdr:colOff>38100</xdr:colOff>
      <xdr:row>987</xdr:row>
      <xdr:rowOff>38100</xdr:rowOff>
    </xdr:from>
    <xdr:ext cx="647700" cy="495300"/>
    <xdr:pic>
      <xdr:nvPicPr>
        <xdr:cNvPr id="0" name="image656.jpg"/>
        <xdr:cNvPicPr preferRelativeResize="0"/>
      </xdr:nvPicPr>
      <xdr:blipFill>
        <a:blip cstate="print" r:embed="rId636"/>
        <a:stretch>
          <a:fillRect/>
        </a:stretch>
      </xdr:blipFill>
      <xdr:spPr>
        <a:prstGeom prst="rect">
          <a:avLst/>
        </a:prstGeom>
        <a:noFill/>
      </xdr:spPr>
    </xdr:pic>
    <xdr:clientData fLocksWithSheet="0"/>
  </xdr:oneCellAnchor>
  <xdr:oneCellAnchor>
    <xdr:from>
      <xdr:col>6</xdr:col>
      <xdr:colOff>38100</xdr:colOff>
      <xdr:row>988</xdr:row>
      <xdr:rowOff>38100</xdr:rowOff>
    </xdr:from>
    <xdr:ext cx="466725" cy="514350"/>
    <xdr:pic>
      <xdr:nvPicPr>
        <xdr:cNvPr id="0" name="image616.jpg"/>
        <xdr:cNvPicPr preferRelativeResize="0"/>
      </xdr:nvPicPr>
      <xdr:blipFill>
        <a:blip cstate="print" r:embed="rId637"/>
        <a:stretch>
          <a:fillRect/>
        </a:stretch>
      </xdr:blipFill>
      <xdr:spPr>
        <a:prstGeom prst="rect">
          <a:avLst/>
        </a:prstGeom>
        <a:noFill/>
      </xdr:spPr>
    </xdr:pic>
    <xdr:clientData fLocksWithSheet="0"/>
  </xdr:oneCellAnchor>
  <xdr:oneCellAnchor>
    <xdr:from>
      <xdr:col>6</xdr:col>
      <xdr:colOff>38100</xdr:colOff>
      <xdr:row>989</xdr:row>
      <xdr:rowOff>38100</xdr:rowOff>
    </xdr:from>
    <xdr:ext cx="457200" cy="514350"/>
    <xdr:pic>
      <xdr:nvPicPr>
        <xdr:cNvPr id="0" name="image621.jpg"/>
        <xdr:cNvPicPr preferRelativeResize="0"/>
      </xdr:nvPicPr>
      <xdr:blipFill>
        <a:blip cstate="print" r:embed="rId638"/>
        <a:stretch>
          <a:fillRect/>
        </a:stretch>
      </xdr:blipFill>
      <xdr:spPr>
        <a:prstGeom prst="rect">
          <a:avLst/>
        </a:prstGeom>
        <a:noFill/>
      </xdr:spPr>
    </xdr:pic>
    <xdr:clientData fLocksWithSheet="0"/>
  </xdr:oneCellAnchor>
  <xdr:oneCellAnchor>
    <xdr:from>
      <xdr:col>6</xdr:col>
      <xdr:colOff>38100</xdr:colOff>
      <xdr:row>990</xdr:row>
      <xdr:rowOff>38100</xdr:rowOff>
    </xdr:from>
    <xdr:ext cx="533400" cy="514350"/>
    <xdr:pic>
      <xdr:nvPicPr>
        <xdr:cNvPr id="0" name="image626.jpg"/>
        <xdr:cNvPicPr preferRelativeResize="0"/>
      </xdr:nvPicPr>
      <xdr:blipFill>
        <a:blip cstate="print" r:embed="rId639"/>
        <a:stretch>
          <a:fillRect/>
        </a:stretch>
      </xdr:blipFill>
      <xdr:spPr>
        <a:prstGeom prst="rect">
          <a:avLst/>
        </a:prstGeom>
        <a:noFill/>
      </xdr:spPr>
    </xdr:pic>
    <xdr:clientData fLocksWithSheet="0"/>
  </xdr:oneCellAnchor>
  <xdr:oneCellAnchor>
    <xdr:from>
      <xdr:col>6</xdr:col>
      <xdr:colOff>38100</xdr:colOff>
      <xdr:row>991</xdr:row>
      <xdr:rowOff>38100</xdr:rowOff>
    </xdr:from>
    <xdr:ext cx="428625" cy="514350"/>
    <xdr:pic>
      <xdr:nvPicPr>
        <xdr:cNvPr id="0" name="image651.jpg"/>
        <xdr:cNvPicPr preferRelativeResize="0"/>
      </xdr:nvPicPr>
      <xdr:blipFill>
        <a:blip cstate="print" r:embed="rId640"/>
        <a:stretch>
          <a:fillRect/>
        </a:stretch>
      </xdr:blipFill>
      <xdr:spPr>
        <a:prstGeom prst="rect">
          <a:avLst/>
        </a:prstGeom>
        <a:noFill/>
      </xdr:spPr>
    </xdr:pic>
    <xdr:clientData fLocksWithSheet="0"/>
  </xdr:oneCellAnchor>
  <xdr:oneCellAnchor>
    <xdr:from>
      <xdr:col>6</xdr:col>
      <xdr:colOff>38100</xdr:colOff>
      <xdr:row>992</xdr:row>
      <xdr:rowOff>38100</xdr:rowOff>
    </xdr:from>
    <xdr:ext cx="457200" cy="514350"/>
    <xdr:pic>
      <xdr:nvPicPr>
        <xdr:cNvPr id="0" name="image613.jpg"/>
        <xdr:cNvPicPr preferRelativeResize="0"/>
      </xdr:nvPicPr>
      <xdr:blipFill>
        <a:blip cstate="print" r:embed="rId641"/>
        <a:stretch>
          <a:fillRect/>
        </a:stretch>
      </xdr:blipFill>
      <xdr:spPr>
        <a:prstGeom prst="rect">
          <a:avLst/>
        </a:prstGeom>
        <a:noFill/>
      </xdr:spPr>
    </xdr:pic>
    <xdr:clientData fLocksWithSheet="0"/>
  </xdr:oneCellAnchor>
  <xdr:oneCellAnchor>
    <xdr:from>
      <xdr:col>6</xdr:col>
      <xdr:colOff>38100</xdr:colOff>
      <xdr:row>993</xdr:row>
      <xdr:rowOff>38100</xdr:rowOff>
    </xdr:from>
    <xdr:ext cx="514350" cy="514350"/>
    <xdr:pic>
      <xdr:nvPicPr>
        <xdr:cNvPr id="0" name="image628.jpg"/>
        <xdr:cNvPicPr preferRelativeResize="0"/>
      </xdr:nvPicPr>
      <xdr:blipFill>
        <a:blip cstate="print" r:embed="rId642"/>
        <a:stretch>
          <a:fillRect/>
        </a:stretch>
      </xdr:blipFill>
      <xdr:spPr>
        <a:prstGeom prst="rect">
          <a:avLst/>
        </a:prstGeom>
        <a:noFill/>
      </xdr:spPr>
    </xdr:pic>
    <xdr:clientData fLocksWithSheet="0"/>
  </xdr:oneCellAnchor>
  <xdr:oneCellAnchor>
    <xdr:from>
      <xdr:col>6</xdr:col>
      <xdr:colOff>38100</xdr:colOff>
      <xdr:row>994</xdr:row>
      <xdr:rowOff>38100</xdr:rowOff>
    </xdr:from>
    <xdr:ext cx="447675" cy="476250"/>
    <xdr:pic>
      <xdr:nvPicPr>
        <xdr:cNvPr id="0" name="image617.jpg"/>
        <xdr:cNvPicPr preferRelativeResize="0"/>
      </xdr:nvPicPr>
      <xdr:blipFill>
        <a:blip cstate="print" r:embed="rId643"/>
        <a:stretch>
          <a:fillRect/>
        </a:stretch>
      </xdr:blipFill>
      <xdr:spPr>
        <a:prstGeom prst="rect">
          <a:avLst/>
        </a:prstGeom>
        <a:noFill/>
      </xdr:spPr>
    </xdr:pic>
    <xdr:clientData fLocksWithSheet="0"/>
  </xdr:oneCellAnchor>
  <xdr:oneCellAnchor>
    <xdr:from>
      <xdr:col>6</xdr:col>
      <xdr:colOff>38100</xdr:colOff>
      <xdr:row>995</xdr:row>
      <xdr:rowOff>38100</xdr:rowOff>
    </xdr:from>
    <xdr:ext cx="447675" cy="476250"/>
    <xdr:pic>
      <xdr:nvPicPr>
        <xdr:cNvPr id="0" name="image617.jpg"/>
        <xdr:cNvPicPr preferRelativeResize="0"/>
      </xdr:nvPicPr>
      <xdr:blipFill>
        <a:blip cstate="print" r:embed="rId643"/>
        <a:stretch>
          <a:fillRect/>
        </a:stretch>
      </xdr:blipFill>
      <xdr:spPr>
        <a:prstGeom prst="rect">
          <a:avLst/>
        </a:prstGeom>
        <a:noFill/>
      </xdr:spPr>
    </xdr:pic>
    <xdr:clientData fLocksWithSheet="0"/>
  </xdr:oneCellAnchor>
  <xdr:oneCellAnchor>
    <xdr:from>
      <xdr:col>6</xdr:col>
      <xdr:colOff>38100</xdr:colOff>
      <xdr:row>996</xdr:row>
      <xdr:rowOff>38100</xdr:rowOff>
    </xdr:from>
    <xdr:ext cx="571500" cy="514350"/>
    <xdr:pic>
      <xdr:nvPicPr>
        <xdr:cNvPr id="0" name="image641.jpg"/>
        <xdr:cNvPicPr preferRelativeResize="0"/>
      </xdr:nvPicPr>
      <xdr:blipFill>
        <a:blip cstate="print" r:embed="rId644"/>
        <a:stretch>
          <a:fillRect/>
        </a:stretch>
      </xdr:blipFill>
      <xdr:spPr>
        <a:prstGeom prst="rect">
          <a:avLst/>
        </a:prstGeom>
        <a:noFill/>
      </xdr:spPr>
    </xdr:pic>
    <xdr:clientData fLocksWithSheet="0"/>
  </xdr:oneCellAnchor>
  <xdr:oneCellAnchor>
    <xdr:from>
      <xdr:col>6</xdr:col>
      <xdr:colOff>38100</xdr:colOff>
      <xdr:row>997</xdr:row>
      <xdr:rowOff>38100</xdr:rowOff>
    </xdr:from>
    <xdr:ext cx="314325" cy="514350"/>
    <xdr:pic>
      <xdr:nvPicPr>
        <xdr:cNvPr id="0" name="image623.jpg"/>
        <xdr:cNvPicPr preferRelativeResize="0"/>
      </xdr:nvPicPr>
      <xdr:blipFill>
        <a:blip cstate="print" r:embed="rId645"/>
        <a:stretch>
          <a:fillRect/>
        </a:stretch>
      </xdr:blipFill>
      <xdr:spPr>
        <a:prstGeom prst="rect">
          <a:avLst/>
        </a:prstGeom>
        <a:noFill/>
      </xdr:spPr>
    </xdr:pic>
    <xdr:clientData fLocksWithSheet="0"/>
  </xdr:oneCellAnchor>
  <xdr:oneCellAnchor>
    <xdr:from>
      <xdr:col>6</xdr:col>
      <xdr:colOff>38100</xdr:colOff>
      <xdr:row>998</xdr:row>
      <xdr:rowOff>38100</xdr:rowOff>
    </xdr:from>
    <xdr:ext cx="447675" cy="514350"/>
    <xdr:pic>
      <xdr:nvPicPr>
        <xdr:cNvPr id="0" name="image622.jpg"/>
        <xdr:cNvPicPr preferRelativeResize="0"/>
      </xdr:nvPicPr>
      <xdr:blipFill>
        <a:blip cstate="print" r:embed="rId646"/>
        <a:stretch>
          <a:fillRect/>
        </a:stretch>
      </xdr:blipFill>
      <xdr:spPr>
        <a:prstGeom prst="rect">
          <a:avLst/>
        </a:prstGeom>
        <a:noFill/>
      </xdr:spPr>
    </xdr:pic>
    <xdr:clientData fLocksWithSheet="0"/>
  </xdr:oneCellAnchor>
  <xdr:oneCellAnchor>
    <xdr:from>
      <xdr:col>6</xdr:col>
      <xdr:colOff>38100</xdr:colOff>
      <xdr:row>999</xdr:row>
      <xdr:rowOff>38100</xdr:rowOff>
    </xdr:from>
    <xdr:ext cx="419100" cy="514350"/>
    <xdr:pic>
      <xdr:nvPicPr>
        <xdr:cNvPr id="0" name="image633.jpg"/>
        <xdr:cNvPicPr preferRelativeResize="0"/>
      </xdr:nvPicPr>
      <xdr:blipFill>
        <a:blip cstate="print" r:embed="rId647"/>
        <a:stretch>
          <a:fillRect/>
        </a:stretch>
      </xdr:blipFill>
      <xdr:spPr>
        <a:prstGeom prst="rect">
          <a:avLst/>
        </a:prstGeom>
        <a:noFill/>
      </xdr:spPr>
    </xdr:pic>
    <xdr:clientData fLocksWithSheet="0"/>
  </xdr:oneCellAnchor>
  <xdr:oneCellAnchor>
    <xdr:from>
      <xdr:col>6</xdr:col>
      <xdr:colOff>38100</xdr:colOff>
      <xdr:row>1000</xdr:row>
      <xdr:rowOff>38100</xdr:rowOff>
    </xdr:from>
    <xdr:ext cx="457200" cy="514350"/>
    <xdr:pic>
      <xdr:nvPicPr>
        <xdr:cNvPr id="0" name="image619.jpg"/>
        <xdr:cNvPicPr preferRelativeResize="0"/>
      </xdr:nvPicPr>
      <xdr:blipFill>
        <a:blip cstate="print" r:embed="rId648"/>
        <a:stretch>
          <a:fillRect/>
        </a:stretch>
      </xdr:blipFill>
      <xdr:spPr>
        <a:prstGeom prst="rect">
          <a:avLst/>
        </a:prstGeom>
        <a:noFill/>
      </xdr:spPr>
    </xdr:pic>
    <xdr:clientData fLocksWithSheet="0"/>
  </xdr:oneCellAnchor>
  <xdr:oneCellAnchor>
    <xdr:from>
      <xdr:col>6</xdr:col>
      <xdr:colOff>38100</xdr:colOff>
      <xdr:row>1001</xdr:row>
      <xdr:rowOff>38100</xdr:rowOff>
    </xdr:from>
    <xdr:ext cx="457200" cy="514350"/>
    <xdr:pic>
      <xdr:nvPicPr>
        <xdr:cNvPr id="0" name="image619.jpg"/>
        <xdr:cNvPicPr preferRelativeResize="0"/>
      </xdr:nvPicPr>
      <xdr:blipFill>
        <a:blip cstate="print" r:embed="rId648"/>
        <a:stretch>
          <a:fillRect/>
        </a:stretch>
      </xdr:blipFill>
      <xdr:spPr>
        <a:prstGeom prst="rect">
          <a:avLst/>
        </a:prstGeom>
        <a:noFill/>
      </xdr:spPr>
    </xdr:pic>
    <xdr:clientData fLocksWithSheet="0"/>
  </xdr:oneCellAnchor>
  <xdr:oneCellAnchor>
    <xdr:from>
      <xdr:col>6</xdr:col>
      <xdr:colOff>38100</xdr:colOff>
      <xdr:row>1002</xdr:row>
      <xdr:rowOff>38100</xdr:rowOff>
    </xdr:from>
    <xdr:ext cx="457200" cy="514350"/>
    <xdr:pic>
      <xdr:nvPicPr>
        <xdr:cNvPr id="0" name="image619.jpg"/>
        <xdr:cNvPicPr preferRelativeResize="0"/>
      </xdr:nvPicPr>
      <xdr:blipFill>
        <a:blip cstate="print" r:embed="rId648"/>
        <a:stretch>
          <a:fillRect/>
        </a:stretch>
      </xdr:blipFill>
      <xdr:spPr>
        <a:prstGeom prst="rect">
          <a:avLst/>
        </a:prstGeom>
        <a:noFill/>
      </xdr:spPr>
    </xdr:pic>
    <xdr:clientData fLocksWithSheet="0"/>
  </xdr:oneCellAnchor>
  <xdr:oneCellAnchor>
    <xdr:from>
      <xdr:col>6</xdr:col>
      <xdr:colOff>38100</xdr:colOff>
      <xdr:row>1003</xdr:row>
      <xdr:rowOff>38100</xdr:rowOff>
    </xdr:from>
    <xdr:ext cx="647700" cy="495300"/>
    <xdr:pic>
      <xdr:nvPicPr>
        <xdr:cNvPr id="0" name="image625.jpg"/>
        <xdr:cNvPicPr preferRelativeResize="0"/>
      </xdr:nvPicPr>
      <xdr:blipFill>
        <a:blip cstate="print" r:embed="rId649"/>
        <a:stretch>
          <a:fillRect/>
        </a:stretch>
      </xdr:blipFill>
      <xdr:spPr>
        <a:prstGeom prst="rect">
          <a:avLst/>
        </a:prstGeom>
        <a:noFill/>
      </xdr:spPr>
    </xdr:pic>
    <xdr:clientData fLocksWithSheet="0"/>
  </xdr:oneCellAnchor>
  <xdr:oneCellAnchor>
    <xdr:from>
      <xdr:col>6</xdr:col>
      <xdr:colOff>38100</xdr:colOff>
      <xdr:row>1004</xdr:row>
      <xdr:rowOff>38100</xdr:rowOff>
    </xdr:from>
    <xdr:ext cx="647700" cy="495300"/>
    <xdr:pic>
      <xdr:nvPicPr>
        <xdr:cNvPr id="0" name="image625.jpg"/>
        <xdr:cNvPicPr preferRelativeResize="0"/>
      </xdr:nvPicPr>
      <xdr:blipFill>
        <a:blip cstate="print" r:embed="rId649"/>
        <a:stretch>
          <a:fillRect/>
        </a:stretch>
      </xdr:blipFill>
      <xdr:spPr>
        <a:prstGeom prst="rect">
          <a:avLst/>
        </a:prstGeom>
        <a:noFill/>
      </xdr:spPr>
    </xdr:pic>
    <xdr:clientData fLocksWithSheet="0"/>
  </xdr:oneCellAnchor>
  <xdr:oneCellAnchor>
    <xdr:from>
      <xdr:col>6</xdr:col>
      <xdr:colOff>38100</xdr:colOff>
      <xdr:row>1005</xdr:row>
      <xdr:rowOff>38100</xdr:rowOff>
    </xdr:from>
    <xdr:ext cx="647700" cy="495300"/>
    <xdr:pic>
      <xdr:nvPicPr>
        <xdr:cNvPr id="0" name="image625.jpg"/>
        <xdr:cNvPicPr preferRelativeResize="0"/>
      </xdr:nvPicPr>
      <xdr:blipFill>
        <a:blip cstate="print" r:embed="rId649"/>
        <a:stretch>
          <a:fillRect/>
        </a:stretch>
      </xdr:blipFill>
      <xdr:spPr>
        <a:prstGeom prst="rect">
          <a:avLst/>
        </a:prstGeom>
        <a:noFill/>
      </xdr:spPr>
    </xdr:pic>
    <xdr:clientData fLocksWithSheet="0"/>
  </xdr:oneCellAnchor>
  <xdr:oneCellAnchor>
    <xdr:from>
      <xdr:col>6</xdr:col>
      <xdr:colOff>38100</xdr:colOff>
      <xdr:row>1006</xdr:row>
      <xdr:rowOff>38100</xdr:rowOff>
    </xdr:from>
    <xdr:ext cx="533400" cy="514350"/>
    <xdr:pic>
      <xdr:nvPicPr>
        <xdr:cNvPr id="0" name="image647.jpg"/>
        <xdr:cNvPicPr preferRelativeResize="0"/>
      </xdr:nvPicPr>
      <xdr:blipFill>
        <a:blip cstate="print" r:embed="rId650"/>
        <a:stretch>
          <a:fillRect/>
        </a:stretch>
      </xdr:blipFill>
      <xdr:spPr>
        <a:prstGeom prst="rect">
          <a:avLst/>
        </a:prstGeom>
        <a:noFill/>
      </xdr:spPr>
    </xdr:pic>
    <xdr:clientData fLocksWithSheet="0"/>
  </xdr:oneCellAnchor>
  <xdr:oneCellAnchor>
    <xdr:from>
      <xdr:col>6</xdr:col>
      <xdr:colOff>38100</xdr:colOff>
      <xdr:row>1007</xdr:row>
      <xdr:rowOff>38100</xdr:rowOff>
    </xdr:from>
    <xdr:ext cx="571500" cy="514350"/>
    <xdr:pic>
      <xdr:nvPicPr>
        <xdr:cNvPr id="0" name="image645.jpg"/>
        <xdr:cNvPicPr preferRelativeResize="0"/>
      </xdr:nvPicPr>
      <xdr:blipFill>
        <a:blip cstate="print" r:embed="rId651"/>
        <a:stretch>
          <a:fillRect/>
        </a:stretch>
      </xdr:blipFill>
      <xdr:spPr>
        <a:prstGeom prst="rect">
          <a:avLst/>
        </a:prstGeom>
        <a:noFill/>
      </xdr:spPr>
    </xdr:pic>
    <xdr:clientData fLocksWithSheet="0"/>
  </xdr:oneCellAnchor>
  <xdr:oneCellAnchor>
    <xdr:from>
      <xdr:col>6</xdr:col>
      <xdr:colOff>38100</xdr:colOff>
      <xdr:row>1008</xdr:row>
      <xdr:rowOff>38100</xdr:rowOff>
    </xdr:from>
    <xdr:ext cx="523875" cy="514350"/>
    <xdr:pic>
      <xdr:nvPicPr>
        <xdr:cNvPr id="0" name="image691.jpg"/>
        <xdr:cNvPicPr preferRelativeResize="0"/>
      </xdr:nvPicPr>
      <xdr:blipFill>
        <a:blip cstate="print" r:embed="rId652"/>
        <a:stretch>
          <a:fillRect/>
        </a:stretch>
      </xdr:blipFill>
      <xdr:spPr>
        <a:prstGeom prst="rect">
          <a:avLst/>
        </a:prstGeom>
        <a:noFill/>
      </xdr:spPr>
    </xdr:pic>
    <xdr:clientData fLocksWithSheet="0"/>
  </xdr:oneCellAnchor>
  <xdr:oneCellAnchor>
    <xdr:from>
      <xdr:col>6</xdr:col>
      <xdr:colOff>38100</xdr:colOff>
      <xdr:row>1009</xdr:row>
      <xdr:rowOff>38100</xdr:rowOff>
    </xdr:from>
    <xdr:ext cx="342900" cy="514350"/>
    <xdr:pic>
      <xdr:nvPicPr>
        <xdr:cNvPr id="0" name="image655.jpg"/>
        <xdr:cNvPicPr preferRelativeResize="0"/>
      </xdr:nvPicPr>
      <xdr:blipFill>
        <a:blip cstate="print" r:embed="rId653"/>
        <a:stretch>
          <a:fillRect/>
        </a:stretch>
      </xdr:blipFill>
      <xdr:spPr>
        <a:prstGeom prst="rect">
          <a:avLst/>
        </a:prstGeom>
        <a:noFill/>
      </xdr:spPr>
    </xdr:pic>
    <xdr:clientData fLocksWithSheet="0"/>
  </xdr:oneCellAnchor>
  <xdr:oneCellAnchor>
    <xdr:from>
      <xdr:col>6</xdr:col>
      <xdr:colOff>38100</xdr:colOff>
      <xdr:row>1010</xdr:row>
      <xdr:rowOff>38100</xdr:rowOff>
    </xdr:from>
    <xdr:ext cx="342900" cy="514350"/>
    <xdr:pic>
      <xdr:nvPicPr>
        <xdr:cNvPr id="0" name="image655.jpg"/>
        <xdr:cNvPicPr preferRelativeResize="0"/>
      </xdr:nvPicPr>
      <xdr:blipFill>
        <a:blip cstate="print" r:embed="rId653"/>
        <a:stretch>
          <a:fillRect/>
        </a:stretch>
      </xdr:blipFill>
      <xdr:spPr>
        <a:prstGeom prst="rect">
          <a:avLst/>
        </a:prstGeom>
        <a:noFill/>
      </xdr:spPr>
    </xdr:pic>
    <xdr:clientData fLocksWithSheet="0"/>
  </xdr:oneCellAnchor>
  <xdr:oneCellAnchor>
    <xdr:from>
      <xdr:col>6</xdr:col>
      <xdr:colOff>38100</xdr:colOff>
      <xdr:row>1011</xdr:row>
      <xdr:rowOff>38100</xdr:rowOff>
    </xdr:from>
    <xdr:ext cx="428625" cy="485775"/>
    <xdr:pic>
      <xdr:nvPicPr>
        <xdr:cNvPr id="0" name="image614.jpg"/>
        <xdr:cNvPicPr preferRelativeResize="0"/>
      </xdr:nvPicPr>
      <xdr:blipFill>
        <a:blip cstate="print" r:embed="rId632"/>
        <a:stretch>
          <a:fillRect/>
        </a:stretch>
      </xdr:blipFill>
      <xdr:spPr>
        <a:prstGeom prst="rect">
          <a:avLst/>
        </a:prstGeom>
        <a:noFill/>
      </xdr:spPr>
    </xdr:pic>
    <xdr:clientData fLocksWithSheet="0"/>
  </xdr:oneCellAnchor>
  <xdr:oneCellAnchor>
    <xdr:from>
      <xdr:col>6</xdr:col>
      <xdr:colOff>38100</xdr:colOff>
      <xdr:row>1012</xdr:row>
      <xdr:rowOff>38100</xdr:rowOff>
    </xdr:from>
    <xdr:ext cx="342900" cy="514350"/>
    <xdr:pic>
      <xdr:nvPicPr>
        <xdr:cNvPr id="0" name="image655.jpg"/>
        <xdr:cNvPicPr preferRelativeResize="0"/>
      </xdr:nvPicPr>
      <xdr:blipFill>
        <a:blip cstate="print" r:embed="rId653"/>
        <a:stretch>
          <a:fillRect/>
        </a:stretch>
      </xdr:blipFill>
      <xdr:spPr>
        <a:prstGeom prst="rect">
          <a:avLst/>
        </a:prstGeom>
        <a:noFill/>
      </xdr:spPr>
    </xdr:pic>
    <xdr:clientData fLocksWithSheet="0"/>
  </xdr:oneCellAnchor>
  <xdr:oneCellAnchor>
    <xdr:from>
      <xdr:col>6</xdr:col>
      <xdr:colOff>38100</xdr:colOff>
      <xdr:row>1013</xdr:row>
      <xdr:rowOff>38100</xdr:rowOff>
    </xdr:from>
    <xdr:ext cx="342900" cy="514350"/>
    <xdr:pic>
      <xdr:nvPicPr>
        <xdr:cNvPr id="0" name="image655.jpg"/>
        <xdr:cNvPicPr preferRelativeResize="0"/>
      </xdr:nvPicPr>
      <xdr:blipFill>
        <a:blip cstate="print" r:embed="rId653"/>
        <a:stretch>
          <a:fillRect/>
        </a:stretch>
      </xdr:blipFill>
      <xdr:spPr>
        <a:prstGeom prst="rect">
          <a:avLst/>
        </a:prstGeom>
        <a:noFill/>
      </xdr:spPr>
    </xdr:pic>
    <xdr:clientData fLocksWithSheet="0"/>
  </xdr:oneCellAnchor>
  <xdr:oneCellAnchor>
    <xdr:from>
      <xdr:col>6</xdr:col>
      <xdr:colOff>38100</xdr:colOff>
      <xdr:row>1014</xdr:row>
      <xdr:rowOff>38100</xdr:rowOff>
    </xdr:from>
    <xdr:ext cx="561975" cy="514350"/>
    <xdr:pic>
      <xdr:nvPicPr>
        <xdr:cNvPr id="0" name="image670.jpg"/>
        <xdr:cNvPicPr preferRelativeResize="0"/>
      </xdr:nvPicPr>
      <xdr:blipFill>
        <a:blip cstate="print" r:embed="rId654"/>
        <a:stretch>
          <a:fillRect/>
        </a:stretch>
      </xdr:blipFill>
      <xdr:spPr>
        <a:prstGeom prst="rect">
          <a:avLst/>
        </a:prstGeom>
        <a:noFill/>
      </xdr:spPr>
    </xdr:pic>
    <xdr:clientData fLocksWithSheet="0"/>
  </xdr:oneCellAnchor>
  <xdr:oneCellAnchor>
    <xdr:from>
      <xdr:col>6</xdr:col>
      <xdr:colOff>38100</xdr:colOff>
      <xdr:row>1015</xdr:row>
      <xdr:rowOff>38100</xdr:rowOff>
    </xdr:from>
    <xdr:ext cx="561975" cy="514350"/>
    <xdr:pic>
      <xdr:nvPicPr>
        <xdr:cNvPr id="0" name="image670.jpg"/>
        <xdr:cNvPicPr preferRelativeResize="0"/>
      </xdr:nvPicPr>
      <xdr:blipFill>
        <a:blip cstate="print" r:embed="rId654"/>
        <a:stretch>
          <a:fillRect/>
        </a:stretch>
      </xdr:blipFill>
      <xdr:spPr>
        <a:prstGeom prst="rect">
          <a:avLst/>
        </a:prstGeom>
        <a:noFill/>
      </xdr:spPr>
    </xdr:pic>
    <xdr:clientData fLocksWithSheet="0"/>
  </xdr:oneCellAnchor>
  <xdr:oneCellAnchor>
    <xdr:from>
      <xdr:col>6</xdr:col>
      <xdr:colOff>38100</xdr:colOff>
      <xdr:row>1016</xdr:row>
      <xdr:rowOff>38100</xdr:rowOff>
    </xdr:from>
    <xdr:ext cx="561975" cy="514350"/>
    <xdr:pic>
      <xdr:nvPicPr>
        <xdr:cNvPr id="0" name="image670.jpg"/>
        <xdr:cNvPicPr preferRelativeResize="0"/>
      </xdr:nvPicPr>
      <xdr:blipFill>
        <a:blip cstate="print" r:embed="rId654"/>
        <a:stretch>
          <a:fillRect/>
        </a:stretch>
      </xdr:blipFill>
      <xdr:spPr>
        <a:prstGeom prst="rect">
          <a:avLst/>
        </a:prstGeom>
        <a:noFill/>
      </xdr:spPr>
    </xdr:pic>
    <xdr:clientData fLocksWithSheet="0"/>
  </xdr:oneCellAnchor>
  <xdr:oneCellAnchor>
    <xdr:from>
      <xdr:col>6</xdr:col>
      <xdr:colOff>38100</xdr:colOff>
      <xdr:row>1017</xdr:row>
      <xdr:rowOff>38100</xdr:rowOff>
    </xdr:from>
    <xdr:ext cx="561975" cy="514350"/>
    <xdr:pic>
      <xdr:nvPicPr>
        <xdr:cNvPr id="0" name="image670.jpg"/>
        <xdr:cNvPicPr preferRelativeResize="0"/>
      </xdr:nvPicPr>
      <xdr:blipFill>
        <a:blip cstate="print" r:embed="rId654"/>
        <a:stretch>
          <a:fillRect/>
        </a:stretch>
      </xdr:blipFill>
      <xdr:spPr>
        <a:prstGeom prst="rect">
          <a:avLst/>
        </a:prstGeom>
        <a:noFill/>
      </xdr:spPr>
    </xdr:pic>
    <xdr:clientData fLocksWithSheet="0"/>
  </xdr:oneCellAnchor>
  <xdr:oneCellAnchor>
    <xdr:from>
      <xdr:col>6</xdr:col>
      <xdr:colOff>38100</xdr:colOff>
      <xdr:row>1018</xdr:row>
      <xdr:rowOff>38100</xdr:rowOff>
    </xdr:from>
    <xdr:ext cx="561975" cy="514350"/>
    <xdr:pic>
      <xdr:nvPicPr>
        <xdr:cNvPr id="0" name="image658.jpg"/>
        <xdr:cNvPicPr preferRelativeResize="0"/>
      </xdr:nvPicPr>
      <xdr:blipFill>
        <a:blip cstate="print" r:embed="rId655"/>
        <a:stretch>
          <a:fillRect/>
        </a:stretch>
      </xdr:blipFill>
      <xdr:spPr>
        <a:prstGeom prst="rect">
          <a:avLst/>
        </a:prstGeom>
        <a:noFill/>
      </xdr:spPr>
    </xdr:pic>
    <xdr:clientData fLocksWithSheet="0"/>
  </xdr:oneCellAnchor>
  <xdr:oneCellAnchor>
    <xdr:from>
      <xdr:col>6</xdr:col>
      <xdr:colOff>38100</xdr:colOff>
      <xdr:row>1019</xdr:row>
      <xdr:rowOff>38100</xdr:rowOff>
    </xdr:from>
    <xdr:ext cx="561975" cy="514350"/>
    <xdr:pic>
      <xdr:nvPicPr>
        <xdr:cNvPr id="0" name="image658.jpg"/>
        <xdr:cNvPicPr preferRelativeResize="0"/>
      </xdr:nvPicPr>
      <xdr:blipFill>
        <a:blip cstate="print" r:embed="rId655"/>
        <a:stretch>
          <a:fillRect/>
        </a:stretch>
      </xdr:blipFill>
      <xdr:spPr>
        <a:prstGeom prst="rect">
          <a:avLst/>
        </a:prstGeom>
        <a:noFill/>
      </xdr:spPr>
    </xdr:pic>
    <xdr:clientData fLocksWithSheet="0"/>
  </xdr:oneCellAnchor>
  <xdr:oneCellAnchor>
    <xdr:from>
      <xdr:col>6</xdr:col>
      <xdr:colOff>38100</xdr:colOff>
      <xdr:row>1020</xdr:row>
      <xdr:rowOff>38100</xdr:rowOff>
    </xdr:from>
    <xdr:ext cx="361950" cy="352425"/>
    <xdr:pic>
      <xdr:nvPicPr>
        <xdr:cNvPr id="0" name="image588.jpg"/>
        <xdr:cNvPicPr preferRelativeResize="0"/>
      </xdr:nvPicPr>
      <xdr:blipFill>
        <a:blip cstate="print" r:embed="rId607"/>
        <a:stretch>
          <a:fillRect/>
        </a:stretch>
      </xdr:blipFill>
      <xdr:spPr>
        <a:prstGeom prst="rect">
          <a:avLst/>
        </a:prstGeom>
        <a:noFill/>
      </xdr:spPr>
    </xdr:pic>
    <xdr:clientData fLocksWithSheet="0"/>
  </xdr:oneCellAnchor>
  <xdr:oneCellAnchor>
    <xdr:from>
      <xdr:col>6</xdr:col>
      <xdr:colOff>38100</xdr:colOff>
      <xdr:row>1021</xdr:row>
      <xdr:rowOff>38100</xdr:rowOff>
    </xdr:from>
    <xdr:ext cx="438150" cy="419100"/>
    <xdr:pic>
      <xdr:nvPicPr>
        <xdr:cNvPr id="0" name="image657.jpg"/>
        <xdr:cNvPicPr preferRelativeResize="0"/>
      </xdr:nvPicPr>
      <xdr:blipFill>
        <a:blip cstate="print" r:embed="rId656"/>
        <a:stretch>
          <a:fillRect/>
        </a:stretch>
      </xdr:blipFill>
      <xdr:spPr>
        <a:prstGeom prst="rect">
          <a:avLst/>
        </a:prstGeom>
        <a:noFill/>
      </xdr:spPr>
    </xdr:pic>
    <xdr:clientData fLocksWithSheet="0"/>
  </xdr:oneCellAnchor>
  <xdr:oneCellAnchor>
    <xdr:from>
      <xdr:col>6</xdr:col>
      <xdr:colOff>38100</xdr:colOff>
      <xdr:row>1022</xdr:row>
      <xdr:rowOff>38100</xdr:rowOff>
    </xdr:from>
    <xdr:ext cx="438150" cy="419100"/>
    <xdr:pic>
      <xdr:nvPicPr>
        <xdr:cNvPr id="0" name="image657.jpg"/>
        <xdr:cNvPicPr preferRelativeResize="0"/>
      </xdr:nvPicPr>
      <xdr:blipFill>
        <a:blip cstate="print" r:embed="rId656"/>
        <a:stretch>
          <a:fillRect/>
        </a:stretch>
      </xdr:blipFill>
      <xdr:spPr>
        <a:prstGeom prst="rect">
          <a:avLst/>
        </a:prstGeom>
        <a:noFill/>
      </xdr:spPr>
    </xdr:pic>
    <xdr:clientData fLocksWithSheet="0"/>
  </xdr:oneCellAnchor>
  <xdr:oneCellAnchor>
    <xdr:from>
      <xdr:col>6</xdr:col>
      <xdr:colOff>38100</xdr:colOff>
      <xdr:row>1023</xdr:row>
      <xdr:rowOff>38100</xdr:rowOff>
    </xdr:from>
    <xdr:ext cx="361950" cy="352425"/>
    <xdr:pic>
      <xdr:nvPicPr>
        <xdr:cNvPr id="0" name="image588.jpg"/>
        <xdr:cNvPicPr preferRelativeResize="0"/>
      </xdr:nvPicPr>
      <xdr:blipFill>
        <a:blip cstate="print" r:embed="rId607"/>
        <a:stretch>
          <a:fillRect/>
        </a:stretch>
      </xdr:blipFill>
      <xdr:spPr>
        <a:prstGeom prst="rect">
          <a:avLst/>
        </a:prstGeom>
        <a:noFill/>
      </xdr:spPr>
    </xdr:pic>
    <xdr:clientData fLocksWithSheet="0"/>
  </xdr:oneCellAnchor>
  <xdr:oneCellAnchor>
    <xdr:from>
      <xdr:col>6</xdr:col>
      <xdr:colOff>38100</xdr:colOff>
      <xdr:row>1024</xdr:row>
      <xdr:rowOff>38100</xdr:rowOff>
    </xdr:from>
    <xdr:ext cx="400050" cy="457200"/>
    <xdr:pic>
      <xdr:nvPicPr>
        <xdr:cNvPr id="0" name="image659.jpg"/>
        <xdr:cNvPicPr preferRelativeResize="0"/>
      </xdr:nvPicPr>
      <xdr:blipFill>
        <a:blip cstate="print" r:embed="rId657"/>
        <a:stretch>
          <a:fillRect/>
        </a:stretch>
      </xdr:blipFill>
      <xdr:spPr>
        <a:prstGeom prst="rect">
          <a:avLst/>
        </a:prstGeom>
        <a:noFill/>
      </xdr:spPr>
    </xdr:pic>
    <xdr:clientData fLocksWithSheet="0"/>
  </xdr:oneCellAnchor>
  <xdr:oneCellAnchor>
    <xdr:from>
      <xdr:col>6</xdr:col>
      <xdr:colOff>38100</xdr:colOff>
      <xdr:row>1025</xdr:row>
      <xdr:rowOff>38100</xdr:rowOff>
    </xdr:from>
    <xdr:ext cx="361950" cy="409575"/>
    <xdr:pic>
      <xdr:nvPicPr>
        <xdr:cNvPr id="0" name="image663.jpg"/>
        <xdr:cNvPicPr preferRelativeResize="0"/>
      </xdr:nvPicPr>
      <xdr:blipFill>
        <a:blip cstate="print" r:embed="rId658"/>
        <a:stretch>
          <a:fillRect/>
        </a:stretch>
      </xdr:blipFill>
      <xdr:spPr>
        <a:prstGeom prst="rect">
          <a:avLst/>
        </a:prstGeom>
        <a:noFill/>
      </xdr:spPr>
    </xdr:pic>
    <xdr:clientData fLocksWithSheet="0"/>
  </xdr:oneCellAnchor>
  <xdr:oneCellAnchor>
    <xdr:from>
      <xdr:col>6</xdr:col>
      <xdr:colOff>38100</xdr:colOff>
      <xdr:row>1026</xdr:row>
      <xdr:rowOff>38100</xdr:rowOff>
    </xdr:from>
    <xdr:ext cx="361950" cy="409575"/>
    <xdr:pic>
      <xdr:nvPicPr>
        <xdr:cNvPr id="0" name="image663.jpg"/>
        <xdr:cNvPicPr preferRelativeResize="0"/>
      </xdr:nvPicPr>
      <xdr:blipFill>
        <a:blip cstate="print" r:embed="rId658"/>
        <a:stretch>
          <a:fillRect/>
        </a:stretch>
      </xdr:blipFill>
      <xdr:spPr>
        <a:prstGeom prst="rect">
          <a:avLst/>
        </a:prstGeom>
        <a:noFill/>
      </xdr:spPr>
    </xdr:pic>
    <xdr:clientData fLocksWithSheet="0"/>
  </xdr:oneCellAnchor>
  <xdr:oneCellAnchor>
    <xdr:from>
      <xdr:col>6</xdr:col>
      <xdr:colOff>38100</xdr:colOff>
      <xdr:row>1027</xdr:row>
      <xdr:rowOff>38100</xdr:rowOff>
    </xdr:from>
    <xdr:ext cx="361950" cy="409575"/>
    <xdr:pic>
      <xdr:nvPicPr>
        <xdr:cNvPr id="0" name="image663.jpg"/>
        <xdr:cNvPicPr preferRelativeResize="0"/>
      </xdr:nvPicPr>
      <xdr:blipFill>
        <a:blip cstate="print" r:embed="rId658"/>
        <a:stretch>
          <a:fillRect/>
        </a:stretch>
      </xdr:blipFill>
      <xdr:spPr>
        <a:prstGeom prst="rect">
          <a:avLst/>
        </a:prstGeom>
        <a:noFill/>
      </xdr:spPr>
    </xdr:pic>
    <xdr:clientData fLocksWithSheet="0"/>
  </xdr:oneCellAnchor>
  <xdr:oneCellAnchor>
    <xdr:from>
      <xdr:col>6</xdr:col>
      <xdr:colOff>38100</xdr:colOff>
      <xdr:row>1028</xdr:row>
      <xdr:rowOff>38100</xdr:rowOff>
    </xdr:from>
    <xdr:ext cx="466725" cy="333375"/>
    <xdr:pic>
      <xdr:nvPicPr>
        <xdr:cNvPr id="0" name="image637.jpg"/>
        <xdr:cNvPicPr preferRelativeResize="0"/>
      </xdr:nvPicPr>
      <xdr:blipFill>
        <a:blip cstate="print" r:embed="rId659"/>
        <a:stretch>
          <a:fillRect/>
        </a:stretch>
      </xdr:blipFill>
      <xdr:spPr>
        <a:prstGeom prst="rect">
          <a:avLst/>
        </a:prstGeom>
        <a:noFill/>
      </xdr:spPr>
    </xdr:pic>
    <xdr:clientData fLocksWithSheet="0"/>
  </xdr:oneCellAnchor>
  <xdr:oneCellAnchor>
    <xdr:from>
      <xdr:col>6</xdr:col>
      <xdr:colOff>38100</xdr:colOff>
      <xdr:row>1029</xdr:row>
      <xdr:rowOff>38100</xdr:rowOff>
    </xdr:from>
    <xdr:ext cx="647700" cy="438150"/>
    <xdr:pic>
      <xdr:nvPicPr>
        <xdr:cNvPr id="0" name="image650.jpg"/>
        <xdr:cNvPicPr preferRelativeResize="0"/>
      </xdr:nvPicPr>
      <xdr:blipFill>
        <a:blip cstate="print" r:embed="rId660"/>
        <a:stretch>
          <a:fillRect/>
        </a:stretch>
      </xdr:blipFill>
      <xdr:spPr>
        <a:prstGeom prst="rect">
          <a:avLst/>
        </a:prstGeom>
        <a:noFill/>
      </xdr:spPr>
    </xdr:pic>
    <xdr:clientData fLocksWithSheet="0"/>
  </xdr:oneCellAnchor>
  <xdr:oneCellAnchor>
    <xdr:from>
      <xdr:col>6</xdr:col>
      <xdr:colOff>38100</xdr:colOff>
      <xdr:row>1030</xdr:row>
      <xdr:rowOff>38100</xdr:rowOff>
    </xdr:from>
    <xdr:ext cx="476250" cy="409575"/>
    <xdr:pic>
      <xdr:nvPicPr>
        <xdr:cNvPr id="0" name="image662.jpg"/>
        <xdr:cNvPicPr preferRelativeResize="0"/>
      </xdr:nvPicPr>
      <xdr:blipFill>
        <a:blip cstate="print" r:embed="rId661"/>
        <a:stretch>
          <a:fillRect/>
        </a:stretch>
      </xdr:blipFill>
      <xdr:spPr>
        <a:prstGeom prst="rect">
          <a:avLst/>
        </a:prstGeom>
        <a:noFill/>
      </xdr:spPr>
    </xdr:pic>
    <xdr:clientData fLocksWithSheet="0"/>
  </xdr:oneCellAnchor>
  <xdr:oneCellAnchor>
    <xdr:from>
      <xdr:col>6</xdr:col>
      <xdr:colOff>38100</xdr:colOff>
      <xdr:row>1031</xdr:row>
      <xdr:rowOff>38100</xdr:rowOff>
    </xdr:from>
    <xdr:ext cx="466725" cy="333375"/>
    <xdr:pic>
      <xdr:nvPicPr>
        <xdr:cNvPr id="0" name="image637.jpg"/>
        <xdr:cNvPicPr preferRelativeResize="0"/>
      </xdr:nvPicPr>
      <xdr:blipFill>
        <a:blip cstate="print" r:embed="rId659"/>
        <a:stretch>
          <a:fillRect/>
        </a:stretch>
      </xdr:blipFill>
      <xdr:spPr>
        <a:prstGeom prst="rect">
          <a:avLst/>
        </a:prstGeom>
        <a:noFill/>
      </xdr:spPr>
    </xdr:pic>
    <xdr:clientData fLocksWithSheet="0"/>
  </xdr:oneCellAnchor>
  <xdr:oneCellAnchor>
    <xdr:from>
      <xdr:col>6</xdr:col>
      <xdr:colOff>38100</xdr:colOff>
      <xdr:row>1032</xdr:row>
      <xdr:rowOff>38100</xdr:rowOff>
    </xdr:from>
    <xdr:ext cx="457200" cy="257175"/>
    <xdr:pic>
      <xdr:nvPicPr>
        <xdr:cNvPr id="0" name="image639.jpg"/>
        <xdr:cNvPicPr preferRelativeResize="0"/>
      </xdr:nvPicPr>
      <xdr:blipFill>
        <a:blip cstate="print" r:embed="rId662"/>
        <a:stretch>
          <a:fillRect/>
        </a:stretch>
      </xdr:blipFill>
      <xdr:spPr>
        <a:prstGeom prst="rect">
          <a:avLst/>
        </a:prstGeom>
        <a:noFill/>
      </xdr:spPr>
    </xdr:pic>
    <xdr:clientData fLocksWithSheet="0"/>
  </xdr:oneCellAnchor>
  <xdr:oneCellAnchor>
    <xdr:from>
      <xdr:col>6</xdr:col>
      <xdr:colOff>38100</xdr:colOff>
      <xdr:row>1033</xdr:row>
      <xdr:rowOff>38100</xdr:rowOff>
    </xdr:from>
    <xdr:ext cx="457200" cy="257175"/>
    <xdr:pic>
      <xdr:nvPicPr>
        <xdr:cNvPr id="0" name="image639.jpg"/>
        <xdr:cNvPicPr preferRelativeResize="0"/>
      </xdr:nvPicPr>
      <xdr:blipFill>
        <a:blip cstate="print" r:embed="rId662"/>
        <a:stretch>
          <a:fillRect/>
        </a:stretch>
      </xdr:blipFill>
      <xdr:spPr>
        <a:prstGeom prst="rect">
          <a:avLst/>
        </a:prstGeom>
        <a:noFill/>
      </xdr:spPr>
    </xdr:pic>
    <xdr:clientData fLocksWithSheet="0"/>
  </xdr:oneCellAnchor>
  <xdr:oneCellAnchor>
    <xdr:from>
      <xdr:col>6</xdr:col>
      <xdr:colOff>38100</xdr:colOff>
      <xdr:row>1034</xdr:row>
      <xdr:rowOff>38100</xdr:rowOff>
    </xdr:from>
    <xdr:ext cx="457200" cy="257175"/>
    <xdr:pic>
      <xdr:nvPicPr>
        <xdr:cNvPr id="0" name="image639.jpg"/>
        <xdr:cNvPicPr preferRelativeResize="0"/>
      </xdr:nvPicPr>
      <xdr:blipFill>
        <a:blip cstate="print" r:embed="rId662"/>
        <a:stretch>
          <a:fillRect/>
        </a:stretch>
      </xdr:blipFill>
      <xdr:spPr>
        <a:prstGeom prst="rect">
          <a:avLst/>
        </a:prstGeom>
        <a:noFill/>
      </xdr:spPr>
    </xdr:pic>
    <xdr:clientData fLocksWithSheet="0"/>
  </xdr:oneCellAnchor>
  <xdr:oneCellAnchor>
    <xdr:from>
      <xdr:col>6</xdr:col>
      <xdr:colOff>38100</xdr:colOff>
      <xdr:row>1035</xdr:row>
      <xdr:rowOff>38100</xdr:rowOff>
    </xdr:from>
    <xdr:ext cx="457200" cy="257175"/>
    <xdr:pic>
      <xdr:nvPicPr>
        <xdr:cNvPr id="0" name="image639.jpg"/>
        <xdr:cNvPicPr preferRelativeResize="0"/>
      </xdr:nvPicPr>
      <xdr:blipFill>
        <a:blip cstate="print" r:embed="rId662"/>
        <a:stretch>
          <a:fillRect/>
        </a:stretch>
      </xdr:blipFill>
      <xdr:spPr>
        <a:prstGeom prst="rect">
          <a:avLst/>
        </a:prstGeom>
        <a:noFill/>
      </xdr:spPr>
    </xdr:pic>
    <xdr:clientData fLocksWithSheet="0"/>
  </xdr:oneCellAnchor>
  <xdr:oneCellAnchor>
    <xdr:from>
      <xdr:col>6</xdr:col>
      <xdr:colOff>38100</xdr:colOff>
      <xdr:row>1036</xdr:row>
      <xdr:rowOff>38100</xdr:rowOff>
    </xdr:from>
    <xdr:ext cx="457200" cy="257175"/>
    <xdr:pic>
      <xdr:nvPicPr>
        <xdr:cNvPr id="0" name="image639.jpg"/>
        <xdr:cNvPicPr preferRelativeResize="0"/>
      </xdr:nvPicPr>
      <xdr:blipFill>
        <a:blip cstate="print" r:embed="rId662"/>
        <a:stretch>
          <a:fillRect/>
        </a:stretch>
      </xdr:blipFill>
      <xdr:spPr>
        <a:prstGeom prst="rect">
          <a:avLst/>
        </a:prstGeom>
        <a:noFill/>
      </xdr:spPr>
    </xdr:pic>
    <xdr:clientData fLocksWithSheet="0"/>
  </xdr:oneCellAnchor>
  <xdr:oneCellAnchor>
    <xdr:from>
      <xdr:col>6</xdr:col>
      <xdr:colOff>38100</xdr:colOff>
      <xdr:row>1037</xdr:row>
      <xdr:rowOff>38100</xdr:rowOff>
    </xdr:from>
    <xdr:ext cx="600075" cy="514350"/>
    <xdr:pic>
      <xdr:nvPicPr>
        <xdr:cNvPr id="0" name="image689.jpg"/>
        <xdr:cNvPicPr preferRelativeResize="0"/>
      </xdr:nvPicPr>
      <xdr:blipFill>
        <a:blip cstate="print" r:embed="rId663"/>
        <a:stretch>
          <a:fillRect/>
        </a:stretch>
      </xdr:blipFill>
      <xdr:spPr>
        <a:prstGeom prst="rect">
          <a:avLst/>
        </a:prstGeom>
        <a:noFill/>
      </xdr:spPr>
    </xdr:pic>
    <xdr:clientData fLocksWithSheet="0"/>
  </xdr:oneCellAnchor>
  <xdr:oneCellAnchor>
    <xdr:from>
      <xdr:col>6</xdr:col>
      <xdr:colOff>38100</xdr:colOff>
      <xdr:row>1038</xdr:row>
      <xdr:rowOff>38100</xdr:rowOff>
    </xdr:from>
    <xdr:ext cx="476250" cy="457200"/>
    <xdr:pic>
      <xdr:nvPicPr>
        <xdr:cNvPr id="0" name="image640.jpg"/>
        <xdr:cNvPicPr preferRelativeResize="0"/>
      </xdr:nvPicPr>
      <xdr:blipFill>
        <a:blip cstate="print" r:embed="rId664"/>
        <a:stretch>
          <a:fillRect/>
        </a:stretch>
      </xdr:blipFill>
      <xdr:spPr>
        <a:prstGeom prst="rect">
          <a:avLst/>
        </a:prstGeom>
        <a:noFill/>
      </xdr:spPr>
    </xdr:pic>
    <xdr:clientData fLocksWithSheet="0"/>
  </xdr:oneCellAnchor>
  <xdr:oneCellAnchor>
    <xdr:from>
      <xdr:col>6</xdr:col>
      <xdr:colOff>38100</xdr:colOff>
      <xdr:row>1039</xdr:row>
      <xdr:rowOff>38100</xdr:rowOff>
    </xdr:from>
    <xdr:ext cx="476250" cy="457200"/>
    <xdr:pic>
      <xdr:nvPicPr>
        <xdr:cNvPr id="0" name="image640.jpg"/>
        <xdr:cNvPicPr preferRelativeResize="0"/>
      </xdr:nvPicPr>
      <xdr:blipFill>
        <a:blip cstate="print" r:embed="rId664"/>
        <a:stretch>
          <a:fillRect/>
        </a:stretch>
      </xdr:blipFill>
      <xdr:spPr>
        <a:prstGeom prst="rect">
          <a:avLst/>
        </a:prstGeom>
        <a:noFill/>
      </xdr:spPr>
    </xdr:pic>
    <xdr:clientData fLocksWithSheet="0"/>
  </xdr:oneCellAnchor>
  <xdr:oneCellAnchor>
    <xdr:from>
      <xdr:col>6</xdr:col>
      <xdr:colOff>38100</xdr:colOff>
      <xdr:row>1040</xdr:row>
      <xdr:rowOff>38100</xdr:rowOff>
    </xdr:from>
    <xdr:ext cx="419100" cy="428625"/>
    <xdr:pic>
      <xdr:nvPicPr>
        <xdr:cNvPr id="0" name="image644.jpg"/>
        <xdr:cNvPicPr preferRelativeResize="0"/>
      </xdr:nvPicPr>
      <xdr:blipFill>
        <a:blip cstate="print" r:embed="rId665"/>
        <a:stretch>
          <a:fillRect/>
        </a:stretch>
      </xdr:blipFill>
      <xdr:spPr>
        <a:prstGeom prst="rect">
          <a:avLst/>
        </a:prstGeom>
        <a:noFill/>
      </xdr:spPr>
    </xdr:pic>
    <xdr:clientData fLocksWithSheet="0"/>
  </xdr:oneCellAnchor>
  <xdr:oneCellAnchor>
    <xdr:from>
      <xdr:col>6</xdr:col>
      <xdr:colOff>38100</xdr:colOff>
      <xdr:row>1041</xdr:row>
      <xdr:rowOff>38100</xdr:rowOff>
    </xdr:from>
    <xdr:ext cx="419100" cy="428625"/>
    <xdr:pic>
      <xdr:nvPicPr>
        <xdr:cNvPr id="0" name="image644.jpg"/>
        <xdr:cNvPicPr preferRelativeResize="0"/>
      </xdr:nvPicPr>
      <xdr:blipFill>
        <a:blip cstate="print" r:embed="rId665"/>
        <a:stretch>
          <a:fillRect/>
        </a:stretch>
      </xdr:blipFill>
      <xdr:spPr>
        <a:prstGeom prst="rect">
          <a:avLst/>
        </a:prstGeom>
        <a:noFill/>
      </xdr:spPr>
    </xdr:pic>
    <xdr:clientData fLocksWithSheet="0"/>
  </xdr:oneCellAnchor>
  <xdr:oneCellAnchor>
    <xdr:from>
      <xdr:col>6</xdr:col>
      <xdr:colOff>38100</xdr:colOff>
      <xdr:row>1042</xdr:row>
      <xdr:rowOff>38100</xdr:rowOff>
    </xdr:from>
    <xdr:ext cx="419100" cy="428625"/>
    <xdr:pic>
      <xdr:nvPicPr>
        <xdr:cNvPr id="0" name="image644.jpg"/>
        <xdr:cNvPicPr preferRelativeResize="0"/>
      </xdr:nvPicPr>
      <xdr:blipFill>
        <a:blip cstate="print" r:embed="rId665"/>
        <a:stretch>
          <a:fillRect/>
        </a:stretch>
      </xdr:blipFill>
      <xdr:spPr>
        <a:prstGeom prst="rect">
          <a:avLst/>
        </a:prstGeom>
        <a:noFill/>
      </xdr:spPr>
    </xdr:pic>
    <xdr:clientData fLocksWithSheet="0"/>
  </xdr:oneCellAnchor>
  <xdr:oneCellAnchor>
    <xdr:from>
      <xdr:col>6</xdr:col>
      <xdr:colOff>38100</xdr:colOff>
      <xdr:row>1043</xdr:row>
      <xdr:rowOff>38100</xdr:rowOff>
    </xdr:from>
    <xdr:ext cx="419100" cy="428625"/>
    <xdr:pic>
      <xdr:nvPicPr>
        <xdr:cNvPr id="0" name="image644.jpg"/>
        <xdr:cNvPicPr preferRelativeResize="0"/>
      </xdr:nvPicPr>
      <xdr:blipFill>
        <a:blip cstate="print" r:embed="rId665"/>
        <a:stretch>
          <a:fillRect/>
        </a:stretch>
      </xdr:blipFill>
      <xdr:spPr>
        <a:prstGeom prst="rect">
          <a:avLst/>
        </a:prstGeom>
        <a:noFill/>
      </xdr:spPr>
    </xdr:pic>
    <xdr:clientData fLocksWithSheet="0"/>
  </xdr:oneCellAnchor>
  <xdr:oneCellAnchor>
    <xdr:from>
      <xdr:col>6</xdr:col>
      <xdr:colOff>38100</xdr:colOff>
      <xdr:row>1044</xdr:row>
      <xdr:rowOff>38100</xdr:rowOff>
    </xdr:from>
    <xdr:ext cx="419100" cy="428625"/>
    <xdr:pic>
      <xdr:nvPicPr>
        <xdr:cNvPr id="0" name="image644.jpg"/>
        <xdr:cNvPicPr preferRelativeResize="0"/>
      </xdr:nvPicPr>
      <xdr:blipFill>
        <a:blip cstate="print" r:embed="rId665"/>
        <a:stretch>
          <a:fillRect/>
        </a:stretch>
      </xdr:blipFill>
      <xdr:spPr>
        <a:prstGeom prst="rect">
          <a:avLst/>
        </a:prstGeom>
        <a:noFill/>
      </xdr:spPr>
    </xdr:pic>
    <xdr:clientData fLocksWithSheet="0"/>
  </xdr:oneCellAnchor>
  <xdr:oneCellAnchor>
    <xdr:from>
      <xdr:col>6</xdr:col>
      <xdr:colOff>38100</xdr:colOff>
      <xdr:row>1045</xdr:row>
      <xdr:rowOff>38100</xdr:rowOff>
    </xdr:from>
    <xdr:ext cx="419100" cy="428625"/>
    <xdr:pic>
      <xdr:nvPicPr>
        <xdr:cNvPr id="0" name="image644.jpg"/>
        <xdr:cNvPicPr preferRelativeResize="0"/>
      </xdr:nvPicPr>
      <xdr:blipFill>
        <a:blip cstate="print" r:embed="rId665"/>
        <a:stretch>
          <a:fillRect/>
        </a:stretch>
      </xdr:blipFill>
      <xdr:spPr>
        <a:prstGeom prst="rect">
          <a:avLst/>
        </a:prstGeom>
        <a:noFill/>
      </xdr:spPr>
    </xdr:pic>
    <xdr:clientData fLocksWithSheet="0"/>
  </xdr:oneCellAnchor>
  <xdr:oneCellAnchor>
    <xdr:from>
      <xdr:col>6</xdr:col>
      <xdr:colOff>38100</xdr:colOff>
      <xdr:row>1046</xdr:row>
      <xdr:rowOff>38100</xdr:rowOff>
    </xdr:from>
    <xdr:ext cx="476250" cy="514350"/>
    <xdr:pic>
      <xdr:nvPicPr>
        <xdr:cNvPr id="0" name="image668.jpg"/>
        <xdr:cNvPicPr preferRelativeResize="0"/>
      </xdr:nvPicPr>
      <xdr:blipFill>
        <a:blip cstate="print" r:embed="rId666"/>
        <a:stretch>
          <a:fillRect/>
        </a:stretch>
      </xdr:blipFill>
      <xdr:spPr>
        <a:prstGeom prst="rect">
          <a:avLst/>
        </a:prstGeom>
        <a:noFill/>
      </xdr:spPr>
    </xdr:pic>
    <xdr:clientData fLocksWithSheet="0"/>
  </xdr:oneCellAnchor>
  <xdr:oneCellAnchor>
    <xdr:from>
      <xdr:col>6</xdr:col>
      <xdr:colOff>38100</xdr:colOff>
      <xdr:row>1047</xdr:row>
      <xdr:rowOff>38100</xdr:rowOff>
    </xdr:from>
    <xdr:ext cx="514350" cy="514350"/>
    <xdr:pic>
      <xdr:nvPicPr>
        <xdr:cNvPr id="0" name="image649.jpg"/>
        <xdr:cNvPicPr preferRelativeResize="0"/>
      </xdr:nvPicPr>
      <xdr:blipFill>
        <a:blip cstate="print" r:embed="rId667"/>
        <a:stretch>
          <a:fillRect/>
        </a:stretch>
      </xdr:blipFill>
      <xdr:spPr>
        <a:prstGeom prst="rect">
          <a:avLst/>
        </a:prstGeom>
        <a:noFill/>
      </xdr:spPr>
    </xdr:pic>
    <xdr:clientData fLocksWithSheet="0"/>
  </xdr:oneCellAnchor>
  <xdr:oneCellAnchor>
    <xdr:from>
      <xdr:col>6</xdr:col>
      <xdr:colOff>38100</xdr:colOff>
      <xdr:row>1048</xdr:row>
      <xdr:rowOff>38100</xdr:rowOff>
    </xdr:from>
    <xdr:ext cx="514350" cy="514350"/>
    <xdr:pic>
      <xdr:nvPicPr>
        <xdr:cNvPr id="0" name="image649.jpg"/>
        <xdr:cNvPicPr preferRelativeResize="0"/>
      </xdr:nvPicPr>
      <xdr:blipFill>
        <a:blip cstate="print" r:embed="rId667"/>
        <a:stretch>
          <a:fillRect/>
        </a:stretch>
      </xdr:blipFill>
      <xdr:spPr>
        <a:prstGeom prst="rect">
          <a:avLst/>
        </a:prstGeom>
        <a:noFill/>
      </xdr:spPr>
    </xdr:pic>
    <xdr:clientData fLocksWithSheet="0"/>
  </xdr:oneCellAnchor>
  <xdr:oneCellAnchor>
    <xdr:from>
      <xdr:col>6</xdr:col>
      <xdr:colOff>38100</xdr:colOff>
      <xdr:row>1049</xdr:row>
      <xdr:rowOff>38100</xdr:rowOff>
    </xdr:from>
    <xdr:ext cx="514350" cy="514350"/>
    <xdr:pic>
      <xdr:nvPicPr>
        <xdr:cNvPr id="0" name="image649.jpg"/>
        <xdr:cNvPicPr preferRelativeResize="0"/>
      </xdr:nvPicPr>
      <xdr:blipFill>
        <a:blip cstate="print" r:embed="rId667"/>
        <a:stretch>
          <a:fillRect/>
        </a:stretch>
      </xdr:blipFill>
      <xdr:spPr>
        <a:prstGeom prst="rect">
          <a:avLst/>
        </a:prstGeom>
        <a:noFill/>
      </xdr:spPr>
    </xdr:pic>
    <xdr:clientData fLocksWithSheet="0"/>
  </xdr:oneCellAnchor>
  <xdr:oneCellAnchor>
    <xdr:from>
      <xdr:col>6</xdr:col>
      <xdr:colOff>38100</xdr:colOff>
      <xdr:row>1050</xdr:row>
      <xdr:rowOff>38100</xdr:rowOff>
    </xdr:from>
    <xdr:ext cx="647700" cy="276225"/>
    <xdr:pic>
      <xdr:nvPicPr>
        <xdr:cNvPr id="0" name="image684.jpg"/>
        <xdr:cNvPicPr preferRelativeResize="0"/>
      </xdr:nvPicPr>
      <xdr:blipFill>
        <a:blip cstate="print" r:embed="rId668"/>
        <a:stretch>
          <a:fillRect/>
        </a:stretch>
      </xdr:blipFill>
      <xdr:spPr>
        <a:prstGeom prst="rect">
          <a:avLst/>
        </a:prstGeom>
        <a:noFill/>
      </xdr:spPr>
    </xdr:pic>
    <xdr:clientData fLocksWithSheet="0"/>
  </xdr:oneCellAnchor>
  <xdr:oneCellAnchor>
    <xdr:from>
      <xdr:col>6</xdr:col>
      <xdr:colOff>38100</xdr:colOff>
      <xdr:row>1051</xdr:row>
      <xdr:rowOff>38100</xdr:rowOff>
    </xdr:from>
    <xdr:ext cx="647700" cy="428625"/>
    <xdr:pic>
      <xdr:nvPicPr>
        <xdr:cNvPr id="0" name="image643.jp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38100</xdr:colOff>
      <xdr:row>1052</xdr:row>
      <xdr:rowOff>38100</xdr:rowOff>
    </xdr:from>
    <xdr:ext cx="647700" cy="428625"/>
    <xdr:pic>
      <xdr:nvPicPr>
        <xdr:cNvPr id="0" name="image643.jp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38100</xdr:colOff>
      <xdr:row>1053</xdr:row>
      <xdr:rowOff>38100</xdr:rowOff>
    </xdr:from>
    <xdr:ext cx="647700" cy="428625"/>
    <xdr:pic>
      <xdr:nvPicPr>
        <xdr:cNvPr id="0" name="image643.jp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38100</xdr:colOff>
      <xdr:row>1054</xdr:row>
      <xdr:rowOff>38100</xdr:rowOff>
    </xdr:from>
    <xdr:ext cx="647700" cy="428625"/>
    <xdr:pic>
      <xdr:nvPicPr>
        <xdr:cNvPr id="0" name="image643.jp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38100</xdr:colOff>
      <xdr:row>1055</xdr:row>
      <xdr:rowOff>38100</xdr:rowOff>
    </xdr:from>
    <xdr:ext cx="647700" cy="428625"/>
    <xdr:pic>
      <xdr:nvPicPr>
        <xdr:cNvPr id="0" name="image643.jp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38100</xdr:colOff>
      <xdr:row>1056</xdr:row>
      <xdr:rowOff>38100</xdr:rowOff>
    </xdr:from>
    <xdr:ext cx="647700" cy="428625"/>
    <xdr:pic>
      <xdr:nvPicPr>
        <xdr:cNvPr id="0" name="image643.jp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38100</xdr:colOff>
      <xdr:row>1057</xdr:row>
      <xdr:rowOff>38100</xdr:rowOff>
    </xdr:from>
    <xdr:ext cx="647700" cy="428625"/>
    <xdr:pic>
      <xdr:nvPicPr>
        <xdr:cNvPr id="0" name="image643.jp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38100</xdr:colOff>
      <xdr:row>1058</xdr:row>
      <xdr:rowOff>38100</xdr:rowOff>
    </xdr:from>
    <xdr:ext cx="647700" cy="428625"/>
    <xdr:pic>
      <xdr:nvPicPr>
        <xdr:cNvPr id="0" name="image643.jp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38100</xdr:colOff>
      <xdr:row>1059</xdr:row>
      <xdr:rowOff>38100</xdr:rowOff>
    </xdr:from>
    <xdr:ext cx="647700" cy="428625"/>
    <xdr:pic>
      <xdr:nvPicPr>
        <xdr:cNvPr id="0" name="image643.jp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38100</xdr:colOff>
      <xdr:row>1060</xdr:row>
      <xdr:rowOff>38100</xdr:rowOff>
    </xdr:from>
    <xdr:ext cx="647700" cy="428625"/>
    <xdr:pic>
      <xdr:nvPicPr>
        <xdr:cNvPr id="0" name="image643.jp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38100</xdr:colOff>
      <xdr:row>1061</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1062</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1063</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1064</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1065</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1066</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1067</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1068</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1069</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1070</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1071</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1072</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1073</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1074</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1075</xdr:row>
      <xdr:rowOff>38100</xdr:rowOff>
    </xdr:from>
    <xdr:ext cx="647700" cy="361950"/>
    <xdr:pic>
      <xdr:nvPicPr>
        <xdr:cNvPr id="0" name="image664.jp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38100</xdr:colOff>
      <xdr:row>1076</xdr:row>
      <xdr:rowOff>38100</xdr:rowOff>
    </xdr:from>
    <xdr:ext cx="647700" cy="361950"/>
    <xdr:pic>
      <xdr:nvPicPr>
        <xdr:cNvPr id="0" name="image685.jpg"/>
        <xdr:cNvPicPr preferRelativeResize="0"/>
      </xdr:nvPicPr>
      <xdr:blipFill>
        <a:blip cstate="print" r:embed="rId671"/>
        <a:stretch>
          <a:fillRect/>
        </a:stretch>
      </xdr:blipFill>
      <xdr:spPr>
        <a:prstGeom prst="rect">
          <a:avLst/>
        </a:prstGeom>
        <a:noFill/>
      </xdr:spPr>
    </xdr:pic>
    <xdr:clientData fLocksWithSheet="0"/>
  </xdr:oneCellAnchor>
  <xdr:oneCellAnchor>
    <xdr:from>
      <xdr:col>6</xdr:col>
      <xdr:colOff>38100</xdr:colOff>
      <xdr:row>1077</xdr:row>
      <xdr:rowOff>38100</xdr:rowOff>
    </xdr:from>
    <xdr:ext cx="647700" cy="361950"/>
    <xdr:pic>
      <xdr:nvPicPr>
        <xdr:cNvPr id="0" name="image653.jpg"/>
        <xdr:cNvPicPr preferRelativeResize="0"/>
      </xdr:nvPicPr>
      <xdr:blipFill>
        <a:blip cstate="print" r:embed="rId672"/>
        <a:stretch>
          <a:fillRect/>
        </a:stretch>
      </xdr:blipFill>
      <xdr:spPr>
        <a:prstGeom prst="rect">
          <a:avLst/>
        </a:prstGeom>
        <a:noFill/>
      </xdr:spPr>
    </xdr:pic>
    <xdr:clientData fLocksWithSheet="0"/>
  </xdr:oneCellAnchor>
  <xdr:oneCellAnchor>
    <xdr:from>
      <xdr:col>6</xdr:col>
      <xdr:colOff>38100</xdr:colOff>
      <xdr:row>1078</xdr:row>
      <xdr:rowOff>38100</xdr:rowOff>
    </xdr:from>
    <xdr:ext cx="647700" cy="361950"/>
    <xdr:pic>
      <xdr:nvPicPr>
        <xdr:cNvPr id="0" name="image653.jpg"/>
        <xdr:cNvPicPr preferRelativeResize="0"/>
      </xdr:nvPicPr>
      <xdr:blipFill>
        <a:blip cstate="print" r:embed="rId672"/>
        <a:stretch>
          <a:fillRect/>
        </a:stretch>
      </xdr:blipFill>
      <xdr:spPr>
        <a:prstGeom prst="rect">
          <a:avLst/>
        </a:prstGeom>
        <a:noFill/>
      </xdr:spPr>
    </xdr:pic>
    <xdr:clientData fLocksWithSheet="0"/>
  </xdr:oneCellAnchor>
  <xdr:oneCellAnchor>
    <xdr:from>
      <xdr:col>6</xdr:col>
      <xdr:colOff>38100</xdr:colOff>
      <xdr:row>1079</xdr:row>
      <xdr:rowOff>38100</xdr:rowOff>
    </xdr:from>
    <xdr:ext cx="647700" cy="361950"/>
    <xdr:pic>
      <xdr:nvPicPr>
        <xdr:cNvPr id="0" name="image653.jpg"/>
        <xdr:cNvPicPr preferRelativeResize="0"/>
      </xdr:nvPicPr>
      <xdr:blipFill>
        <a:blip cstate="print" r:embed="rId672"/>
        <a:stretch>
          <a:fillRect/>
        </a:stretch>
      </xdr:blipFill>
      <xdr:spPr>
        <a:prstGeom prst="rect">
          <a:avLst/>
        </a:prstGeom>
        <a:noFill/>
      </xdr:spPr>
    </xdr:pic>
    <xdr:clientData fLocksWithSheet="0"/>
  </xdr:oneCellAnchor>
  <xdr:oneCellAnchor>
    <xdr:from>
      <xdr:col>6</xdr:col>
      <xdr:colOff>38100</xdr:colOff>
      <xdr:row>1080</xdr:row>
      <xdr:rowOff>38100</xdr:rowOff>
    </xdr:from>
    <xdr:ext cx="533400" cy="400050"/>
    <xdr:pic>
      <xdr:nvPicPr>
        <xdr:cNvPr id="0" name="image660.jpg"/>
        <xdr:cNvPicPr preferRelativeResize="0"/>
      </xdr:nvPicPr>
      <xdr:blipFill>
        <a:blip cstate="print" r:embed="rId673"/>
        <a:stretch>
          <a:fillRect/>
        </a:stretch>
      </xdr:blipFill>
      <xdr:spPr>
        <a:prstGeom prst="rect">
          <a:avLst/>
        </a:prstGeom>
        <a:noFill/>
      </xdr:spPr>
    </xdr:pic>
    <xdr:clientData fLocksWithSheet="0"/>
  </xdr:oneCellAnchor>
  <xdr:oneCellAnchor>
    <xdr:from>
      <xdr:col>6</xdr:col>
      <xdr:colOff>38100</xdr:colOff>
      <xdr:row>1081</xdr:row>
      <xdr:rowOff>38100</xdr:rowOff>
    </xdr:from>
    <xdr:ext cx="533400" cy="400050"/>
    <xdr:pic>
      <xdr:nvPicPr>
        <xdr:cNvPr id="0" name="image660.jpg"/>
        <xdr:cNvPicPr preferRelativeResize="0"/>
      </xdr:nvPicPr>
      <xdr:blipFill>
        <a:blip cstate="print" r:embed="rId673"/>
        <a:stretch>
          <a:fillRect/>
        </a:stretch>
      </xdr:blipFill>
      <xdr:spPr>
        <a:prstGeom prst="rect">
          <a:avLst/>
        </a:prstGeom>
        <a:noFill/>
      </xdr:spPr>
    </xdr:pic>
    <xdr:clientData fLocksWithSheet="0"/>
  </xdr:oneCellAnchor>
  <xdr:oneCellAnchor>
    <xdr:from>
      <xdr:col>6</xdr:col>
      <xdr:colOff>38100</xdr:colOff>
      <xdr:row>1082</xdr:row>
      <xdr:rowOff>38100</xdr:rowOff>
    </xdr:from>
    <xdr:ext cx="533400" cy="400050"/>
    <xdr:pic>
      <xdr:nvPicPr>
        <xdr:cNvPr id="0" name="image660.jpg"/>
        <xdr:cNvPicPr preferRelativeResize="0"/>
      </xdr:nvPicPr>
      <xdr:blipFill>
        <a:blip cstate="print" r:embed="rId673"/>
        <a:stretch>
          <a:fillRect/>
        </a:stretch>
      </xdr:blipFill>
      <xdr:spPr>
        <a:prstGeom prst="rect">
          <a:avLst/>
        </a:prstGeom>
        <a:noFill/>
      </xdr:spPr>
    </xdr:pic>
    <xdr:clientData fLocksWithSheet="0"/>
  </xdr:oneCellAnchor>
  <xdr:oneCellAnchor>
    <xdr:from>
      <xdr:col>6</xdr:col>
      <xdr:colOff>38100</xdr:colOff>
      <xdr:row>1083</xdr:row>
      <xdr:rowOff>38100</xdr:rowOff>
    </xdr:from>
    <xdr:ext cx="533400" cy="400050"/>
    <xdr:pic>
      <xdr:nvPicPr>
        <xdr:cNvPr id="0" name="image660.jpg"/>
        <xdr:cNvPicPr preferRelativeResize="0"/>
      </xdr:nvPicPr>
      <xdr:blipFill>
        <a:blip cstate="print" r:embed="rId673"/>
        <a:stretch>
          <a:fillRect/>
        </a:stretch>
      </xdr:blipFill>
      <xdr:spPr>
        <a:prstGeom prst="rect">
          <a:avLst/>
        </a:prstGeom>
        <a:noFill/>
      </xdr:spPr>
    </xdr:pic>
    <xdr:clientData fLocksWithSheet="0"/>
  </xdr:oneCellAnchor>
  <xdr:oneCellAnchor>
    <xdr:from>
      <xdr:col>6</xdr:col>
      <xdr:colOff>38100</xdr:colOff>
      <xdr:row>1084</xdr:row>
      <xdr:rowOff>38100</xdr:rowOff>
    </xdr:from>
    <xdr:ext cx="647700" cy="361950"/>
    <xdr:pic>
      <xdr:nvPicPr>
        <xdr:cNvPr id="0" name="image669.jpg"/>
        <xdr:cNvPicPr preferRelativeResize="0"/>
      </xdr:nvPicPr>
      <xdr:blipFill>
        <a:blip cstate="print" r:embed="rId674"/>
        <a:stretch>
          <a:fillRect/>
        </a:stretch>
      </xdr:blipFill>
      <xdr:spPr>
        <a:prstGeom prst="rect">
          <a:avLst/>
        </a:prstGeom>
        <a:noFill/>
      </xdr:spPr>
    </xdr:pic>
    <xdr:clientData fLocksWithSheet="0"/>
  </xdr:oneCellAnchor>
  <xdr:oneCellAnchor>
    <xdr:from>
      <xdr:col>6</xdr:col>
      <xdr:colOff>38100</xdr:colOff>
      <xdr:row>1085</xdr:row>
      <xdr:rowOff>38100</xdr:rowOff>
    </xdr:from>
    <xdr:ext cx="628650" cy="514350"/>
    <xdr:pic>
      <xdr:nvPicPr>
        <xdr:cNvPr id="0" name="image661.jpg"/>
        <xdr:cNvPicPr preferRelativeResize="0"/>
      </xdr:nvPicPr>
      <xdr:blipFill>
        <a:blip cstate="print" r:embed="rId675"/>
        <a:stretch>
          <a:fillRect/>
        </a:stretch>
      </xdr:blipFill>
      <xdr:spPr>
        <a:prstGeom prst="rect">
          <a:avLst/>
        </a:prstGeom>
        <a:noFill/>
      </xdr:spPr>
    </xdr:pic>
    <xdr:clientData fLocksWithSheet="0"/>
  </xdr:oneCellAnchor>
  <xdr:oneCellAnchor>
    <xdr:from>
      <xdr:col>6</xdr:col>
      <xdr:colOff>38100</xdr:colOff>
      <xdr:row>1086</xdr:row>
      <xdr:rowOff>38100</xdr:rowOff>
    </xdr:from>
    <xdr:ext cx="647700" cy="352425"/>
    <xdr:pic>
      <xdr:nvPicPr>
        <xdr:cNvPr id="0" name="image671.jpg"/>
        <xdr:cNvPicPr preferRelativeResize="0"/>
      </xdr:nvPicPr>
      <xdr:blipFill>
        <a:blip cstate="print" r:embed="rId676"/>
        <a:stretch>
          <a:fillRect/>
        </a:stretch>
      </xdr:blipFill>
      <xdr:spPr>
        <a:prstGeom prst="rect">
          <a:avLst/>
        </a:prstGeom>
        <a:noFill/>
      </xdr:spPr>
    </xdr:pic>
    <xdr:clientData fLocksWithSheet="0"/>
  </xdr:oneCellAnchor>
  <xdr:oneCellAnchor>
    <xdr:from>
      <xdr:col>6</xdr:col>
      <xdr:colOff>38100</xdr:colOff>
      <xdr:row>1087</xdr:row>
      <xdr:rowOff>38100</xdr:rowOff>
    </xdr:from>
    <xdr:ext cx="523875" cy="342900"/>
    <xdr:pic>
      <xdr:nvPicPr>
        <xdr:cNvPr id="0" name="image705.jpg"/>
        <xdr:cNvPicPr preferRelativeResize="0"/>
      </xdr:nvPicPr>
      <xdr:blipFill>
        <a:blip cstate="print" r:embed="rId677"/>
        <a:stretch>
          <a:fillRect/>
        </a:stretch>
      </xdr:blipFill>
      <xdr:spPr>
        <a:prstGeom prst="rect">
          <a:avLst/>
        </a:prstGeom>
        <a:noFill/>
      </xdr:spPr>
    </xdr:pic>
    <xdr:clientData fLocksWithSheet="0"/>
  </xdr:oneCellAnchor>
  <xdr:oneCellAnchor>
    <xdr:from>
      <xdr:col>6</xdr:col>
      <xdr:colOff>38100</xdr:colOff>
      <xdr:row>1088</xdr:row>
      <xdr:rowOff>38100</xdr:rowOff>
    </xdr:from>
    <xdr:ext cx="647700" cy="361950"/>
    <xdr:pic>
      <xdr:nvPicPr>
        <xdr:cNvPr id="0" name="image653.jpg"/>
        <xdr:cNvPicPr preferRelativeResize="0"/>
      </xdr:nvPicPr>
      <xdr:blipFill>
        <a:blip cstate="print" r:embed="rId672"/>
        <a:stretch>
          <a:fillRect/>
        </a:stretch>
      </xdr:blipFill>
      <xdr:spPr>
        <a:prstGeom prst="rect">
          <a:avLst/>
        </a:prstGeom>
        <a:noFill/>
      </xdr:spPr>
    </xdr:pic>
    <xdr:clientData fLocksWithSheet="0"/>
  </xdr:oneCellAnchor>
  <xdr:oneCellAnchor>
    <xdr:from>
      <xdr:col>6</xdr:col>
      <xdr:colOff>38100</xdr:colOff>
      <xdr:row>1089</xdr:row>
      <xdr:rowOff>38100</xdr:rowOff>
    </xdr:from>
    <xdr:ext cx="647700" cy="361950"/>
    <xdr:pic>
      <xdr:nvPicPr>
        <xdr:cNvPr id="0" name="image653.jpg"/>
        <xdr:cNvPicPr preferRelativeResize="0"/>
      </xdr:nvPicPr>
      <xdr:blipFill>
        <a:blip cstate="print" r:embed="rId672"/>
        <a:stretch>
          <a:fillRect/>
        </a:stretch>
      </xdr:blipFill>
      <xdr:spPr>
        <a:prstGeom prst="rect">
          <a:avLst/>
        </a:prstGeom>
        <a:noFill/>
      </xdr:spPr>
    </xdr:pic>
    <xdr:clientData fLocksWithSheet="0"/>
  </xdr:oneCellAnchor>
  <xdr:oneCellAnchor>
    <xdr:from>
      <xdr:col>6</xdr:col>
      <xdr:colOff>38100</xdr:colOff>
      <xdr:row>1090</xdr:row>
      <xdr:rowOff>38100</xdr:rowOff>
    </xdr:from>
    <xdr:ext cx="514350" cy="514350"/>
    <xdr:pic>
      <xdr:nvPicPr>
        <xdr:cNvPr id="0" name="image675.jpg"/>
        <xdr:cNvPicPr preferRelativeResize="0"/>
      </xdr:nvPicPr>
      <xdr:blipFill>
        <a:blip cstate="print" r:embed="rId678"/>
        <a:stretch>
          <a:fillRect/>
        </a:stretch>
      </xdr:blipFill>
      <xdr:spPr>
        <a:prstGeom prst="rect">
          <a:avLst/>
        </a:prstGeom>
        <a:noFill/>
      </xdr:spPr>
    </xdr:pic>
    <xdr:clientData fLocksWithSheet="0"/>
  </xdr:oneCellAnchor>
  <xdr:oneCellAnchor>
    <xdr:from>
      <xdr:col>6</xdr:col>
      <xdr:colOff>38100</xdr:colOff>
      <xdr:row>1091</xdr:row>
      <xdr:rowOff>38100</xdr:rowOff>
    </xdr:from>
    <xdr:ext cx="600075" cy="514350"/>
    <xdr:pic>
      <xdr:nvPicPr>
        <xdr:cNvPr id="0" name="image672.jpg"/>
        <xdr:cNvPicPr preferRelativeResize="0"/>
      </xdr:nvPicPr>
      <xdr:blipFill>
        <a:blip cstate="print" r:embed="rId679"/>
        <a:stretch>
          <a:fillRect/>
        </a:stretch>
      </xdr:blipFill>
      <xdr:spPr>
        <a:prstGeom prst="rect">
          <a:avLst/>
        </a:prstGeom>
        <a:noFill/>
      </xdr:spPr>
    </xdr:pic>
    <xdr:clientData fLocksWithSheet="0"/>
  </xdr:oneCellAnchor>
  <xdr:oneCellAnchor>
    <xdr:from>
      <xdr:col>6</xdr:col>
      <xdr:colOff>38100</xdr:colOff>
      <xdr:row>1092</xdr:row>
      <xdr:rowOff>38100</xdr:rowOff>
    </xdr:from>
    <xdr:ext cx="600075" cy="514350"/>
    <xdr:pic>
      <xdr:nvPicPr>
        <xdr:cNvPr id="0" name="image672.jpg"/>
        <xdr:cNvPicPr preferRelativeResize="0"/>
      </xdr:nvPicPr>
      <xdr:blipFill>
        <a:blip cstate="print" r:embed="rId679"/>
        <a:stretch>
          <a:fillRect/>
        </a:stretch>
      </xdr:blipFill>
      <xdr:spPr>
        <a:prstGeom prst="rect">
          <a:avLst/>
        </a:prstGeom>
        <a:noFill/>
      </xdr:spPr>
    </xdr:pic>
    <xdr:clientData fLocksWithSheet="0"/>
  </xdr:oneCellAnchor>
  <xdr:oneCellAnchor>
    <xdr:from>
      <xdr:col>6</xdr:col>
      <xdr:colOff>38100</xdr:colOff>
      <xdr:row>1093</xdr:row>
      <xdr:rowOff>38100</xdr:rowOff>
    </xdr:from>
    <xdr:ext cx="600075" cy="514350"/>
    <xdr:pic>
      <xdr:nvPicPr>
        <xdr:cNvPr id="0" name="image672.jpg"/>
        <xdr:cNvPicPr preferRelativeResize="0"/>
      </xdr:nvPicPr>
      <xdr:blipFill>
        <a:blip cstate="print" r:embed="rId679"/>
        <a:stretch>
          <a:fillRect/>
        </a:stretch>
      </xdr:blipFill>
      <xdr:spPr>
        <a:prstGeom prst="rect">
          <a:avLst/>
        </a:prstGeom>
        <a:noFill/>
      </xdr:spPr>
    </xdr:pic>
    <xdr:clientData fLocksWithSheet="0"/>
  </xdr:oneCellAnchor>
  <xdr:oneCellAnchor>
    <xdr:from>
      <xdr:col>6</xdr:col>
      <xdr:colOff>38100</xdr:colOff>
      <xdr:row>1094</xdr:row>
      <xdr:rowOff>38100</xdr:rowOff>
    </xdr:from>
    <xdr:ext cx="361950" cy="428625"/>
    <xdr:pic>
      <xdr:nvPicPr>
        <xdr:cNvPr id="0" name="image679.jpg"/>
        <xdr:cNvPicPr preferRelativeResize="0"/>
      </xdr:nvPicPr>
      <xdr:blipFill>
        <a:blip cstate="print" r:embed="rId680"/>
        <a:stretch>
          <a:fillRect/>
        </a:stretch>
      </xdr:blipFill>
      <xdr:spPr>
        <a:prstGeom prst="rect">
          <a:avLst/>
        </a:prstGeom>
        <a:noFill/>
      </xdr:spPr>
    </xdr:pic>
    <xdr:clientData fLocksWithSheet="0"/>
  </xdr:oneCellAnchor>
  <xdr:oneCellAnchor>
    <xdr:from>
      <xdr:col>6</xdr:col>
      <xdr:colOff>38100</xdr:colOff>
      <xdr:row>1095</xdr:row>
      <xdr:rowOff>38100</xdr:rowOff>
    </xdr:from>
    <xdr:ext cx="561975" cy="514350"/>
    <xdr:pic>
      <xdr:nvPicPr>
        <xdr:cNvPr id="0" name="image723.jpg"/>
        <xdr:cNvPicPr preferRelativeResize="0"/>
      </xdr:nvPicPr>
      <xdr:blipFill>
        <a:blip cstate="print" r:embed="rId681"/>
        <a:stretch>
          <a:fillRect/>
        </a:stretch>
      </xdr:blipFill>
      <xdr:spPr>
        <a:prstGeom prst="rect">
          <a:avLst/>
        </a:prstGeom>
        <a:noFill/>
      </xdr:spPr>
    </xdr:pic>
    <xdr:clientData fLocksWithSheet="0"/>
  </xdr:oneCellAnchor>
  <xdr:oneCellAnchor>
    <xdr:from>
      <xdr:col>6</xdr:col>
      <xdr:colOff>38100</xdr:colOff>
      <xdr:row>1096</xdr:row>
      <xdr:rowOff>38100</xdr:rowOff>
    </xdr:from>
    <xdr:ext cx="590550" cy="514350"/>
    <xdr:pic>
      <xdr:nvPicPr>
        <xdr:cNvPr id="0" name="image666.jpg"/>
        <xdr:cNvPicPr preferRelativeResize="0"/>
      </xdr:nvPicPr>
      <xdr:blipFill>
        <a:blip cstate="print" r:embed="rId682"/>
        <a:stretch>
          <a:fillRect/>
        </a:stretch>
      </xdr:blipFill>
      <xdr:spPr>
        <a:prstGeom prst="rect">
          <a:avLst/>
        </a:prstGeom>
        <a:noFill/>
      </xdr:spPr>
    </xdr:pic>
    <xdr:clientData fLocksWithSheet="0"/>
  </xdr:oneCellAnchor>
  <xdr:oneCellAnchor>
    <xdr:from>
      <xdr:col>6</xdr:col>
      <xdr:colOff>38100</xdr:colOff>
      <xdr:row>1097</xdr:row>
      <xdr:rowOff>38100</xdr:rowOff>
    </xdr:from>
    <xdr:ext cx="476250" cy="514350"/>
    <xdr:pic>
      <xdr:nvPicPr>
        <xdr:cNvPr id="0" name="image673.jpg"/>
        <xdr:cNvPicPr preferRelativeResize="0"/>
      </xdr:nvPicPr>
      <xdr:blipFill>
        <a:blip cstate="print" r:embed="rId683"/>
        <a:stretch>
          <a:fillRect/>
        </a:stretch>
      </xdr:blipFill>
      <xdr:spPr>
        <a:prstGeom prst="rect">
          <a:avLst/>
        </a:prstGeom>
        <a:noFill/>
      </xdr:spPr>
    </xdr:pic>
    <xdr:clientData fLocksWithSheet="0"/>
  </xdr:oneCellAnchor>
  <xdr:oneCellAnchor>
    <xdr:from>
      <xdr:col>6</xdr:col>
      <xdr:colOff>38100</xdr:colOff>
      <xdr:row>1098</xdr:row>
      <xdr:rowOff>38100</xdr:rowOff>
    </xdr:from>
    <xdr:ext cx="647700" cy="361950"/>
    <xdr:pic>
      <xdr:nvPicPr>
        <xdr:cNvPr id="0" name="image680.jpg"/>
        <xdr:cNvPicPr preferRelativeResize="0"/>
      </xdr:nvPicPr>
      <xdr:blipFill>
        <a:blip cstate="print" r:embed="rId684"/>
        <a:stretch>
          <a:fillRect/>
        </a:stretch>
      </xdr:blipFill>
      <xdr:spPr>
        <a:prstGeom prst="rect">
          <a:avLst/>
        </a:prstGeom>
        <a:noFill/>
      </xdr:spPr>
    </xdr:pic>
    <xdr:clientData fLocksWithSheet="0"/>
  </xdr:oneCellAnchor>
  <xdr:oneCellAnchor>
    <xdr:from>
      <xdr:col>6</xdr:col>
      <xdr:colOff>38100</xdr:colOff>
      <xdr:row>1099</xdr:row>
      <xdr:rowOff>38100</xdr:rowOff>
    </xdr:from>
    <xdr:ext cx="561975" cy="514350"/>
    <xdr:pic>
      <xdr:nvPicPr>
        <xdr:cNvPr id="0" name="image723.jpg"/>
        <xdr:cNvPicPr preferRelativeResize="0"/>
      </xdr:nvPicPr>
      <xdr:blipFill>
        <a:blip cstate="print" r:embed="rId681"/>
        <a:stretch>
          <a:fillRect/>
        </a:stretch>
      </xdr:blipFill>
      <xdr:spPr>
        <a:prstGeom prst="rect">
          <a:avLst/>
        </a:prstGeom>
        <a:noFill/>
      </xdr:spPr>
    </xdr:pic>
    <xdr:clientData fLocksWithSheet="0"/>
  </xdr:oneCellAnchor>
  <xdr:oneCellAnchor>
    <xdr:from>
      <xdr:col>6</xdr:col>
      <xdr:colOff>38100</xdr:colOff>
      <xdr:row>1100</xdr:row>
      <xdr:rowOff>38100</xdr:rowOff>
    </xdr:from>
    <xdr:ext cx="600075" cy="514350"/>
    <xdr:pic>
      <xdr:nvPicPr>
        <xdr:cNvPr id="0" name="image672.jpg"/>
        <xdr:cNvPicPr preferRelativeResize="0"/>
      </xdr:nvPicPr>
      <xdr:blipFill>
        <a:blip cstate="print" r:embed="rId679"/>
        <a:stretch>
          <a:fillRect/>
        </a:stretch>
      </xdr:blipFill>
      <xdr:spPr>
        <a:prstGeom prst="rect">
          <a:avLst/>
        </a:prstGeom>
        <a:noFill/>
      </xdr:spPr>
    </xdr:pic>
    <xdr:clientData fLocksWithSheet="0"/>
  </xdr:oneCellAnchor>
  <xdr:oneCellAnchor>
    <xdr:from>
      <xdr:col>6</xdr:col>
      <xdr:colOff>38100</xdr:colOff>
      <xdr:row>1101</xdr:row>
      <xdr:rowOff>38100</xdr:rowOff>
    </xdr:from>
    <xdr:ext cx="533400" cy="514350"/>
    <xdr:pic>
      <xdr:nvPicPr>
        <xdr:cNvPr id="0" name="image711.jpg"/>
        <xdr:cNvPicPr preferRelativeResize="0"/>
      </xdr:nvPicPr>
      <xdr:blipFill>
        <a:blip cstate="print" r:embed="rId685"/>
        <a:stretch>
          <a:fillRect/>
        </a:stretch>
      </xdr:blipFill>
      <xdr:spPr>
        <a:prstGeom prst="rect">
          <a:avLst/>
        </a:prstGeom>
        <a:noFill/>
      </xdr:spPr>
    </xdr:pic>
    <xdr:clientData fLocksWithSheet="0"/>
  </xdr:oneCellAnchor>
  <xdr:oneCellAnchor>
    <xdr:from>
      <xdr:col>6</xdr:col>
      <xdr:colOff>38100</xdr:colOff>
      <xdr:row>1102</xdr:row>
      <xdr:rowOff>38100</xdr:rowOff>
    </xdr:from>
    <xdr:ext cx="638175" cy="476250"/>
    <xdr:pic>
      <xdr:nvPicPr>
        <xdr:cNvPr id="0" name="image688.jpg"/>
        <xdr:cNvPicPr preferRelativeResize="0"/>
      </xdr:nvPicPr>
      <xdr:blipFill>
        <a:blip cstate="print" r:embed="rId686"/>
        <a:stretch>
          <a:fillRect/>
        </a:stretch>
      </xdr:blipFill>
      <xdr:spPr>
        <a:prstGeom prst="rect">
          <a:avLst/>
        </a:prstGeom>
        <a:noFill/>
      </xdr:spPr>
    </xdr:pic>
    <xdr:clientData fLocksWithSheet="0"/>
  </xdr:oneCellAnchor>
  <xdr:oneCellAnchor>
    <xdr:from>
      <xdr:col>6</xdr:col>
      <xdr:colOff>38100</xdr:colOff>
      <xdr:row>1103</xdr:row>
      <xdr:rowOff>38100</xdr:rowOff>
    </xdr:from>
    <xdr:ext cx="638175" cy="476250"/>
    <xdr:pic>
      <xdr:nvPicPr>
        <xdr:cNvPr id="0" name="image688.jpg"/>
        <xdr:cNvPicPr preferRelativeResize="0"/>
      </xdr:nvPicPr>
      <xdr:blipFill>
        <a:blip cstate="print" r:embed="rId686"/>
        <a:stretch>
          <a:fillRect/>
        </a:stretch>
      </xdr:blipFill>
      <xdr:spPr>
        <a:prstGeom prst="rect">
          <a:avLst/>
        </a:prstGeom>
        <a:noFill/>
      </xdr:spPr>
    </xdr:pic>
    <xdr:clientData fLocksWithSheet="0"/>
  </xdr:oneCellAnchor>
  <xdr:oneCellAnchor>
    <xdr:from>
      <xdr:col>6</xdr:col>
      <xdr:colOff>38100</xdr:colOff>
      <xdr:row>1105</xdr:row>
      <xdr:rowOff>38100</xdr:rowOff>
    </xdr:from>
    <xdr:ext cx="561975" cy="514350"/>
    <xdr:pic>
      <xdr:nvPicPr>
        <xdr:cNvPr id="0" name="image723.jpg"/>
        <xdr:cNvPicPr preferRelativeResize="0"/>
      </xdr:nvPicPr>
      <xdr:blipFill>
        <a:blip cstate="print" r:embed="rId681"/>
        <a:stretch>
          <a:fillRect/>
        </a:stretch>
      </xdr:blipFill>
      <xdr:spPr>
        <a:prstGeom prst="rect">
          <a:avLst/>
        </a:prstGeom>
        <a:noFill/>
      </xdr:spPr>
    </xdr:pic>
    <xdr:clientData fLocksWithSheet="0"/>
  </xdr:oneCellAnchor>
  <xdr:oneCellAnchor>
    <xdr:from>
      <xdr:col>6</xdr:col>
      <xdr:colOff>38100</xdr:colOff>
      <xdr:row>1106</xdr:row>
      <xdr:rowOff>38100</xdr:rowOff>
    </xdr:from>
    <xdr:ext cx="647700" cy="361950"/>
    <xdr:pic>
      <xdr:nvPicPr>
        <xdr:cNvPr id="0" name="image700.jpg"/>
        <xdr:cNvPicPr preferRelativeResize="0"/>
      </xdr:nvPicPr>
      <xdr:blipFill>
        <a:blip cstate="print" r:embed="rId687"/>
        <a:stretch>
          <a:fillRect/>
        </a:stretch>
      </xdr:blipFill>
      <xdr:spPr>
        <a:prstGeom prst="rect">
          <a:avLst/>
        </a:prstGeom>
        <a:noFill/>
      </xdr:spPr>
    </xdr:pic>
    <xdr:clientData fLocksWithSheet="0"/>
  </xdr:oneCellAnchor>
  <xdr:oneCellAnchor>
    <xdr:from>
      <xdr:col>6</xdr:col>
      <xdr:colOff>38100</xdr:colOff>
      <xdr:row>1107</xdr:row>
      <xdr:rowOff>38100</xdr:rowOff>
    </xdr:from>
    <xdr:ext cx="647700" cy="361950"/>
    <xdr:pic>
      <xdr:nvPicPr>
        <xdr:cNvPr id="0" name="image700.jpg"/>
        <xdr:cNvPicPr preferRelativeResize="0"/>
      </xdr:nvPicPr>
      <xdr:blipFill>
        <a:blip cstate="print" r:embed="rId687"/>
        <a:stretch>
          <a:fillRect/>
        </a:stretch>
      </xdr:blipFill>
      <xdr:spPr>
        <a:prstGeom prst="rect">
          <a:avLst/>
        </a:prstGeom>
        <a:noFill/>
      </xdr:spPr>
    </xdr:pic>
    <xdr:clientData fLocksWithSheet="0"/>
  </xdr:oneCellAnchor>
  <xdr:oneCellAnchor>
    <xdr:from>
      <xdr:col>6</xdr:col>
      <xdr:colOff>38100</xdr:colOff>
      <xdr:row>1108</xdr:row>
      <xdr:rowOff>38100</xdr:rowOff>
    </xdr:from>
    <xdr:ext cx="590550" cy="295275"/>
    <xdr:pic>
      <xdr:nvPicPr>
        <xdr:cNvPr id="0" name="image674.jpg"/>
        <xdr:cNvPicPr preferRelativeResize="0"/>
      </xdr:nvPicPr>
      <xdr:blipFill>
        <a:blip cstate="print" r:embed="rId688"/>
        <a:stretch>
          <a:fillRect/>
        </a:stretch>
      </xdr:blipFill>
      <xdr:spPr>
        <a:prstGeom prst="rect">
          <a:avLst/>
        </a:prstGeom>
        <a:noFill/>
      </xdr:spPr>
    </xdr:pic>
    <xdr:clientData fLocksWithSheet="0"/>
  </xdr:oneCellAnchor>
  <xdr:oneCellAnchor>
    <xdr:from>
      <xdr:col>6</xdr:col>
      <xdr:colOff>38100</xdr:colOff>
      <xdr:row>1109</xdr:row>
      <xdr:rowOff>38100</xdr:rowOff>
    </xdr:from>
    <xdr:ext cx="647700" cy="361950"/>
    <xdr:pic>
      <xdr:nvPicPr>
        <xdr:cNvPr id="0" name="image676.jpg"/>
        <xdr:cNvPicPr preferRelativeResize="0"/>
      </xdr:nvPicPr>
      <xdr:blipFill>
        <a:blip cstate="print" r:embed="rId689"/>
        <a:stretch>
          <a:fillRect/>
        </a:stretch>
      </xdr:blipFill>
      <xdr:spPr>
        <a:prstGeom prst="rect">
          <a:avLst/>
        </a:prstGeom>
        <a:noFill/>
      </xdr:spPr>
    </xdr:pic>
    <xdr:clientData fLocksWithSheet="0"/>
  </xdr:oneCellAnchor>
  <xdr:oneCellAnchor>
    <xdr:from>
      <xdr:col>6</xdr:col>
      <xdr:colOff>38100</xdr:colOff>
      <xdr:row>1110</xdr:row>
      <xdr:rowOff>38100</xdr:rowOff>
    </xdr:from>
    <xdr:ext cx="647700" cy="361950"/>
    <xdr:pic>
      <xdr:nvPicPr>
        <xdr:cNvPr id="0" name="image693.jpg"/>
        <xdr:cNvPicPr preferRelativeResize="0"/>
      </xdr:nvPicPr>
      <xdr:blipFill>
        <a:blip cstate="print" r:embed="rId690"/>
        <a:stretch>
          <a:fillRect/>
        </a:stretch>
      </xdr:blipFill>
      <xdr:spPr>
        <a:prstGeom prst="rect">
          <a:avLst/>
        </a:prstGeom>
        <a:noFill/>
      </xdr:spPr>
    </xdr:pic>
    <xdr:clientData fLocksWithSheet="0"/>
  </xdr:oneCellAnchor>
  <xdr:oneCellAnchor>
    <xdr:from>
      <xdr:col>6</xdr:col>
      <xdr:colOff>38100</xdr:colOff>
      <xdr:row>1111</xdr:row>
      <xdr:rowOff>38100</xdr:rowOff>
    </xdr:from>
    <xdr:ext cx="628650" cy="342900"/>
    <xdr:pic>
      <xdr:nvPicPr>
        <xdr:cNvPr id="0" name="image677.jpg"/>
        <xdr:cNvPicPr preferRelativeResize="0"/>
      </xdr:nvPicPr>
      <xdr:blipFill>
        <a:blip cstate="print" r:embed="rId691"/>
        <a:stretch>
          <a:fillRect/>
        </a:stretch>
      </xdr:blipFill>
      <xdr:spPr>
        <a:prstGeom prst="rect">
          <a:avLst/>
        </a:prstGeom>
        <a:noFill/>
      </xdr:spPr>
    </xdr:pic>
    <xdr:clientData fLocksWithSheet="0"/>
  </xdr:oneCellAnchor>
  <xdr:oneCellAnchor>
    <xdr:from>
      <xdr:col>6</xdr:col>
      <xdr:colOff>38100</xdr:colOff>
      <xdr:row>1112</xdr:row>
      <xdr:rowOff>38100</xdr:rowOff>
    </xdr:from>
    <xdr:ext cx="647700" cy="361950"/>
    <xdr:pic>
      <xdr:nvPicPr>
        <xdr:cNvPr id="0" name="image693.jpg"/>
        <xdr:cNvPicPr preferRelativeResize="0"/>
      </xdr:nvPicPr>
      <xdr:blipFill>
        <a:blip cstate="print" r:embed="rId690"/>
        <a:stretch>
          <a:fillRect/>
        </a:stretch>
      </xdr:blipFill>
      <xdr:spPr>
        <a:prstGeom prst="rect">
          <a:avLst/>
        </a:prstGeom>
        <a:noFill/>
      </xdr:spPr>
    </xdr:pic>
    <xdr:clientData fLocksWithSheet="0"/>
  </xdr:oneCellAnchor>
  <xdr:oneCellAnchor>
    <xdr:from>
      <xdr:col>6</xdr:col>
      <xdr:colOff>38100</xdr:colOff>
      <xdr:row>1113</xdr:row>
      <xdr:rowOff>38100</xdr:rowOff>
    </xdr:from>
    <xdr:ext cx="647700" cy="361950"/>
    <xdr:pic>
      <xdr:nvPicPr>
        <xdr:cNvPr id="0" name="image693.jpg"/>
        <xdr:cNvPicPr preferRelativeResize="0"/>
      </xdr:nvPicPr>
      <xdr:blipFill>
        <a:blip cstate="print" r:embed="rId690"/>
        <a:stretch>
          <a:fillRect/>
        </a:stretch>
      </xdr:blipFill>
      <xdr:spPr>
        <a:prstGeom prst="rect">
          <a:avLst/>
        </a:prstGeom>
        <a:noFill/>
      </xdr:spPr>
    </xdr:pic>
    <xdr:clientData fLocksWithSheet="0"/>
  </xdr:oneCellAnchor>
  <xdr:oneCellAnchor>
    <xdr:from>
      <xdr:col>6</xdr:col>
      <xdr:colOff>38100</xdr:colOff>
      <xdr:row>1114</xdr:row>
      <xdr:rowOff>38100</xdr:rowOff>
    </xdr:from>
    <xdr:ext cx="647700" cy="361950"/>
    <xdr:pic>
      <xdr:nvPicPr>
        <xdr:cNvPr id="0" name="image682.jpg"/>
        <xdr:cNvPicPr preferRelativeResize="0"/>
      </xdr:nvPicPr>
      <xdr:blipFill>
        <a:blip cstate="print" r:embed="rId692"/>
        <a:stretch>
          <a:fillRect/>
        </a:stretch>
      </xdr:blipFill>
      <xdr:spPr>
        <a:prstGeom prst="rect">
          <a:avLst/>
        </a:prstGeom>
        <a:noFill/>
      </xdr:spPr>
    </xdr:pic>
    <xdr:clientData fLocksWithSheet="0"/>
  </xdr:oneCellAnchor>
  <xdr:oneCellAnchor>
    <xdr:from>
      <xdr:col>6</xdr:col>
      <xdr:colOff>38100</xdr:colOff>
      <xdr:row>1115</xdr:row>
      <xdr:rowOff>38100</xdr:rowOff>
    </xdr:from>
    <xdr:ext cx="647700" cy="361950"/>
    <xdr:pic>
      <xdr:nvPicPr>
        <xdr:cNvPr id="0" name="image682.jpg"/>
        <xdr:cNvPicPr preferRelativeResize="0"/>
      </xdr:nvPicPr>
      <xdr:blipFill>
        <a:blip cstate="print" r:embed="rId692"/>
        <a:stretch>
          <a:fillRect/>
        </a:stretch>
      </xdr:blipFill>
      <xdr:spPr>
        <a:prstGeom prst="rect">
          <a:avLst/>
        </a:prstGeom>
        <a:noFill/>
      </xdr:spPr>
    </xdr:pic>
    <xdr:clientData fLocksWithSheet="0"/>
  </xdr:oneCellAnchor>
  <xdr:oneCellAnchor>
    <xdr:from>
      <xdr:col>6</xdr:col>
      <xdr:colOff>38100</xdr:colOff>
      <xdr:row>1116</xdr:row>
      <xdr:rowOff>38100</xdr:rowOff>
    </xdr:from>
    <xdr:ext cx="514350" cy="514350"/>
    <xdr:pic>
      <xdr:nvPicPr>
        <xdr:cNvPr id="0" name="image694.jpg"/>
        <xdr:cNvPicPr preferRelativeResize="0"/>
      </xdr:nvPicPr>
      <xdr:blipFill>
        <a:blip cstate="print" r:embed="rId693"/>
        <a:stretch>
          <a:fillRect/>
        </a:stretch>
      </xdr:blipFill>
      <xdr:spPr>
        <a:prstGeom prst="rect">
          <a:avLst/>
        </a:prstGeom>
        <a:noFill/>
      </xdr:spPr>
    </xdr:pic>
    <xdr:clientData fLocksWithSheet="0"/>
  </xdr:oneCellAnchor>
  <xdr:oneCellAnchor>
    <xdr:from>
      <xdr:col>6</xdr:col>
      <xdr:colOff>38100</xdr:colOff>
      <xdr:row>1117</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1118</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1119</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1120</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1121</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1122</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1123</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1124</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1125</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1126</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1127</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1128</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1129</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1130</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1131</xdr:row>
      <xdr:rowOff>38100</xdr:rowOff>
    </xdr:from>
    <xdr:ext cx="647700" cy="361950"/>
    <xdr:pic>
      <xdr:nvPicPr>
        <xdr:cNvPr id="0" name="image714.jp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38100</xdr:colOff>
      <xdr:row>1132</xdr:row>
      <xdr:rowOff>38100</xdr:rowOff>
    </xdr:from>
    <xdr:ext cx="352425" cy="428625"/>
    <xdr:pic>
      <xdr:nvPicPr>
        <xdr:cNvPr id="0" name="image698.jpg"/>
        <xdr:cNvPicPr preferRelativeResize="0"/>
      </xdr:nvPicPr>
      <xdr:blipFill>
        <a:blip cstate="print" r:embed="rId695"/>
        <a:stretch>
          <a:fillRect/>
        </a:stretch>
      </xdr:blipFill>
      <xdr:spPr>
        <a:prstGeom prst="rect">
          <a:avLst/>
        </a:prstGeom>
        <a:noFill/>
      </xdr:spPr>
    </xdr:pic>
    <xdr:clientData fLocksWithSheet="0"/>
  </xdr:oneCellAnchor>
  <xdr:oneCellAnchor>
    <xdr:from>
      <xdr:col>6</xdr:col>
      <xdr:colOff>38100</xdr:colOff>
      <xdr:row>1133</xdr:row>
      <xdr:rowOff>38100</xdr:rowOff>
    </xdr:from>
    <xdr:ext cx="352425" cy="428625"/>
    <xdr:pic>
      <xdr:nvPicPr>
        <xdr:cNvPr id="0" name="image698.jpg"/>
        <xdr:cNvPicPr preferRelativeResize="0"/>
      </xdr:nvPicPr>
      <xdr:blipFill>
        <a:blip cstate="print" r:embed="rId695"/>
        <a:stretch>
          <a:fillRect/>
        </a:stretch>
      </xdr:blipFill>
      <xdr:spPr>
        <a:prstGeom prst="rect">
          <a:avLst/>
        </a:prstGeom>
        <a:noFill/>
      </xdr:spPr>
    </xdr:pic>
    <xdr:clientData fLocksWithSheet="0"/>
  </xdr:oneCellAnchor>
  <xdr:oneCellAnchor>
    <xdr:from>
      <xdr:col>6</xdr:col>
      <xdr:colOff>38100</xdr:colOff>
      <xdr:row>1134</xdr:row>
      <xdr:rowOff>38100</xdr:rowOff>
    </xdr:from>
    <xdr:ext cx="561975" cy="514350"/>
    <xdr:pic>
      <xdr:nvPicPr>
        <xdr:cNvPr id="0" name="image723.jpg"/>
        <xdr:cNvPicPr preferRelativeResize="0"/>
      </xdr:nvPicPr>
      <xdr:blipFill>
        <a:blip cstate="print" r:embed="rId681"/>
        <a:stretch>
          <a:fillRect/>
        </a:stretch>
      </xdr:blipFill>
      <xdr:spPr>
        <a:prstGeom prst="rect">
          <a:avLst/>
        </a:prstGeom>
        <a:noFill/>
      </xdr:spPr>
    </xdr:pic>
    <xdr:clientData fLocksWithSheet="0"/>
  </xdr:oneCellAnchor>
  <xdr:oneCellAnchor>
    <xdr:from>
      <xdr:col>6</xdr:col>
      <xdr:colOff>38100</xdr:colOff>
      <xdr:row>1135</xdr:row>
      <xdr:rowOff>38100</xdr:rowOff>
    </xdr:from>
    <xdr:ext cx="561975" cy="514350"/>
    <xdr:pic>
      <xdr:nvPicPr>
        <xdr:cNvPr id="0" name="image723.jpg"/>
        <xdr:cNvPicPr preferRelativeResize="0"/>
      </xdr:nvPicPr>
      <xdr:blipFill>
        <a:blip cstate="print" r:embed="rId681"/>
        <a:stretch>
          <a:fillRect/>
        </a:stretch>
      </xdr:blipFill>
      <xdr:spPr>
        <a:prstGeom prst="rect">
          <a:avLst/>
        </a:prstGeom>
        <a:noFill/>
      </xdr:spPr>
    </xdr:pic>
    <xdr:clientData fLocksWithSheet="0"/>
  </xdr:oneCellAnchor>
  <xdr:oneCellAnchor>
    <xdr:from>
      <xdr:col>6</xdr:col>
      <xdr:colOff>38100</xdr:colOff>
      <xdr:row>1136</xdr:row>
      <xdr:rowOff>38100</xdr:rowOff>
    </xdr:from>
    <xdr:ext cx="561975" cy="514350"/>
    <xdr:pic>
      <xdr:nvPicPr>
        <xdr:cNvPr id="0" name="image723.jpg"/>
        <xdr:cNvPicPr preferRelativeResize="0"/>
      </xdr:nvPicPr>
      <xdr:blipFill>
        <a:blip cstate="print" r:embed="rId681"/>
        <a:stretch>
          <a:fillRect/>
        </a:stretch>
      </xdr:blipFill>
      <xdr:spPr>
        <a:prstGeom prst="rect">
          <a:avLst/>
        </a:prstGeom>
        <a:noFill/>
      </xdr:spPr>
    </xdr:pic>
    <xdr:clientData fLocksWithSheet="0"/>
  </xdr:oneCellAnchor>
  <xdr:oneCellAnchor>
    <xdr:from>
      <xdr:col>6</xdr:col>
      <xdr:colOff>38100</xdr:colOff>
      <xdr:row>1137</xdr:row>
      <xdr:rowOff>38100</xdr:rowOff>
    </xdr:from>
    <xdr:ext cx="495300" cy="514350"/>
    <xdr:pic>
      <xdr:nvPicPr>
        <xdr:cNvPr id="0" name="image703.jpg"/>
        <xdr:cNvPicPr preferRelativeResize="0"/>
      </xdr:nvPicPr>
      <xdr:blipFill>
        <a:blip cstate="print" r:embed="rId696"/>
        <a:stretch>
          <a:fillRect/>
        </a:stretch>
      </xdr:blipFill>
      <xdr:spPr>
        <a:prstGeom prst="rect">
          <a:avLst/>
        </a:prstGeom>
        <a:noFill/>
      </xdr:spPr>
    </xdr:pic>
    <xdr:clientData fLocksWithSheet="0"/>
  </xdr:oneCellAnchor>
  <xdr:oneCellAnchor>
    <xdr:from>
      <xdr:col>6</xdr:col>
      <xdr:colOff>38100</xdr:colOff>
      <xdr:row>1138</xdr:row>
      <xdr:rowOff>38100</xdr:rowOff>
    </xdr:from>
    <xdr:ext cx="495300" cy="514350"/>
    <xdr:pic>
      <xdr:nvPicPr>
        <xdr:cNvPr id="0" name="image703.jpg"/>
        <xdr:cNvPicPr preferRelativeResize="0"/>
      </xdr:nvPicPr>
      <xdr:blipFill>
        <a:blip cstate="print" r:embed="rId696"/>
        <a:stretch>
          <a:fillRect/>
        </a:stretch>
      </xdr:blipFill>
      <xdr:spPr>
        <a:prstGeom prst="rect">
          <a:avLst/>
        </a:prstGeom>
        <a:noFill/>
      </xdr:spPr>
    </xdr:pic>
    <xdr:clientData fLocksWithSheet="0"/>
  </xdr:oneCellAnchor>
  <xdr:oneCellAnchor>
    <xdr:from>
      <xdr:col>6</xdr:col>
      <xdr:colOff>38100</xdr:colOff>
      <xdr:row>1139</xdr:row>
      <xdr:rowOff>38100</xdr:rowOff>
    </xdr:from>
    <xdr:ext cx="523875" cy="514350"/>
    <xdr:pic>
      <xdr:nvPicPr>
        <xdr:cNvPr id="0" name="image683.jpg"/>
        <xdr:cNvPicPr preferRelativeResize="0"/>
      </xdr:nvPicPr>
      <xdr:blipFill>
        <a:blip cstate="print" r:embed="rId697"/>
        <a:stretch>
          <a:fillRect/>
        </a:stretch>
      </xdr:blipFill>
      <xdr:spPr>
        <a:prstGeom prst="rect">
          <a:avLst/>
        </a:prstGeom>
        <a:noFill/>
      </xdr:spPr>
    </xdr:pic>
    <xdr:clientData fLocksWithSheet="0"/>
  </xdr:oneCellAnchor>
  <xdr:oneCellAnchor>
    <xdr:from>
      <xdr:col>6</xdr:col>
      <xdr:colOff>38100</xdr:colOff>
      <xdr:row>1140</xdr:row>
      <xdr:rowOff>38100</xdr:rowOff>
    </xdr:from>
    <xdr:ext cx="495300" cy="514350"/>
    <xdr:pic>
      <xdr:nvPicPr>
        <xdr:cNvPr id="0" name="image703.jpg"/>
        <xdr:cNvPicPr preferRelativeResize="0"/>
      </xdr:nvPicPr>
      <xdr:blipFill>
        <a:blip cstate="print" r:embed="rId696"/>
        <a:stretch>
          <a:fillRect/>
        </a:stretch>
      </xdr:blipFill>
      <xdr:spPr>
        <a:prstGeom prst="rect">
          <a:avLst/>
        </a:prstGeom>
        <a:noFill/>
      </xdr:spPr>
    </xdr:pic>
    <xdr:clientData fLocksWithSheet="0"/>
  </xdr:oneCellAnchor>
  <xdr:oneCellAnchor>
    <xdr:from>
      <xdr:col>6</xdr:col>
      <xdr:colOff>38100</xdr:colOff>
      <xdr:row>1141</xdr:row>
      <xdr:rowOff>38100</xdr:rowOff>
    </xdr:from>
    <xdr:ext cx="428625" cy="514350"/>
    <xdr:pic>
      <xdr:nvPicPr>
        <xdr:cNvPr id="0" name="image702.jpg"/>
        <xdr:cNvPicPr preferRelativeResize="0"/>
      </xdr:nvPicPr>
      <xdr:blipFill>
        <a:blip cstate="print" r:embed="rId698"/>
        <a:stretch>
          <a:fillRect/>
        </a:stretch>
      </xdr:blipFill>
      <xdr:spPr>
        <a:prstGeom prst="rect">
          <a:avLst/>
        </a:prstGeom>
        <a:noFill/>
      </xdr:spPr>
    </xdr:pic>
    <xdr:clientData fLocksWithSheet="0"/>
  </xdr:oneCellAnchor>
  <xdr:oneCellAnchor>
    <xdr:from>
      <xdr:col>6</xdr:col>
      <xdr:colOff>38100</xdr:colOff>
      <xdr:row>1142</xdr:row>
      <xdr:rowOff>38100</xdr:rowOff>
    </xdr:from>
    <xdr:ext cx="600075" cy="514350"/>
    <xdr:pic>
      <xdr:nvPicPr>
        <xdr:cNvPr id="0" name="image697.jpg"/>
        <xdr:cNvPicPr preferRelativeResize="0"/>
      </xdr:nvPicPr>
      <xdr:blipFill>
        <a:blip cstate="print" r:embed="rId699"/>
        <a:stretch>
          <a:fillRect/>
        </a:stretch>
      </xdr:blipFill>
      <xdr:spPr>
        <a:prstGeom prst="rect">
          <a:avLst/>
        </a:prstGeom>
        <a:noFill/>
      </xdr:spPr>
    </xdr:pic>
    <xdr:clientData fLocksWithSheet="0"/>
  </xdr:oneCellAnchor>
  <xdr:oneCellAnchor>
    <xdr:from>
      <xdr:col>6</xdr:col>
      <xdr:colOff>38100</xdr:colOff>
      <xdr:row>1143</xdr:row>
      <xdr:rowOff>38100</xdr:rowOff>
    </xdr:from>
    <xdr:ext cx="647700" cy="361950"/>
    <xdr:pic>
      <xdr:nvPicPr>
        <xdr:cNvPr id="0" name="image678.jpg"/>
        <xdr:cNvPicPr preferRelativeResize="0"/>
      </xdr:nvPicPr>
      <xdr:blipFill>
        <a:blip cstate="print" r:embed="rId700"/>
        <a:stretch>
          <a:fillRect/>
        </a:stretch>
      </xdr:blipFill>
      <xdr:spPr>
        <a:prstGeom prst="rect">
          <a:avLst/>
        </a:prstGeom>
        <a:noFill/>
      </xdr:spPr>
    </xdr:pic>
    <xdr:clientData fLocksWithSheet="0"/>
  </xdr:oneCellAnchor>
  <xdr:oneCellAnchor>
    <xdr:from>
      <xdr:col>6</xdr:col>
      <xdr:colOff>38100</xdr:colOff>
      <xdr:row>1144</xdr:row>
      <xdr:rowOff>38100</xdr:rowOff>
    </xdr:from>
    <xdr:ext cx="647700" cy="361950"/>
    <xdr:pic>
      <xdr:nvPicPr>
        <xdr:cNvPr id="0" name="image692.jpg"/>
        <xdr:cNvPicPr preferRelativeResize="0"/>
      </xdr:nvPicPr>
      <xdr:blipFill>
        <a:blip cstate="print" r:embed="rId701"/>
        <a:stretch>
          <a:fillRect/>
        </a:stretch>
      </xdr:blipFill>
      <xdr:spPr>
        <a:prstGeom prst="rect">
          <a:avLst/>
        </a:prstGeom>
        <a:noFill/>
      </xdr:spPr>
    </xdr:pic>
    <xdr:clientData fLocksWithSheet="0"/>
  </xdr:oneCellAnchor>
  <xdr:oneCellAnchor>
    <xdr:from>
      <xdr:col>6</xdr:col>
      <xdr:colOff>38100</xdr:colOff>
      <xdr:row>1145</xdr:row>
      <xdr:rowOff>38100</xdr:rowOff>
    </xdr:from>
    <xdr:ext cx="647700" cy="361950"/>
    <xdr:pic>
      <xdr:nvPicPr>
        <xdr:cNvPr id="0" name="image681.jpg"/>
        <xdr:cNvPicPr preferRelativeResize="0"/>
      </xdr:nvPicPr>
      <xdr:blipFill>
        <a:blip cstate="print" r:embed="rId702"/>
        <a:stretch>
          <a:fillRect/>
        </a:stretch>
      </xdr:blipFill>
      <xdr:spPr>
        <a:prstGeom prst="rect">
          <a:avLst/>
        </a:prstGeom>
        <a:noFill/>
      </xdr:spPr>
    </xdr:pic>
    <xdr:clientData fLocksWithSheet="0"/>
  </xdr:oneCellAnchor>
  <xdr:oneCellAnchor>
    <xdr:from>
      <xdr:col>6</xdr:col>
      <xdr:colOff>38100</xdr:colOff>
      <xdr:row>1146</xdr:row>
      <xdr:rowOff>38100</xdr:rowOff>
    </xdr:from>
    <xdr:ext cx="647700" cy="361950"/>
    <xdr:pic>
      <xdr:nvPicPr>
        <xdr:cNvPr id="0" name="image678.jpg"/>
        <xdr:cNvPicPr preferRelativeResize="0"/>
      </xdr:nvPicPr>
      <xdr:blipFill>
        <a:blip cstate="print" r:embed="rId700"/>
        <a:stretch>
          <a:fillRect/>
        </a:stretch>
      </xdr:blipFill>
      <xdr:spPr>
        <a:prstGeom prst="rect">
          <a:avLst/>
        </a:prstGeom>
        <a:noFill/>
      </xdr:spPr>
    </xdr:pic>
    <xdr:clientData fLocksWithSheet="0"/>
  </xdr:oneCellAnchor>
  <xdr:oneCellAnchor>
    <xdr:from>
      <xdr:col>6</xdr:col>
      <xdr:colOff>38100</xdr:colOff>
      <xdr:row>1147</xdr:row>
      <xdr:rowOff>38100</xdr:rowOff>
    </xdr:from>
    <xdr:ext cx="647700" cy="361950"/>
    <xdr:pic>
      <xdr:nvPicPr>
        <xdr:cNvPr id="0" name="image678.jpg"/>
        <xdr:cNvPicPr preferRelativeResize="0"/>
      </xdr:nvPicPr>
      <xdr:blipFill>
        <a:blip cstate="print" r:embed="rId700"/>
        <a:stretch>
          <a:fillRect/>
        </a:stretch>
      </xdr:blipFill>
      <xdr:spPr>
        <a:prstGeom prst="rect">
          <a:avLst/>
        </a:prstGeom>
        <a:noFill/>
      </xdr:spPr>
    </xdr:pic>
    <xdr:clientData fLocksWithSheet="0"/>
  </xdr:oneCellAnchor>
  <xdr:oneCellAnchor>
    <xdr:from>
      <xdr:col>6</xdr:col>
      <xdr:colOff>38100</xdr:colOff>
      <xdr:row>1148</xdr:row>
      <xdr:rowOff>38100</xdr:rowOff>
    </xdr:from>
    <xdr:ext cx="647700" cy="361950"/>
    <xdr:pic>
      <xdr:nvPicPr>
        <xdr:cNvPr id="0" name="image678.jpg"/>
        <xdr:cNvPicPr preferRelativeResize="0"/>
      </xdr:nvPicPr>
      <xdr:blipFill>
        <a:blip cstate="print" r:embed="rId700"/>
        <a:stretch>
          <a:fillRect/>
        </a:stretch>
      </xdr:blipFill>
      <xdr:spPr>
        <a:prstGeom prst="rect">
          <a:avLst/>
        </a:prstGeom>
        <a:noFill/>
      </xdr:spPr>
    </xdr:pic>
    <xdr:clientData fLocksWithSheet="0"/>
  </xdr:oneCellAnchor>
  <xdr:oneCellAnchor>
    <xdr:from>
      <xdr:col>6</xdr:col>
      <xdr:colOff>38100</xdr:colOff>
      <xdr:row>1149</xdr:row>
      <xdr:rowOff>38100</xdr:rowOff>
    </xdr:from>
    <xdr:ext cx="647700" cy="361950"/>
    <xdr:pic>
      <xdr:nvPicPr>
        <xdr:cNvPr id="0" name="image727.jpg"/>
        <xdr:cNvPicPr preferRelativeResize="0"/>
      </xdr:nvPicPr>
      <xdr:blipFill>
        <a:blip cstate="print" r:embed="rId703"/>
        <a:stretch>
          <a:fillRect/>
        </a:stretch>
      </xdr:blipFill>
      <xdr:spPr>
        <a:prstGeom prst="rect">
          <a:avLst/>
        </a:prstGeom>
        <a:noFill/>
      </xdr:spPr>
    </xdr:pic>
    <xdr:clientData fLocksWithSheet="0"/>
  </xdr:oneCellAnchor>
  <xdr:oneCellAnchor>
    <xdr:from>
      <xdr:col>6</xdr:col>
      <xdr:colOff>38100</xdr:colOff>
      <xdr:row>1150</xdr:row>
      <xdr:rowOff>38100</xdr:rowOff>
    </xdr:from>
    <xdr:ext cx="647700" cy="361950"/>
    <xdr:pic>
      <xdr:nvPicPr>
        <xdr:cNvPr id="0" name="image727.jpg"/>
        <xdr:cNvPicPr preferRelativeResize="0"/>
      </xdr:nvPicPr>
      <xdr:blipFill>
        <a:blip cstate="print" r:embed="rId703"/>
        <a:stretch>
          <a:fillRect/>
        </a:stretch>
      </xdr:blipFill>
      <xdr:spPr>
        <a:prstGeom prst="rect">
          <a:avLst/>
        </a:prstGeom>
        <a:noFill/>
      </xdr:spPr>
    </xdr:pic>
    <xdr:clientData fLocksWithSheet="0"/>
  </xdr:oneCellAnchor>
  <xdr:oneCellAnchor>
    <xdr:from>
      <xdr:col>6</xdr:col>
      <xdr:colOff>38100</xdr:colOff>
      <xdr:row>1151</xdr:row>
      <xdr:rowOff>38100</xdr:rowOff>
    </xdr:from>
    <xdr:ext cx="485775" cy="409575"/>
    <xdr:pic>
      <xdr:nvPicPr>
        <xdr:cNvPr id="0" name="image686.jpg"/>
        <xdr:cNvPicPr preferRelativeResize="0"/>
      </xdr:nvPicPr>
      <xdr:blipFill>
        <a:blip cstate="print" r:embed="rId704"/>
        <a:stretch>
          <a:fillRect/>
        </a:stretch>
      </xdr:blipFill>
      <xdr:spPr>
        <a:prstGeom prst="rect">
          <a:avLst/>
        </a:prstGeom>
        <a:noFill/>
      </xdr:spPr>
    </xdr:pic>
    <xdr:clientData fLocksWithSheet="0"/>
  </xdr:oneCellAnchor>
  <xdr:oneCellAnchor>
    <xdr:from>
      <xdr:col>6</xdr:col>
      <xdr:colOff>38100</xdr:colOff>
      <xdr:row>1152</xdr:row>
      <xdr:rowOff>38100</xdr:rowOff>
    </xdr:from>
    <xdr:ext cx="638175" cy="476250"/>
    <xdr:pic>
      <xdr:nvPicPr>
        <xdr:cNvPr id="0" name="image696.jpg"/>
        <xdr:cNvPicPr preferRelativeResize="0"/>
      </xdr:nvPicPr>
      <xdr:blipFill>
        <a:blip cstate="print" r:embed="rId705"/>
        <a:stretch>
          <a:fillRect/>
        </a:stretch>
      </xdr:blipFill>
      <xdr:spPr>
        <a:prstGeom prst="rect">
          <a:avLst/>
        </a:prstGeom>
        <a:noFill/>
      </xdr:spPr>
    </xdr:pic>
    <xdr:clientData fLocksWithSheet="0"/>
  </xdr:oneCellAnchor>
  <xdr:oneCellAnchor>
    <xdr:from>
      <xdr:col>6</xdr:col>
      <xdr:colOff>38100</xdr:colOff>
      <xdr:row>1153</xdr:row>
      <xdr:rowOff>38100</xdr:rowOff>
    </xdr:from>
    <xdr:ext cx="638175" cy="476250"/>
    <xdr:pic>
      <xdr:nvPicPr>
        <xdr:cNvPr id="0" name="image696.jpg"/>
        <xdr:cNvPicPr preferRelativeResize="0"/>
      </xdr:nvPicPr>
      <xdr:blipFill>
        <a:blip cstate="print" r:embed="rId705"/>
        <a:stretch>
          <a:fillRect/>
        </a:stretch>
      </xdr:blipFill>
      <xdr:spPr>
        <a:prstGeom prst="rect">
          <a:avLst/>
        </a:prstGeom>
        <a:noFill/>
      </xdr:spPr>
    </xdr:pic>
    <xdr:clientData fLocksWithSheet="0"/>
  </xdr:oneCellAnchor>
  <xdr:oneCellAnchor>
    <xdr:from>
      <xdr:col>6</xdr:col>
      <xdr:colOff>38100</xdr:colOff>
      <xdr:row>1154</xdr:row>
      <xdr:rowOff>38100</xdr:rowOff>
    </xdr:from>
    <xdr:ext cx="647700" cy="361950"/>
    <xdr:pic>
      <xdr:nvPicPr>
        <xdr:cNvPr id="0" name="image727.jpg"/>
        <xdr:cNvPicPr preferRelativeResize="0"/>
      </xdr:nvPicPr>
      <xdr:blipFill>
        <a:blip cstate="print" r:embed="rId703"/>
        <a:stretch>
          <a:fillRect/>
        </a:stretch>
      </xdr:blipFill>
      <xdr:spPr>
        <a:prstGeom prst="rect">
          <a:avLst/>
        </a:prstGeom>
        <a:noFill/>
      </xdr:spPr>
    </xdr:pic>
    <xdr:clientData fLocksWithSheet="0"/>
  </xdr:oneCellAnchor>
  <xdr:oneCellAnchor>
    <xdr:from>
      <xdr:col>6</xdr:col>
      <xdr:colOff>38100</xdr:colOff>
      <xdr:row>1155</xdr:row>
      <xdr:rowOff>38100</xdr:rowOff>
    </xdr:from>
    <xdr:ext cx="647700" cy="361950"/>
    <xdr:pic>
      <xdr:nvPicPr>
        <xdr:cNvPr id="0" name="image693.jpg"/>
        <xdr:cNvPicPr preferRelativeResize="0"/>
      </xdr:nvPicPr>
      <xdr:blipFill>
        <a:blip cstate="print" r:embed="rId690"/>
        <a:stretch>
          <a:fillRect/>
        </a:stretch>
      </xdr:blipFill>
      <xdr:spPr>
        <a:prstGeom prst="rect">
          <a:avLst/>
        </a:prstGeom>
        <a:noFill/>
      </xdr:spPr>
    </xdr:pic>
    <xdr:clientData fLocksWithSheet="0"/>
  </xdr:oneCellAnchor>
  <xdr:oneCellAnchor>
    <xdr:from>
      <xdr:col>6</xdr:col>
      <xdr:colOff>38100</xdr:colOff>
      <xdr:row>1156</xdr:row>
      <xdr:rowOff>38100</xdr:rowOff>
    </xdr:from>
    <xdr:ext cx="647700" cy="361950"/>
    <xdr:pic>
      <xdr:nvPicPr>
        <xdr:cNvPr id="0" name="image693.jpg"/>
        <xdr:cNvPicPr preferRelativeResize="0"/>
      </xdr:nvPicPr>
      <xdr:blipFill>
        <a:blip cstate="print" r:embed="rId690"/>
        <a:stretch>
          <a:fillRect/>
        </a:stretch>
      </xdr:blipFill>
      <xdr:spPr>
        <a:prstGeom prst="rect">
          <a:avLst/>
        </a:prstGeom>
        <a:noFill/>
      </xdr:spPr>
    </xdr:pic>
    <xdr:clientData fLocksWithSheet="0"/>
  </xdr:oneCellAnchor>
  <xdr:oneCellAnchor>
    <xdr:from>
      <xdr:col>6</xdr:col>
      <xdr:colOff>38100</xdr:colOff>
      <xdr:row>1157</xdr:row>
      <xdr:rowOff>38100</xdr:rowOff>
    </xdr:from>
    <xdr:ext cx="438150" cy="438150"/>
    <xdr:pic>
      <xdr:nvPicPr>
        <xdr:cNvPr id="0" name="image687.jpg"/>
        <xdr:cNvPicPr preferRelativeResize="0"/>
      </xdr:nvPicPr>
      <xdr:blipFill>
        <a:blip cstate="print" r:embed="rId706"/>
        <a:stretch>
          <a:fillRect/>
        </a:stretch>
      </xdr:blipFill>
      <xdr:spPr>
        <a:prstGeom prst="rect">
          <a:avLst/>
        </a:prstGeom>
        <a:noFill/>
      </xdr:spPr>
    </xdr:pic>
    <xdr:clientData fLocksWithSheet="0"/>
  </xdr:oneCellAnchor>
  <xdr:oneCellAnchor>
    <xdr:from>
      <xdr:col>6</xdr:col>
      <xdr:colOff>38100</xdr:colOff>
      <xdr:row>1158</xdr:row>
      <xdr:rowOff>38100</xdr:rowOff>
    </xdr:from>
    <xdr:ext cx="647700" cy="361950"/>
    <xdr:pic>
      <xdr:nvPicPr>
        <xdr:cNvPr id="0" name="image690.jpg"/>
        <xdr:cNvPicPr preferRelativeResize="0"/>
      </xdr:nvPicPr>
      <xdr:blipFill>
        <a:blip cstate="print" r:embed="rId707"/>
        <a:stretch>
          <a:fillRect/>
        </a:stretch>
      </xdr:blipFill>
      <xdr:spPr>
        <a:prstGeom prst="rect">
          <a:avLst/>
        </a:prstGeom>
        <a:noFill/>
      </xdr:spPr>
    </xdr:pic>
    <xdr:clientData fLocksWithSheet="0"/>
  </xdr:oneCellAnchor>
  <xdr:oneCellAnchor>
    <xdr:from>
      <xdr:col>6</xdr:col>
      <xdr:colOff>38100</xdr:colOff>
      <xdr:row>1159</xdr:row>
      <xdr:rowOff>38100</xdr:rowOff>
    </xdr:from>
    <xdr:ext cx="647700" cy="361950"/>
    <xdr:pic>
      <xdr:nvPicPr>
        <xdr:cNvPr id="0" name="image690.jpg"/>
        <xdr:cNvPicPr preferRelativeResize="0"/>
      </xdr:nvPicPr>
      <xdr:blipFill>
        <a:blip cstate="print" r:embed="rId707"/>
        <a:stretch>
          <a:fillRect/>
        </a:stretch>
      </xdr:blipFill>
      <xdr:spPr>
        <a:prstGeom prst="rect">
          <a:avLst/>
        </a:prstGeom>
        <a:noFill/>
      </xdr:spPr>
    </xdr:pic>
    <xdr:clientData fLocksWithSheet="0"/>
  </xdr:oneCellAnchor>
  <xdr:oneCellAnchor>
    <xdr:from>
      <xdr:col>6</xdr:col>
      <xdr:colOff>38100</xdr:colOff>
      <xdr:row>1160</xdr:row>
      <xdr:rowOff>38100</xdr:rowOff>
    </xdr:from>
    <xdr:ext cx="647700" cy="361950"/>
    <xdr:pic>
      <xdr:nvPicPr>
        <xdr:cNvPr id="0" name="image690.jpg"/>
        <xdr:cNvPicPr preferRelativeResize="0"/>
      </xdr:nvPicPr>
      <xdr:blipFill>
        <a:blip cstate="print" r:embed="rId707"/>
        <a:stretch>
          <a:fillRect/>
        </a:stretch>
      </xdr:blipFill>
      <xdr:spPr>
        <a:prstGeom prst="rect">
          <a:avLst/>
        </a:prstGeom>
        <a:noFill/>
      </xdr:spPr>
    </xdr:pic>
    <xdr:clientData fLocksWithSheet="0"/>
  </xdr:oneCellAnchor>
  <xdr:oneCellAnchor>
    <xdr:from>
      <xdr:col>6</xdr:col>
      <xdr:colOff>38100</xdr:colOff>
      <xdr:row>1161</xdr:row>
      <xdr:rowOff>38100</xdr:rowOff>
    </xdr:from>
    <xdr:ext cx="647700" cy="361950"/>
    <xdr:pic>
      <xdr:nvPicPr>
        <xdr:cNvPr id="0" name="image690.jpg"/>
        <xdr:cNvPicPr preferRelativeResize="0"/>
      </xdr:nvPicPr>
      <xdr:blipFill>
        <a:blip cstate="print" r:embed="rId707"/>
        <a:stretch>
          <a:fillRect/>
        </a:stretch>
      </xdr:blipFill>
      <xdr:spPr>
        <a:prstGeom prst="rect">
          <a:avLst/>
        </a:prstGeom>
        <a:noFill/>
      </xdr:spPr>
    </xdr:pic>
    <xdr:clientData fLocksWithSheet="0"/>
  </xdr:oneCellAnchor>
  <xdr:oneCellAnchor>
    <xdr:from>
      <xdr:col>6</xdr:col>
      <xdr:colOff>38100</xdr:colOff>
      <xdr:row>1162</xdr:row>
      <xdr:rowOff>38100</xdr:rowOff>
    </xdr:from>
    <xdr:ext cx="552450" cy="514350"/>
    <xdr:pic>
      <xdr:nvPicPr>
        <xdr:cNvPr id="0" name="image695.jpg"/>
        <xdr:cNvPicPr preferRelativeResize="0"/>
      </xdr:nvPicPr>
      <xdr:blipFill>
        <a:blip cstate="print" r:embed="rId708"/>
        <a:stretch>
          <a:fillRect/>
        </a:stretch>
      </xdr:blipFill>
      <xdr:spPr>
        <a:prstGeom prst="rect">
          <a:avLst/>
        </a:prstGeom>
        <a:noFill/>
      </xdr:spPr>
    </xdr:pic>
    <xdr:clientData fLocksWithSheet="0"/>
  </xdr:oneCellAnchor>
  <xdr:oneCellAnchor>
    <xdr:from>
      <xdr:col>6</xdr:col>
      <xdr:colOff>38100</xdr:colOff>
      <xdr:row>1163</xdr:row>
      <xdr:rowOff>38100</xdr:rowOff>
    </xdr:from>
    <xdr:ext cx="647700" cy="361950"/>
    <xdr:pic>
      <xdr:nvPicPr>
        <xdr:cNvPr id="0" name="image690.jpg"/>
        <xdr:cNvPicPr preferRelativeResize="0"/>
      </xdr:nvPicPr>
      <xdr:blipFill>
        <a:blip cstate="print" r:embed="rId707"/>
        <a:stretch>
          <a:fillRect/>
        </a:stretch>
      </xdr:blipFill>
      <xdr:spPr>
        <a:prstGeom prst="rect">
          <a:avLst/>
        </a:prstGeom>
        <a:noFill/>
      </xdr:spPr>
    </xdr:pic>
    <xdr:clientData fLocksWithSheet="0"/>
  </xdr:oneCellAnchor>
  <xdr:oneCellAnchor>
    <xdr:from>
      <xdr:col>6</xdr:col>
      <xdr:colOff>38100</xdr:colOff>
      <xdr:row>1164</xdr:row>
      <xdr:rowOff>38100</xdr:rowOff>
    </xdr:from>
    <xdr:ext cx="647700" cy="361950"/>
    <xdr:pic>
      <xdr:nvPicPr>
        <xdr:cNvPr id="0" name="image690.jpg"/>
        <xdr:cNvPicPr preferRelativeResize="0"/>
      </xdr:nvPicPr>
      <xdr:blipFill>
        <a:blip cstate="print" r:embed="rId707"/>
        <a:stretch>
          <a:fillRect/>
        </a:stretch>
      </xdr:blipFill>
      <xdr:spPr>
        <a:prstGeom prst="rect">
          <a:avLst/>
        </a:prstGeom>
        <a:noFill/>
      </xdr:spPr>
    </xdr:pic>
    <xdr:clientData fLocksWithSheet="0"/>
  </xdr:oneCellAnchor>
  <xdr:oneCellAnchor>
    <xdr:from>
      <xdr:col>6</xdr:col>
      <xdr:colOff>38100</xdr:colOff>
      <xdr:row>1165</xdr:row>
      <xdr:rowOff>38100</xdr:rowOff>
    </xdr:from>
    <xdr:ext cx="647700" cy="361950"/>
    <xdr:pic>
      <xdr:nvPicPr>
        <xdr:cNvPr id="0" name="image690.jpg"/>
        <xdr:cNvPicPr preferRelativeResize="0"/>
      </xdr:nvPicPr>
      <xdr:blipFill>
        <a:blip cstate="print" r:embed="rId707"/>
        <a:stretch>
          <a:fillRect/>
        </a:stretch>
      </xdr:blipFill>
      <xdr:spPr>
        <a:prstGeom prst="rect">
          <a:avLst/>
        </a:prstGeom>
        <a:noFill/>
      </xdr:spPr>
    </xdr:pic>
    <xdr:clientData fLocksWithSheet="0"/>
  </xdr:oneCellAnchor>
  <xdr:oneCellAnchor>
    <xdr:from>
      <xdr:col>6</xdr:col>
      <xdr:colOff>38100</xdr:colOff>
      <xdr:row>1166</xdr:row>
      <xdr:rowOff>38100</xdr:rowOff>
    </xdr:from>
    <xdr:ext cx="352425" cy="371475"/>
    <xdr:pic>
      <xdr:nvPicPr>
        <xdr:cNvPr id="0" name="image735.jpg"/>
        <xdr:cNvPicPr preferRelativeResize="0"/>
      </xdr:nvPicPr>
      <xdr:blipFill>
        <a:blip cstate="print" r:embed="rId709"/>
        <a:stretch>
          <a:fillRect/>
        </a:stretch>
      </xdr:blipFill>
      <xdr:spPr>
        <a:prstGeom prst="rect">
          <a:avLst/>
        </a:prstGeom>
        <a:noFill/>
      </xdr:spPr>
    </xdr:pic>
    <xdr:clientData fLocksWithSheet="0"/>
  </xdr:oneCellAnchor>
  <xdr:oneCellAnchor>
    <xdr:from>
      <xdr:col>6</xdr:col>
      <xdr:colOff>38100</xdr:colOff>
      <xdr:row>1167</xdr:row>
      <xdr:rowOff>38100</xdr:rowOff>
    </xdr:from>
    <xdr:ext cx="552450" cy="514350"/>
    <xdr:pic>
      <xdr:nvPicPr>
        <xdr:cNvPr id="0" name="image695.jpg"/>
        <xdr:cNvPicPr preferRelativeResize="0"/>
      </xdr:nvPicPr>
      <xdr:blipFill>
        <a:blip cstate="print" r:embed="rId708"/>
        <a:stretch>
          <a:fillRect/>
        </a:stretch>
      </xdr:blipFill>
      <xdr:spPr>
        <a:prstGeom prst="rect">
          <a:avLst/>
        </a:prstGeom>
        <a:noFill/>
      </xdr:spPr>
    </xdr:pic>
    <xdr:clientData fLocksWithSheet="0"/>
  </xdr:oneCellAnchor>
  <xdr:oneCellAnchor>
    <xdr:from>
      <xdr:col>6</xdr:col>
      <xdr:colOff>38100</xdr:colOff>
      <xdr:row>1168</xdr:row>
      <xdr:rowOff>38100</xdr:rowOff>
    </xdr:from>
    <xdr:ext cx="638175" cy="476250"/>
    <xdr:pic>
      <xdr:nvPicPr>
        <xdr:cNvPr id="0" name="image699.jpg"/>
        <xdr:cNvPicPr preferRelativeResize="0"/>
      </xdr:nvPicPr>
      <xdr:blipFill>
        <a:blip cstate="print" r:embed="rId710"/>
        <a:stretch>
          <a:fillRect/>
        </a:stretch>
      </xdr:blipFill>
      <xdr:spPr>
        <a:prstGeom prst="rect">
          <a:avLst/>
        </a:prstGeom>
        <a:noFill/>
      </xdr:spPr>
    </xdr:pic>
    <xdr:clientData fLocksWithSheet="0"/>
  </xdr:oneCellAnchor>
  <xdr:oneCellAnchor>
    <xdr:from>
      <xdr:col>6</xdr:col>
      <xdr:colOff>38100</xdr:colOff>
      <xdr:row>1169</xdr:row>
      <xdr:rowOff>38100</xdr:rowOff>
    </xdr:from>
    <xdr:ext cx="476250" cy="476250"/>
    <xdr:pic>
      <xdr:nvPicPr>
        <xdr:cNvPr id="0" name="image729.jpg"/>
        <xdr:cNvPicPr preferRelativeResize="0"/>
      </xdr:nvPicPr>
      <xdr:blipFill>
        <a:blip cstate="print" r:embed="rId711"/>
        <a:stretch>
          <a:fillRect/>
        </a:stretch>
      </xdr:blipFill>
      <xdr:spPr>
        <a:prstGeom prst="rect">
          <a:avLst/>
        </a:prstGeom>
        <a:noFill/>
      </xdr:spPr>
    </xdr:pic>
    <xdr:clientData fLocksWithSheet="0"/>
  </xdr:oneCellAnchor>
  <xdr:oneCellAnchor>
    <xdr:from>
      <xdr:col>6</xdr:col>
      <xdr:colOff>38100</xdr:colOff>
      <xdr:row>1170</xdr:row>
      <xdr:rowOff>38100</xdr:rowOff>
    </xdr:from>
    <xdr:ext cx="514350" cy="514350"/>
    <xdr:pic>
      <xdr:nvPicPr>
        <xdr:cNvPr id="0" name="image713.jpg"/>
        <xdr:cNvPicPr preferRelativeResize="0"/>
      </xdr:nvPicPr>
      <xdr:blipFill>
        <a:blip cstate="print" r:embed="rId712"/>
        <a:stretch>
          <a:fillRect/>
        </a:stretch>
      </xdr:blipFill>
      <xdr:spPr>
        <a:prstGeom prst="rect">
          <a:avLst/>
        </a:prstGeom>
        <a:noFill/>
      </xdr:spPr>
    </xdr:pic>
    <xdr:clientData fLocksWithSheet="0"/>
  </xdr:oneCellAnchor>
  <xdr:oneCellAnchor>
    <xdr:from>
      <xdr:col>6</xdr:col>
      <xdr:colOff>38100</xdr:colOff>
      <xdr:row>1171</xdr:row>
      <xdr:rowOff>38100</xdr:rowOff>
    </xdr:from>
    <xdr:ext cx="647700" cy="361950"/>
    <xdr:pic>
      <xdr:nvPicPr>
        <xdr:cNvPr id="0" name="image704.jpg"/>
        <xdr:cNvPicPr preferRelativeResize="0"/>
      </xdr:nvPicPr>
      <xdr:blipFill>
        <a:blip cstate="print" r:embed="rId713"/>
        <a:stretch>
          <a:fillRect/>
        </a:stretch>
      </xdr:blipFill>
      <xdr:spPr>
        <a:prstGeom prst="rect">
          <a:avLst/>
        </a:prstGeom>
        <a:noFill/>
      </xdr:spPr>
    </xdr:pic>
    <xdr:clientData fLocksWithSheet="0"/>
  </xdr:oneCellAnchor>
  <xdr:oneCellAnchor>
    <xdr:from>
      <xdr:col>6</xdr:col>
      <xdr:colOff>38100</xdr:colOff>
      <xdr:row>1172</xdr:row>
      <xdr:rowOff>38100</xdr:rowOff>
    </xdr:from>
    <xdr:ext cx="647700" cy="361950"/>
    <xdr:pic>
      <xdr:nvPicPr>
        <xdr:cNvPr id="0" name="image731.jpg"/>
        <xdr:cNvPicPr preferRelativeResize="0"/>
      </xdr:nvPicPr>
      <xdr:blipFill>
        <a:blip cstate="print" r:embed="rId714"/>
        <a:stretch>
          <a:fillRect/>
        </a:stretch>
      </xdr:blipFill>
      <xdr:spPr>
        <a:prstGeom prst="rect">
          <a:avLst/>
        </a:prstGeom>
        <a:noFill/>
      </xdr:spPr>
    </xdr:pic>
    <xdr:clientData fLocksWithSheet="0"/>
  </xdr:oneCellAnchor>
  <xdr:oneCellAnchor>
    <xdr:from>
      <xdr:col>6</xdr:col>
      <xdr:colOff>38100</xdr:colOff>
      <xdr:row>1173</xdr:row>
      <xdr:rowOff>38100</xdr:rowOff>
    </xdr:from>
    <xdr:ext cx="647700" cy="361950"/>
    <xdr:pic>
      <xdr:nvPicPr>
        <xdr:cNvPr id="0" name="image731.jpg"/>
        <xdr:cNvPicPr preferRelativeResize="0"/>
      </xdr:nvPicPr>
      <xdr:blipFill>
        <a:blip cstate="print" r:embed="rId714"/>
        <a:stretch>
          <a:fillRect/>
        </a:stretch>
      </xdr:blipFill>
      <xdr:spPr>
        <a:prstGeom prst="rect">
          <a:avLst/>
        </a:prstGeom>
        <a:noFill/>
      </xdr:spPr>
    </xdr:pic>
    <xdr:clientData fLocksWithSheet="0"/>
  </xdr:oneCellAnchor>
  <xdr:oneCellAnchor>
    <xdr:from>
      <xdr:col>6</xdr:col>
      <xdr:colOff>38100</xdr:colOff>
      <xdr:row>1174</xdr:row>
      <xdr:rowOff>38100</xdr:rowOff>
    </xdr:from>
    <xdr:ext cx="333375" cy="514350"/>
    <xdr:pic>
      <xdr:nvPicPr>
        <xdr:cNvPr id="0" name="image710.jpg"/>
        <xdr:cNvPicPr preferRelativeResize="0"/>
      </xdr:nvPicPr>
      <xdr:blipFill>
        <a:blip cstate="print" r:embed="rId715"/>
        <a:stretch>
          <a:fillRect/>
        </a:stretch>
      </xdr:blipFill>
      <xdr:spPr>
        <a:prstGeom prst="rect">
          <a:avLst/>
        </a:prstGeom>
        <a:noFill/>
      </xdr:spPr>
    </xdr:pic>
    <xdr:clientData fLocksWithSheet="0"/>
  </xdr:oneCellAnchor>
  <xdr:oneCellAnchor>
    <xdr:from>
      <xdr:col>6</xdr:col>
      <xdr:colOff>38100</xdr:colOff>
      <xdr:row>1175</xdr:row>
      <xdr:rowOff>38100</xdr:rowOff>
    </xdr:from>
    <xdr:ext cx="647700" cy="361950"/>
    <xdr:pic>
      <xdr:nvPicPr>
        <xdr:cNvPr id="0" name="image709.jpg"/>
        <xdr:cNvPicPr preferRelativeResize="0"/>
      </xdr:nvPicPr>
      <xdr:blipFill>
        <a:blip cstate="print" r:embed="rId716"/>
        <a:stretch>
          <a:fillRect/>
        </a:stretch>
      </xdr:blipFill>
      <xdr:spPr>
        <a:prstGeom prst="rect">
          <a:avLst/>
        </a:prstGeom>
        <a:noFill/>
      </xdr:spPr>
    </xdr:pic>
    <xdr:clientData fLocksWithSheet="0"/>
  </xdr:oneCellAnchor>
  <xdr:oneCellAnchor>
    <xdr:from>
      <xdr:col>6</xdr:col>
      <xdr:colOff>38100</xdr:colOff>
      <xdr:row>1176</xdr:row>
      <xdr:rowOff>38100</xdr:rowOff>
    </xdr:from>
    <xdr:ext cx="647700" cy="361950"/>
    <xdr:pic>
      <xdr:nvPicPr>
        <xdr:cNvPr id="0" name="image709.jpg"/>
        <xdr:cNvPicPr preferRelativeResize="0"/>
      </xdr:nvPicPr>
      <xdr:blipFill>
        <a:blip cstate="print" r:embed="rId716"/>
        <a:stretch>
          <a:fillRect/>
        </a:stretch>
      </xdr:blipFill>
      <xdr:spPr>
        <a:prstGeom prst="rect">
          <a:avLst/>
        </a:prstGeom>
        <a:noFill/>
      </xdr:spPr>
    </xdr:pic>
    <xdr:clientData fLocksWithSheet="0"/>
  </xdr:oneCellAnchor>
  <xdr:oneCellAnchor>
    <xdr:from>
      <xdr:col>6</xdr:col>
      <xdr:colOff>38100</xdr:colOff>
      <xdr:row>1177</xdr:row>
      <xdr:rowOff>38100</xdr:rowOff>
    </xdr:from>
    <xdr:ext cx="647700" cy="361950"/>
    <xdr:pic>
      <xdr:nvPicPr>
        <xdr:cNvPr id="0" name="image709.jpg"/>
        <xdr:cNvPicPr preferRelativeResize="0"/>
      </xdr:nvPicPr>
      <xdr:blipFill>
        <a:blip cstate="print" r:embed="rId716"/>
        <a:stretch>
          <a:fillRect/>
        </a:stretch>
      </xdr:blipFill>
      <xdr:spPr>
        <a:prstGeom prst="rect">
          <a:avLst/>
        </a:prstGeom>
        <a:noFill/>
      </xdr:spPr>
    </xdr:pic>
    <xdr:clientData fLocksWithSheet="0"/>
  </xdr:oneCellAnchor>
  <xdr:oneCellAnchor>
    <xdr:from>
      <xdr:col>6</xdr:col>
      <xdr:colOff>38100</xdr:colOff>
      <xdr:row>1178</xdr:row>
      <xdr:rowOff>38100</xdr:rowOff>
    </xdr:from>
    <xdr:ext cx="381000" cy="361950"/>
    <xdr:pic>
      <xdr:nvPicPr>
        <xdr:cNvPr id="0" name="image708.jpg"/>
        <xdr:cNvPicPr preferRelativeResize="0"/>
      </xdr:nvPicPr>
      <xdr:blipFill>
        <a:blip cstate="print" r:embed="rId717"/>
        <a:stretch>
          <a:fillRect/>
        </a:stretch>
      </xdr:blipFill>
      <xdr:spPr>
        <a:prstGeom prst="rect">
          <a:avLst/>
        </a:prstGeom>
        <a:noFill/>
      </xdr:spPr>
    </xdr:pic>
    <xdr:clientData fLocksWithSheet="0"/>
  </xdr:oneCellAnchor>
  <xdr:oneCellAnchor>
    <xdr:from>
      <xdr:col>6</xdr:col>
      <xdr:colOff>38100</xdr:colOff>
      <xdr:row>1179</xdr:row>
      <xdr:rowOff>38100</xdr:rowOff>
    </xdr:from>
    <xdr:ext cx="381000" cy="361950"/>
    <xdr:pic>
      <xdr:nvPicPr>
        <xdr:cNvPr id="0" name="image708.jpg"/>
        <xdr:cNvPicPr preferRelativeResize="0"/>
      </xdr:nvPicPr>
      <xdr:blipFill>
        <a:blip cstate="print" r:embed="rId717"/>
        <a:stretch>
          <a:fillRect/>
        </a:stretch>
      </xdr:blipFill>
      <xdr:spPr>
        <a:prstGeom prst="rect">
          <a:avLst/>
        </a:prstGeom>
        <a:noFill/>
      </xdr:spPr>
    </xdr:pic>
    <xdr:clientData fLocksWithSheet="0"/>
  </xdr:oneCellAnchor>
  <xdr:oneCellAnchor>
    <xdr:from>
      <xdr:col>6</xdr:col>
      <xdr:colOff>38100</xdr:colOff>
      <xdr:row>1180</xdr:row>
      <xdr:rowOff>38100</xdr:rowOff>
    </xdr:from>
    <xdr:ext cx="438150" cy="390525"/>
    <xdr:pic>
      <xdr:nvPicPr>
        <xdr:cNvPr id="0" name="image737.jpg"/>
        <xdr:cNvPicPr preferRelativeResize="0"/>
      </xdr:nvPicPr>
      <xdr:blipFill>
        <a:blip cstate="print" r:embed="rId718"/>
        <a:stretch>
          <a:fillRect/>
        </a:stretch>
      </xdr:blipFill>
      <xdr:spPr>
        <a:prstGeom prst="rect">
          <a:avLst/>
        </a:prstGeom>
        <a:noFill/>
      </xdr:spPr>
    </xdr:pic>
    <xdr:clientData fLocksWithSheet="0"/>
  </xdr:oneCellAnchor>
  <xdr:oneCellAnchor>
    <xdr:from>
      <xdr:col>6</xdr:col>
      <xdr:colOff>38100</xdr:colOff>
      <xdr:row>1181</xdr:row>
      <xdr:rowOff>38100</xdr:rowOff>
    </xdr:from>
    <xdr:ext cx="438150" cy="381000"/>
    <xdr:pic>
      <xdr:nvPicPr>
        <xdr:cNvPr id="0" name="image732.jpg"/>
        <xdr:cNvPicPr preferRelativeResize="0"/>
      </xdr:nvPicPr>
      <xdr:blipFill>
        <a:blip cstate="print" r:embed="rId719"/>
        <a:stretch>
          <a:fillRect/>
        </a:stretch>
      </xdr:blipFill>
      <xdr:spPr>
        <a:prstGeom prst="rect">
          <a:avLst/>
        </a:prstGeom>
        <a:noFill/>
      </xdr:spPr>
    </xdr:pic>
    <xdr:clientData fLocksWithSheet="0"/>
  </xdr:oneCellAnchor>
  <xdr:oneCellAnchor>
    <xdr:from>
      <xdr:col>6</xdr:col>
      <xdr:colOff>38100</xdr:colOff>
      <xdr:row>1182</xdr:row>
      <xdr:rowOff>38100</xdr:rowOff>
    </xdr:from>
    <xdr:ext cx="314325" cy="352425"/>
    <xdr:pic>
      <xdr:nvPicPr>
        <xdr:cNvPr id="0" name="image730.jpg"/>
        <xdr:cNvPicPr preferRelativeResize="0"/>
      </xdr:nvPicPr>
      <xdr:blipFill>
        <a:blip cstate="print" r:embed="rId720"/>
        <a:stretch>
          <a:fillRect/>
        </a:stretch>
      </xdr:blipFill>
      <xdr:spPr>
        <a:prstGeom prst="rect">
          <a:avLst/>
        </a:prstGeom>
        <a:noFill/>
      </xdr:spPr>
    </xdr:pic>
    <xdr:clientData fLocksWithSheet="0"/>
  </xdr:oneCellAnchor>
  <xdr:oneCellAnchor>
    <xdr:from>
      <xdr:col>6</xdr:col>
      <xdr:colOff>38100</xdr:colOff>
      <xdr:row>1183</xdr:row>
      <xdr:rowOff>38100</xdr:rowOff>
    </xdr:from>
    <xdr:ext cx="342900" cy="428625"/>
    <xdr:pic>
      <xdr:nvPicPr>
        <xdr:cNvPr id="0" name="image701.jpg"/>
        <xdr:cNvPicPr preferRelativeResize="0"/>
      </xdr:nvPicPr>
      <xdr:blipFill>
        <a:blip cstate="print" r:embed="rId721"/>
        <a:stretch>
          <a:fillRect/>
        </a:stretch>
      </xdr:blipFill>
      <xdr:spPr>
        <a:prstGeom prst="rect">
          <a:avLst/>
        </a:prstGeom>
        <a:noFill/>
      </xdr:spPr>
    </xdr:pic>
    <xdr:clientData fLocksWithSheet="0"/>
  </xdr:oneCellAnchor>
  <xdr:oneCellAnchor>
    <xdr:from>
      <xdr:col>6</xdr:col>
      <xdr:colOff>38100</xdr:colOff>
      <xdr:row>1184</xdr:row>
      <xdr:rowOff>38100</xdr:rowOff>
    </xdr:from>
    <xdr:ext cx="400050" cy="352425"/>
    <xdr:pic>
      <xdr:nvPicPr>
        <xdr:cNvPr id="0" name="image715.jpg"/>
        <xdr:cNvPicPr preferRelativeResize="0"/>
      </xdr:nvPicPr>
      <xdr:blipFill>
        <a:blip cstate="print" r:embed="rId722"/>
        <a:stretch>
          <a:fillRect/>
        </a:stretch>
      </xdr:blipFill>
      <xdr:spPr>
        <a:prstGeom prst="rect">
          <a:avLst/>
        </a:prstGeom>
        <a:noFill/>
      </xdr:spPr>
    </xdr:pic>
    <xdr:clientData fLocksWithSheet="0"/>
  </xdr:oneCellAnchor>
  <xdr:oneCellAnchor>
    <xdr:from>
      <xdr:col>6</xdr:col>
      <xdr:colOff>38100</xdr:colOff>
      <xdr:row>1185</xdr:row>
      <xdr:rowOff>38100</xdr:rowOff>
    </xdr:from>
    <xdr:ext cx="571500" cy="381000"/>
    <xdr:pic>
      <xdr:nvPicPr>
        <xdr:cNvPr id="0" name="image707.jpg"/>
        <xdr:cNvPicPr preferRelativeResize="0"/>
      </xdr:nvPicPr>
      <xdr:blipFill>
        <a:blip cstate="print" r:embed="rId723"/>
        <a:stretch>
          <a:fillRect/>
        </a:stretch>
      </xdr:blipFill>
      <xdr:spPr>
        <a:prstGeom prst="rect">
          <a:avLst/>
        </a:prstGeom>
        <a:noFill/>
      </xdr:spPr>
    </xdr:pic>
    <xdr:clientData fLocksWithSheet="0"/>
  </xdr:oneCellAnchor>
  <xdr:oneCellAnchor>
    <xdr:from>
      <xdr:col>6</xdr:col>
      <xdr:colOff>38100</xdr:colOff>
      <xdr:row>1186</xdr:row>
      <xdr:rowOff>38100</xdr:rowOff>
    </xdr:from>
    <xdr:ext cx="609600" cy="438150"/>
    <xdr:pic>
      <xdr:nvPicPr>
        <xdr:cNvPr id="0" name="image721.jpg"/>
        <xdr:cNvPicPr preferRelativeResize="0"/>
      </xdr:nvPicPr>
      <xdr:blipFill>
        <a:blip cstate="print" r:embed="rId724"/>
        <a:stretch>
          <a:fillRect/>
        </a:stretch>
      </xdr:blipFill>
      <xdr:spPr>
        <a:prstGeom prst="rect">
          <a:avLst/>
        </a:prstGeom>
        <a:noFill/>
      </xdr:spPr>
    </xdr:pic>
    <xdr:clientData fLocksWithSheet="0"/>
  </xdr:oneCellAnchor>
  <xdr:oneCellAnchor>
    <xdr:from>
      <xdr:col>6</xdr:col>
      <xdr:colOff>38100</xdr:colOff>
      <xdr:row>1187</xdr:row>
      <xdr:rowOff>38100</xdr:rowOff>
    </xdr:from>
    <xdr:ext cx="428625" cy="219075"/>
    <xdr:pic>
      <xdr:nvPicPr>
        <xdr:cNvPr id="0" name="image738.jpg"/>
        <xdr:cNvPicPr preferRelativeResize="0"/>
      </xdr:nvPicPr>
      <xdr:blipFill>
        <a:blip cstate="print" r:embed="rId725"/>
        <a:stretch>
          <a:fillRect/>
        </a:stretch>
      </xdr:blipFill>
      <xdr:spPr>
        <a:prstGeom prst="rect">
          <a:avLst/>
        </a:prstGeom>
        <a:noFill/>
      </xdr:spPr>
    </xdr:pic>
    <xdr:clientData fLocksWithSheet="0"/>
  </xdr:oneCellAnchor>
  <xdr:oneCellAnchor>
    <xdr:from>
      <xdr:col>6</xdr:col>
      <xdr:colOff>38100</xdr:colOff>
      <xdr:row>1188</xdr:row>
      <xdr:rowOff>38100</xdr:rowOff>
    </xdr:from>
    <xdr:ext cx="638175" cy="476250"/>
    <xdr:pic>
      <xdr:nvPicPr>
        <xdr:cNvPr id="0" name="image733.jpg"/>
        <xdr:cNvPicPr preferRelativeResize="0"/>
      </xdr:nvPicPr>
      <xdr:blipFill>
        <a:blip cstate="print" r:embed="rId726"/>
        <a:stretch>
          <a:fillRect/>
        </a:stretch>
      </xdr:blipFill>
      <xdr:spPr>
        <a:prstGeom prst="rect">
          <a:avLst/>
        </a:prstGeom>
        <a:noFill/>
      </xdr:spPr>
    </xdr:pic>
    <xdr:clientData fLocksWithSheet="0"/>
  </xdr:oneCellAnchor>
  <xdr:oneCellAnchor>
    <xdr:from>
      <xdr:col>6</xdr:col>
      <xdr:colOff>38100</xdr:colOff>
      <xdr:row>1189</xdr:row>
      <xdr:rowOff>38100</xdr:rowOff>
    </xdr:from>
    <xdr:ext cx="409575" cy="476250"/>
    <xdr:pic>
      <xdr:nvPicPr>
        <xdr:cNvPr id="0" name="image717.jpg"/>
        <xdr:cNvPicPr preferRelativeResize="0"/>
      </xdr:nvPicPr>
      <xdr:blipFill>
        <a:blip cstate="print" r:embed="rId727"/>
        <a:stretch>
          <a:fillRect/>
        </a:stretch>
      </xdr:blipFill>
      <xdr:spPr>
        <a:prstGeom prst="rect">
          <a:avLst/>
        </a:prstGeom>
        <a:noFill/>
      </xdr:spPr>
    </xdr:pic>
    <xdr:clientData fLocksWithSheet="0"/>
  </xdr:oneCellAnchor>
  <xdr:oneCellAnchor>
    <xdr:from>
      <xdr:col>6</xdr:col>
      <xdr:colOff>38100</xdr:colOff>
      <xdr:row>1190</xdr:row>
      <xdr:rowOff>38100</xdr:rowOff>
    </xdr:from>
    <xdr:ext cx="409575" cy="400050"/>
    <xdr:pic>
      <xdr:nvPicPr>
        <xdr:cNvPr id="0" name="image718.jpg"/>
        <xdr:cNvPicPr preferRelativeResize="0"/>
      </xdr:nvPicPr>
      <xdr:blipFill>
        <a:blip cstate="print" r:embed="rId728"/>
        <a:stretch>
          <a:fillRect/>
        </a:stretch>
      </xdr:blipFill>
      <xdr:spPr>
        <a:prstGeom prst="rect">
          <a:avLst/>
        </a:prstGeom>
        <a:noFill/>
      </xdr:spPr>
    </xdr:pic>
    <xdr:clientData fLocksWithSheet="0"/>
  </xdr:oneCellAnchor>
  <xdr:oneCellAnchor>
    <xdr:from>
      <xdr:col>6</xdr:col>
      <xdr:colOff>38100</xdr:colOff>
      <xdr:row>1191</xdr:row>
      <xdr:rowOff>38100</xdr:rowOff>
    </xdr:from>
    <xdr:ext cx="609600" cy="390525"/>
    <xdr:pic>
      <xdr:nvPicPr>
        <xdr:cNvPr id="0" name="image712.jpg"/>
        <xdr:cNvPicPr preferRelativeResize="0"/>
      </xdr:nvPicPr>
      <xdr:blipFill>
        <a:blip cstate="print" r:embed="rId729"/>
        <a:stretch>
          <a:fillRect/>
        </a:stretch>
      </xdr:blipFill>
      <xdr:spPr>
        <a:prstGeom prst="rect">
          <a:avLst/>
        </a:prstGeom>
        <a:noFill/>
      </xdr:spPr>
    </xdr:pic>
    <xdr:clientData fLocksWithSheet="0"/>
  </xdr:oneCellAnchor>
  <xdr:oneCellAnchor>
    <xdr:from>
      <xdr:col>6</xdr:col>
      <xdr:colOff>38100</xdr:colOff>
      <xdr:row>1192</xdr:row>
      <xdr:rowOff>38100</xdr:rowOff>
    </xdr:from>
    <xdr:ext cx="457200" cy="219075"/>
    <xdr:pic>
      <xdr:nvPicPr>
        <xdr:cNvPr id="0" name="image725.jpg"/>
        <xdr:cNvPicPr preferRelativeResize="0"/>
      </xdr:nvPicPr>
      <xdr:blipFill>
        <a:blip cstate="print" r:embed="rId730"/>
        <a:stretch>
          <a:fillRect/>
        </a:stretch>
      </xdr:blipFill>
      <xdr:spPr>
        <a:prstGeom prst="rect">
          <a:avLst/>
        </a:prstGeom>
        <a:noFill/>
      </xdr:spPr>
    </xdr:pic>
    <xdr:clientData fLocksWithSheet="0"/>
  </xdr:oneCellAnchor>
  <xdr:oneCellAnchor>
    <xdr:from>
      <xdr:col>6</xdr:col>
      <xdr:colOff>38100</xdr:colOff>
      <xdr:row>1193</xdr:row>
      <xdr:rowOff>38100</xdr:rowOff>
    </xdr:from>
    <xdr:ext cx="638175" cy="352425"/>
    <xdr:pic>
      <xdr:nvPicPr>
        <xdr:cNvPr id="0" name="image724.jpg"/>
        <xdr:cNvPicPr preferRelativeResize="0"/>
      </xdr:nvPicPr>
      <xdr:blipFill>
        <a:blip cstate="print" r:embed="rId731"/>
        <a:stretch>
          <a:fillRect/>
        </a:stretch>
      </xdr:blipFill>
      <xdr:spPr>
        <a:prstGeom prst="rect">
          <a:avLst/>
        </a:prstGeom>
        <a:noFill/>
      </xdr:spPr>
    </xdr:pic>
    <xdr:clientData fLocksWithSheet="0"/>
  </xdr:oneCellAnchor>
  <xdr:oneCellAnchor>
    <xdr:from>
      <xdr:col>6</xdr:col>
      <xdr:colOff>38100</xdr:colOff>
      <xdr:row>1194</xdr:row>
      <xdr:rowOff>38100</xdr:rowOff>
    </xdr:from>
    <xdr:ext cx="638175" cy="352425"/>
    <xdr:pic>
      <xdr:nvPicPr>
        <xdr:cNvPr id="0" name="image724.jpg"/>
        <xdr:cNvPicPr preferRelativeResize="0"/>
      </xdr:nvPicPr>
      <xdr:blipFill>
        <a:blip cstate="print" r:embed="rId731"/>
        <a:stretch>
          <a:fillRect/>
        </a:stretch>
      </xdr:blipFill>
      <xdr:spPr>
        <a:prstGeom prst="rect">
          <a:avLst/>
        </a:prstGeom>
        <a:noFill/>
      </xdr:spPr>
    </xdr:pic>
    <xdr:clientData fLocksWithSheet="0"/>
  </xdr:oneCellAnchor>
  <xdr:oneCellAnchor>
    <xdr:from>
      <xdr:col>6</xdr:col>
      <xdr:colOff>38100</xdr:colOff>
      <xdr:row>1195</xdr:row>
      <xdr:rowOff>38100</xdr:rowOff>
    </xdr:from>
    <xdr:ext cx="638175" cy="447675"/>
    <xdr:pic>
      <xdr:nvPicPr>
        <xdr:cNvPr id="0" name="image716.jpg"/>
        <xdr:cNvPicPr preferRelativeResize="0"/>
      </xdr:nvPicPr>
      <xdr:blipFill>
        <a:blip cstate="print" r:embed="rId732"/>
        <a:stretch>
          <a:fillRect/>
        </a:stretch>
      </xdr:blipFill>
      <xdr:spPr>
        <a:prstGeom prst="rect">
          <a:avLst/>
        </a:prstGeom>
        <a:noFill/>
      </xdr:spPr>
    </xdr:pic>
    <xdr:clientData fLocksWithSheet="0"/>
  </xdr:oneCellAnchor>
  <xdr:oneCellAnchor>
    <xdr:from>
      <xdr:col>6</xdr:col>
      <xdr:colOff>38100</xdr:colOff>
      <xdr:row>1196</xdr:row>
      <xdr:rowOff>38100</xdr:rowOff>
    </xdr:from>
    <xdr:ext cx="638175" cy="447675"/>
    <xdr:pic>
      <xdr:nvPicPr>
        <xdr:cNvPr id="0" name="image716.jpg"/>
        <xdr:cNvPicPr preferRelativeResize="0"/>
      </xdr:nvPicPr>
      <xdr:blipFill>
        <a:blip cstate="print" r:embed="rId732"/>
        <a:stretch>
          <a:fillRect/>
        </a:stretch>
      </xdr:blipFill>
      <xdr:spPr>
        <a:prstGeom prst="rect">
          <a:avLst/>
        </a:prstGeom>
        <a:noFill/>
      </xdr:spPr>
    </xdr:pic>
    <xdr:clientData fLocksWithSheet="0"/>
  </xdr:oneCellAnchor>
  <xdr:oneCellAnchor>
    <xdr:from>
      <xdr:col>6</xdr:col>
      <xdr:colOff>38100</xdr:colOff>
      <xdr:row>1197</xdr:row>
      <xdr:rowOff>38100</xdr:rowOff>
    </xdr:from>
    <xdr:ext cx="638175" cy="476250"/>
    <xdr:pic>
      <xdr:nvPicPr>
        <xdr:cNvPr id="0" name="image728.jpg"/>
        <xdr:cNvPicPr preferRelativeResize="0"/>
      </xdr:nvPicPr>
      <xdr:blipFill>
        <a:blip cstate="print" r:embed="rId733"/>
        <a:stretch>
          <a:fillRect/>
        </a:stretch>
      </xdr:blipFill>
      <xdr:spPr>
        <a:prstGeom prst="rect">
          <a:avLst/>
        </a:prstGeom>
        <a:noFill/>
      </xdr:spPr>
    </xdr:pic>
    <xdr:clientData fLocksWithSheet="0"/>
  </xdr:oneCellAnchor>
  <xdr:oneCellAnchor>
    <xdr:from>
      <xdr:col>6</xdr:col>
      <xdr:colOff>38100</xdr:colOff>
      <xdr:row>1198</xdr:row>
      <xdr:rowOff>38100</xdr:rowOff>
    </xdr:from>
    <xdr:ext cx="600075" cy="476250"/>
    <xdr:pic>
      <xdr:nvPicPr>
        <xdr:cNvPr id="0" name="image719.jpg"/>
        <xdr:cNvPicPr preferRelativeResize="0"/>
      </xdr:nvPicPr>
      <xdr:blipFill>
        <a:blip cstate="print" r:embed="rId734"/>
        <a:stretch>
          <a:fillRect/>
        </a:stretch>
      </xdr:blipFill>
      <xdr:spPr>
        <a:prstGeom prst="rect">
          <a:avLst/>
        </a:prstGeom>
        <a:noFill/>
      </xdr:spPr>
    </xdr:pic>
    <xdr:clientData fLocksWithSheet="0"/>
  </xdr:oneCellAnchor>
  <xdr:oneCellAnchor>
    <xdr:from>
      <xdr:col>6</xdr:col>
      <xdr:colOff>38100</xdr:colOff>
      <xdr:row>1199</xdr:row>
      <xdr:rowOff>38100</xdr:rowOff>
    </xdr:from>
    <xdr:ext cx="638175" cy="476250"/>
    <xdr:pic>
      <xdr:nvPicPr>
        <xdr:cNvPr id="0" name="image728.jpg"/>
        <xdr:cNvPicPr preferRelativeResize="0"/>
      </xdr:nvPicPr>
      <xdr:blipFill>
        <a:blip cstate="print" r:embed="rId733"/>
        <a:stretch>
          <a:fillRect/>
        </a:stretch>
      </xdr:blipFill>
      <xdr:spPr>
        <a:prstGeom prst="rect">
          <a:avLst/>
        </a:prstGeom>
        <a:noFill/>
      </xdr:spPr>
    </xdr:pic>
    <xdr:clientData fLocksWithSheet="0"/>
  </xdr:oneCellAnchor>
  <xdr:oneCellAnchor>
    <xdr:from>
      <xdr:col>6</xdr:col>
      <xdr:colOff>38100</xdr:colOff>
      <xdr:row>1200</xdr:row>
      <xdr:rowOff>38100</xdr:rowOff>
    </xdr:from>
    <xdr:ext cx="638175" cy="476250"/>
    <xdr:pic>
      <xdr:nvPicPr>
        <xdr:cNvPr id="0" name="image720.jpg"/>
        <xdr:cNvPicPr preferRelativeResize="0"/>
      </xdr:nvPicPr>
      <xdr:blipFill>
        <a:blip cstate="print" r:embed="rId735"/>
        <a:stretch>
          <a:fillRect/>
        </a:stretch>
      </xdr:blipFill>
      <xdr:spPr>
        <a:prstGeom prst="rect">
          <a:avLst/>
        </a:prstGeom>
        <a:noFill/>
      </xdr:spPr>
    </xdr:pic>
    <xdr:clientData fLocksWithSheet="0"/>
  </xdr:oneCellAnchor>
  <xdr:oneCellAnchor>
    <xdr:from>
      <xdr:col>6</xdr:col>
      <xdr:colOff>38100</xdr:colOff>
      <xdr:row>1201</xdr:row>
      <xdr:rowOff>38100</xdr:rowOff>
    </xdr:from>
    <xdr:ext cx="638175" cy="476250"/>
    <xdr:pic>
      <xdr:nvPicPr>
        <xdr:cNvPr id="0" name="image720.jpg"/>
        <xdr:cNvPicPr preferRelativeResize="0"/>
      </xdr:nvPicPr>
      <xdr:blipFill>
        <a:blip cstate="print" r:embed="rId735"/>
        <a:stretch>
          <a:fillRect/>
        </a:stretch>
      </xdr:blipFill>
      <xdr:spPr>
        <a:prstGeom prst="rect">
          <a:avLst/>
        </a:prstGeom>
        <a:noFill/>
      </xdr:spPr>
    </xdr:pic>
    <xdr:clientData fLocksWithSheet="0"/>
  </xdr:oneCellAnchor>
  <xdr:oneCellAnchor>
    <xdr:from>
      <xdr:col>6</xdr:col>
      <xdr:colOff>38100</xdr:colOff>
      <xdr:row>1202</xdr:row>
      <xdr:rowOff>38100</xdr:rowOff>
    </xdr:from>
    <xdr:ext cx="638175" cy="476250"/>
    <xdr:pic>
      <xdr:nvPicPr>
        <xdr:cNvPr id="0" name="image720.jpg"/>
        <xdr:cNvPicPr preferRelativeResize="0"/>
      </xdr:nvPicPr>
      <xdr:blipFill>
        <a:blip cstate="print" r:embed="rId735"/>
        <a:stretch>
          <a:fillRect/>
        </a:stretch>
      </xdr:blipFill>
      <xdr:spPr>
        <a:prstGeom prst="rect">
          <a:avLst/>
        </a:prstGeom>
        <a:noFill/>
      </xdr:spPr>
    </xdr:pic>
    <xdr:clientData fLocksWithSheet="0"/>
  </xdr:oneCellAnchor>
  <xdr:oneCellAnchor>
    <xdr:from>
      <xdr:col>6</xdr:col>
      <xdr:colOff>38100</xdr:colOff>
      <xdr:row>1203</xdr:row>
      <xdr:rowOff>38100</xdr:rowOff>
    </xdr:from>
    <xdr:ext cx="638175" cy="476250"/>
    <xdr:pic>
      <xdr:nvPicPr>
        <xdr:cNvPr id="0" name="image720.jpg"/>
        <xdr:cNvPicPr preferRelativeResize="0"/>
      </xdr:nvPicPr>
      <xdr:blipFill>
        <a:blip cstate="print" r:embed="rId735"/>
        <a:stretch>
          <a:fillRect/>
        </a:stretch>
      </xdr:blipFill>
      <xdr:spPr>
        <a:prstGeom prst="rect">
          <a:avLst/>
        </a:prstGeom>
        <a:noFill/>
      </xdr:spPr>
    </xdr:pic>
    <xdr:clientData fLocksWithSheet="0"/>
  </xdr:oneCellAnchor>
  <xdr:oneCellAnchor>
    <xdr:from>
      <xdr:col>6</xdr:col>
      <xdr:colOff>38100</xdr:colOff>
      <xdr:row>1204</xdr:row>
      <xdr:rowOff>38100</xdr:rowOff>
    </xdr:from>
    <xdr:ext cx="638175" cy="438150"/>
    <xdr:pic>
      <xdr:nvPicPr>
        <xdr:cNvPr id="0" name="image726.jpg"/>
        <xdr:cNvPicPr preferRelativeResize="0"/>
      </xdr:nvPicPr>
      <xdr:blipFill>
        <a:blip cstate="print" r:embed="rId736"/>
        <a:stretch>
          <a:fillRect/>
        </a:stretch>
      </xdr:blipFill>
      <xdr:spPr>
        <a:prstGeom prst="rect">
          <a:avLst/>
        </a:prstGeom>
        <a:noFill/>
      </xdr:spPr>
    </xdr:pic>
    <xdr:clientData fLocksWithSheet="0"/>
  </xdr:oneCellAnchor>
  <xdr:oneCellAnchor>
    <xdr:from>
      <xdr:col>6</xdr:col>
      <xdr:colOff>38100</xdr:colOff>
      <xdr:row>1205</xdr:row>
      <xdr:rowOff>38100</xdr:rowOff>
    </xdr:from>
    <xdr:ext cx="638175" cy="476250"/>
    <xdr:pic>
      <xdr:nvPicPr>
        <xdr:cNvPr id="0" name="image734.jpg"/>
        <xdr:cNvPicPr preferRelativeResize="0"/>
      </xdr:nvPicPr>
      <xdr:blipFill>
        <a:blip cstate="print" r:embed="rId737"/>
        <a:stretch>
          <a:fillRect/>
        </a:stretch>
      </xdr:blipFill>
      <xdr:spPr>
        <a:prstGeom prst="rect">
          <a:avLst/>
        </a:prstGeom>
        <a:noFill/>
      </xdr:spPr>
    </xdr:pic>
    <xdr:clientData fLocksWithSheet="0"/>
  </xdr:oneCellAnchor>
  <xdr:oneCellAnchor>
    <xdr:from>
      <xdr:col>6</xdr:col>
      <xdr:colOff>38100</xdr:colOff>
      <xdr:row>1206</xdr:row>
      <xdr:rowOff>38100</xdr:rowOff>
    </xdr:from>
    <xdr:ext cx="638175" cy="476250"/>
    <xdr:pic>
      <xdr:nvPicPr>
        <xdr:cNvPr id="0" name="image722.jpg"/>
        <xdr:cNvPicPr preferRelativeResize="0"/>
      </xdr:nvPicPr>
      <xdr:blipFill>
        <a:blip cstate="print" r:embed="rId738"/>
        <a:stretch>
          <a:fillRect/>
        </a:stretch>
      </xdr:blipFill>
      <xdr:spPr>
        <a:prstGeom prst="rect">
          <a:avLst/>
        </a:prstGeom>
        <a:noFill/>
      </xdr:spPr>
    </xdr:pic>
    <xdr:clientData fLocksWithSheet="0"/>
  </xdr:oneCellAnchor>
  <xdr:oneCellAnchor>
    <xdr:from>
      <xdr:col>6</xdr:col>
      <xdr:colOff>38100</xdr:colOff>
      <xdr:row>1207</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1208</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1209</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1210</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1211</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1212</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1213</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1214</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1215</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1216</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1217</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1218</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1219</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1220</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1221</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1222</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1223</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1224</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1225</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1226</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1227</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1228</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1229</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1230</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1231</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1232</xdr:row>
      <xdr:rowOff>38100</xdr:rowOff>
    </xdr:from>
    <xdr:ext cx="381000" cy="342900"/>
    <xdr:pic>
      <xdr:nvPicPr>
        <xdr:cNvPr id="0" name="image736.jp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38100</xdr:colOff>
      <xdr:row>1233</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1234</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1235</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1236</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1237</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1238</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1239</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1240</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1241</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1242</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1243</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1244</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1245</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1246</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1247</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1248</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1249</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1250</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1251</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1252</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1253</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1254</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1255</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1256</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1257</xdr:row>
      <xdr:rowOff>38100</xdr:rowOff>
    </xdr:from>
    <xdr:ext cx="609600" cy="219075"/>
    <xdr:pic>
      <xdr:nvPicPr>
        <xdr:cNvPr id="0" name="image739.jp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38100</xdr:colOff>
      <xdr:row>1258</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1259</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1260</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1261</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1262</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1263</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1264</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1265</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1266</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1267</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1268</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1269</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1270</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1271</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1272</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1273</xdr:row>
      <xdr:rowOff>38100</xdr:rowOff>
    </xdr:from>
    <xdr:ext cx="542925" cy="266700"/>
    <xdr:pic>
      <xdr:nvPicPr>
        <xdr:cNvPr id="0" name="image745.jp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38100</xdr:colOff>
      <xdr:row>1274</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1275</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1276</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1277</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1278</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1279</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1280</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1281</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1282</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1283</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1284</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1285</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1286</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1287</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1288</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1289</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1290</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1291</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1292</xdr:row>
      <xdr:rowOff>38100</xdr:rowOff>
    </xdr:from>
    <xdr:ext cx="647700" cy="238125"/>
    <xdr:pic>
      <xdr:nvPicPr>
        <xdr:cNvPr id="0" name="image741.jp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38100</xdr:colOff>
      <xdr:row>1293</xdr:row>
      <xdr:rowOff>38100</xdr:rowOff>
    </xdr:from>
    <xdr:ext cx="523875" cy="323850"/>
    <xdr:pic>
      <xdr:nvPicPr>
        <xdr:cNvPr id="0" name="image742.jpg"/>
        <xdr:cNvPicPr preferRelativeResize="0"/>
      </xdr:nvPicPr>
      <xdr:blipFill>
        <a:blip cstate="print" r:embed="rId744"/>
        <a:stretch>
          <a:fillRect/>
        </a:stretch>
      </xdr:blipFill>
      <xdr:spPr>
        <a:prstGeom prst="rect">
          <a:avLst/>
        </a:prstGeom>
        <a:noFill/>
      </xdr:spPr>
    </xdr:pic>
    <xdr:clientData fLocksWithSheet="0"/>
  </xdr:oneCellAnchor>
  <xdr:oneCellAnchor>
    <xdr:from>
      <xdr:col>6</xdr:col>
      <xdr:colOff>38100</xdr:colOff>
      <xdr:row>1294</xdr:row>
      <xdr:rowOff>38100</xdr:rowOff>
    </xdr:from>
    <xdr:ext cx="523875" cy="323850"/>
    <xdr:pic>
      <xdr:nvPicPr>
        <xdr:cNvPr id="0" name="image742.jpg"/>
        <xdr:cNvPicPr preferRelativeResize="0"/>
      </xdr:nvPicPr>
      <xdr:blipFill>
        <a:blip cstate="print" r:embed="rId744"/>
        <a:stretch>
          <a:fillRect/>
        </a:stretch>
      </xdr:blipFill>
      <xdr:spPr>
        <a:prstGeom prst="rect">
          <a:avLst/>
        </a:prstGeom>
        <a:noFill/>
      </xdr:spPr>
    </xdr:pic>
    <xdr:clientData fLocksWithSheet="0"/>
  </xdr:oneCellAnchor>
  <xdr:oneCellAnchor>
    <xdr:from>
      <xdr:col>6</xdr:col>
      <xdr:colOff>38100</xdr:colOff>
      <xdr:row>1295</xdr:row>
      <xdr:rowOff>38100</xdr:rowOff>
    </xdr:from>
    <xdr:ext cx="523875" cy="323850"/>
    <xdr:pic>
      <xdr:nvPicPr>
        <xdr:cNvPr id="0" name="image742.jpg"/>
        <xdr:cNvPicPr preferRelativeResize="0"/>
      </xdr:nvPicPr>
      <xdr:blipFill>
        <a:blip cstate="print" r:embed="rId744"/>
        <a:stretch>
          <a:fillRect/>
        </a:stretch>
      </xdr:blipFill>
      <xdr:spPr>
        <a:prstGeom prst="rect">
          <a:avLst/>
        </a:prstGeom>
        <a:noFill/>
      </xdr:spPr>
    </xdr:pic>
    <xdr:clientData fLocksWithSheet="0"/>
  </xdr:oneCellAnchor>
  <xdr:oneCellAnchor>
    <xdr:from>
      <xdr:col>6</xdr:col>
      <xdr:colOff>38100</xdr:colOff>
      <xdr:row>1296</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1297</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1298</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1299</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1300</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1301</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1302</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1303</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1304</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1305</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1306</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1307</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1308</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1309</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1310</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1311</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1312</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1313</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1314</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1315</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1316</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1317</xdr:row>
      <xdr:rowOff>38100</xdr:rowOff>
    </xdr:from>
    <xdr:ext cx="647700" cy="276225"/>
    <xdr:pic>
      <xdr:nvPicPr>
        <xdr:cNvPr id="0" name="image746.jp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38100</xdr:colOff>
      <xdr:row>1318</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1319</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1320</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1321</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1322</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1323</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1324</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1325</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1326</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1327</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1328</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1329</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1330</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1331</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1332</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1333</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1334</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1335</xdr:row>
      <xdr:rowOff>38100</xdr:rowOff>
    </xdr:from>
    <xdr:ext cx="647700" cy="276225"/>
    <xdr:pic>
      <xdr:nvPicPr>
        <xdr:cNvPr id="0" name="image743.jp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38100</xdr:colOff>
      <xdr:row>1336</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1337</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1338</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1339</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1340</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1341</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1342</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1343</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1344</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1345</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1346</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1347</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1348</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1349</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1350</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1351</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1352</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1353</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1354</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1355</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1356</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1357</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1358</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1359</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1360</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1361</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1362</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1363</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1364</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1365</xdr:row>
      <xdr:rowOff>38100</xdr:rowOff>
    </xdr:from>
    <xdr:ext cx="647700" cy="266700"/>
    <xdr:pic>
      <xdr:nvPicPr>
        <xdr:cNvPr id="0" name="image744.jp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38100</xdr:colOff>
      <xdr:row>1366</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1367</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1368</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1369</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1370</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1371</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1372</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1373</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1374</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1375</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1376</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1377</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1378</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1379</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1380</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1381</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1382</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1383</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1384</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1385</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1386</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1387</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1388</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1389</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1390</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1391</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1392</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1393</xdr:row>
      <xdr:rowOff>38100</xdr:rowOff>
    </xdr:from>
    <xdr:ext cx="647700" cy="466725"/>
    <xdr:pic>
      <xdr:nvPicPr>
        <xdr:cNvPr id="0" name="image786.jpg"/>
        <xdr:cNvPicPr preferRelativeResize="0"/>
      </xdr:nvPicPr>
      <xdr:blipFill>
        <a:blip cstate="print" r:embed="rId748"/>
        <a:stretch>
          <a:fillRect/>
        </a:stretch>
      </xdr:blipFill>
      <xdr:spPr>
        <a:prstGeom prst="rect">
          <a:avLst/>
        </a:prstGeom>
        <a:noFill/>
      </xdr:spPr>
    </xdr:pic>
    <xdr:clientData fLocksWithSheet="0"/>
  </xdr:oneCellAnchor>
  <xdr:oneCellAnchor>
    <xdr:from>
      <xdr:col>6</xdr:col>
      <xdr:colOff>38100</xdr:colOff>
      <xdr:row>1394</xdr:row>
      <xdr:rowOff>38100</xdr:rowOff>
    </xdr:from>
    <xdr:ext cx="647700" cy="219075"/>
    <xdr:pic>
      <xdr:nvPicPr>
        <xdr:cNvPr id="0" name="image740.jp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38100</xdr:colOff>
      <xdr:row>1395</xdr:row>
      <xdr:rowOff>38100</xdr:rowOff>
    </xdr:from>
    <xdr:ext cx="352425" cy="514350"/>
    <xdr:pic>
      <xdr:nvPicPr>
        <xdr:cNvPr id="0" name="image772.jpg"/>
        <xdr:cNvPicPr preferRelativeResize="0"/>
      </xdr:nvPicPr>
      <xdr:blipFill>
        <a:blip cstate="print" r:embed="rId749"/>
        <a:stretch>
          <a:fillRect/>
        </a:stretch>
      </xdr:blipFill>
      <xdr:spPr>
        <a:prstGeom prst="rect">
          <a:avLst/>
        </a:prstGeom>
        <a:noFill/>
      </xdr:spPr>
    </xdr:pic>
    <xdr:clientData fLocksWithSheet="0"/>
  </xdr:oneCellAnchor>
  <xdr:oneCellAnchor>
    <xdr:from>
      <xdr:col>6</xdr:col>
      <xdr:colOff>38100</xdr:colOff>
      <xdr:row>1396</xdr:row>
      <xdr:rowOff>38100</xdr:rowOff>
    </xdr:from>
    <xdr:ext cx="352425" cy="495300"/>
    <xdr:pic>
      <xdr:nvPicPr>
        <xdr:cNvPr id="0" name="image757.jpg"/>
        <xdr:cNvPicPr preferRelativeResize="0"/>
      </xdr:nvPicPr>
      <xdr:blipFill>
        <a:blip cstate="print" r:embed="rId750"/>
        <a:stretch>
          <a:fillRect/>
        </a:stretch>
      </xdr:blipFill>
      <xdr:spPr>
        <a:prstGeom prst="rect">
          <a:avLst/>
        </a:prstGeom>
        <a:noFill/>
      </xdr:spPr>
    </xdr:pic>
    <xdr:clientData fLocksWithSheet="0"/>
  </xdr:oneCellAnchor>
  <xdr:oneCellAnchor>
    <xdr:from>
      <xdr:col>6</xdr:col>
      <xdr:colOff>38100</xdr:colOff>
      <xdr:row>1397</xdr:row>
      <xdr:rowOff>38100</xdr:rowOff>
    </xdr:from>
    <xdr:ext cx="342900" cy="514350"/>
    <xdr:pic>
      <xdr:nvPicPr>
        <xdr:cNvPr id="0" name="image751.jpg"/>
        <xdr:cNvPicPr preferRelativeResize="0"/>
      </xdr:nvPicPr>
      <xdr:blipFill>
        <a:blip cstate="print" r:embed="rId751"/>
        <a:stretch>
          <a:fillRect/>
        </a:stretch>
      </xdr:blipFill>
      <xdr:spPr>
        <a:prstGeom prst="rect">
          <a:avLst/>
        </a:prstGeom>
        <a:noFill/>
      </xdr:spPr>
    </xdr:pic>
    <xdr:clientData fLocksWithSheet="0"/>
  </xdr:oneCellAnchor>
  <xdr:oneCellAnchor>
    <xdr:from>
      <xdr:col>6</xdr:col>
      <xdr:colOff>38100</xdr:colOff>
      <xdr:row>1398</xdr:row>
      <xdr:rowOff>38100</xdr:rowOff>
    </xdr:from>
    <xdr:ext cx="352425" cy="495300"/>
    <xdr:pic>
      <xdr:nvPicPr>
        <xdr:cNvPr id="0" name="image757.jpg"/>
        <xdr:cNvPicPr preferRelativeResize="0"/>
      </xdr:nvPicPr>
      <xdr:blipFill>
        <a:blip cstate="print" r:embed="rId750"/>
        <a:stretch>
          <a:fillRect/>
        </a:stretch>
      </xdr:blipFill>
      <xdr:spPr>
        <a:prstGeom prst="rect">
          <a:avLst/>
        </a:prstGeom>
        <a:noFill/>
      </xdr:spPr>
    </xdr:pic>
    <xdr:clientData fLocksWithSheet="0"/>
  </xdr:oneCellAnchor>
  <xdr:oneCellAnchor>
    <xdr:from>
      <xdr:col>6</xdr:col>
      <xdr:colOff>38100</xdr:colOff>
      <xdr:row>1399</xdr:row>
      <xdr:rowOff>38100</xdr:rowOff>
    </xdr:from>
    <xdr:ext cx="342900" cy="514350"/>
    <xdr:pic>
      <xdr:nvPicPr>
        <xdr:cNvPr id="0" name="image751.jpg"/>
        <xdr:cNvPicPr preferRelativeResize="0"/>
      </xdr:nvPicPr>
      <xdr:blipFill>
        <a:blip cstate="print" r:embed="rId751"/>
        <a:stretch>
          <a:fillRect/>
        </a:stretch>
      </xdr:blipFill>
      <xdr:spPr>
        <a:prstGeom prst="rect">
          <a:avLst/>
        </a:prstGeom>
        <a:noFill/>
      </xdr:spPr>
    </xdr:pic>
    <xdr:clientData fLocksWithSheet="0"/>
  </xdr:oneCellAnchor>
  <xdr:oneCellAnchor>
    <xdr:from>
      <xdr:col>6</xdr:col>
      <xdr:colOff>38100</xdr:colOff>
      <xdr:row>1400</xdr:row>
      <xdr:rowOff>38100</xdr:rowOff>
    </xdr:from>
    <xdr:ext cx="352425" cy="495300"/>
    <xdr:pic>
      <xdr:nvPicPr>
        <xdr:cNvPr id="0" name="image757.jpg"/>
        <xdr:cNvPicPr preferRelativeResize="0"/>
      </xdr:nvPicPr>
      <xdr:blipFill>
        <a:blip cstate="print" r:embed="rId750"/>
        <a:stretch>
          <a:fillRect/>
        </a:stretch>
      </xdr:blipFill>
      <xdr:spPr>
        <a:prstGeom prst="rect">
          <a:avLst/>
        </a:prstGeom>
        <a:noFill/>
      </xdr:spPr>
    </xdr:pic>
    <xdr:clientData fLocksWithSheet="0"/>
  </xdr:oneCellAnchor>
  <xdr:oneCellAnchor>
    <xdr:from>
      <xdr:col>6</xdr:col>
      <xdr:colOff>38100</xdr:colOff>
      <xdr:row>1401</xdr:row>
      <xdr:rowOff>38100</xdr:rowOff>
    </xdr:from>
    <xdr:ext cx="342900" cy="514350"/>
    <xdr:pic>
      <xdr:nvPicPr>
        <xdr:cNvPr id="0" name="image751.jpg"/>
        <xdr:cNvPicPr preferRelativeResize="0"/>
      </xdr:nvPicPr>
      <xdr:blipFill>
        <a:blip cstate="print" r:embed="rId751"/>
        <a:stretch>
          <a:fillRect/>
        </a:stretch>
      </xdr:blipFill>
      <xdr:spPr>
        <a:prstGeom prst="rect">
          <a:avLst/>
        </a:prstGeom>
        <a:noFill/>
      </xdr:spPr>
    </xdr:pic>
    <xdr:clientData fLocksWithSheet="0"/>
  </xdr:oneCellAnchor>
  <xdr:oneCellAnchor>
    <xdr:from>
      <xdr:col>6</xdr:col>
      <xdr:colOff>38100</xdr:colOff>
      <xdr:row>1402</xdr:row>
      <xdr:rowOff>38100</xdr:rowOff>
    </xdr:from>
    <xdr:ext cx="352425" cy="495300"/>
    <xdr:pic>
      <xdr:nvPicPr>
        <xdr:cNvPr id="0" name="image757.jpg"/>
        <xdr:cNvPicPr preferRelativeResize="0"/>
      </xdr:nvPicPr>
      <xdr:blipFill>
        <a:blip cstate="print" r:embed="rId750"/>
        <a:stretch>
          <a:fillRect/>
        </a:stretch>
      </xdr:blipFill>
      <xdr:spPr>
        <a:prstGeom prst="rect">
          <a:avLst/>
        </a:prstGeom>
        <a:noFill/>
      </xdr:spPr>
    </xdr:pic>
    <xdr:clientData fLocksWithSheet="0"/>
  </xdr:oneCellAnchor>
  <xdr:oneCellAnchor>
    <xdr:from>
      <xdr:col>6</xdr:col>
      <xdr:colOff>38100</xdr:colOff>
      <xdr:row>1403</xdr:row>
      <xdr:rowOff>38100</xdr:rowOff>
    </xdr:from>
    <xdr:ext cx="342900" cy="514350"/>
    <xdr:pic>
      <xdr:nvPicPr>
        <xdr:cNvPr id="0" name="image751.jpg"/>
        <xdr:cNvPicPr preferRelativeResize="0"/>
      </xdr:nvPicPr>
      <xdr:blipFill>
        <a:blip cstate="print" r:embed="rId751"/>
        <a:stretch>
          <a:fillRect/>
        </a:stretch>
      </xdr:blipFill>
      <xdr:spPr>
        <a:prstGeom prst="rect">
          <a:avLst/>
        </a:prstGeom>
        <a:noFill/>
      </xdr:spPr>
    </xdr:pic>
    <xdr:clientData fLocksWithSheet="0"/>
  </xdr:oneCellAnchor>
  <xdr:oneCellAnchor>
    <xdr:from>
      <xdr:col>6</xdr:col>
      <xdr:colOff>38100</xdr:colOff>
      <xdr:row>1404</xdr:row>
      <xdr:rowOff>38100</xdr:rowOff>
    </xdr:from>
    <xdr:ext cx="352425" cy="495300"/>
    <xdr:pic>
      <xdr:nvPicPr>
        <xdr:cNvPr id="0" name="image757.jpg"/>
        <xdr:cNvPicPr preferRelativeResize="0"/>
      </xdr:nvPicPr>
      <xdr:blipFill>
        <a:blip cstate="print" r:embed="rId750"/>
        <a:stretch>
          <a:fillRect/>
        </a:stretch>
      </xdr:blipFill>
      <xdr:spPr>
        <a:prstGeom prst="rect">
          <a:avLst/>
        </a:prstGeom>
        <a:noFill/>
      </xdr:spPr>
    </xdr:pic>
    <xdr:clientData fLocksWithSheet="0"/>
  </xdr:oneCellAnchor>
  <xdr:oneCellAnchor>
    <xdr:from>
      <xdr:col>6</xdr:col>
      <xdr:colOff>38100</xdr:colOff>
      <xdr:row>1405</xdr:row>
      <xdr:rowOff>38100</xdr:rowOff>
    </xdr:from>
    <xdr:ext cx="342900" cy="514350"/>
    <xdr:pic>
      <xdr:nvPicPr>
        <xdr:cNvPr id="0" name="image751.jpg"/>
        <xdr:cNvPicPr preferRelativeResize="0"/>
      </xdr:nvPicPr>
      <xdr:blipFill>
        <a:blip cstate="print" r:embed="rId751"/>
        <a:stretch>
          <a:fillRect/>
        </a:stretch>
      </xdr:blipFill>
      <xdr:spPr>
        <a:prstGeom prst="rect">
          <a:avLst/>
        </a:prstGeom>
        <a:noFill/>
      </xdr:spPr>
    </xdr:pic>
    <xdr:clientData fLocksWithSheet="0"/>
  </xdr:oneCellAnchor>
  <xdr:oneCellAnchor>
    <xdr:from>
      <xdr:col>6</xdr:col>
      <xdr:colOff>38100</xdr:colOff>
      <xdr:row>1406</xdr:row>
      <xdr:rowOff>38100</xdr:rowOff>
    </xdr:from>
    <xdr:ext cx="352425" cy="495300"/>
    <xdr:pic>
      <xdr:nvPicPr>
        <xdr:cNvPr id="0" name="image757.jpg"/>
        <xdr:cNvPicPr preferRelativeResize="0"/>
      </xdr:nvPicPr>
      <xdr:blipFill>
        <a:blip cstate="print" r:embed="rId750"/>
        <a:stretch>
          <a:fillRect/>
        </a:stretch>
      </xdr:blipFill>
      <xdr:spPr>
        <a:prstGeom prst="rect">
          <a:avLst/>
        </a:prstGeom>
        <a:noFill/>
      </xdr:spPr>
    </xdr:pic>
    <xdr:clientData fLocksWithSheet="0"/>
  </xdr:oneCellAnchor>
  <xdr:oneCellAnchor>
    <xdr:from>
      <xdr:col>6</xdr:col>
      <xdr:colOff>38100</xdr:colOff>
      <xdr:row>1407</xdr:row>
      <xdr:rowOff>38100</xdr:rowOff>
    </xdr:from>
    <xdr:ext cx="352425" cy="495300"/>
    <xdr:pic>
      <xdr:nvPicPr>
        <xdr:cNvPr id="0" name="image757.jpg"/>
        <xdr:cNvPicPr preferRelativeResize="0"/>
      </xdr:nvPicPr>
      <xdr:blipFill>
        <a:blip cstate="print" r:embed="rId750"/>
        <a:stretch>
          <a:fillRect/>
        </a:stretch>
      </xdr:blipFill>
      <xdr:spPr>
        <a:prstGeom prst="rect">
          <a:avLst/>
        </a:prstGeom>
        <a:noFill/>
      </xdr:spPr>
    </xdr:pic>
    <xdr:clientData fLocksWithSheet="0"/>
  </xdr:oneCellAnchor>
  <xdr:oneCellAnchor>
    <xdr:from>
      <xdr:col>6</xdr:col>
      <xdr:colOff>38100</xdr:colOff>
      <xdr:row>1408</xdr:row>
      <xdr:rowOff>38100</xdr:rowOff>
    </xdr:from>
    <xdr:ext cx="352425" cy="495300"/>
    <xdr:pic>
      <xdr:nvPicPr>
        <xdr:cNvPr id="0" name="image757.jpg"/>
        <xdr:cNvPicPr preferRelativeResize="0"/>
      </xdr:nvPicPr>
      <xdr:blipFill>
        <a:blip cstate="print" r:embed="rId750"/>
        <a:stretch>
          <a:fillRect/>
        </a:stretch>
      </xdr:blipFill>
      <xdr:spPr>
        <a:prstGeom prst="rect">
          <a:avLst/>
        </a:prstGeom>
        <a:noFill/>
      </xdr:spPr>
    </xdr:pic>
    <xdr:clientData fLocksWithSheet="0"/>
  </xdr:oneCellAnchor>
  <xdr:oneCellAnchor>
    <xdr:from>
      <xdr:col>6</xdr:col>
      <xdr:colOff>38100</xdr:colOff>
      <xdr:row>1409</xdr:row>
      <xdr:rowOff>38100</xdr:rowOff>
    </xdr:from>
    <xdr:ext cx="352425" cy="495300"/>
    <xdr:pic>
      <xdr:nvPicPr>
        <xdr:cNvPr id="0" name="image757.jpg"/>
        <xdr:cNvPicPr preferRelativeResize="0"/>
      </xdr:nvPicPr>
      <xdr:blipFill>
        <a:blip cstate="print" r:embed="rId750"/>
        <a:stretch>
          <a:fillRect/>
        </a:stretch>
      </xdr:blipFill>
      <xdr:spPr>
        <a:prstGeom prst="rect">
          <a:avLst/>
        </a:prstGeom>
        <a:noFill/>
      </xdr:spPr>
    </xdr:pic>
    <xdr:clientData fLocksWithSheet="0"/>
  </xdr:oneCellAnchor>
  <xdr:oneCellAnchor>
    <xdr:from>
      <xdr:col>6</xdr:col>
      <xdr:colOff>38100</xdr:colOff>
      <xdr:row>1410</xdr:row>
      <xdr:rowOff>38100</xdr:rowOff>
    </xdr:from>
    <xdr:ext cx="647700" cy="466725"/>
    <xdr:pic>
      <xdr:nvPicPr>
        <xdr:cNvPr id="0" name="image749.jpg"/>
        <xdr:cNvPicPr preferRelativeResize="0"/>
      </xdr:nvPicPr>
      <xdr:blipFill>
        <a:blip cstate="print" r:embed="rId752"/>
        <a:stretch>
          <a:fillRect/>
        </a:stretch>
      </xdr:blipFill>
      <xdr:spPr>
        <a:prstGeom prst="rect">
          <a:avLst/>
        </a:prstGeom>
        <a:noFill/>
      </xdr:spPr>
    </xdr:pic>
    <xdr:clientData fLocksWithSheet="0"/>
  </xdr:oneCellAnchor>
  <xdr:oneCellAnchor>
    <xdr:from>
      <xdr:col>6</xdr:col>
      <xdr:colOff>38100</xdr:colOff>
      <xdr:row>1411</xdr:row>
      <xdr:rowOff>38100</xdr:rowOff>
    </xdr:from>
    <xdr:ext cx="638175" cy="476250"/>
    <xdr:pic>
      <xdr:nvPicPr>
        <xdr:cNvPr id="0" name="image752.jpg"/>
        <xdr:cNvPicPr preferRelativeResize="0"/>
      </xdr:nvPicPr>
      <xdr:blipFill>
        <a:blip cstate="print" r:embed="rId753"/>
        <a:stretch>
          <a:fillRect/>
        </a:stretch>
      </xdr:blipFill>
      <xdr:spPr>
        <a:prstGeom prst="rect">
          <a:avLst/>
        </a:prstGeom>
        <a:noFill/>
      </xdr:spPr>
    </xdr:pic>
    <xdr:clientData fLocksWithSheet="0"/>
  </xdr:oneCellAnchor>
  <xdr:oneCellAnchor>
    <xdr:from>
      <xdr:col>6</xdr:col>
      <xdr:colOff>38100</xdr:colOff>
      <xdr:row>1412</xdr:row>
      <xdr:rowOff>38100</xdr:rowOff>
    </xdr:from>
    <xdr:ext cx="638175" cy="476250"/>
    <xdr:pic>
      <xdr:nvPicPr>
        <xdr:cNvPr id="0" name="image752.jpg"/>
        <xdr:cNvPicPr preferRelativeResize="0"/>
      </xdr:nvPicPr>
      <xdr:blipFill>
        <a:blip cstate="print" r:embed="rId753"/>
        <a:stretch>
          <a:fillRect/>
        </a:stretch>
      </xdr:blipFill>
      <xdr:spPr>
        <a:prstGeom prst="rect">
          <a:avLst/>
        </a:prstGeom>
        <a:noFill/>
      </xdr:spPr>
    </xdr:pic>
    <xdr:clientData fLocksWithSheet="0"/>
  </xdr:oneCellAnchor>
  <xdr:oneCellAnchor>
    <xdr:from>
      <xdr:col>6</xdr:col>
      <xdr:colOff>38100</xdr:colOff>
      <xdr:row>1413</xdr:row>
      <xdr:rowOff>38100</xdr:rowOff>
    </xdr:from>
    <xdr:ext cx="542925" cy="514350"/>
    <xdr:pic>
      <xdr:nvPicPr>
        <xdr:cNvPr id="0" name="image750.jpg"/>
        <xdr:cNvPicPr preferRelativeResize="0"/>
      </xdr:nvPicPr>
      <xdr:blipFill>
        <a:blip cstate="print" r:embed="rId754"/>
        <a:stretch>
          <a:fillRect/>
        </a:stretch>
      </xdr:blipFill>
      <xdr:spPr>
        <a:prstGeom prst="rect">
          <a:avLst/>
        </a:prstGeom>
        <a:noFill/>
      </xdr:spPr>
    </xdr:pic>
    <xdr:clientData fLocksWithSheet="0"/>
  </xdr:oneCellAnchor>
  <xdr:oneCellAnchor>
    <xdr:from>
      <xdr:col>6</xdr:col>
      <xdr:colOff>38100</xdr:colOff>
      <xdr:row>1414</xdr:row>
      <xdr:rowOff>38100</xdr:rowOff>
    </xdr:from>
    <xdr:ext cx="542925" cy="514350"/>
    <xdr:pic>
      <xdr:nvPicPr>
        <xdr:cNvPr id="0" name="image750.jpg"/>
        <xdr:cNvPicPr preferRelativeResize="0"/>
      </xdr:nvPicPr>
      <xdr:blipFill>
        <a:blip cstate="print" r:embed="rId754"/>
        <a:stretch>
          <a:fillRect/>
        </a:stretch>
      </xdr:blipFill>
      <xdr:spPr>
        <a:prstGeom prst="rect">
          <a:avLst/>
        </a:prstGeom>
        <a:noFill/>
      </xdr:spPr>
    </xdr:pic>
    <xdr:clientData fLocksWithSheet="0"/>
  </xdr:oneCellAnchor>
  <xdr:oneCellAnchor>
    <xdr:from>
      <xdr:col>6</xdr:col>
      <xdr:colOff>38100</xdr:colOff>
      <xdr:row>1415</xdr:row>
      <xdr:rowOff>38100</xdr:rowOff>
    </xdr:from>
    <xdr:ext cx="542925" cy="514350"/>
    <xdr:pic>
      <xdr:nvPicPr>
        <xdr:cNvPr id="0" name="image750.jpg"/>
        <xdr:cNvPicPr preferRelativeResize="0"/>
      </xdr:nvPicPr>
      <xdr:blipFill>
        <a:blip cstate="print" r:embed="rId754"/>
        <a:stretch>
          <a:fillRect/>
        </a:stretch>
      </xdr:blipFill>
      <xdr:spPr>
        <a:prstGeom prst="rect">
          <a:avLst/>
        </a:prstGeom>
        <a:noFill/>
      </xdr:spPr>
    </xdr:pic>
    <xdr:clientData fLocksWithSheet="0"/>
  </xdr:oneCellAnchor>
  <xdr:oneCellAnchor>
    <xdr:from>
      <xdr:col>6</xdr:col>
      <xdr:colOff>38100</xdr:colOff>
      <xdr:row>1416</xdr:row>
      <xdr:rowOff>38100</xdr:rowOff>
    </xdr:from>
    <xdr:ext cx="476250" cy="514350"/>
    <xdr:pic>
      <xdr:nvPicPr>
        <xdr:cNvPr id="0" name="image753.jpg"/>
        <xdr:cNvPicPr preferRelativeResize="0"/>
      </xdr:nvPicPr>
      <xdr:blipFill>
        <a:blip cstate="print" r:embed="rId755"/>
        <a:stretch>
          <a:fillRect/>
        </a:stretch>
      </xdr:blipFill>
      <xdr:spPr>
        <a:prstGeom prst="rect">
          <a:avLst/>
        </a:prstGeom>
        <a:noFill/>
      </xdr:spPr>
    </xdr:pic>
    <xdr:clientData fLocksWithSheet="0"/>
  </xdr:oneCellAnchor>
  <xdr:oneCellAnchor>
    <xdr:from>
      <xdr:col>6</xdr:col>
      <xdr:colOff>38100</xdr:colOff>
      <xdr:row>1417</xdr:row>
      <xdr:rowOff>38100</xdr:rowOff>
    </xdr:from>
    <xdr:ext cx="476250" cy="514350"/>
    <xdr:pic>
      <xdr:nvPicPr>
        <xdr:cNvPr id="0" name="image753.jpg"/>
        <xdr:cNvPicPr preferRelativeResize="0"/>
      </xdr:nvPicPr>
      <xdr:blipFill>
        <a:blip cstate="print" r:embed="rId755"/>
        <a:stretch>
          <a:fillRect/>
        </a:stretch>
      </xdr:blipFill>
      <xdr:spPr>
        <a:prstGeom prst="rect">
          <a:avLst/>
        </a:prstGeom>
        <a:noFill/>
      </xdr:spPr>
    </xdr:pic>
    <xdr:clientData fLocksWithSheet="0"/>
  </xdr:oneCellAnchor>
  <xdr:oneCellAnchor>
    <xdr:from>
      <xdr:col>6</xdr:col>
      <xdr:colOff>38100</xdr:colOff>
      <xdr:row>1418</xdr:row>
      <xdr:rowOff>38100</xdr:rowOff>
    </xdr:from>
    <xdr:ext cx="390525" cy="514350"/>
    <xdr:pic>
      <xdr:nvPicPr>
        <xdr:cNvPr id="0" name="image766.jpg"/>
        <xdr:cNvPicPr preferRelativeResize="0"/>
      </xdr:nvPicPr>
      <xdr:blipFill>
        <a:blip cstate="print" r:embed="rId756"/>
        <a:stretch>
          <a:fillRect/>
        </a:stretch>
      </xdr:blipFill>
      <xdr:spPr>
        <a:prstGeom prst="rect">
          <a:avLst/>
        </a:prstGeom>
        <a:noFill/>
      </xdr:spPr>
    </xdr:pic>
    <xdr:clientData fLocksWithSheet="0"/>
  </xdr:oneCellAnchor>
  <xdr:oneCellAnchor>
    <xdr:from>
      <xdr:col>6</xdr:col>
      <xdr:colOff>38100</xdr:colOff>
      <xdr:row>1419</xdr:row>
      <xdr:rowOff>38100</xdr:rowOff>
    </xdr:from>
    <xdr:ext cx="390525" cy="514350"/>
    <xdr:pic>
      <xdr:nvPicPr>
        <xdr:cNvPr id="0" name="image766.jpg"/>
        <xdr:cNvPicPr preferRelativeResize="0"/>
      </xdr:nvPicPr>
      <xdr:blipFill>
        <a:blip cstate="print" r:embed="rId756"/>
        <a:stretch>
          <a:fillRect/>
        </a:stretch>
      </xdr:blipFill>
      <xdr:spPr>
        <a:prstGeom prst="rect">
          <a:avLst/>
        </a:prstGeom>
        <a:noFill/>
      </xdr:spPr>
    </xdr:pic>
    <xdr:clientData fLocksWithSheet="0"/>
  </xdr:oneCellAnchor>
  <xdr:oneCellAnchor>
    <xdr:from>
      <xdr:col>6</xdr:col>
      <xdr:colOff>38100</xdr:colOff>
      <xdr:row>1420</xdr:row>
      <xdr:rowOff>38100</xdr:rowOff>
    </xdr:from>
    <xdr:ext cx="390525" cy="514350"/>
    <xdr:pic>
      <xdr:nvPicPr>
        <xdr:cNvPr id="0" name="image766.jpg"/>
        <xdr:cNvPicPr preferRelativeResize="0"/>
      </xdr:nvPicPr>
      <xdr:blipFill>
        <a:blip cstate="print" r:embed="rId756"/>
        <a:stretch>
          <a:fillRect/>
        </a:stretch>
      </xdr:blipFill>
      <xdr:spPr>
        <a:prstGeom prst="rect">
          <a:avLst/>
        </a:prstGeom>
        <a:noFill/>
      </xdr:spPr>
    </xdr:pic>
    <xdr:clientData fLocksWithSheet="0"/>
  </xdr:oneCellAnchor>
  <xdr:oneCellAnchor>
    <xdr:from>
      <xdr:col>6</xdr:col>
      <xdr:colOff>38100</xdr:colOff>
      <xdr:row>1421</xdr:row>
      <xdr:rowOff>38100</xdr:rowOff>
    </xdr:from>
    <xdr:ext cx="342900" cy="514350"/>
    <xdr:pic>
      <xdr:nvPicPr>
        <xdr:cNvPr id="0" name="image754.jpg"/>
        <xdr:cNvPicPr preferRelativeResize="0"/>
      </xdr:nvPicPr>
      <xdr:blipFill>
        <a:blip cstate="print" r:embed="rId757"/>
        <a:stretch>
          <a:fillRect/>
        </a:stretch>
      </xdr:blipFill>
      <xdr:spPr>
        <a:prstGeom prst="rect">
          <a:avLst/>
        </a:prstGeom>
        <a:noFill/>
      </xdr:spPr>
    </xdr:pic>
    <xdr:clientData fLocksWithSheet="0"/>
  </xdr:oneCellAnchor>
  <xdr:oneCellAnchor>
    <xdr:from>
      <xdr:col>6</xdr:col>
      <xdr:colOff>38100</xdr:colOff>
      <xdr:row>1422</xdr:row>
      <xdr:rowOff>38100</xdr:rowOff>
    </xdr:from>
    <xdr:ext cx="342900" cy="514350"/>
    <xdr:pic>
      <xdr:nvPicPr>
        <xdr:cNvPr id="0" name="image754.jpg"/>
        <xdr:cNvPicPr preferRelativeResize="0"/>
      </xdr:nvPicPr>
      <xdr:blipFill>
        <a:blip cstate="print" r:embed="rId757"/>
        <a:stretch>
          <a:fillRect/>
        </a:stretch>
      </xdr:blipFill>
      <xdr:spPr>
        <a:prstGeom prst="rect">
          <a:avLst/>
        </a:prstGeom>
        <a:noFill/>
      </xdr:spPr>
    </xdr:pic>
    <xdr:clientData fLocksWithSheet="0"/>
  </xdr:oneCellAnchor>
  <xdr:oneCellAnchor>
    <xdr:from>
      <xdr:col>6</xdr:col>
      <xdr:colOff>38100</xdr:colOff>
      <xdr:row>1423</xdr:row>
      <xdr:rowOff>38100</xdr:rowOff>
    </xdr:from>
    <xdr:ext cx="647700" cy="485775"/>
    <xdr:pic>
      <xdr:nvPicPr>
        <xdr:cNvPr id="0" name="image748.jpg"/>
        <xdr:cNvPicPr preferRelativeResize="0"/>
      </xdr:nvPicPr>
      <xdr:blipFill>
        <a:blip cstate="print" r:embed="rId758"/>
        <a:stretch>
          <a:fillRect/>
        </a:stretch>
      </xdr:blipFill>
      <xdr:spPr>
        <a:prstGeom prst="rect">
          <a:avLst/>
        </a:prstGeom>
        <a:noFill/>
      </xdr:spPr>
    </xdr:pic>
    <xdr:clientData fLocksWithSheet="0"/>
  </xdr:oneCellAnchor>
  <xdr:oneCellAnchor>
    <xdr:from>
      <xdr:col>6</xdr:col>
      <xdr:colOff>38100</xdr:colOff>
      <xdr:row>1424</xdr:row>
      <xdr:rowOff>38100</xdr:rowOff>
    </xdr:from>
    <xdr:ext cx="409575" cy="514350"/>
    <xdr:pic>
      <xdr:nvPicPr>
        <xdr:cNvPr id="0" name="image759.jpg"/>
        <xdr:cNvPicPr preferRelativeResize="0"/>
      </xdr:nvPicPr>
      <xdr:blipFill>
        <a:blip cstate="print" r:embed="rId759"/>
        <a:stretch>
          <a:fillRect/>
        </a:stretch>
      </xdr:blipFill>
      <xdr:spPr>
        <a:prstGeom prst="rect">
          <a:avLst/>
        </a:prstGeom>
        <a:noFill/>
      </xdr:spPr>
    </xdr:pic>
    <xdr:clientData fLocksWithSheet="0"/>
  </xdr:oneCellAnchor>
  <xdr:oneCellAnchor>
    <xdr:from>
      <xdr:col>6</xdr:col>
      <xdr:colOff>38100</xdr:colOff>
      <xdr:row>1425</xdr:row>
      <xdr:rowOff>38100</xdr:rowOff>
    </xdr:from>
    <xdr:ext cx="409575" cy="514350"/>
    <xdr:pic>
      <xdr:nvPicPr>
        <xdr:cNvPr id="0" name="image759.jpg"/>
        <xdr:cNvPicPr preferRelativeResize="0"/>
      </xdr:nvPicPr>
      <xdr:blipFill>
        <a:blip cstate="print" r:embed="rId759"/>
        <a:stretch>
          <a:fillRect/>
        </a:stretch>
      </xdr:blipFill>
      <xdr:spPr>
        <a:prstGeom prst="rect">
          <a:avLst/>
        </a:prstGeom>
        <a:noFill/>
      </xdr:spPr>
    </xdr:pic>
    <xdr:clientData fLocksWithSheet="0"/>
  </xdr:oneCellAnchor>
  <xdr:oneCellAnchor>
    <xdr:from>
      <xdr:col>6</xdr:col>
      <xdr:colOff>38100</xdr:colOff>
      <xdr:row>1426</xdr:row>
      <xdr:rowOff>38100</xdr:rowOff>
    </xdr:from>
    <xdr:ext cx="400050" cy="514350"/>
    <xdr:pic>
      <xdr:nvPicPr>
        <xdr:cNvPr id="0" name="image747.jpg"/>
        <xdr:cNvPicPr preferRelativeResize="0"/>
      </xdr:nvPicPr>
      <xdr:blipFill>
        <a:blip cstate="print" r:embed="rId760"/>
        <a:stretch>
          <a:fillRect/>
        </a:stretch>
      </xdr:blipFill>
      <xdr:spPr>
        <a:prstGeom prst="rect">
          <a:avLst/>
        </a:prstGeom>
        <a:noFill/>
      </xdr:spPr>
    </xdr:pic>
    <xdr:clientData fLocksWithSheet="0"/>
  </xdr:oneCellAnchor>
  <xdr:oneCellAnchor>
    <xdr:from>
      <xdr:col>6</xdr:col>
      <xdr:colOff>38100</xdr:colOff>
      <xdr:row>1427</xdr:row>
      <xdr:rowOff>38100</xdr:rowOff>
    </xdr:from>
    <xdr:ext cx="400050" cy="514350"/>
    <xdr:pic>
      <xdr:nvPicPr>
        <xdr:cNvPr id="0" name="image747.jpg"/>
        <xdr:cNvPicPr preferRelativeResize="0"/>
      </xdr:nvPicPr>
      <xdr:blipFill>
        <a:blip cstate="print" r:embed="rId760"/>
        <a:stretch>
          <a:fillRect/>
        </a:stretch>
      </xdr:blipFill>
      <xdr:spPr>
        <a:prstGeom prst="rect">
          <a:avLst/>
        </a:prstGeom>
        <a:noFill/>
      </xdr:spPr>
    </xdr:pic>
    <xdr:clientData fLocksWithSheet="0"/>
  </xdr:oneCellAnchor>
  <xdr:oneCellAnchor>
    <xdr:from>
      <xdr:col>6</xdr:col>
      <xdr:colOff>38100</xdr:colOff>
      <xdr:row>1428</xdr:row>
      <xdr:rowOff>38100</xdr:rowOff>
    </xdr:from>
    <xdr:ext cx="400050" cy="514350"/>
    <xdr:pic>
      <xdr:nvPicPr>
        <xdr:cNvPr id="0" name="image755.jpg"/>
        <xdr:cNvPicPr preferRelativeResize="0"/>
      </xdr:nvPicPr>
      <xdr:blipFill>
        <a:blip cstate="print" r:embed="rId761"/>
        <a:stretch>
          <a:fillRect/>
        </a:stretch>
      </xdr:blipFill>
      <xdr:spPr>
        <a:prstGeom prst="rect">
          <a:avLst/>
        </a:prstGeom>
        <a:noFill/>
      </xdr:spPr>
    </xdr:pic>
    <xdr:clientData fLocksWithSheet="0"/>
  </xdr:oneCellAnchor>
  <xdr:oneCellAnchor>
    <xdr:from>
      <xdr:col>6</xdr:col>
      <xdr:colOff>38100</xdr:colOff>
      <xdr:row>1429</xdr:row>
      <xdr:rowOff>38100</xdr:rowOff>
    </xdr:from>
    <xdr:ext cx="400050" cy="514350"/>
    <xdr:pic>
      <xdr:nvPicPr>
        <xdr:cNvPr id="0" name="image755.jpg"/>
        <xdr:cNvPicPr preferRelativeResize="0"/>
      </xdr:nvPicPr>
      <xdr:blipFill>
        <a:blip cstate="print" r:embed="rId761"/>
        <a:stretch>
          <a:fillRect/>
        </a:stretch>
      </xdr:blipFill>
      <xdr:spPr>
        <a:prstGeom prst="rect">
          <a:avLst/>
        </a:prstGeom>
        <a:noFill/>
      </xdr:spPr>
    </xdr:pic>
    <xdr:clientData fLocksWithSheet="0"/>
  </xdr:oneCellAnchor>
  <xdr:oneCellAnchor>
    <xdr:from>
      <xdr:col>6</xdr:col>
      <xdr:colOff>38100</xdr:colOff>
      <xdr:row>1430</xdr:row>
      <xdr:rowOff>38100</xdr:rowOff>
    </xdr:from>
    <xdr:ext cx="561975" cy="514350"/>
    <xdr:pic>
      <xdr:nvPicPr>
        <xdr:cNvPr id="0" name="image765.jpg"/>
        <xdr:cNvPicPr preferRelativeResize="0"/>
      </xdr:nvPicPr>
      <xdr:blipFill>
        <a:blip cstate="print" r:embed="rId762"/>
        <a:stretch>
          <a:fillRect/>
        </a:stretch>
      </xdr:blipFill>
      <xdr:spPr>
        <a:prstGeom prst="rect">
          <a:avLst/>
        </a:prstGeom>
        <a:noFill/>
      </xdr:spPr>
    </xdr:pic>
    <xdr:clientData fLocksWithSheet="0"/>
  </xdr:oneCellAnchor>
  <xdr:oneCellAnchor>
    <xdr:from>
      <xdr:col>6</xdr:col>
      <xdr:colOff>38100</xdr:colOff>
      <xdr:row>1431</xdr:row>
      <xdr:rowOff>38100</xdr:rowOff>
    </xdr:from>
    <xdr:ext cx="561975" cy="514350"/>
    <xdr:pic>
      <xdr:nvPicPr>
        <xdr:cNvPr id="0" name="image765.jpg"/>
        <xdr:cNvPicPr preferRelativeResize="0"/>
      </xdr:nvPicPr>
      <xdr:blipFill>
        <a:blip cstate="print" r:embed="rId762"/>
        <a:stretch>
          <a:fillRect/>
        </a:stretch>
      </xdr:blipFill>
      <xdr:spPr>
        <a:prstGeom prst="rect">
          <a:avLst/>
        </a:prstGeom>
        <a:noFill/>
      </xdr:spPr>
    </xdr:pic>
    <xdr:clientData fLocksWithSheet="0"/>
  </xdr:oneCellAnchor>
  <xdr:oneCellAnchor>
    <xdr:from>
      <xdr:col>6</xdr:col>
      <xdr:colOff>38100</xdr:colOff>
      <xdr:row>1432</xdr:row>
      <xdr:rowOff>38100</xdr:rowOff>
    </xdr:from>
    <xdr:ext cx="561975" cy="514350"/>
    <xdr:pic>
      <xdr:nvPicPr>
        <xdr:cNvPr id="0" name="image765.jpg"/>
        <xdr:cNvPicPr preferRelativeResize="0"/>
      </xdr:nvPicPr>
      <xdr:blipFill>
        <a:blip cstate="print" r:embed="rId762"/>
        <a:stretch>
          <a:fillRect/>
        </a:stretch>
      </xdr:blipFill>
      <xdr:spPr>
        <a:prstGeom prst="rect">
          <a:avLst/>
        </a:prstGeom>
        <a:noFill/>
      </xdr:spPr>
    </xdr:pic>
    <xdr:clientData fLocksWithSheet="0"/>
  </xdr:oneCellAnchor>
  <xdr:oneCellAnchor>
    <xdr:from>
      <xdr:col>6</xdr:col>
      <xdr:colOff>38100</xdr:colOff>
      <xdr:row>1433</xdr:row>
      <xdr:rowOff>38100</xdr:rowOff>
    </xdr:from>
    <xdr:ext cx="561975" cy="514350"/>
    <xdr:pic>
      <xdr:nvPicPr>
        <xdr:cNvPr id="0" name="image765.jpg"/>
        <xdr:cNvPicPr preferRelativeResize="0"/>
      </xdr:nvPicPr>
      <xdr:blipFill>
        <a:blip cstate="print" r:embed="rId762"/>
        <a:stretch>
          <a:fillRect/>
        </a:stretch>
      </xdr:blipFill>
      <xdr:spPr>
        <a:prstGeom prst="rect">
          <a:avLst/>
        </a:prstGeom>
        <a:noFill/>
      </xdr:spPr>
    </xdr:pic>
    <xdr:clientData fLocksWithSheet="0"/>
  </xdr:oneCellAnchor>
  <xdr:oneCellAnchor>
    <xdr:from>
      <xdr:col>6</xdr:col>
      <xdr:colOff>38100</xdr:colOff>
      <xdr:row>1434</xdr:row>
      <xdr:rowOff>38100</xdr:rowOff>
    </xdr:from>
    <xdr:ext cx="561975" cy="514350"/>
    <xdr:pic>
      <xdr:nvPicPr>
        <xdr:cNvPr id="0" name="image765.jpg"/>
        <xdr:cNvPicPr preferRelativeResize="0"/>
      </xdr:nvPicPr>
      <xdr:blipFill>
        <a:blip cstate="print" r:embed="rId762"/>
        <a:stretch>
          <a:fillRect/>
        </a:stretch>
      </xdr:blipFill>
      <xdr:spPr>
        <a:prstGeom prst="rect">
          <a:avLst/>
        </a:prstGeom>
        <a:noFill/>
      </xdr:spPr>
    </xdr:pic>
    <xdr:clientData fLocksWithSheet="0"/>
  </xdr:oneCellAnchor>
  <xdr:oneCellAnchor>
    <xdr:from>
      <xdr:col>6</xdr:col>
      <xdr:colOff>38100</xdr:colOff>
      <xdr:row>1435</xdr:row>
      <xdr:rowOff>38100</xdr:rowOff>
    </xdr:from>
    <xdr:ext cx="561975" cy="514350"/>
    <xdr:pic>
      <xdr:nvPicPr>
        <xdr:cNvPr id="0" name="image765.jpg"/>
        <xdr:cNvPicPr preferRelativeResize="0"/>
      </xdr:nvPicPr>
      <xdr:blipFill>
        <a:blip cstate="print" r:embed="rId762"/>
        <a:stretch>
          <a:fillRect/>
        </a:stretch>
      </xdr:blipFill>
      <xdr:spPr>
        <a:prstGeom prst="rect">
          <a:avLst/>
        </a:prstGeom>
        <a:noFill/>
      </xdr:spPr>
    </xdr:pic>
    <xdr:clientData fLocksWithSheet="0"/>
  </xdr:oneCellAnchor>
  <xdr:oneCellAnchor>
    <xdr:from>
      <xdr:col>6</xdr:col>
      <xdr:colOff>38100</xdr:colOff>
      <xdr:row>1436</xdr:row>
      <xdr:rowOff>38100</xdr:rowOff>
    </xdr:from>
    <xdr:ext cx="561975" cy="514350"/>
    <xdr:pic>
      <xdr:nvPicPr>
        <xdr:cNvPr id="0" name="image765.jpg"/>
        <xdr:cNvPicPr preferRelativeResize="0"/>
      </xdr:nvPicPr>
      <xdr:blipFill>
        <a:blip cstate="print" r:embed="rId762"/>
        <a:stretch>
          <a:fillRect/>
        </a:stretch>
      </xdr:blipFill>
      <xdr:spPr>
        <a:prstGeom prst="rect">
          <a:avLst/>
        </a:prstGeom>
        <a:noFill/>
      </xdr:spPr>
    </xdr:pic>
    <xdr:clientData fLocksWithSheet="0"/>
  </xdr:oneCellAnchor>
  <xdr:oneCellAnchor>
    <xdr:from>
      <xdr:col>6</xdr:col>
      <xdr:colOff>38100</xdr:colOff>
      <xdr:row>1437</xdr:row>
      <xdr:rowOff>38100</xdr:rowOff>
    </xdr:from>
    <xdr:ext cx="428625" cy="514350"/>
    <xdr:pic>
      <xdr:nvPicPr>
        <xdr:cNvPr id="0" name="image770.jpg"/>
        <xdr:cNvPicPr preferRelativeResize="0"/>
      </xdr:nvPicPr>
      <xdr:blipFill>
        <a:blip cstate="print" r:embed="rId763"/>
        <a:stretch>
          <a:fillRect/>
        </a:stretch>
      </xdr:blipFill>
      <xdr:spPr>
        <a:prstGeom prst="rect">
          <a:avLst/>
        </a:prstGeom>
        <a:noFill/>
      </xdr:spPr>
    </xdr:pic>
    <xdr:clientData fLocksWithSheet="0"/>
  </xdr:oneCellAnchor>
  <xdr:oneCellAnchor>
    <xdr:from>
      <xdr:col>6</xdr:col>
      <xdr:colOff>38100</xdr:colOff>
      <xdr:row>1438</xdr:row>
      <xdr:rowOff>38100</xdr:rowOff>
    </xdr:from>
    <xdr:ext cx="514350" cy="514350"/>
    <xdr:pic>
      <xdr:nvPicPr>
        <xdr:cNvPr id="0" name="image764.jpg"/>
        <xdr:cNvPicPr preferRelativeResize="0"/>
      </xdr:nvPicPr>
      <xdr:blipFill>
        <a:blip cstate="print" r:embed="rId764"/>
        <a:stretch>
          <a:fillRect/>
        </a:stretch>
      </xdr:blipFill>
      <xdr:spPr>
        <a:prstGeom prst="rect">
          <a:avLst/>
        </a:prstGeom>
        <a:noFill/>
      </xdr:spPr>
    </xdr:pic>
    <xdr:clientData fLocksWithSheet="0"/>
  </xdr:oneCellAnchor>
  <xdr:oneCellAnchor>
    <xdr:from>
      <xdr:col>6</xdr:col>
      <xdr:colOff>38100</xdr:colOff>
      <xdr:row>1439</xdr:row>
      <xdr:rowOff>38100</xdr:rowOff>
    </xdr:from>
    <xdr:ext cx="514350" cy="514350"/>
    <xdr:pic>
      <xdr:nvPicPr>
        <xdr:cNvPr id="0" name="image764.jpg"/>
        <xdr:cNvPicPr preferRelativeResize="0"/>
      </xdr:nvPicPr>
      <xdr:blipFill>
        <a:blip cstate="print" r:embed="rId764"/>
        <a:stretch>
          <a:fillRect/>
        </a:stretch>
      </xdr:blipFill>
      <xdr:spPr>
        <a:prstGeom prst="rect">
          <a:avLst/>
        </a:prstGeom>
        <a:noFill/>
      </xdr:spPr>
    </xdr:pic>
    <xdr:clientData fLocksWithSheet="0"/>
  </xdr:oneCellAnchor>
  <xdr:oneCellAnchor>
    <xdr:from>
      <xdr:col>6</xdr:col>
      <xdr:colOff>38100</xdr:colOff>
      <xdr:row>1440</xdr:row>
      <xdr:rowOff>38100</xdr:rowOff>
    </xdr:from>
    <xdr:ext cx="647700" cy="390525"/>
    <xdr:pic>
      <xdr:nvPicPr>
        <xdr:cNvPr id="0" name="image758.jpg"/>
        <xdr:cNvPicPr preferRelativeResize="0"/>
      </xdr:nvPicPr>
      <xdr:blipFill>
        <a:blip cstate="print" r:embed="rId765"/>
        <a:stretch>
          <a:fillRect/>
        </a:stretch>
      </xdr:blipFill>
      <xdr:spPr>
        <a:prstGeom prst="rect">
          <a:avLst/>
        </a:prstGeom>
        <a:noFill/>
      </xdr:spPr>
    </xdr:pic>
    <xdr:clientData fLocksWithSheet="0"/>
  </xdr:oneCellAnchor>
  <xdr:oneCellAnchor>
    <xdr:from>
      <xdr:col>6</xdr:col>
      <xdr:colOff>38100</xdr:colOff>
      <xdr:row>1441</xdr:row>
      <xdr:rowOff>38100</xdr:rowOff>
    </xdr:from>
    <xdr:ext cx="647700" cy="390525"/>
    <xdr:pic>
      <xdr:nvPicPr>
        <xdr:cNvPr id="0" name="image758.jpg"/>
        <xdr:cNvPicPr preferRelativeResize="0"/>
      </xdr:nvPicPr>
      <xdr:blipFill>
        <a:blip cstate="print" r:embed="rId765"/>
        <a:stretch>
          <a:fillRect/>
        </a:stretch>
      </xdr:blipFill>
      <xdr:spPr>
        <a:prstGeom prst="rect">
          <a:avLst/>
        </a:prstGeom>
        <a:noFill/>
      </xdr:spPr>
    </xdr:pic>
    <xdr:clientData fLocksWithSheet="0"/>
  </xdr:oneCellAnchor>
  <xdr:oneCellAnchor>
    <xdr:from>
      <xdr:col>6</xdr:col>
      <xdr:colOff>38100</xdr:colOff>
      <xdr:row>1442</xdr:row>
      <xdr:rowOff>38100</xdr:rowOff>
    </xdr:from>
    <xdr:ext cx="647700" cy="390525"/>
    <xdr:pic>
      <xdr:nvPicPr>
        <xdr:cNvPr id="0" name="image758.jpg"/>
        <xdr:cNvPicPr preferRelativeResize="0"/>
      </xdr:nvPicPr>
      <xdr:blipFill>
        <a:blip cstate="print" r:embed="rId765"/>
        <a:stretch>
          <a:fillRect/>
        </a:stretch>
      </xdr:blipFill>
      <xdr:spPr>
        <a:prstGeom prst="rect">
          <a:avLst/>
        </a:prstGeom>
        <a:noFill/>
      </xdr:spPr>
    </xdr:pic>
    <xdr:clientData fLocksWithSheet="0"/>
  </xdr:oneCellAnchor>
  <xdr:oneCellAnchor>
    <xdr:from>
      <xdr:col>6</xdr:col>
      <xdr:colOff>38100</xdr:colOff>
      <xdr:row>1443</xdr:row>
      <xdr:rowOff>38100</xdr:rowOff>
    </xdr:from>
    <xdr:ext cx="647700" cy="390525"/>
    <xdr:pic>
      <xdr:nvPicPr>
        <xdr:cNvPr id="0" name="image758.jpg"/>
        <xdr:cNvPicPr preferRelativeResize="0"/>
      </xdr:nvPicPr>
      <xdr:blipFill>
        <a:blip cstate="print" r:embed="rId765"/>
        <a:stretch>
          <a:fillRect/>
        </a:stretch>
      </xdr:blipFill>
      <xdr:spPr>
        <a:prstGeom prst="rect">
          <a:avLst/>
        </a:prstGeom>
        <a:noFill/>
      </xdr:spPr>
    </xdr:pic>
    <xdr:clientData fLocksWithSheet="0"/>
  </xdr:oneCellAnchor>
  <xdr:oneCellAnchor>
    <xdr:from>
      <xdr:col>6</xdr:col>
      <xdr:colOff>38100</xdr:colOff>
      <xdr:row>1444</xdr:row>
      <xdr:rowOff>38100</xdr:rowOff>
    </xdr:from>
    <xdr:ext cx="647700" cy="390525"/>
    <xdr:pic>
      <xdr:nvPicPr>
        <xdr:cNvPr id="0" name="image758.jpg"/>
        <xdr:cNvPicPr preferRelativeResize="0"/>
      </xdr:nvPicPr>
      <xdr:blipFill>
        <a:blip cstate="print" r:embed="rId765"/>
        <a:stretch>
          <a:fillRect/>
        </a:stretch>
      </xdr:blipFill>
      <xdr:spPr>
        <a:prstGeom prst="rect">
          <a:avLst/>
        </a:prstGeom>
        <a:noFill/>
      </xdr:spPr>
    </xdr:pic>
    <xdr:clientData fLocksWithSheet="0"/>
  </xdr:oneCellAnchor>
  <xdr:oneCellAnchor>
    <xdr:from>
      <xdr:col>6</xdr:col>
      <xdr:colOff>38100</xdr:colOff>
      <xdr:row>1445</xdr:row>
      <xdr:rowOff>38100</xdr:rowOff>
    </xdr:from>
    <xdr:ext cx="266700" cy="514350"/>
    <xdr:pic>
      <xdr:nvPicPr>
        <xdr:cNvPr id="0" name="image756.jpg"/>
        <xdr:cNvPicPr preferRelativeResize="0"/>
      </xdr:nvPicPr>
      <xdr:blipFill>
        <a:blip cstate="print" r:embed="rId766"/>
        <a:stretch>
          <a:fillRect/>
        </a:stretch>
      </xdr:blipFill>
      <xdr:spPr>
        <a:prstGeom prst="rect">
          <a:avLst/>
        </a:prstGeom>
        <a:noFill/>
      </xdr:spPr>
    </xdr:pic>
    <xdr:clientData fLocksWithSheet="0"/>
  </xdr:oneCellAnchor>
  <xdr:oneCellAnchor>
    <xdr:from>
      <xdr:col>6</xdr:col>
      <xdr:colOff>38100</xdr:colOff>
      <xdr:row>1446</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1447</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1448</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1449</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1450</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1451</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1452</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1453</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1454</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1455</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1456</xdr:row>
      <xdr:rowOff>38100</xdr:rowOff>
    </xdr:from>
    <xdr:ext cx="409575" cy="476250"/>
    <xdr:pic>
      <xdr:nvPicPr>
        <xdr:cNvPr id="0" name="image763.jp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38100</xdr:colOff>
      <xdr:row>1457</xdr:row>
      <xdr:rowOff>38100</xdr:rowOff>
    </xdr:from>
    <xdr:ext cx="647700" cy="447675"/>
    <xdr:pic>
      <xdr:nvPicPr>
        <xdr:cNvPr id="0" name="image760.jpg"/>
        <xdr:cNvPicPr preferRelativeResize="0"/>
      </xdr:nvPicPr>
      <xdr:blipFill>
        <a:blip cstate="print" r:embed="rId768"/>
        <a:stretch>
          <a:fillRect/>
        </a:stretch>
      </xdr:blipFill>
      <xdr:spPr>
        <a:prstGeom prst="rect">
          <a:avLst/>
        </a:prstGeom>
        <a:noFill/>
      </xdr:spPr>
    </xdr:pic>
    <xdr:clientData fLocksWithSheet="0"/>
  </xdr:oneCellAnchor>
  <xdr:oneCellAnchor>
    <xdr:from>
      <xdr:col>6</xdr:col>
      <xdr:colOff>38100</xdr:colOff>
      <xdr:row>1458</xdr:row>
      <xdr:rowOff>38100</xdr:rowOff>
    </xdr:from>
    <xdr:ext cx="638175" cy="428625"/>
    <xdr:pic>
      <xdr:nvPicPr>
        <xdr:cNvPr id="0" name="image767.jpg"/>
        <xdr:cNvPicPr preferRelativeResize="0"/>
      </xdr:nvPicPr>
      <xdr:blipFill>
        <a:blip cstate="print" r:embed="rId769"/>
        <a:stretch>
          <a:fillRect/>
        </a:stretch>
      </xdr:blipFill>
      <xdr:spPr>
        <a:prstGeom prst="rect">
          <a:avLst/>
        </a:prstGeom>
        <a:noFill/>
      </xdr:spPr>
    </xdr:pic>
    <xdr:clientData fLocksWithSheet="0"/>
  </xdr:oneCellAnchor>
  <xdr:oneCellAnchor>
    <xdr:from>
      <xdr:col>6</xdr:col>
      <xdr:colOff>38100</xdr:colOff>
      <xdr:row>1459</xdr:row>
      <xdr:rowOff>38100</xdr:rowOff>
    </xdr:from>
    <xdr:ext cx="638175" cy="428625"/>
    <xdr:pic>
      <xdr:nvPicPr>
        <xdr:cNvPr id="0" name="image767.jpg"/>
        <xdr:cNvPicPr preferRelativeResize="0"/>
      </xdr:nvPicPr>
      <xdr:blipFill>
        <a:blip cstate="print" r:embed="rId769"/>
        <a:stretch>
          <a:fillRect/>
        </a:stretch>
      </xdr:blipFill>
      <xdr:spPr>
        <a:prstGeom prst="rect">
          <a:avLst/>
        </a:prstGeom>
        <a:noFill/>
      </xdr:spPr>
    </xdr:pic>
    <xdr:clientData fLocksWithSheet="0"/>
  </xdr:oneCellAnchor>
  <xdr:oneCellAnchor>
    <xdr:from>
      <xdr:col>6</xdr:col>
      <xdr:colOff>38100</xdr:colOff>
      <xdr:row>1460</xdr:row>
      <xdr:rowOff>38100</xdr:rowOff>
    </xdr:from>
    <xdr:ext cx="638175" cy="428625"/>
    <xdr:pic>
      <xdr:nvPicPr>
        <xdr:cNvPr id="0" name="image767.jpg"/>
        <xdr:cNvPicPr preferRelativeResize="0"/>
      </xdr:nvPicPr>
      <xdr:blipFill>
        <a:blip cstate="print" r:embed="rId769"/>
        <a:stretch>
          <a:fillRect/>
        </a:stretch>
      </xdr:blipFill>
      <xdr:spPr>
        <a:prstGeom prst="rect">
          <a:avLst/>
        </a:prstGeom>
        <a:noFill/>
      </xdr:spPr>
    </xdr:pic>
    <xdr:clientData fLocksWithSheet="0"/>
  </xdr:oneCellAnchor>
  <xdr:oneCellAnchor>
    <xdr:from>
      <xdr:col>6</xdr:col>
      <xdr:colOff>38100</xdr:colOff>
      <xdr:row>1461</xdr:row>
      <xdr:rowOff>38100</xdr:rowOff>
    </xdr:from>
    <xdr:ext cx="638175" cy="428625"/>
    <xdr:pic>
      <xdr:nvPicPr>
        <xdr:cNvPr id="0" name="image767.jpg"/>
        <xdr:cNvPicPr preferRelativeResize="0"/>
      </xdr:nvPicPr>
      <xdr:blipFill>
        <a:blip cstate="print" r:embed="rId769"/>
        <a:stretch>
          <a:fillRect/>
        </a:stretch>
      </xdr:blipFill>
      <xdr:spPr>
        <a:prstGeom prst="rect">
          <a:avLst/>
        </a:prstGeom>
        <a:noFill/>
      </xdr:spPr>
    </xdr:pic>
    <xdr:clientData fLocksWithSheet="0"/>
  </xdr:oneCellAnchor>
  <xdr:oneCellAnchor>
    <xdr:from>
      <xdr:col>6</xdr:col>
      <xdr:colOff>38100</xdr:colOff>
      <xdr:row>1462</xdr:row>
      <xdr:rowOff>38100</xdr:rowOff>
    </xdr:from>
    <xdr:ext cx="638175" cy="428625"/>
    <xdr:pic>
      <xdr:nvPicPr>
        <xdr:cNvPr id="0" name="image767.jpg"/>
        <xdr:cNvPicPr preferRelativeResize="0"/>
      </xdr:nvPicPr>
      <xdr:blipFill>
        <a:blip cstate="print" r:embed="rId769"/>
        <a:stretch>
          <a:fillRect/>
        </a:stretch>
      </xdr:blipFill>
      <xdr:spPr>
        <a:prstGeom prst="rect">
          <a:avLst/>
        </a:prstGeom>
        <a:noFill/>
      </xdr:spPr>
    </xdr:pic>
    <xdr:clientData fLocksWithSheet="0"/>
  </xdr:oneCellAnchor>
  <xdr:oneCellAnchor>
    <xdr:from>
      <xdr:col>6</xdr:col>
      <xdr:colOff>38100</xdr:colOff>
      <xdr:row>1463</xdr:row>
      <xdr:rowOff>38100</xdr:rowOff>
    </xdr:from>
    <xdr:ext cx="638175" cy="428625"/>
    <xdr:pic>
      <xdr:nvPicPr>
        <xdr:cNvPr id="0" name="image767.jpg"/>
        <xdr:cNvPicPr preferRelativeResize="0"/>
      </xdr:nvPicPr>
      <xdr:blipFill>
        <a:blip cstate="print" r:embed="rId769"/>
        <a:stretch>
          <a:fillRect/>
        </a:stretch>
      </xdr:blipFill>
      <xdr:spPr>
        <a:prstGeom prst="rect">
          <a:avLst/>
        </a:prstGeom>
        <a:noFill/>
      </xdr:spPr>
    </xdr:pic>
    <xdr:clientData fLocksWithSheet="0"/>
  </xdr:oneCellAnchor>
  <xdr:oneCellAnchor>
    <xdr:from>
      <xdr:col>6</xdr:col>
      <xdr:colOff>38100</xdr:colOff>
      <xdr:row>1464</xdr:row>
      <xdr:rowOff>38100</xdr:rowOff>
    </xdr:from>
    <xdr:ext cx="638175" cy="428625"/>
    <xdr:pic>
      <xdr:nvPicPr>
        <xdr:cNvPr id="0" name="image767.jpg"/>
        <xdr:cNvPicPr preferRelativeResize="0"/>
      </xdr:nvPicPr>
      <xdr:blipFill>
        <a:blip cstate="print" r:embed="rId769"/>
        <a:stretch>
          <a:fillRect/>
        </a:stretch>
      </xdr:blipFill>
      <xdr:spPr>
        <a:prstGeom prst="rect">
          <a:avLst/>
        </a:prstGeom>
        <a:noFill/>
      </xdr:spPr>
    </xdr:pic>
    <xdr:clientData fLocksWithSheet="0"/>
  </xdr:oneCellAnchor>
  <xdr:oneCellAnchor>
    <xdr:from>
      <xdr:col>6</xdr:col>
      <xdr:colOff>38100</xdr:colOff>
      <xdr:row>1465</xdr:row>
      <xdr:rowOff>38100</xdr:rowOff>
    </xdr:from>
    <xdr:ext cx="638175" cy="428625"/>
    <xdr:pic>
      <xdr:nvPicPr>
        <xdr:cNvPr id="0" name="image767.jpg"/>
        <xdr:cNvPicPr preferRelativeResize="0"/>
      </xdr:nvPicPr>
      <xdr:blipFill>
        <a:blip cstate="print" r:embed="rId769"/>
        <a:stretch>
          <a:fillRect/>
        </a:stretch>
      </xdr:blipFill>
      <xdr:spPr>
        <a:prstGeom prst="rect">
          <a:avLst/>
        </a:prstGeom>
        <a:noFill/>
      </xdr:spPr>
    </xdr:pic>
    <xdr:clientData fLocksWithSheet="0"/>
  </xdr:oneCellAnchor>
  <xdr:oneCellAnchor>
    <xdr:from>
      <xdr:col>6</xdr:col>
      <xdr:colOff>38100</xdr:colOff>
      <xdr:row>1466</xdr:row>
      <xdr:rowOff>38100</xdr:rowOff>
    </xdr:from>
    <xdr:ext cx="647700" cy="238125"/>
    <xdr:pic>
      <xdr:nvPicPr>
        <xdr:cNvPr id="0" name="image761.jpg"/>
        <xdr:cNvPicPr preferRelativeResize="0"/>
      </xdr:nvPicPr>
      <xdr:blipFill>
        <a:blip cstate="print" r:embed="rId770"/>
        <a:stretch>
          <a:fillRect/>
        </a:stretch>
      </xdr:blipFill>
      <xdr:spPr>
        <a:prstGeom prst="rect">
          <a:avLst/>
        </a:prstGeom>
        <a:noFill/>
      </xdr:spPr>
    </xdr:pic>
    <xdr:clientData fLocksWithSheet="0"/>
  </xdr:oneCellAnchor>
  <xdr:oneCellAnchor>
    <xdr:from>
      <xdr:col>6</xdr:col>
      <xdr:colOff>38100</xdr:colOff>
      <xdr:row>1467</xdr:row>
      <xdr:rowOff>38100</xdr:rowOff>
    </xdr:from>
    <xdr:ext cx="647700" cy="238125"/>
    <xdr:pic>
      <xdr:nvPicPr>
        <xdr:cNvPr id="0" name="image761.jpg"/>
        <xdr:cNvPicPr preferRelativeResize="0"/>
      </xdr:nvPicPr>
      <xdr:blipFill>
        <a:blip cstate="print" r:embed="rId770"/>
        <a:stretch>
          <a:fillRect/>
        </a:stretch>
      </xdr:blipFill>
      <xdr:spPr>
        <a:prstGeom prst="rect">
          <a:avLst/>
        </a:prstGeom>
        <a:noFill/>
      </xdr:spPr>
    </xdr:pic>
    <xdr:clientData fLocksWithSheet="0"/>
  </xdr:oneCellAnchor>
  <xdr:oneCellAnchor>
    <xdr:from>
      <xdr:col>6</xdr:col>
      <xdr:colOff>38100</xdr:colOff>
      <xdr:row>1468</xdr:row>
      <xdr:rowOff>38100</xdr:rowOff>
    </xdr:from>
    <xdr:ext cx="647700" cy="238125"/>
    <xdr:pic>
      <xdr:nvPicPr>
        <xdr:cNvPr id="0" name="image761.jpg"/>
        <xdr:cNvPicPr preferRelativeResize="0"/>
      </xdr:nvPicPr>
      <xdr:blipFill>
        <a:blip cstate="print" r:embed="rId770"/>
        <a:stretch>
          <a:fillRect/>
        </a:stretch>
      </xdr:blipFill>
      <xdr:spPr>
        <a:prstGeom prst="rect">
          <a:avLst/>
        </a:prstGeom>
        <a:noFill/>
      </xdr:spPr>
    </xdr:pic>
    <xdr:clientData fLocksWithSheet="0"/>
  </xdr:oneCellAnchor>
  <xdr:oneCellAnchor>
    <xdr:from>
      <xdr:col>6</xdr:col>
      <xdr:colOff>38100</xdr:colOff>
      <xdr:row>1469</xdr:row>
      <xdr:rowOff>38100</xdr:rowOff>
    </xdr:from>
    <xdr:ext cx="590550" cy="447675"/>
    <xdr:pic>
      <xdr:nvPicPr>
        <xdr:cNvPr id="0" name="image762.jpg"/>
        <xdr:cNvPicPr preferRelativeResize="0"/>
      </xdr:nvPicPr>
      <xdr:blipFill>
        <a:blip cstate="print" r:embed="rId771"/>
        <a:stretch>
          <a:fillRect/>
        </a:stretch>
      </xdr:blipFill>
      <xdr:spPr>
        <a:prstGeom prst="rect">
          <a:avLst/>
        </a:prstGeom>
        <a:noFill/>
      </xdr:spPr>
    </xdr:pic>
    <xdr:clientData fLocksWithSheet="0"/>
  </xdr:oneCellAnchor>
  <xdr:oneCellAnchor>
    <xdr:from>
      <xdr:col>6</xdr:col>
      <xdr:colOff>38100</xdr:colOff>
      <xdr:row>1470</xdr:row>
      <xdr:rowOff>38100</xdr:rowOff>
    </xdr:from>
    <xdr:ext cx="609600" cy="438150"/>
    <xdr:pic>
      <xdr:nvPicPr>
        <xdr:cNvPr id="0" name="image791.jpg"/>
        <xdr:cNvPicPr preferRelativeResize="0"/>
      </xdr:nvPicPr>
      <xdr:blipFill>
        <a:blip cstate="print" r:embed="rId772"/>
        <a:stretch>
          <a:fillRect/>
        </a:stretch>
      </xdr:blipFill>
      <xdr:spPr>
        <a:prstGeom prst="rect">
          <a:avLst/>
        </a:prstGeom>
        <a:noFill/>
      </xdr:spPr>
    </xdr:pic>
    <xdr:clientData fLocksWithSheet="0"/>
  </xdr:oneCellAnchor>
  <xdr:oneCellAnchor>
    <xdr:from>
      <xdr:col>6</xdr:col>
      <xdr:colOff>38100</xdr:colOff>
      <xdr:row>1471</xdr:row>
      <xdr:rowOff>38100</xdr:rowOff>
    </xdr:from>
    <xdr:ext cx="609600" cy="438150"/>
    <xdr:pic>
      <xdr:nvPicPr>
        <xdr:cNvPr id="0" name="image791.jpg"/>
        <xdr:cNvPicPr preferRelativeResize="0"/>
      </xdr:nvPicPr>
      <xdr:blipFill>
        <a:blip cstate="print" r:embed="rId772"/>
        <a:stretch>
          <a:fillRect/>
        </a:stretch>
      </xdr:blipFill>
      <xdr:spPr>
        <a:prstGeom prst="rect">
          <a:avLst/>
        </a:prstGeom>
        <a:noFill/>
      </xdr:spPr>
    </xdr:pic>
    <xdr:clientData fLocksWithSheet="0"/>
  </xdr:oneCellAnchor>
  <xdr:oneCellAnchor>
    <xdr:from>
      <xdr:col>6</xdr:col>
      <xdr:colOff>38100</xdr:colOff>
      <xdr:row>1472</xdr:row>
      <xdr:rowOff>38100</xdr:rowOff>
    </xdr:from>
    <xdr:ext cx="609600" cy="438150"/>
    <xdr:pic>
      <xdr:nvPicPr>
        <xdr:cNvPr id="0" name="image791.jpg"/>
        <xdr:cNvPicPr preferRelativeResize="0"/>
      </xdr:nvPicPr>
      <xdr:blipFill>
        <a:blip cstate="print" r:embed="rId772"/>
        <a:stretch>
          <a:fillRect/>
        </a:stretch>
      </xdr:blipFill>
      <xdr:spPr>
        <a:prstGeom prst="rect">
          <a:avLst/>
        </a:prstGeom>
        <a:noFill/>
      </xdr:spPr>
    </xdr:pic>
    <xdr:clientData fLocksWithSheet="0"/>
  </xdr:oneCellAnchor>
  <xdr:oneCellAnchor>
    <xdr:from>
      <xdr:col>6</xdr:col>
      <xdr:colOff>38100</xdr:colOff>
      <xdr:row>1473</xdr:row>
      <xdr:rowOff>38100</xdr:rowOff>
    </xdr:from>
    <xdr:ext cx="647700" cy="428625"/>
    <xdr:pic>
      <xdr:nvPicPr>
        <xdr:cNvPr id="0" name="image785.jpg"/>
        <xdr:cNvPicPr preferRelativeResize="0"/>
      </xdr:nvPicPr>
      <xdr:blipFill>
        <a:blip cstate="print" r:embed="rId773"/>
        <a:stretch>
          <a:fillRect/>
        </a:stretch>
      </xdr:blipFill>
      <xdr:spPr>
        <a:prstGeom prst="rect">
          <a:avLst/>
        </a:prstGeom>
        <a:noFill/>
      </xdr:spPr>
    </xdr:pic>
    <xdr:clientData fLocksWithSheet="0"/>
  </xdr:oneCellAnchor>
  <xdr:oneCellAnchor>
    <xdr:from>
      <xdr:col>6</xdr:col>
      <xdr:colOff>38100</xdr:colOff>
      <xdr:row>1474</xdr:row>
      <xdr:rowOff>38100</xdr:rowOff>
    </xdr:from>
    <xdr:ext cx="647700" cy="428625"/>
    <xdr:pic>
      <xdr:nvPicPr>
        <xdr:cNvPr id="0" name="image785.jpg"/>
        <xdr:cNvPicPr preferRelativeResize="0"/>
      </xdr:nvPicPr>
      <xdr:blipFill>
        <a:blip cstate="print" r:embed="rId773"/>
        <a:stretch>
          <a:fillRect/>
        </a:stretch>
      </xdr:blipFill>
      <xdr:spPr>
        <a:prstGeom prst="rect">
          <a:avLst/>
        </a:prstGeom>
        <a:noFill/>
      </xdr:spPr>
    </xdr:pic>
    <xdr:clientData fLocksWithSheet="0"/>
  </xdr:oneCellAnchor>
  <xdr:oneCellAnchor>
    <xdr:from>
      <xdr:col>6</xdr:col>
      <xdr:colOff>38100</xdr:colOff>
      <xdr:row>1475</xdr:row>
      <xdr:rowOff>38100</xdr:rowOff>
    </xdr:from>
    <xdr:ext cx="628650" cy="514350"/>
    <xdr:pic>
      <xdr:nvPicPr>
        <xdr:cNvPr id="0" name="image788.jpg"/>
        <xdr:cNvPicPr preferRelativeResize="0"/>
      </xdr:nvPicPr>
      <xdr:blipFill>
        <a:blip cstate="print" r:embed="rId774"/>
        <a:stretch>
          <a:fillRect/>
        </a:stretch>
      </xdr:blipFill>
      <xdr:spPr>
        <a:prstGeom prst="rect">
          <a:avLst/>
        </a:prstGeom>
        <a:noFill/>
      </xdr:spPr>
    </xdr:pic>
    <xdr:clientData fLocksWithSheet="0"/>
  </xdr:oneCellAnchor>
  <xdr:oneCellAnchor>
    <xdr:from>
      <xdr:col>6</xdr:col>
      <xdr:colOff>38100</xdr:colOff>
      <xdr:row>1476</xdr:row>
      <xdr:rowOff>38100</xdr:rowOff>
    </xdr:from>
    <xdr:ext cx="628650" cy="514350"/>
    <xdr:pic>
      <xdr:nvPicPr>
        <xdr:cNvPr id="0" name="image788.jpg"/>
        <xdr:cNvPicPr preferRelativeResize="0"/>
      </xdr:nvPicPr>
      <xdr:blipFill>
        <a:blip cstate="print" r:embed="rId774"/>
        <a:stretch>
          <a:fillRect/>
        </a:stretch>
      </xdr:blipFill>
      <xdr:spPr>
        <a:prstGeom prst="rect">
          <a:avLst/>
        </a:prstGeom>
        <a:noFill/>
      </xdr:spPr>
    </xdr:pic>
    <xdr:clientData fLocksWithSheet="0"/>
  </xdr:oneCellAnchor>
  <xdr:oneCellAnchor>
    <xdr:from>
      <xdr:col>6</xdr:col>
      <xdr:colOff>38100</xdr:colOff>
      <xdr:row>1477</xdr:row>
      <xdr:rowOff>38100</xdr:rowOff>
    </xdr:from>
    <xdr:ext cx="628650" cy="514350"/>
    <xdr:pic>
      <xdr:nvPicPr>
        <xdr:cNvPr id="0" name="image788.jpg"/>
        <xdr:cNvPicPr preferRelativeResize="0"/>
      </xdr:nvPicPr>
      <xdr:blipFill>
        <a:blip cstate="print" r:embed="rId774"/>
        <a:stretch>
          <a:fillRect/>
        </a:stretch>
      </xdr:blipFill>
      <xdr:spPr>
        <a:prstGeom prst="rect">
          <a:avLst/>
        </a:prstGeom>
        <a:noFill/>
      </xdr:spPr>
    </xdr:pic>
    <xdr:clientData fLocksWithSheet="0"/>
  </xdr:oneCellAnchor>
  <xdr:oneCellAnchor>
    <xdr:from>
      <xdr:col>6</xdr:col>
      <xdr:colOff>38100</xdr:colOff>
      <xdr:row>1478</xdr:row>
      <xdr:rowOff>38100</xdr:rowOff>
    </xdr:from>
    <xdr:ext cx="647700" cy="476250"/>
    <xdr:pic>
      <xdr:nvPicPr>
        <xdr:cNvPr id="0" name="image774.jpg"/>
        <xdr:cNvPicPr preferRelativeResize="0"/>
      </xdr:nvPicPr>
      <xdr:blipFill>
        <a:blip cstate="print" r:embed="rId775"/>
        <a:stretch>
          <a:fillRect/>
        </a:stretch>
      </xdr:blipFill>
      <xdr:spPr>
        <a:prstGeom prst="rect">
          <a:avLst/>
        </a:prstGeom>
        <a:noFill/>
      </xdr:spPr>
    </xdr:pic>
    <xdr:clientData fLocksWithSheet="0"/>
  </xdr:oneCellAnchor>
  <xdr:oneCellAnchor>
    <xdr:from>
      <xdr:col>6</xdr:col>
      <xdr:colOff>38100</xdr:colOff>
      <xdr:row>1479</xdr:row>
      <xdr:rowOff>38100</xdr:rowOff>
    </xdr:from>
    <xdr:ext cx="609600" cy="514350"/>
    <xdr:pic>
      <xdr:nvPicPr>
        <xdr:cNvPr id="0" name="image784.jpg"/>
        <xdr:cNvPicPr preferRelativeResize="0"/>
      </xdr:nvPicPr>
      <xdr:blipFill>
        <a:blip cstate="print" r:embed="rId776"/>
        <a:stretch>
          <a:fillRect/>
        </a:stretch>
      </xdr:blipFill>
      <xdr:spPr>
        <a:prstGeom prst="rect">
          <a:avLst/>
        </a:prstGeom>
        <a:noFill/>
      </xdr:spPr>
    </xdr:pic>
    <xdr:clientData fLocksWithSheet="0"/>
  </xdr:oneCellAnchor>
  <xdr:oneCellAnchor>
    <xdr:from>
      <xdr:col>6</xdr:col>
      <xdr:colOff>38100</xdr:colOff>
      <xdr:row>1480</xdr:row>
      <xdr:rowOff>38100</xdr:rowOff>
    </xdr:from>
    <xdr:ext cx="609600" cy="514350"/>
    <xdr:pic>
      <xdr:nvPicPr>
        <xdr:cNvPr id="0" name="image784.jpg"/>
        <xdr:cNvPicPr preferRelativeResize="0"/>
      </xdr:nvPicPr>
      <xdr:blipFill>
        <a:blip cstate="print" r:embed="rId776"/>
        <a:stretch>
          <a:fillRect/>
        </a:stretch>
      </xdr:blipFill>
      <xdr:spPr>
        <a:prstGeom prst="rect">
          <a:avLst/>
        </a:prstGeom>
        <a:noFill/>
      </xdr:spPr>
    </xdr:pic>
    <xdr:clientData fLocksWithSheet="0"/>
  </xdr:oneCellAnchor>
  <xdr:oneCellAnchor>
    <xdr:from>
      <xdr:col>6</xdr:col>
      <xdr:colOff>38100</xdr:colOff>
      <xdr:row>1481</xdr:row>
      <xdr:rowOff>38100</xdr:rowOff>
    </xdr:from>
    <xdr:ext cx="609600" cy="514350"/>
    <xdr:pic>
      <xdr:nvPicPr>
        <xdr:cNvPr id="0" name="image784.jpg"/>
        <xdr:cNvPicPr preferRelativeResize="0"/>
      </xdr:nvPicPr>
      <xdr:blipFill>
        <a:blip cstate="print" r:embed="rId776"/>
        <a:stretch>
          <a:fillRect/>
        </a:stretch>
      </xdr:blipFill>
      <xdr:spPr>
        <a:prstGeom prst="rect">
          <a:avLst/>
        </a:prstGeom>
        <a:noFill/>
      </xdr:spPr>
    </xdr:pic>
    <xdr:clientData fLocksWithSheet="0"/>
  </xdr:oneCellAnchor>
  <xdr:oneCellAnchor>
    <xdr:from>
      <xdr:col>6</xdr:col>
      <xdr:colOff>38100</xdr:colOff>
      <xdr:row>1482</xdr:row>
      <xdr:rowOff>38100</xdr:rowOff>
    </xdr:from>
    <xdr:ext cx="609600" cy="514350"/>
    <xdr:pic>
      <xdr:nvPicPr>
        <xdr:cNvPr id="0" name="image784.jpg"/>
        <xdr:cNvPicPr preferRelativeResize="0"/>
      </xdr:nvPicPr>
      <xdr:blipFill>
        <a:blip cstate="print" r:embed="rId776"/>
        <a:stretch>
          <a:fillRect/>
        </a:stretch>
      </xdr:blipFill>
      <xdr:spPr>
        <a:prstGeom prst="rect">
          <a:avLst/>
        </a:prstGeom>
        <a:noFill/>
      </xdr:spPr>
    </xdr:pic>
    <xdr:clientData fLocksWithSheet="0"/>
  </xdr:oneCellAnchor>
  <xdr:oneCellAnchor>
    <xdr:from>
      <xdr:col>6</xdr:col>
      <xdr:colOff>38100</xdr:colOff>
      <xdr:row>1483</xdr:row>
      <xdr:rowOff>38100</xdr:rowOff>
    </xdr:from>
    <xdr:ext cx="609600" cy="514350"/>
    <xdr:pic>
      <xdr:nvPicPr>
        <xdr:cNvPr id="0" name="image784.jpg"/>
        <xdr:cNvPicPr preferRelativeResize="0"/>
      </xdr:nvPicPr>
      <xdr:blipFill>
        <a:blip cstate="print" r:embed="rId776"/>
        <a:stretch>
          <a:fillRect/>
        </a:stretch>
      </xdr:blipFill>
      <xdr:spPr>
        <a:prstGeom prst="rect">
          <a:avLst/>
        </a:prstGeom>
        <a:noFill/>
      </xdr:spPr>
    </xdr:pic>
    <xdr:clientData fLocksWithSheet="0"/>
  </xdr:oneCellAnchor>
  <xdr:oneCellAnchor>
    <xdr:from>
      <xdr:col>6</xdr:col>
      <xdr:colOff>38100</xdr:colOff>
      <xdr:row>1484</xdr:row>
      <xdr:rowOff>38100</xdr:rowOff>
    </xdr:from>
    <xdr:ext cx="609600" cy="514350"/>
    <xdr:pic>
      <xdr:nvPicPr>
        <xdr:cNvPr id="0" name="image784.jpg"/>
        <xdr:cNvPicPr preferRelativeResize="0"/>
      </xdr:nvPicPr>
      <xdr:blipFill>
        <a:blip cstate="print" r:embed="rId776"/>
        <a:stretch>
          <a:fillRect/>
        </a:stretch>
      </xdr:blipFill>
      <xdr:spPr>
        <a:prstGeom prst="rect">
          <a:avLst/>
        </a:prstGeom>
        <a:noFill/>
      </xdr:spPr>
    </xdr:pic>
    <xdr:clientData fLocksWithSheet="0"/>
  </xdr:oneCellAnchor>
  <xdr:oneCellAnchor>
    <xdr:from>
      <xdr:col>6</xdr:col>
      <xdr:colOff>38100</xdr:colOff>
      <xdr:row>1485</xdr:row>
      <xdr:rowOff>38100</xdr:rowOff>
    </xdr:from>
    <xdr:ext cx="647700" cy="419100"/>
    <xdr:pic>
      <xdr:nvPicPr>
        <xdr:cNvPr id="0" name="image773.jpg"/>
        <xdr:cNvPicPr preferRelativeResize="0"/>
      </xdr:nvPicPr>
      <xdr:blipFill>
        <a:blip cstate="print" r:embed="rId777"/>
        <a:stretch>
          <a:fillRect/>
        </a:stretch>
      </xdr:blipFill>
      <xdr:spPr>
        <a:prstGeom prst="rect">
          <a:avLst/>
        </a:prstGeom>
        <a:noFill/>
      </xdr:spPr>
    </xdr:pic>
    <xdr:clientData fLocksWithSheet="0"/>
  </xdr:oneCellAnchor>
  <xdr:oneCellAnchor>
    <xdr:from>
      <xdr:col>6</xdr:col>
      <xdr:colOff>38100</xdr:colOff>
      <xdr:row>1486</xdr:row>
      <xdr:rowOff>38100</xdr:rowOff>
    </xdr:from>
    <xdr:ext cx="647700" cy="419100"/>
    <xdr:pic>
      <xdr:nvPicPr>
        <xdr:cNvPr id="0" name="image768.jpg"/>
        <xdr:cNvPicPr preferRelativeResize="0"/>
      </xdr:nvPicPr>
      <xdr:blipFill>
        <a:blip cstate="print" r:embed="rId778"/>
        <a:stretch>
          <a:fillRect/>
        </a:stretch>
      </xdr:blipFill>
      <xdr:spPr>
        <a:prstGeom prst="rect">
          <a:avLst/>
        </a:prstGeom>
        <a:noFill/>
      </xdr:spPr>
    </xdr:pic>
    <xdr:clientData fLocksWithSheet="0"/>
  </xdr:oneCellAnchor>
  <xdr:oneCellAnchor>
    <xdr:from>
      <xdr:col>6</xdr:col>
      <xdr:colOff>38100</xdr:colOff>
      <xdr:row>1487</xdr:row>
      <xdr:rowOff>38100</xdr:rowOff>
    </xdr:from>
    <xdr:ext cx="647700" cy="419100"/>
    <xdr:pic>
      <xdr:nvPicPr>
        <xdr:cNvPr id="0" name="image768.jpg"/>
        <xdr:cNvPicPr preferRelativeResize="0"/>
      </xdr:nvPicPr>
      <xdr:blipFill>
        <a:blip cstate="print" r:embed="rId778"/>
        <a:stretch>
          <a:fillRect/>
        </a:stretch>
      </xdr:blipFill>
      <xdr:spPr>
        <a:prstGeom prst="rect">
          <a:avLst/>
        </a:prstGeom>
        <a:noFill/>
      </xdr:spPr>
    </xdr:pic>
    <xdr:clientData fLocksWithSheet="0"/>
  </xdr:oneCellAnchor>
  <xdr:oneCellAnchor>
    <xdr:from>
      <xdr:col>6</xdr:col>
      <xdr:colOff>38100</xdr:colOff>
      <xdr:row>1488</xdr:row>
      <xdr:rowOff>38100</xdr:rowOff>
    </xdr:from>
    <xdr:ext cx="647700" cy="419100"/>
    <xdr:pic>
      <xdr:nvPicPr>
        <xdr:cNvPr id="0" name="image768.jpg"/>
        <xdr:cNvPicPr preferRelativeResize="0"/>
      </xdr:nvPicPr>
      <xdr:blipFill>
        <a:blip cstate="print" r:embed="rId778"/>
        <a:stretch>
          <a:fillRect/>
        </a:stretch>
      </xdr:blipFill>
      <xdr:spPr>
        <a:prstGeom prst="rect">
          <a:avLst/>
        </a:prstGeom>
        <a:noFill/>
      </xdr:spPr>
    </xdr:pic>
    <xdr:clientData fLocksWithSheet="0"/>
  </xdr:oneCellAnchor>
  <xdr:oneCellAnchor>
    <xdr:from>
      <xdr:col>6</xdr:col>
      <xdr:colOff>38100</xdr:colOff>
      <xdr:row>1489</xdr:row>
      <xdr:rowOff>38100</xdr:rowOff>
    </xdr:from>
    <xdr:ext cx="647700" cy="419100"/>
    <xdr:pic>
      <xdr:nvPicPr>
        <xdr:cNvPr id="0" name="image768.jpg"/>
        <xdr:cNvPicPr preferRelativeResize="0"/>
      </xdr:nvPicPr>
      <xdr:blipFill>
        <a:blip cstate="print" r:embed="rId778"/>
        <a:stretch>
          <a:fillRect/>
        </a:stretch>
      </xdr:blipFill>
      <xdr:spPr>
        <a:prstGeom prst="rect">
          <a:avLst/>
        </a:prstGeom>
        <a:noFill/>
      </xdr:spPr>
    </xdr:pic>
    <xdr:clientData fLocksWithSheet="0"/>
  </xdr:oneCellAnchor>
  <xdr:oneCellAnchor>
    <xdr:from>
      <xdr:col>6</xdr:col>
      <xdr:colOff>38100</xdr:colOff>
      <xdr:row>1490</xdr:row>
      <xdr:rowOff>38100</xdr:rowOff>
    </xdr:from>
    <xdr:ext cx="647700" cy="419100"/>
    <xdr:pic>
      <xdr:nvPicPr>
        <xdr:cNvPr id="0" name="image768.jpg"/>
        <xdr:cNvPicPr preferRelativeResize="0"/>
      </xdr:nvPicPr>
      <xdr:blipFill>
        <a:blip cstate="print" r:embed="rId778"/>
        <a:stretch>
          <a:fillRect/>
        </a:stretch>
      </xdr:blipFill>
      <xdr:spPr>
        <a:prstGeom prst="rect">
          <a:avLst/>
        </a:prstGeom>
        <a:noFill/>
      </xdr:spPr>
    </xdr:pic>
    <xdr:clientData fLocksWithSheet="0"/>
  </xdr:oneCellAnchor>
  <xdr:oneCellAnchor>
    <xdr:from>
      <xdr:col>6</xdr:col>
      <xdr:colOff>38100</xdr:colOff>
      <xdr:row>1491</xdr:row>
      <xdr:rowOff>38100</xdr:rowOff>
    </xdr:from>
    <xdr:ext cx="647700" cy="419100"/>
    <xdr:pic>
      <xdr:nvPicPr>
        <xdr:cNvPr id="0" name="image768.jpg"/>
        <xdr:cNvPicPr preferRelativeResize="0"/>
      </xdr:nvPicPr>
      <xdr:blipFill>
        <a:blip cstate="print" r:embed="rId778"/>
        <a:stretch>
          <a:fillRect/>
        </a:stretch>
      </xdr:blipFill>
      <xdr:spPr>
        <a:prstGeom prst="rect">
          <a:avLst/>
        </a:prstGeom>
        <a:noFill/>
      </xdr:spPr>
    </xdr:pic>
    <xdr:clientData fLocksWithSheet="0"/>
  </xdr:oneCellAnchor>
  <xdr:oneCellAnchor>
    <xdr:from>
      <xdr:col>6</xdr:col>
      <xdr:colOff>38100</xdr:colOff>
      <xdr:row>1492</xdr:row>
      <xdr:rowOff>38100</xdr:rowOff>
    </xdr:from>
    <xdr:ext cx="647700" cy="419100"/>
    <xdr:pic>
      <xdr:nvPicPr>
        <xdr:cNvPr id="0" name="image768.jpg"/>
        <xdr:cNvPicPr preferRelativeResize="0"/>
      </xdr:nvPicPr>
      <xdr:blipFill>
        <a:blip cstate="print" r:embed="rId778"/>
        <a:stretch>
          <a:fillRect/>
        </a:stretch>
      </xdr:blipFill>
      <xdr:spPr>
        <a:prstGeom prst="rect">
          <a:avLst/>
        </a:prstGeom>
        <a:noFill/>
      </xdr:spPr>
    </xdr:pic>
    <xdr:clientData fLocksWithSheet="0"/>
  </xdr:oneCellAnchor>
  <xdr:oneCellAnchor>
    <xdr:from>
      <xdr:col>6</xdr:col>
      <xdr:colOff>38100</xdr:colOff>
      <xdr:row>1493</xdr:row>
      <xdr:rowOff>38100</xdr:rowOff>
    </xdr:from>
    <xdr:ext cx="266700" cy="514350"/>
    <xdr:pic>
      <xdr:nvPicPr>
        <xdr:cNvPr id="0" name="image771.jpg"/>
        <xdr:cNvPicPr preferRelativeResize="0"/>
      </xdr:nvPicPr>
      <xdr:blipFill>
        <a:blip cstate="print" r:embed="rId779"/>
        <a:stretch>
          <a:fillRect/>
        </a:stretch>
      </xdr:blipFill>
      <xdr:spPr>
        <a:prstGeom prst="rect">
          <a:avLst/>
        </a:prstGeom>
        <a:noFill/>
      </xdr:spPr>
    </xdr:pic>
    <xdr:clientData fLocksWithSheet="0"/>
  </xdr:oneCellAnchor>
  <xdr:oneCellAnchor>
    <xdr:from>
      <xdr:col>6</xdr:col>
      <xdr:colOff>38100</xdr:colOff>
      <xdr:row>1494</xdr:row>
      <xdr:rowOff>38100</xdr:rowOff>
    </xdr:from>
    <xdr:ext cx="266700" cy="514350"/>
    <xdr:pic>
      <xdr:nvPicPr>
        <xdr:cNvPr id="0" name="image771.jpg"/>
        <xdr:cNvPicPr preferRelativeResize="0"/>
      </xdr:nvPicPr>
      <xdr:blipFill>
        <a:blip cstate="print" r:embed="rId779"/>
        <a:stretch>
          <a:fillRect/>
        </a:stretch>
      </xdr:blipFill>
      <xdr:spPr>
        <a:prstGeom prst="rect">
          <a:avLst/>
        </a:prstGeom>
        <a:noFill/>
      </xdr:spPr>
    </xdr:pic>
    <xdr:clientData fLocksWithSheet="0"/>
  </xdr:oneCellAnchor>
  <xdr:oneCellAnchor>
    <xdr:from>
      <xdr:col>6</xdr:col>
      <xdr:colOff>38100</xdr:colOff>
      <xdr:row>1495</xdr:row>
      <xdr:rowOff>38100</xdr:rowOff>
    </xdr:from>
    <xdr:ext cx="266700" cy="514350"/>
    <xdr:pic>
      <xdr:nvPicPr>
        <xdr:cNvPr id="0" name="image771.jpg"/>
        <xdr:cNvPicPr preferRelativeResize="0"/>
      </xdr:nvPicPr>
      <xdr:blipFill>
        <a:blip cstate="print" r:embed="rId779"/>
        <a:stretch>
          <a:fillRect/>
        </a:stretch>
      </xdr:blipFill>
      <xdr:spPr>
        <a:prstGeom prst="rect">
          <a:avLst/>
        </a:prstGeom>
        <a:noFill/>
      </xdr:spPr>
    </xdr:pic>
    <xdr:clientData fLocksWithSheet="0"/>
  </xdr:oneCellAnchor>
  <xdr:oneCellAnchor>
    <xdr:from>
      <xdr:col>6</xdr:col>
      <xdr:colOff>38100</xdr:colOff>
      <xdr:row>1496</xdr:row>
      <xdr:rowOff>38100</xdr:rowOff>
    </xdr:from>
    <xdr:ext cx="647700" cy="504825"/>
    <xdr:pic>
      <xdr:nvPicPr>
        <xdr:cNvPr id="0" name="image780.jpg"/>
        <xdr:cNvPicPr preferRelativeResize="0"/>
      </xdr:nvPicPr>
      <xdr:blipFill>
        <a:blip cstate="print" r:embed="rId780"/>
        <a:stretch>
          <a:fillRect/>
        </a:stretch>
      </xdr:blipFill>
      <xdr:spPr>
        <a:prstGeom prst="rect">
          <a:avLst/>
        </a:prstGeom>
        <a:noFill/>
      </xdr:spPr>
    </xdr:pic>
    <xdr:clientData fLocksWithSheet="0"/>
  </xdr:oneCellAnchor>
  <xdr:oneCellAnchor>
    <xdr:from>
      <xdr:col>6</xdr:col>
      <xdr:colOff>38100</xdr:colOff>
      <xdr:row>1497</xdr:row>
      <xdr:rowOff>38100</xdr:rowOff>
    </xdr:from>
    <xdr:ext cx="647700" cy="504825"/>
    <xdr:pic>
      <xdr:nvPicPr>
        <xdr:cNvPr id="0" name="image780.jpg"/>
        <xdr:cNvPicPr preferRelativeResize="0"/>
      </xdr:nvPicPr>
      <xdr:blipFill>
        <a:blip cstate="print" r:embed="rId780"/>
        <a:stretch>
          <a:fillRect/>
        </a:stretch>
      </xdr:blipFill>
      <xdr:spPr>
        <a:prstGeom prst="rect">
          <a:avLst/>
        </a:prstGeom>
        <a:noFill/>
      </xdr:spPr>
    </xdr:pic>
    <xdr:clientData fLocksWithSheet="0"/>
  </xdr:oneCellAnchor>
  <xdr:oneCellAnchor>
    <xdr:from>
      <xdr:col>6</xdr:col>
      <xdr:colOff>38100</xdr:colOff>
      <xdr:row>1498</xdr:row>
      <xdr:rowOff>38100</xdr:rowOff>
    </xdr:from>
    <xdr:ext cx="304800" cy="514350"/>
    <xdr:pic>
      <xdr:nvPicPr>
        <xdr:cNvPr id="0" name="image781.jpg"/>
        <xdr:cNvPicPr preferRelativeResize="0"/>
      </xdr:nvPicPr>
      <xdr:blipFill>
        <a:blip cstate="print" r:embed="rId781"/>
        <a:stretch>
          <a:fillRect/>
        </a:stretch>
      </xdr:blipFill>
      <xdr:spPr>
        <a:prstGeom prst="rect">
          <a:avLst/>
        </a:prstGeom>
        <a:noFill/>
      </xdr:spPr>
    </xdr:pic>
    <xdr:clientData fLocksWithSheet="0"/>
  </xdr:oneCellAnchor>
  <xdr:oneCellAnchor>
    <xdr:from>
      <xdr:col>6</xdr:col>
      <xdr:colOff>38100</xdr:colOff>
      <xdr:row>1499</xdr:row>
      <xdr:rowOff>38100</xdr:rowOff>
    </xdr:from>
    <xdr:ext cx="647700" cy="504825"/>
    <xdr:pic>
      <xdr:nvPicPr>
        <xdr:cNvPr id="0" name="image776.jpg"/>
        <xdr:cNvPicPr preferRelativeResize="0"/>
      </xdr:nvPicPr>
      <xdr:blipFill>
        <a:blip cstate="print" r:embed="rId782"/>
        <a:stretch>
          <a:fillRect/>
        </a:stretch>
      </xdr:blipFill>
      <xdr:spPr>
        <a:prstGeom prst="rect">
          <a:avLst/>
        </a:prstGeom>
        <a:noFill/>
      </xdr:spPr>
    </xdr:pic>
    <xdr:clientData fLocksWithSheet="0"/>
  </xdr:oneCellAnchor>
  <xdr:oneCellAnchor>
    <xdr:from>
      <xdr:col>6</xdr:col>
      <xdr:colOff>38100</xdr:colOff>
      <xdr:row>1500</xdr:row>
      <xdr:rowOff>38100</xdr:rowOff>
    </xdr:from>
    <xdr:ext cx="304800" cy="514350"/>
    <xdr:pic>
      <xdr:nvPicPr>
        <xdr:cNvPr id="0" name="image781.jpg"/>
        <xdr:cNvPicPr preferRelativeResize="0"/>
      </xdr:nvPicPr>
      <xdr:blipFill>
        <a:blip cstate="print" r:embed="rId781"/>
        <a:stretch>
          <a:fillRect/>
        </a:stretch>
      </xdr:blipFill>
      <xdr:spPr>
        <a:prstGeom prst="rect">
          <a:avLst/>
        </a:prstGeom>
        <a:noFill/>
      </xdr:spPr>
    </xdr:pic>
    <xdr:clientData fLocksWithSheet="0"/>
  </xdr:oneCellAnchor>
  <xdr:oneCellAnchor>
    <xdr:from>
      <xdr:col>6</xdr:col>
      <xdr:colOff>38100</xdr:colOff>
      <xdr:row>1501</xdr:row>
      <xdr:rowOff>38100</xdr:rowOff>
    </xdr:from>
    <xdr:ext cx="466725" cy="514350"/>
    <xdr:pic>
      <xdr:nvPicPr>
        <xdr:cNvPr id="0" name="image783.jpg"/>
        <xdr:cNvPicPr preferRelativeResize="0"/>
      </xdr:nvPicPr>
      <xdr:blipFill>
        <a:blip cstate="print" r:embed="rId783"/>
        <a:stretch>
          <a:fillRect/>
        </a:stretch>
      </xdr:blipFill>
      <xdr:spPr>
        <a:prstGeom prst="rect">
          <a:avLst/>
        </a:prstGeom>
        <a:noFill/>
      </xdr:spPr>
    </xdr:pic>
    <xdr:clientData fLocksWithSheet="0"/>
  </xdr:oneCellAnchor>
  <xdr:oneCellAnchor>
    <xdr:from>
      <xdr:col>6</xdr:col>
      <xdr:colOff>38100</xdr:colOff>
      <xdr:row>1502</xdr:row>
      <xdr:rowOff>38100</xdr:rowOff>
    </xdr:from>
    <xdr:ext cx="523875" cy="514350"/>
    <xdr:pic>
      <xdr:nvPicPr>
        <xdr:cNvPr id="0" name="image796.jpg"/>
        <xdr:cNvPicPr preferRelativeResize="0"/>
      </xdr:nvPicPr>
      <xdr:blipFill>
        <a:blip cstate="print" r:embed="rId784"/>
        <a:stretch>
          <a:fillRect/>
        </a:stretch>
      </xdr:blipFill>
      <xdr:spPr>
        <a:prstGeom prst="rect">
          <a:avLst/>
        </a:prstGeom>
        <a:noFill/>
      </xdr:spPr>
    </xdr:pic>
    <xdr:clientData fLocksWithSheet="0"/>
  </xdr:oneCellAnchor>
  <xdr:oneCellAnchor>
    <xdr:from>
      <xdr:col>6</xdr:col>
      <xdr:colOff>38100</xdr:colOff>
      <xdr:row>1503</xdr:row>
      <xdr:rowOff>38100</xdr:rowOff>
    </xdr:from>
    <xdr:ext cx="466725" cy="514350"/>
    <xdr:pic>
      <xdr:nvPicPr>
        <xdr:cNvPr id="0" name="image783.jpg"/>
        <xdr:cNvPicPr preferRelativeResize="0"/>
      </xdr:nvPicPr>
      <xdr:blipFill>
        <a:blip cstate="print" r:embed="rId783"/>
        <a:stretch>
          <a:fillRect/>
        </a:stretch>
      </xdr:blipFill>
      <xdr:spPr>
        <a:prstGeom prst="rect">
          <a:avLst/>
        </a:prstGeom>
        <a:noFill/>
      </xdr:spPr>
    </xdr:pic>
    <xdr:clientData fLocksWithSheet="0"/>
  </xdr:oneCellAnchor>
  <xdr:oneCellAnchor>
    <xdr:from>
      <xdr:col>6</xdr:col>
      <xdr:colOff>38100</xdr:colOff>
      <xdr:row>1504</xdr:row>
      <xdr:rowOff>38100</xdr:rowOff>
    </xdr:from>
    <xdr:ext cx="523875" cy="514350"/>
    <xdr:pic>
      <xdr:nvPicPr>
        <xdr:cNvPr id="0" name="image775.jpg"/>
        <xdr:cNvPicPr preferRelativeResize="0"/>
      </xdr:nvPicPr>
      <xdr:blipFill>
        <a:blip cstate="print" r:embed="rId785"/>
        <a:stretch>
          <a:fillRect/>
        </a:stretch>
      </xdr:blipFill>
      <xdr:spPr>
        <a:prstGeom prst="rect">
          <a:avLst/>
        </a:prstGeom>
        <a:noFill/>
      </xdr:spPr>
    </xdr:pic>
    <xdr:clientData fLocksWithSheet="0"/>
  </xdr:oneCellAnchor>
  <xdr:oneCellAnchor>
    <xdr:from>
      <xdr:col>6</xdr:col>
      <xdr:colOff>38100</xdr:colOff>
      <xdr:row>1505</xdr:row>
      <xdr:rowOff>38100</xdr:rowOff>
    </xdr:from>
    <xdr:ext cx="323850" cy="514350"/>
    <xdr:pic>
      <xdr:nvPicPr>
        <xdr:cNvPr id="0" name="image795.jpg"/>
        <xdr:cNvPicPr preferRelativeResize="0"/>
      </xdr:nvPicPr>
      <xdr:blipFill>
        <a:blip cstate="print" r:embed="rId786"/>
        <a:stretch>
          <a:fillRect/>
        </a:stretch>
      </xdr:blipFill>
      <xdr:spPr>
        <a:prstGeom prst="rect">
          <a:avLst/>
        </a:prstGeom>
        <a:noFill/>
      </xdr:spPr>
    </xdr:pic>
    <xdr:clientData fLocksWithSheet="0"/>
  </xdr:oneCellAnchor>
  <xdr:oneCellAnchor>
    <xdr:from>
      <xdr:col>6</xdr:col>
      <xdr:colOff>38100</xdr:colOff>
      <xdr:row>1506</xdr:row>
      <xdr:rowOff>38100</xdr:rowOff>
    </xdr:from>
    <xdr:ext cx="323850" cy="514350"/>
    <xdr:pic>
      <xdr:nvPicPr>
        <xdr:cNvPr id="0" name="image816.jpg"/>
        <xdr:cNvPicPr preferRelativeResize="0"/>
      </xdr:nvPicPr>
      <xdr:blipFill>
        <a:blip cstate="print" r:embed="rId787"/>
        <a:stretch>
          <a:fillRect/>
        </a:stretch>
      </xdr:blipFill>
      <xdr:spPr>
        <a:prstGeom prst="rect">
          <a:avLst/>
        </a:prstGeom>
        <a:noFill/>
      </xdr:spPr>
    </xdr:pic>
    <xdr:clientData fLocksWithSheet="0"/>
  </xdr:oneCellAnchor>
  <xdr:oneCellAnchor>
    <xdr:from>
      <xdr:col>6</xdr:col>
      <xdr:colOff>38100</xdr:colOff>
      <xdr:row>1507</xdr:row>
      <xdr:rowOff>38100</xdr:rowOff>
    </xdr:from>
    <xdr:ext cx="447675" cy="514350"/>
    <xdr:pic>
      <xdr:nvPicPr>
        <xdr:cNvPr id="0" name="image777.jpg"/>
        <xdr:cNvPicPr preferRelativeResize="0"/>
      </xdr:nvPicPr>
      <xdr:blipFill>
        <a:blip cstate="print" r:embed="rId788"/>
        <a:stretch>
          <a:fillRect/>
        </a:stretch>
      </xdr:blipFill>
      <xdr:spPr>
        <a:prstGeom prst="rect">
          <a:avLst/>
        </a:prstGeom>
        <a:noFill/>
      </xdr:spPr>
    </xdr:pic>
    <xdr:clientData fLocksWithSheet="0"/>
  </xdr:oneCellAnchor>
  <xdr:oneCellAnchor>
    <xdr:from>
      <xdr:col>6</xdr:col>
      <xdr:colOff>38100</xdr:colOff>
      <xdr:row>1508</xdr:row>
      <xdr:rowOff>38100</xdr:rowOff>
    </xdr:from>
    <xdr:ext cx="400050" cy="514350"/>
    <xdr:pic>
      <xdr:nvPicPr>
        <xdr:cNvPr id="0" name="image806.jpg"/>
        <xdr:cNvPicPr preferRelativeResize="0"/>
      </xdr:nvPicPr>
      <xdr:blipFill>
        <a:blip cstate="print" r:embed="rId789"/>
        <a:stretch>
          <a:fillRect/>
        </a:stretch>
      </xdr:blipFill>
      <xdr:spPr>
        <a:prstGeom prst="rect">
          <a:avLst/>
        </a:prstGeom>
        <a:noFill/>
      </xdr:spPr>
    </xdr:pic>
    <xdr:clientData fLocksWithSheet="0"/>
  </xdr:oneCellAnchor>
  <xdr:oneCellAnchor>
    <xdr:from>
      <xdr:col>6</xdr:col>
      <xdr:colOff>38100</xdr:colOff>
      <xdr:row>1509</xdr:row>
      <xdr:rowOff>38100</xdr:rowOff>
    </xdr:from>
    <xdr:ext cx="647700" cy="409575"/>
    <xdr:pic>
      <xdr:nvPicPr>
        <xdr:cNvPr id="0" name="image792.jpg"/>
        <xdr:cNvPicPr preferRelativeResize="0"/>
      </xdr:nvPicPr>
      <xdr:blipFill>
        <a:blip cstate="print" r:embed="rId790"/>
        <a:stretch>
          <a:fillRect/>
        </a:stretch>
      </xdr:blipFill>
      <xdr:spPr>
        <a:prstGeom prst="rect">
          <a:avLst/>
        </a:prstGeom>
        <a:noFill/>
      </xdr:spPr>
    </xdr:pic>
    <xdr:clientData fLocksWithSheet="0"/>
  </xdr:oneCellAnchor>
  <xdr:oneCellAnchor>
    <xdr:from>
      <xdr:col>6</xdr:col>
      <xdr:colOff>38100</xdr:colOff>
      <xdr:row>1510</xdr:row>
      <xdr:rowOff>38100</xdr:rowOff>
    </xdr:from>
    <xdr:ext cx="647700" cy="409575"/>
    <xdr:pic>
      <xdr:nvPicPr>
        <xdr:cNvPr id="0" name="image792.jpg"/>
        <xdr:cNvPicPr preferRelativeResize="0"/>
      </xdr:nvPicPr>
      <xdr:blipFill>
        <a:blip cstate="print" r:embed="rId790"/>
        <a:stretch>
          <a:fillRect/>
        </a:stretch>
      </xdr:blipFill>
      <xdr:spPr>
        <a:prstGeom prst="rect">
          <a:avLst/>
        </a:prstGeom>
        <a:noFill/>
      </xdr:spPr>
    </xdr:pic>
    <xdr:clientData fLocksWithSheet="0"/>
  </xdr:oneCellAnchor>
  <xdr:oneCellAnchor>
    <xdr:from>
      <xdr:col>6</xdr:col>
      <xdr:colOff>38100</xdr:colOff>
      <xdr:row>1511</xdr:row>
      <xdr:rowOff>38100</xdr:rowOff>
    </xdr:from>
    <xdr:ext cx="647700" cy="419100"/>
    <xdr:pic>
      <xdr:nvPicPr>
        <xdr:cNvPr id="0" name="image787.jpg"/>
        <xdr:cNvPicPr preferRelativeResize="0"/>
      </xdr:nvPicPr>
      <xdr:blipFill>
        <a:blip cstate="print" r:embed="rId791"/>
        <a:stretch>
          <a:fillRect/>
        </a:stretch>
      </xdr:blipFill>
      <xdr:spPr>
        <a:prstGeom prst="rect">
          <a:avLst/>
        </a:prstGeom>
        <a:noFill/>
      </xdr:spPr>
    </xdr:pic>
    <xdr:clientData fLocksWithSheet="0"/>
  </xdr:oneCellAnchor>
  <xdr:oneCellAnchor>
    <xdr:from>
      <xdr:col>6</xdr:col>
      <xdr:colOff>38100</xdr:colOff>
      <xdr:row>1512</xdr:row>
      <xdr:rowOff>38100</xdr:rowOff>
    </xdr:from>
    <xdr:ext cx="647700" cy="400050"/>
    <xdr:pic>
      <xdr:nvPicPr>
        <xdr:cNvPr id="0" name="image793.jpg"/>
        <xdr:cNvPicPr preferRelativeResize="0"/>
      </xdr:nvPicPr>
      <xdr:blipFill>
        <a:blip cstate="print" r:embed="rId792"/>
        <a:stretch>
          <a:fillRect/>
        </a:stretch>
      </xdr:blipFill>
      <xdr:spPr>
        <a:prstGeom prst="rect">
          <a:avLst/>
        </a:prstGeom>
        <a:noFill/>
      </xdr:spPr>
    </xdr:pic>
    <xdr:clientData fLocksWithSheet="0"/>
  </xdr:oneCellAnchor>
  <xdr:oneCellAnchor>
    <xdr:from>
      <xdr:col>6</xdr:col>
      <xdr:colOff>38100</xdr:colOff>
      <xdr:row>1513</xdr:row>
      <xdr:rowOff>38100</xdr:rowOff>
    </xdr:from>
    <xdr:ext cx="647700" cy="400050"/>
    <xdr:pic>
      <xdr:nvPicPr>
        <xdr:cNvPr id="0" name="image793.jpg"/>
        <xdr:cNvPicPr preferRelativeResize="0"/>
      </xdr:nvPicPr>
      <xdr:blipFill>
        <a:blip cstate="print" r:embed="rId792"/>
        <a:stretch>
          <a:fillRect/>
        </a:stretch>
      </xdr:blipFill>
      <xdr:spPr>
        <a:prstGeom prst="rect">
          <a:avLst/>
        </a:prstGeom>
        <a:noFill/>
      </xdr:spPr>
    </xdr:pic>
    <xdr:clientData fLocksWithSheet="0"/>
  </xdr:oneCellAnchor>
  <xdr:oneCellAnchor>
    <xdr:from>
      <xdr:col>6</xdr:col>
      <xdr:colOff>38100</xdr:colOff>
      <xdr:row>1514</xdr:row>
      <xdr:rowOff>38100</xdr:rowOff>
    </xdr:from>
    <xdr:ext cx="647700" cy="295275"/>
    <xdr:pic>
      <xdr:nvPicPr>
        <xdr:cNvPr id="0" name="image794.jpg"/>
        <xdr:cNvPicPr preferRelativeResize="0"/>
      </xdr:nvPicPr>
      <xdr:blipFill>
        <a:blip cstate="print" r:embed="rId793"/>
        <a:stretch>
          <a:fillRect/>
        </a:stretch>
      </xdr:blipFill>
      <xdr:spPr>
        <a:prstGeom prst="rect">
          <a:avLst/>
        </a:prstGeom>
        <a:noFill/>
      </xdr:spPr>
    </xdr:pic>
    <xdr:clientData fLocksWithSheet="0"/>
  </xdr:oneCellAnchor>
  <xdr:oneCellAnchor>
    <xdr:from>
      <xdr:col>6</xdr:col>
      <xdr:colOff>38100</xdr:colOff>
      <xdr:row>1515</xdr:row>
      <xdr:rowOff>38100</xdr:rowOff>
    </xdr:from>
    <xdr:ext cx="647700" cy="295275"/>
    <xdr:pic>
      <xdr:nvPicPr>
        <xdr:cNvPr id="0" name="image794.jpg"/>
        <xdr:cNvPicPr preferRelativeResize="0"/>
      </xdr:nvPicPr>
      <xdr:blipFill>
        <a:blip cstate="print" r:embed="rId793"/>
        <a:stretch>
          <a:fillRect/>
        </a:stretch>
      </xdr:blipFill>
      <xdr:spPr>
        <a:prstGeom prst="rect">
          <a:avLst/>
        </a:prstGeom>
        <a:noFill/>
      </xdr:spPr>
    </xdr:pic>
    <xdr:clientData fLocksWithSheet="0"/>
  </xdr:oneCellAnchor>
  <xdr:oneCellAnchor>
    <xdr:from>
      <xdr:col>6</xdr:col>
      <xdr:colOff>38100</xdr:colOff>
      <xdr:row>1516</xdr:row>
      <xdr:rowOff>38100</xdr:rowOff>
    </xdr:from>
    <xdr:ext cx="647700" cy="295275"/>
    <xdr:pic>
      <xdr:nvPicPr>
        <xdr:cNvPr id="0" name="image794.jpg"/>
        <xdr:cNvPicPr preferRelativeResize="0"/>
      </xdr:nvPicPr>
      <xdr:blipFill>
        <a:blip cstate="print" r:embed="rId793"/>
        <a:stretch>
          <a:fillRect/>
        </a:stretch>
      </xdr:blipFill>
      <xdr:spPr>
        <a:prstGeom prst="rect">
          <a:avLst/>
        </a:prstGeom>
        <a:noFill/>
      </xdr:spPr>
    </xdr:pic>
    <xdr:clientData fLocksWithSheet="0"/>
  </xdr:oneCellAnchor>
  <xdr:oneCellAnchor>
    <xdr:from>
      <xdr:col>6</xdr:col>
      <xdr:colOff>38100</xdr:colOff>
      <xdr:row>1517</xdr:row>
      <xdr:rowOff>38100</xdr:rowOff>
    </xdr:from>
    <xdr:ext cx="609600" cy="333375"/>
    <xdr:pic>
      <xdr:nvPicPr>
        <xdr:cNvPr id="0" name="image821.jpg"/>
        <xdr:cNvPicPr preferRelativeResize="0"/>
      </xdr:nvPicPr>
      <xdr:blipFill>
        <a:blip cstate="print" r:embed="rId794"/>
        <a:stretch>
          <a:fillRect/>
        </a:stretch>
      </xdr:blipFill>
      <xdr:spPr>
        <a:prstGeom prst="rect">
          <a:avLst/>
        </a:prstGeom>
        <a:noFill/>
      </xdr:spPr>
    </xdr:pic>
    <xdr:clientData fLocksWithSheet="0"/>
  </xdr:oneCellAnchor>
  <xdr:oneCellAnchor>
    <xdr:from>
      <xdr:col>6</xdr:col>
      <xdr:colOff>38100</xdr:colOff>
      <xdr:row>1518</xdr:row>
      <xdr:rowOff>38100</xdr:rowOff>
    </xdr:from>
    <xdr:ext cx="514350" cy="514350"/>
    <xdr:pic>
      <xdr:nvPicPr>
        <xdr:cNvPr id="0" name="image822.jpg"/>
        <xdr:cNvPicPr preferRelativeResize="0"/>
      </xdr:nvPicPr>
      <xdr:blipFill>
        <a:blip cstate="print" r:embed="rId795"/>
        <a:stretch>
          <a:fillRect/>
        </a:stretch>
      </xdr:blipFill>
      <xdr:spPr>
        <a:prstGeom prst="rect">
          <a:avLst/>
        </a:prstGeom>
        <a:noFill/>
      </xdr:spPr>
    </xdr:pic>
    <xdr:clientData fLocksWithSheet="0"/>
  </xdr:oneCellAnchor>
  <xdr:oneCellAnchor>
    <xdr:from>
      <xdr:col>6</xdr:col>
      <xdr:colOff>38100</xdr:colOff>
      <xdr:row>1519</xdr:row>
      <xdr:rowOff>38100</xdr:rowOff>
    </xdr:from>
    <xdr:ext cx="609600" cy="333375"/>
    <xdr:pic>
      <xdr:nvPicPr>
        <xdr:cNvPr id="0" name="image821.jpg"/>
        <xdr:cNvPicPr preferRelativeResize="0"/>
      </xdr:nvPicPr>
      <xdr:blipFill>
        <a:blip cstate="print" r:embed="rId794"/>
        <a:stretch>
          <a:fillRect/>
        </a:stretch>
      </xdr:blipFill>
      <xdr:spPr>
        <a:prstGeom prst="rect">
          <a:avLst/>
        </a:prstGeom>
        <a:noFill/>
      </xdr:spPr>
    </xdr:pic>
    <xdr:clientData fLocksWithSheet="0"/>
  </xdr:oneCellAnchor>
  <xdr:oneCellAnchor>
    <xdr:from>
      <xdr:col>6</xdr:col>
      <xdr:colOff>38100</xdr:colOff>
      <xdr:row>1520</xdr:row>
      <xdr:rowOff>38100</xdr:rowOff>
    </xdr:from>
    <xdr:ext cx="609600" cy="333375"/>
    <xdr:pic>
      <xdr:nvPicPr>
        <xdr:cNvPr id="0" name="image821.jpg"/>
        <xdr:cNvPicPr preferRelativeResize="0"/>
      </xdr:nvPicPr>
      <xdr:blipFill>
        <a:blip cstate="print" r:embed="rId794"/>
        <a:stretch>
          <a:fillRect/>
        </a:stretch>
      </xdr:blipFill>
      <xdr:spPr>
        <a:prstGeom prst="rect">
          <a:avLst/>
        </a:prstGeom>
        <a:noFill/>
      </xdr:spPr>
    </xdr:pic>
    <xdr:clientData fLocksWithSheet="0"/>
  </xdr:oneCellAnchor>
  <xdr:oneCellAnchor>
    <xdr:from>
      <xdr:col>6</xdr:col>
      <xdr:colOff>38100</xdr:colOff>
      <xdr:row>1521</xdr:row>
      <xdr:rowOff>38100</xdr:rowOff>
    </xdr:from>
    <xdr:ext cx="514350" cy="514350"/>
    <xdr:pic>
      <xdr:nvPicPr>
        <xdr:cNvPr id="0" name="image822.jpg"/>
        <xdr:cNvPicPr preferRelativeResize="0"/>
      </xdr:nvPicPr>
      <xdr:blipFill>
        <a:blip cstate="print" r:embed="rId795"/>
        <a:stretch>
          <a:fillRect/>
        </a:stretch>
      </xdr:blipFill>
      <xdr:spPr>
        <a:prstGeom prst="rect">
          <a:avLst/>
        </a:prstGeom>
        <a:noFill/>
      </xdr:spPr>
    </xdr:pic>
    <xdr:clientData fLocksWithSheet="0"/>
  </xdr:oneCellAnchor>
  <xdr:oneCellAnchor>
    <xdr:from>
      <xdr:col>6</xdr:col>
      <xdr:colOff>38100</xdr:colOff>
      <xdr:row>1522</xdr:row>
      <xdr:rowOff>38100</xdr:rowOff>
    </xdr:from>
    <xdr:ext cx="609600" cy="333375"/>
    <xdr:pic>
      <xdr:nvPicPr>
        <xdr:cNvPr id="0" name="image821.jpg"/>
        <xdr:cNvPicPr preferRelativeResize="0"/>
      </xdr:nvPicPr>
      <xdr:blipFill>
        <a:blip cstate="print" r:embed="rId794"/>
        <a:stretch>
          <a:fillRect/>
        </a:stretch>
      </xdr:blipFill>
      <xdr:spPr>
        <a:prstGeom prst="rect">
          <a:avLst/>
        </a:prstGeom>
        <a:noFill/>
      </xdr:spPr>
    </xdr:pic>
    <xdr:clientData fLocksWithSheet="0"/>
  </xdr:oneCellAnchor>
  <xdr:oneCellAnchor>
    <xdr:from>
      <xdr:col>6</xdr:col>
      <xdr:colOff>38100</xdr:colOff>
      <xdr:row>1523</xdr:row>
      <xdr:rowOff>38100</xdr:rowOff>
    </xdr:from>
    <xdr:ext cx="647700" cy="304800"/>
    <xdr:pic>
      <xdr:nvPicPr>
        <xdr:cNvPr id="0" name="image778.jpg"/>
        <xdr:cNvPicPr preferRelativeResize="0"/>
      </xdr:nvPicPr>
      <xdr:blipFill>
        <a:blip cstate="print" r:embed="rId796"/>
        <a:stretch>
          <a:fillRect/>
        </a:stretch>
      </xdr:blipFill>
      <xdr:spPr>
        <a:prstGeom prst="rect">
          <a:avLst/>
        </a:prstGeom>
        <a:noFill/>
      </xdr:spPr>
    </xdr:pic>
    <xdr:clientData fLocksWithSheet="0"/>
  </xdr:oneCellAnchor>
  <xdr:oneCellAnchor>
    <xdr:from>
      <xdr:col>6</xdr:col>
      <xdr:colOff>38100</xdr:colOff>
      <xdr:row>1524</xdr:row>
      <xdr:rowOff>38100</xdr:rowOff>
    </xdr:from>
    <xdr:ext cx="647700" cy="514350"/>
    <xdr:pic>
      <xdr:nvPicPr>
        <xdr:cNvPr id="0" name="image779.jpg"/>
        <xdr:cNvPicPr preferRelativeResize="0"/>
      </xdr:nvPicPr>
      <xdr:blipFill>
        <a:blip cstate="print" r:embed="rId797"/>
        <a:stretch>
          <a:fillRect/>
        </a:stretch>
      </xdr:blipFill>
      <xdr:spPr>
        <a:prstGeom prst="rect">
          <a:avLst/>
        </a:prstGeom>
        <a:noFill/>
      </xdr:spPr>
    </xdr:pic>
    <xdr:clientData fLocksWithSheet="0"/>
  </xdr:oneCellAnchor>
  <xdr:oneCellAnchor>
    <xdr:from>
      <xdr:col>6</xdr:col>
      <xdr:colOff>38100</xdr:colOff>
      <xdr:row>1525</xdr:row>
      <xdr:rowOff>38100</xdr:rowOff>
    </xdr:from>
    <xdr:ext cx="647700" cy="333375"/>
    <xdr:pic>
      <xdr:nvPicPr>
        <xdr:cNvPr id="0" name="image824.jpg"/>
        <xdr:cNvPicPr preferRelativeResize="0"/>
      </xdr:nvPicPr>
      <xdr:blipFill>
        <a:blip cstate="print" r:embed="rId798"/>
        <a:stretch>
          <a:fillRect/>
        </a:stretch>
      </xdr:blipFill>
      <xdr:spPr>
        <a:prstGeom prst="rect">
          <a:avLst/>
        </a:prstGeom>
        <a:noFill/>
      </xdr:spPr>
    </xdr:pic>
    <xdr:clientData fLocksWithSheet="0"/>
  </xdr:oneCellAnchor>
  <xdr:oneCellAnchor>
    <xdr:from>
      <xdr:col>6</xdr:col>
      <xdr:colOff>38100</xdr:colOff>
      <xdr:row>1526</xdr:row>
      <xdr:rowOff>38100</xdr:rowOff>
    </xdr:from>
    <xdr:ext cx="647700" cy="381000"/>
    <xdr:pic>
      <xdr:nvPicPr>
        <xdr:cNvPr id="0" name="image803.jpg"/>
        <xdr:cNvPicPr preferRelativeResize="0"/>
      </xdr:nvPicPr>
      <xdr:blipFill>
        <a:blip cstate="print" r:embed="rId799"/>
        <a:stretch>
          <a:fillRect/>
        </a:stretch>
      </xdr:blipFill>
      <xdr:spPr>
        <a:prstGeom prst="rect">
          <a:avLst/>
        </a:prstGeom>
        <a:noFill/>
      </xdr:spPr>
    </xdr:pic>
    <xdr:clientData fLocksWithSheet="0"/>
  </xdr:oneCellAnchor>
  <xdr:oneCellAnchor>
    <xdr:from>
      <xdr:col>6</xdr:col>
      <xdr:colOff>38100</xdr:colOff>
      <xdr:row>1527</xdr:row>
      <xdr:rowOff>38100</xdr:rowOff>
    </xdr:from>
    <xdr:ext cx="628650" cy="257175"/>
    <xdr:pic>
      <xdr:nvPicPr>
        <xdr:cNvPr id="0" name="image808.jpg"/>
        <xdr:cNvPicPr preferRelativeResize="0"/>
      </xdr:nvPicPr>
      <xdr:blipFill>
        <a:blip cstate="print" r:embed="rId800"/>
        <a:stretch>
          <a:fillRect/>
        </a:stretch>
      </xdr:blipFill>
      <xdr:spPr>
        <a:prstGeom prst="rect">
          <a:avLst/>
        </a:prstGeom>
        <a:noFill/>
      </xdr:spPr>
    </xdr:pic>
    <xdr:clientData fLocksWithSheet="0"/>
  </xdr:oneCellAnchor>
  <xdr:oneCellAnchor>
    <xdr:from>
      <xdr:col>6</xdr:col>
      <xdr:colOff>38100</xdr:colOff>
      <xdr:row>1528</xdr:row>
      <xdr:rowOff>38100</xdr:rowOff>
    </xdr:from>
    <xdr:ext cx="647700" cy="314325"/>
    <xdr:pic>
      <xdr:nvPicPr>
        <xdr:cNvPr id="0" name="image789.jpg"/>
        <xdr:cNvPicPr preferRelativeResize="0"/>
      </xdr:nvPicPr>
      <xdr:blipFill>
        <a:blip cstate="print" r:embed="rId801"/>
        <a:stretch>
          <a:fillRect/>
        </a:stretch>
      </xdr:blipFill>
      <xdr:spPr>
        <a:prstGeom prst="rect">
          <a:avLst/>
        </a:prstGeom>
        <a:noFill/>
      </xdr:spPr>
    </xdr:pic>
    <xdr:clientData fLocksWithSheet="0"/>
  </xdr:oneCellAnchor>
  <xdr:oneCellAnchor>
    <xdr:from>
      <xdr:col>6</xdr:col>
      <xdr:colOff>38100</xdr:colOff>
      <xdr:row>1529</xdr:row>
      <xdr:rowOff>38100</xdr:rowOff>
    </xdr:from>
    <xdr:ext cx="647700" cy="247650"/>
    <xdr:pic>
      <xdr:nvPicPr>
        <xdr:cNvPr id="0" name="image790.jpg"/>
        <xdr:cNvPicPr preferRelativeResize="0"/>
      </xdr:nvPicPr>
      <xdr:blipFill>
        <a:blip cstate="print" r:embed="rId802"/>
        <a:stretch>
          <a:fillRect/>
        </a:stretch>
      </xdr:blipFill>
      <xdr:spPr>
        <a:prstGeom prst="rect">
          <a:avLst/>
        </a:prstGeom>
        <a:noFill/>
      </xdr:spPr>
    </xdr:pic>
    <xdr:clientData fLocksWithSheet="0"/>
  </xdr:oneCellAnchor>
  <xdr:oneCellAnchor>
    <xdr:from>
      <xdr:col>6</xdr:col>
      <xdr:colOff>38100</xdr:colOff>
      <xdr:row>1530</xdr:row>
      <xdr:rowOff>38100</xdr:rowOff>
    </xdr:from>
    <xdr:ext cx="647700" cy="381000"/>
    <xdr:pic>
      <xdr:nvPicPr>
        <xdr:cNvPr id="0" name="image803.jpg"/>
        <xdr:cNvPicPr preferRelativeResize="0"/>
      </xdr:nvPicPr>
      <xdr:blipFill>
        <a:blip cstate="print" r:embed="rId799"/>
        <a:stretch>
          <a:fillRect/>
        </a:stretch>
      </xdr:blipFill>
      <xdr:spPr>
        <a:prstGeom prst="rect">
          <a:avLst/>
        </a:prstGeom>
        <a:noFill/>
      </xdr:spPr>
    </xdr:pic>
    <xdr:clientData fLocksWithSheet="0"/>
  </xdr:oneCellAnchor>
  <xdr:oneCellAnchor>
    <xdr:from>
      <xdr:col>6</xdr:col>
      <xdr:colOff>38100</xdr:colOff>
      <xdr:row>1531</xdr:row>
      <xdr:rowOff>38100</xdr:rowOff>
    </xdr:from>
    <xdr:ext cx="647700" cy="266700"/>
    <xdr:pic>
      <xdr:nvPicPr>
        <xdr:cNvPr id="0" name="image782.jpg"/>
        <xdr:cNvPicPr preferRelativeResize="0"/>
      </xdr:nvPicPr>
      <xdr:blipFill>
        <a:blip cstate="print" r:embed="rId803"/>
        <a:stretch>
          <a:fillRect/>
        </a:stretch>
      </xdr:blipFill>
      <xdr:spPr>
        <a:prstGeom prst="rect">
          <a:avLst/>
        </a:prstGeom>
        <a:noFill/>
      </xdr:spPr>
    </xdr:pic>
    <xdr:clientData fLocksWithSheet="0"/>
  </xdr:oneCellAnchor>
  <xdr:oneCellAnchor>
    <xdr:from>
      <xdr:col>6</xdr:col>
      <xdr:colOff>38100</xdr:colOff>
      <xdr:row>1532</xdr:row>
      <xdr:rowOff>38100</xdr:rowOff>
    </xdr:from>
    <xdr:ext cx="647700" cy="381000"/>
    <xdr:pic>
      <xdr:nvPicPr>
        <xdr:cNvPr id="0" name="image803.jpg"/>
        <xdr:cNvPicPr preferRelativeResize="0"/>
      </xdr:nvPicPr>
      <xdr:blipFill>
        <a:blip cstate="print" r:embed="rId799"/>
        <a:stretch>
          <a:fillRect/>
        </a:stretch>
      </xdr:blipFill>
      <xdr:spPr>
        <a:prstGeom prst="rect">
          <a:avLst/>
        </a:prstGeom>
        <a:noFill/>
      </xdr:spPr>
    </xdr:pic>
    <xdr:clientData fLocksWithSheet="0"/>
  </xdr:oneCellAnchor>
  <xdr:oneCellAnchor>
    <xdr:from>
      <xdr:col>6</xdr:col>
      <xdr:colOff>38100</xdr:colOff>
      <xdr:row>1533</xdr:row>
      <xdr:rowOff>38100</xdr:rowOff>
    </xdr:from>
    <xdr:ext cx="647700" cy="333375"/>
    <xdr:pic>
      <xdr:nvPicPr>
        <xdr:cNvPr id="0" name="image824.jpg"/>
        <xdr:cNvPicPr preferRelativeResize="0"/>
      </xdr:nvPicPr>
      <xdr:blipFill>
        <a:blip cstate="print" r:embed="rId798"/>
        <a:stretch>
          <a:fillRect/>
        </a:stretch>
      </xdr:blipFill>
      <xdr:spPr>
        <a:prstGeom prst="rect">
          <a:avLst/>
        </a:prstGeom>
        <a:noFill/>
      </xdr:spPr>
    </xdr:pic>
    <xdr:clientData fLocksWithSheet="0"/>
  </xdr:oneCellAnchor>
  <xdr:oneCellAnchor>
    <xdr:from>
      <xdr:col>6</xdr:col>
      <xdr:colOff>38100</xdr:colOff>
      <xdr:row>1534</xdr:row>
      <xdr:rowOff>38100</xdr:rowOff>
    </xdr:from>
    <xdr:ext cx="647700" cy="381000"/>
    <xdr:pic>
      <xdr:nvPicPr>
        <xdr:cNvPr id="0" name="image803.jpg"/>
        <xdr:cNvPicPr preferRelativeResize="0"/>
      </xdr:nvPicPr>
      <xdr:blipFill>
        <a:blip cstate="print" r:embed="rId799"/>
        <a:stretch>
          <a:fillRect/>
        </a:stretch>
      </xdr:blipFill>
      <xdr:spPr>
        <a:prstGeom prst="rect">
          <a:avLst/>
        </a:prstGeom>
        <a:noFill/>
      </xdr:spPr>
    </xdr:pic>
    <xdr:clientData fLocksWithSheet="0"/>
  </xdr:oneCellAnchor>
  <xdr:oneCellAnchor>
    <xdr:from>
      <xdr:col>6</xdr:col>
      <xdr:colOff>38100</xdr:colOff>
      <xdr:row>1535</xdr:row>
      <xdr:rowOff>38100</xdr:rowOff>
    </xdr:from>
    <xdr:ext cx="647700" cy="381000"/>
    <xdr:pic>
      <xdr:nvPicPr>
        <xdr:cNvPr id="0" name="image803.jpg"/>
        <xdr:cNvPicPr preferRelativeResize="0"/>
      </xdr:nvPicPr>
      <xdr:blipFill>
        <a:blip cstate="print" r:embed="rId799"/>
        <a:stretch>
          <a:fillRect/>
        </a:stretch>
      </xdr:blipFill>
      <xdr:spPr>
        <a:prstGeom prst="rect">
          <a:avLst/>
        </a:prstGeom>
        <a:noFill/>
      </xdr:spPr>
    </xdr:pic>
    <xdr:clientData fLocksWithSheet="0"/>
  </xdr:oneCellAnchor>
  <xdr:oneCellAnchor>
    <xdr:from>
      <xdr:col>6</xdr:col>
      <xdr:colOff>38100</xdr:colOff>
      <xdr:row>1536</xdr:row>
      <xdr:rowOff>38100</xdr:rowOff>
    </xdr:from>
    <xdr:ext cx="647700" cy="342900"/>
    <xdr:pic>
      <xdr:nvPicPr>
        <xdr:cNvPr id="0" name="image810.jpg"/>
        <xdr:cNvPicPr preferRelativeResize="0"/>
      </xdr:nvPicPr>
      <xdr:blipFill>
        <a:blip cstate="print" r:embed="rId804"/>
        <a:stretch>
          <a:fillRect/>
        </a:stretch>
      </xdr:blipFill>
      <xdr:spPr>
        <a:prstGeom prst="rect">
          <a:avLst/>
        </a:prstGeom>
        <a:noFill/>
      </xdr:spPr>
    </xdr:pic>
    <xdr:clientData fLocksWithSheet="0"/>
  </xdr:oneCellAnchor>
  <xdr:oneCellAnchor>
    <xdr:from>
      <xdr:col>6</xdr:col>
      <xdr:colOff>38100</xdr:colOff>
      <xdr:row>1537</xdr:row>
      <xdr:rowOff>38100</xdr:rowOff>
    </xdr:from>
    <xdr:ext cx="647700" cy="361950"/>
    <xdr:pic>
      <xdr:nvPicPr>
        <xdr:cNvPr id="0" name="image825.jpg"/>
        <xdr:cNvPicPr preferRelativeResize="0"/>
      </xdr:nvPicPr>
      <xdr:blipFill>
        <a:blip cstate="print" r:embed="rId805"/>
        <a:stretch>
          <a:fillRect/>
        </a:stretch>
      </xdr:blipFill>
      <xdr:spPr>
        <a:prstGeom prst="rect">
          <a:avLst/>
        </a:prstGeom>
        <a:noFill/>
      </xdr:spPr>
    </xdr:pic>
    <xdr:clientData fLocksWithSheet="0"/>
  </xdr:oneCellAnchor>
  <xdr:oneCellAnchor>
    <xdr:from>
      <xdr:col>6</xdr:col>
      <xdr:colOff>38100</xdr:colOff>
      <xdr:row>1538</xdr:row>
      <xdr:rowOff>38100</xdr:rowOff>
    </xdr:from>
    <xdr:ext cx="647700" cy="361950"/>
    <xdr:pic>
      <xdr:nvPicPr>
        <xdr:cNvPr id="0" name="image825.jpg"/>
        <xdr:cNvPicPr preferRelativeResize="0"/>
      </xdr:nvPicPr>
      <xdr:blipFill>
        <a:blip cstate="print" r:embed="rId805"/>
        <a:stretch>
          <a:fillRect/>
        </a:stretch>
      </xdr:blipFill>
      <xdr:spPr>
        <a:prstGeom prst="rect">
          <a:avLst/>
        </a:prstGeom>
        <a:noFill/>
      </xdr:spPr>
    </xdr:pic>
    <xdr:clientData fLocksWithSheet="0"/>
  </xdr:oneCellAnchor>
  <xdr:oneCellAnchor>
    <xdr:from>
      <xdr:col>6</xdr:col>
      <xdr:colOff>38100</xdr:colOff>
      <xdr:row>1539</xdr:row>
      <xdr:rowOff>38100</xdr:rowOff>
    </xdr:from>
    <xdr:ext cx="647700" cy="361950"/>
    <xdr:pic>
      <xdr:nvPicPr>
        <xdr:cNvPr id="0" name="image825.jpg"/>
        <xdr:cNvPicPr preferRelativeResize="0"/>
      </xdr:nvPicPr>
      <xdr:blipFill>
        <a:blip cstate="print" r:embed="rId805"/>
        <a:stretch>
          <a:fillRect/>
        </a:stretch>
      </xdr:blipFill>
      <xdr:spPr>
        <a:prstGeom prst="rect">
          <a:avLst/>
        </a:prstGeom>
        <a:noFill/>
      </xdr:spPr>
    </xdr:pic>
    <xdr:clientData fLocksWithSheet="0"/>
  </xdr:oneCellAnchor>
  <xdr:oneCellAnchor>
    <xdr:from>
      <xdr:col>6</xdr:col>
      <xdr:colOff>38100</xdr:colOff>
      <xdr:row>1540</xdr:row>
      <xdr:rowOff>38100</xdr:rowOff>
    </xdr:from>
    <xdr:ext cx="647700" cy="361950"/>
    <xdr:pic>
      <xdr:nvPicPr>
        <xdr:cNvPr id="0" name="image825.jpg"/>
        <xdr:cNvPicPr preferRelativeResize="0"/>
      </xdr:nvPicPr>
      <xdr:blipFill>
        <a:blip cstate="print" r:embed="rId805"/>
        <a:stretch>
          <a:fillRect/>
        </a:stretch>
      </xdr:blipFill>
      <xdr:spPr>
        <a:prstGeom prst="rect">
          <a:avLst/>
        </a:prstGeom>
        <a:noFill/>
      </xdr:spPr>
    </xdr:pic>
    <xdr:clientData fLocksWithSheet="0"/>
  </xdr:oneCellAnchor>
  <xdr:oneCellAnchor>
    <xdr:from>
      <xdr:col>6</xdr:col>
      <xdr:colOff>38100</xdr:colOff>
      <xdr:row>1541</xdr:row>
      <xdr:rowOff>38100</xdr:rowOff>
    </xdr:from>
    <xdr:ext cx="647700" cy="361950"/>
    <xdr:pic>
      <xdr:nvPicPr>
        <xdr:cNvPr id="0" name="image825.jpg"/>
        <xdr:cNvPicPr preferRelativeResize="0"/>
      </xdr:nvPicPr>
      <xdr:blipFill>
        <a:blip cstate="print" r:embed="rId805"/>
        <a:stretch>
          <a:fillRect/>
        </a:stretch>
      </xdr:blipFill>
      <xdr:spPr>
        <a:prstGeom prst="rect">
          <a:avLst/>
        </a:prstGeom>
        <a:noFill/>
      </xdr:spPr>
    </xdr:pic>
    <xdr:clientData fLocksWithSheet="0"/>
  </xdr:oneCellAnchor>
  <xdr:oneCellAnchor>
    <xdr:from>
      <xdr:col>6</xdr:col>
      <xdr:colOff>38100</xdr:colOff>
      <xdr:row>1542</xdr:row>
      <xdr:rowOff>38100</xdr:rowOff>
    </xdr:from>
    <xdr:ext cx="647700" cy="361950"/>
    <xdr:pic>
      <xdr:nvPicPr>
        <xdr:cNvPr id="0" name="image825.jpg"/>
        <xdr:cNvPicPr preferRelativeResize="0"/>
      </xdr:nvPicPr>
      <xdr:blipFill>
        <a:blip cstate="print" r:embed="rId805"/>
        <a:stretch>
          <a:fillRect/>
        </a:stretch>
      </xdr:blipFill>
      <xdr:spPr>
        <a:prstGeom prst="rect">
          <a:avLst/>
        </a:prstGeom>
        <a:noFill/>
      </xdr:spPr>
    </xdr:pic>
    <xdr:clientData fLocksWithSheet="0"/>
  </xdr:oneCellAnchor>
  <xdr:oneCellAnchor>
    <xdr:from>
      <xdr:col>6</xdr:col>
      <xdr:colOff>38100</xdr:colOff>
      <xdr:row>1543</xdr:row>
      <xdr:rowOff>38100</xdr:rowOff>
    </xdr:from>
    <xdr:ext cx="647700" cy="361950"/>
    <xdr:pic>
      <xdr:nvPicPr>
        <xdr:cNvPr id="0" name="image825.jpg"/>
        <xdr:cNvPicPr preferRelativeResize="0"/>
      </xdr:nvPicPr>
      <xdr:blipFill>
        <a:blip cstate="print" r:embed="rId805"/>
        <a:stretch>
          <a:fillRect/>
        </a:stretch>
      </xdr:blipFill>
      <xdr:spPr>
        <a:prstGeom prst="rect">
          <a:avLst/>
        </a:prstGeom>
        <a:noFill/>
      </xdr:spPr>
    </xdr:pic>
    <xdr:clientData fLocksWithSheet="0"/>
  </xdr:oneCellAnchor>
  <xdr:oneCellAnchor>
    <xdr:from>
      <xdr:col>6</xdr:col>
      <xdr:colOff>38100</xdr:colOff>
      <xdr:row>1544</xdr:row>
      <xdr:rowOff>38100</xdr:rowOff>
    </xdr:from>
    <xdr:ext cx="647700" cy="333375"/>
    <xdr:pic>
      <xdr:nvPicPr>
        <xdr:cNvPr id="0" name="image833.jpg"/>
        <xdr:cNvPicPr preferRelativeResize="0"/>
      </xdr:nvPicPr>
      <xdr:blipFill>
        <a:blip cstate="print" r:embed="rId806"/>
        <a:stretch>
          <a:fillRect/>
        </a:stretch>
      </xdr:blipFill>
      <xdr:spPr>
        <a:prstGeom prst="rect">
          <a:avLst/>
        </a:prstGeom>
        <a:noFill/>
      </xdr:spPr>
    </xdr:pic>
    <xdr:clientData fLocksWithSheet="0"/>
  </xdr:oneCellAnchor>
  <xdr:oneCellAnchor>
    <xdr:from>
      <xdr:col>6</xdr:col>
      <xdr:colOff>38100</xdr:colOff>
      <xdr:row>1545</xdr:row>
      <xdr:rowOff>38100</xdr:rowOff>
    </xdr:from>
    <xdr:ext cx="342900" cy="514350"/>
    <xdr:pic>
      <xdr:nvPicPr>
        <xdr:cNvPr id="0" name="image815.jpg"/>
        <xdr:cNvPicPr preferRelativeResize="0"/>
      </xdr:nvPicPr>
      <xdr:blipFill>
        <a:blip cstate="print" r:embed="rId807"/>
        <a:stretch>
          <a:fillRect/>
        </a:stretch>
      </xdr:blipFill>
      <xdr:spPr>
        <a:prstGeom prst="rect">
          <a:avLst/>
        </a:prstGeom>
        <a:noFill/>
      </xdr:spPr>
    </xdr:pic>
    <xdr:clientData fLocksWithSheet="0"/>
  </xdr:oneCellAnchor>
  <xdr:oneCellAnchor>
    <xdr:from>
      <xdr:col>6</xdr:col>
      <xdr:colOff>38100</xdr:colOff>
      <xdr:row>1546</xdr:row>
      <xdr:rowOff>38100</xdr:rowOff>
    </xdr:from>
    <xdr:ext cx="647700" cy="333375"/>
    <xdr:pic>
      <xdr:nvPicPr>
        <xdr:cNvPr id="0" name="image833.jpg"/>
        <xdr:cNvPicPr preferRelativeResize="0"/>
      </xdr:nvPicPr>
      <xdr:blipFill>
        <a:blip cstate="print" r:embed="rId806"/>
        <a:stretch>
          <a:fillRect/>
        </a:stretch>
      </xdr:blipFill>
      <xdr:spPr>
        <a:prstGeom prst="rect">
          <a:avLst/>
        </a:prstGeom>
        <a:noFill/>
      </xdr:spPr>
    </xdr:pic>
    <xdr:clientData fLocksWithSheet="0"/>
  </xdr:oneCellAnchor>
  <xdr:oneCellAnchor>
    <xdr:from>
      <xdr:col>6</xdr:col>
      <xdr:colOff>38100</xdr:colOff>
      <xdr:row>1547</xdr:row>
      <xdr:rowOff>38100</xdr:rowOff>
    </xdr:from>
    <xdr:ext cx="342900" cy="514350"/>
    <xdr:pic>
      <xdr:nvPicPr>
        <xdr:cNvPr id="0" name="image815.jpg"/>
        <xdr:cNvPicPr preferRelativeResize="0"/>
      </xdr:nvPicPr>
      <xdr:blipFill>
        <a:blip cstate="print" r:embed="rId807"/>
        <a:stretch>
          <a:fillRect/>
        </a:stretch>
      </xdr:blipFill>
      <xdr:spPr>
        <a:prstGeom prst="rect">
          <a:avLst/>
        </a:prstGeom>
        <a:noFill/>
      </xdr:spPr>
    </xdr:pic>
    <xdr:clientData fLocksWithSheet="0"/>
  </xdr:oneCellAnchor>
  <xdr:oneCellAnchor>
    <xdr:from>
      <xdr:col>6</xdr:col>
      <xdr:colOff>38100</xdr:colOff>
      <xdr:row>1548</xdr:row>
      <xdr:rowOff>38100</xdr:rowOff>
    </xdr:from>
    <xdr:ext cx="647700" cy="314325"/>
    <xdr:pic>
      <xdr:nvPicPr>
        <xdr:cNvPr id="0" name="image797.jpg"/>
        <xdr:cNvPicPr preferRelativeResize="0"/>
      </xdr:nvPicPr>
      <xdr:blipFill>
        <a:blip cstate="print" r:embed="rId808"/>
        <a:stretch>
          <a:fillRect/>
        </a:stretch>
      </xdr:blipFill>
      <xdr:spPr>
        <a:prstGeom prst="rect">
          <a:avLst/>
        </a:prstGeom>
        <a:noFill/>
      </xdr:spPr>
    </xdr:pic>
    <xdr:clientData fLocksWithSheet="0"/>
  </xdr:oneCellAnchor>
  <xdr:oneCellAnchor>
    <xdr:from>
      <xdr:col>6</xdr:col>
      <xdr:colOff>38100</xdr:colOff>
      <xdr:row>1549</xdr:row>
      <xdr:rowOff>38100</xdr:rowOff>
    </xdr:from>
    <xdr:ext cx="647700" cy="304800"/>
    <xdr:pic>
      <xdr:nvPicPr>
        <xdr:cNvPr id="0" name="image800.jpg"/>
        <xdr:cNvPicPr preferRelativeResize="0"/>
      </xdr:nvPicPr>
      <xdr:blipFill>
        <a:blip cstate="print" r:embed="rId809"/>
        <a:stretch>
          <a:fillRect/>
        </a:stretch>
      </xdr:blipFill>
      <xdr:spPr>
        <a:prstGeom prst="rect">
          <a:avLst/>
        </a:prstGeom>
        <a:noFill/>
      </xdr:spPr>
    </xdr:pic>
    <xdr:clientData fLocksWithSheet="0"/>
  </xdr:oneCellAnchor>
  <xdr:oneCellAnchor>
    <xdr:from>
      <xdr:col>6</xdr:col>
      <xdr:colOff>38100</xdr:colOff>
      <xdr:row>1550</xdr:row>
      <xdr:rowOff>38100</xdr:rowOff>
    </xdr:from>
    <xdr:ext cx="647700" cy="314325"/>
    <xdr:pic>
      <xdr:nvPicPr>
        <xdr:cNvPr id="0" name="image797.jpg"/>
        <xdr:cNvPicPr preferRelativeResize="0"/>
      </xdr:nvPicPr>
      <xdr:blipFill>
        <a:blip cstate="print" r:embed="rId808"/>
        <a:stretch>
          <a:fillRect/>
        </a:stretch>
      </xdr:blipFill>
      <xdr:spPr>
        <a:prstGeom prst="rect">
          <a:avLst/>
        </a:prstGeom>
        <a:noFill/>
      </xdr:spPr>
    </xdr:pic>
    <xdr:clientData fLocksWithSheet="0"/>
  </xdr:oneCellAnchor>
  <xdr:oneCellAnchor>
    <xdr:from>
      <xdr:col>6</xdr:col>
      <xdr:colOff>38100</xdr:colOff>
      <xdr:row>1551</xdr:row>
      <xdr:rowOff>38100</xdr:rowOff>
    </xdr:from>
    <xdr:ext cx="647700" cy="314325"/>
    <xdr:pic>
      <xdr:nvPicPr>
        <xdr:cNvPr id="0" name="image797.jpg"/>
        <xdr:cNvPicPr preferRelativeResize="0"/>
      </xdr:nvPicPr>
      <xdr:blipFill>
        <a:blip cstate="print" r:embed="rId808"/>
        <a:stretch>
          <a:fillRect/>
        </a:stretch>
      </xdr:blipFill>
      <xdr:spPr>
        <a:prstGeom prst="rect">
          <a:avLst/>
        </a:prstGeom>
        <a:noFill/>
      </xdr:spPr>
    </xdr:pic>
    <xdr:clientData fLocksWithSheet="0"/>
  </xdr:oneCellAnchor>
  <xdr:oneCellAnchor>
    <xdr:from>
      <xdr:col>6</xdr:col>
      <xdr:colOff>38100</xdr:colOff>
      <xdr:row>1552</xdr:row>
      <xdr:rowOff>38100</xdr:rowOff>
    </xdr:from>
    <xdr:ext cx="647700" cy="333375"/>
    <xdr:pic>
      <xdr:nvPicPr>
        <xdr:cNvPr id="0" name="image833.jpg"/>
        <xdr:cNvPicPr preferRelativeResize="0"/>
      </xdr:nvPicPr>
      <xdr:blipFill>
        <a:blip cstate="print" r:embed="rId806"/>
        <a:stretch>
          <a:fillRect/>
        </a:stretch>
      </xdr:blipFill>
      <xdr:spPr>
        <a:prstGeom prst="rect">
          <a:avLst/>
        </a:prstGeom>
        <a:noFill/>
      </xdr:spPr>
    </xdr:pic>
    <xdr:clientData fLocksWithSheet="0"/>
  </xdr:oneCellAnchor>
  <xdr:oneCellAnchor>
    <xdr:from>
      <xdr:col>6</xdr:col>
      <xdr:colOff>38100</xdr:colOff>
      <xdr:row>1553</xdr:row>
      <xdr:rowOff>38100</xdr:rowOff>
    </xdr:from>
    <xdr:ext cx="342900" cy="514350"/>
    <xdr:pic>
      <xdr:nvPicPr>
        <xdr:cNvPr id="0" name="image813.jpg"/>
        <xdr:cNvPicPr preferRelativeResize="0"/>
      </xdr:nvPicPr>
      <xdr:blipFill>
        <a:blip cstate="print" r:embed="rId810"/>
        <a:stretch>
          <a:fillRect/>
        </a:stretch>
      </xdr:blipFill>
      <xdr:spPr>
        <a:prstGeom prst="rect">
          <a:avLst/>
        </a:prstGeom>
        <a:noFill/>
      </xdr:spPr>
    </xdr:pic>
    <xdr:clientData fLocksWithSheet="0"/>
  </xdr:oneCellAnchor>
  <xdr:oneCellAnchor>
    <xdr:from>
      <xdr:col>6</xdr:col>
      <xdr:colOff>38100</xdr:colOff>
      <xdr:row>1554</xdr:row>
      <xdr:rowOff>38100</xdr:rowOff>
    </xdr:from>
    <xdr:ext cx="342900" cy="514350"/>
    <xdr:pic>
      <xdr:nvPicPr>
        <xdr:cNvPr id="0" name="image813.jpg"/>
        <xdr:cNvPicPr preferRelativeResize="0"/>
      </xdr:nvPicPr>
      <xdr:blipFill>
        <a:blip cstate="print" r:embed="rId810"/>
        <a:stretch>
          <a:fillRect/>
        </a:stretch>
      </xdr:blipFill>
      <xdr:spPr>
        <a:prstGeom prst="rect">
          <a:avLst/>
        </a:prstGeom>
        <a:noFill/>
      </xdr:spPr>
    </xdr:pic>
    <xdr:clientData fLocksWithSheet="0"/>
  </xdr:oneCellAnchor>
  <xdr:oneCellAnchor>
    <xdr:from>
      <xdr:col>6</xdr:col>
      <xdr:colOff>38100</xdr:colOff>
      <xdr:row>1555</xdr:row>
      <xdr:rowOff>38100</xdr:rowOff>
    </xdr:from>
    <xdr:ext cx="514350" cy="514350"/>
    <xdr:pic>
      <xdr:nvPicPr>
        <xdr:cNvPr id="0" name="image822.jpg"/>
        <xdr:cNvPicPr preferRelativeResize="0"/>
      </xdr:nvPicPr>
      <xdr:blipFill>
        <a:blip cstate="print" r:embed="rId795"/>
        <a:stretch>
          <a:fillRect/>
        </a:stretch>
      </xdr:blipFill>
      <xdr:spPr>
        <a:prstGeom prst="rect">
          <a:avLst/>
        </a:prstGeom>
        <a:noFill/>
      </xdr:spPr>
    </xdr:pic>
    <xdr:clientData fLocksWithSheet="0"/>
  </xdr:oneCellAnchor>
  <xdr:oneCellAnchor>
    <xdr:from>
      <xdr:col>6</xdr:col>
      <xdr:colOff>38100</xdr:colOff>
      <xdr:row>1556</xdr:row>
      <xdr:rowOff>38100</xdr:rowOff>
    </xdr:from>
    <xdr:ext cx="514350" cy="514350"/>
    <xdr:pic>
      <xdr:nvPicPr>
        <xdr:cNvPr id="0" name="image822.jpg"/>
        <xdr:cNvPicPr preferRelativeResize="0"/>
      </xdr:nvPicPr>
      <xdr:blipFill>
        <a:blip cstate="print" r:embed="rId795"/>
        <a:stretch>
          <a:fillRect/>
        </a:stretch>
      </xdr:blipFill>
      <xdr:spPr>
        <a:prstGeom prst="rect">
          <a:avLst/>
        </a:prstGeom>
        <a:noFill/>
      </xdr:spPr>
    </xdr:pic>
    <xdr:clientData fLocksWithSheet="0"/>
  </xdr:oneCellAnchor>
  <xdr:oneCellAnchor>
    <xdr:from>
      <xdr:col>6</xdr:col>
      <xdr:colOff>38100</xdr:colOff>
      <xdr:row>1557</xdr:row>
      <xdr:rowOff>38100</xdr:rowOff>
    </xdr:from>
    <xdr:ext cx="647700" cy="361950"/>
    <xdr:pic>
      <xdr:nvPicPr>
        <xdr:cNvPr id="0" name="image801.jpg"/>
        <xdr:cNvPicPr preferRelativeResize="0"/>
      </xdr:nvPicPr>
      <xdr:blipFill>
        <a:blip cstate="print" r:embed="rId811"/>
        <a:stretch>
          <a:fillRect/>
        </a:stretch>
      </xdr:blipFill>
      <xdr:spPr>
        <a:prstGeom prst="rect">
          <a:avLst/>
        </a:prstGeom>
        <a:noFill/>
      </xdr:spPr>
    </xdr:pic>
    <xdr:clientData fLocksWithSheet="0"/>
  </xdr:oneCellAnchor>
  <xdr:oneCellAnchor>
    <xdr:from>
      <xdr:col>6</xdr:col>
      <xdr:colOff>38100</xdr:colOff>
      <xdr:row>1558</xdr:row>
      <xdr:rowOff>38100</xdr:rowOff>
    </xdr:from>
    <xdr:ext cx="647700" cy="314325"/>
    <xdr:pic>
      <xdr:nvPicPr>
        <xdr:cNvPr id="0" name="image797.jpg"/>
        <xdr:cNvPicPr preferRelativeResize="0"/>
      </xdr:nvPicPr>
      <xdr:blipFill>
        <a:blip cstate="print" r:embed="rId808"/>
        <a:stretch>
          <a:fillRect/>
        </a:stretch>
      </xdr:blipFill>
      <xdr:spPr>
        <a:prstGeom prst="rect">
          <a:avLst/>
        </a:prstGeom>
        <a:noFill/>
      </xdr:spPr>
    </xdr:pic>
    <xdr:clientData fLocksWithSheet="0"/>
  </xdr:oneCellAnchor>
  <xdr:oneCellAnchor>
    <xdr:from>
      <xdr:col>6</xdr:col>
      <xdr:colOff>38100</xdr:colOff>
      <xdr:row>1559</xdr:row>
      <xdr:rowOff>38100</xdr:rowOff>
    </xdr:from>
    <xdr:ext cx="647700" cy="361950"/>
    <xdr:pic>
      <xdr:nvPicPr>
        <xdr:cNvPr id="0" name="image798.jpg"/>
        <xdr:cNvPicPr preferRelativeResize="0"/>
      </xdr:nvPicPr>
      <xdr:blipFill>
        <a:blip cstate="print" r:embed="rId812"/>
        <a:stretch>
          <a:fillRect/>
        </a:stretch>
      </xdr:blipFill>
      <xdr:spPr>
        <a:prstGeom prst="rect">
          <a:avLst/>
        </a:prstGeom>
        <a:noFill/>
      </xdr:spPr>
    </xdr:pic>
    <xdr:clientData fLocksWithSheet="0"/>
  </xdr:oneCellAnchor>
  <xdr:oneCellAnchor>
    <xdr:from>
      <xdr:col>6</xdr:col>
      <xdr:colOff>38100</xdr:colOff>
      <xdr:row>1560</xdr:row>
      <xdr:rowOff>38100</xdr:rowOff>
    </xdr:from>
    <xdr:ext cx="514350" cy="514350"/>
    <xdr:pic>
      <xdr:nvPicPr>
        <xdr:cNvPr id="0" name="image822.jpg"/>
        <xdr:cNvPicPr preferRelativeResize="0"/>
      </xdr:nvPicPr>
      <xdr:blipFill>
        <a:blip cstate="print" r:embed="rId795"/>
        <a:stretch>
          <a:fillRect/>
        </a:stretch>
      </xdr:blipFill>
      <xdr:spPr>
        <a:prstGeom prst="rect">
          <a:avLst/>
        </a:prstGeom>
        <a:noFill/>
      </xdr:spPr>
    </xdr:pic>
    <xdr:clientData fLocksWithSheet="0"/>
  </xdr:oneCellAnchor>
  <xdr:oneCellAnchor>
    <xdr:from>
      <xdr:col>6</xdr:col>
      <xdr:colOff>38100</xdr:colOff>
      <xdr:row>1561</xdr:row>
      <xdr:rowOff>38100</xdr:rowOff>
    </xdr:from>
    <xdr:ext cx="647700" cy="314325"/>
    <xdr:pic>
      <xdr:nvPicPr>
        <xdr:cNvPr id="0" name="image797.jpg"/>
        <xdr:cNvPicPr preferRelativeResize="0"/>
      </xdr:nvPicPr>
      <xdr:blipFill>
        <a:blip cstate="print" r:embed="rId808"/>
        <a:stretch>
          <a:fillRect/>
        </a:stretch>
      </xdr:blipFill>
      <xdr:spPr>
        <a:prstGeom prst="rect">
          <a:avLst/>
        </a:prstGeom>
        <a:noFill/>
      </xdr:spPr>
    </xdr:pic>
    <xdr:clientData fLocksWithSheet="0"/>
  </xdr:oneCellAnchor>
  <xdr:oneCellAnchor>
    <xdr:from>
      <xdr:col>6</xdr:col>
      <xdr:colOff>38100</xdr:colOff>
      <xdr:row>1562</xdr:row>
      <xdr:rowOff>38100</xdr:rowOff>
    </xdr:from>
    <xdr:ext cx="647700" cy="314325"/>
    <xdr:pic>
      <xdr:nvPicPr>
        <xdr:cNvPr id="0" name="image797.jpg"/>
        <xdr:cNvPicPr preferRelativeResize="0"/>
      </xdr:nvPicPr>
      <xdr:blipFill>
        <a:blip cstate="print" r:embed="rId808"/>
        <a:stretch>
          <a:fillRect/>
        </a:stretch>
      </xdr:blipFill>
      <xdr:spPr>
        <a:prstGeom prst="rect">
          <a:avLst/>
        </a:prstGeom>
        <a:noFill/>
      </xdr:spPr>
    </xdr:pic>
    <xdr:clientData fLocksWithSheet="0"/>
  </xdr:oneCellAnchor>
  <xdr:oneCellAnchor>
    <xdr:from>
      <xdr:col>6</xdr:col>
      <xdr:colOff>38100</xdr:colOff>
      <xdr:row>1563</xdr:row>
      <xdr:rowOff>38100</xdr:rowOff>
    </xdr:from>
    <xdr:ext cx="514350" cy="514350"/>
    <xdr:pic>
      <xdr:nvPicPr>
        <xdr:cNvPr id="0" name="image822.jpg"/>
        <xdr:cNvPicPr preferRelativeResize="0"/>
      </xdr:nvPicPr>
      <xdr:blipFill>
        <a:blip cstate="print" r:embed="rId795"/>
        <a:stretch>
          <a:fillRect/>
        </a:stretch>
      </xdr:blipFill>
      <xdr:spPr>
        <a:prstGeom prst="rect">
          <a:avLst/>
        </a:prstGeom>
        <a:noFill/>
      </xdr:spPr>
    </xdr:pic>
    <xdr:clientData fLocksWithSheet="0"/>
  </xdr:oneCellAnchor>
  <xdr:oneCellAnchor>
    <xdr:from>
      <xdr:col>6</xdr:col>
      <xdr:colOff>38100</xdr:colOff>
      <xdr:row>1564</xdr:row>
      <xdr:rowOff>38100</xdr:rowOff>
    </xdr:from>
    <xdr:ext cx="333375" cy="514350"/>
    <xdr:pic>
      <xdr:nvPicPr>
        <xdr:cNvPr id="0" name="image841.jpg"/>
        <xdr:cNvPicPr preferRelativeResize="0"/>
      </xdr:nvPicPr>
      <xdr:blipFill>
        <a:blip cstate="print" r:embed="rId813"/>
        <a:stretch>
          <a:fillRect/>
        </a:stretch>
      </xdr:blipFill>
      <xdr:spPr>
        <a:prstGeom prst="rect">
          <a:avLst/>
        </a:prstGeom>
        <a:noFill/>
      </xdr:spPr>
    </xdr:pic>
    <xdr:clientData fLocksWithSheet="0"/>
  </xdr:oneCellAnchor>
  <xdr:oneCellAnchor>
    <xdr:from>
      <xdr:col>6</xdr:col>
      <xdr:colOff>38100</xdr:colOff>
      <xdr:row>1565</xdr:row>
      <xdr:rowOff>38100</xdr:rowOff>
    </xdr:from>
    <xdr:ext cx="647700" cy="361950"/>
    <xdr:pic>
      <xdr:nvPicPr>
        <xdr:cNvPr id="0" name="image809.jpg"/>
        <xdr:cNvPicPr preferRelativeResize="0"/>
      </xdr:nvPicPr>
      <xdr:blipFill>
        <a:blip cstate="print" r:embed="rId814"/>
        <a:stretch>
          <a:fillRect/>
        </a:stretch>
      </xdr:blipFill>
      <xdr:spPr>
        <a:prstGeom prst="rect">
          <a:avLst/>
        </a:prstGeom>
        <a:noFill/>
      </xdr:spPr>
    </xdr:pic>
    <xdr:clientData fLocksWithSheet="0"/>
  </xdr:oneCellAnchor>
  <xdr:oneCellAnchor>
    <xdr:from>
      <xdr:col>6</xdr:col>
      <xdr:colOff>38100</xdr:colOff>
      <xdr:row>1566</xdr:row>
      <xdr:rowOff>38100</xdr:rowOff>
    </xdr:from>
    <xdr:ext cx="628650" cy="381000"/>
    <xdr:pic>
      <xdr:nvPicPr>
        <xdr:cNvPr id="0" name="image799.jpg"/>
        <xdr:cNvPicPr preferRelativeResize="0"/>
      </xdr:nvPicPr>
      <xdr:blipFill>
        <a:blip cstate="print" r:embed="rId815"/>
        <a:stretch>
          <a:fillRect/>
        </a:stretch>
      </xdr:blipFill>
      <xdr:spPr>
        <a:prstGeom prst="rect">
          <a:avLst/>
        </a:prstGeom>
        <a:noFill/>
      </xdr:spPr>
    </xdr:pic>
    <xdr:clientData fLocksWithSheet="0"/>
  </xdr:oneCellAnchor>
  <xdr:oneCellAnchor>
    <xdr:from>
      <xdr:col>6</xdr:col>
      <xdr:colOff>38100</xdr:colOff>
      <xdr:row>1567</xdr:row>
      <xdr:rowOff>38100</xdr:rowOff>
    </xdr:from>
    <xdr:ext cx="628650" cy="381000"/>
    <xdr:pic>
      <xdr:nvPicPr>
        <xdr:cNvPr id="0" name="image799.jpg"/>
        <xdr:cNvPicPr preferRelativeResize="0"/>
      </xdr:nvPicPr>
      <xdr:blipFill>
        <a:blip cstate="print" r:embed="rId815"/>
        <a:stretch>
          <a:fillRect/>
        </a:stretch>
      </xdr:blipFill>
      <xdr:spPr>
        <a:prstGeom prst="rect">
          <a:avLst/>
        </a:prstGeom>
        <a:noFill/>
      </xdr:spPr>
    </xdr:pic>
    <xdr:clientData fLocksWithSheet="0"/>
  </xdr:oneCellAnchor>
  <xdr:oneCellAnchor>
    <xdr:from>
      <xdr:col>6</xdr:col>
      <xdr:colOff>38100</xdr:colOff>
      <xdr:row>1568</xdr:row>
      <xdr:rowOff>38100</xdr:rowOff>
    </xdr:from>
    <xdr:ext cx="628650" cy="381000"/>
    <xdr:pic>
      <xdr:nvPicPr>
        <xdr:cNvPr id="0" name="image799.jpg"/>
        <xdr:cNvPicPr preferRelativeResize="0"/>
      </xdr:nvPicPr>
      <xdr:blipFill>
        <a:blip cstate="print" r:embed="rId815"/>
        <a:stretch>
          <a:fillRect/>
        </a:stretch>
      </xdr:blipFill>
      <xdr:spPr>
        <a:prstGeom prst="rect">
          <a:avLst/>
        </a:prstGeom>
        <a:noFill/>
      </xdr:spPr>
    </xdr:pic>
    <xdr:clientData fLocksWithSheet="0"/>
  </xdr:oneCellAnchor>
  <xdr:oneCellAnchor>
    <xdr:from>
      <xdr:col>6</xdr:col>
      <xdr:colOff>38100</xdr:colOff>
      <xdr:row>1569</xdr:row>
      <xdr:rowOff>38100</xdr:rowOff>
    </xdr:from>
    <xdr:ext cx="628650" cy="381000"/>
    <xdr:pic>
      <xdr:nvPicPr>
        <xdr:cNvPr id="0" name="image799.jpg"/>
        <xdr:cNvPicPr preferRelativeResize="0"/>
      </xdr:nvPicPr>
      <xdr:blipFill>
        <a:blip cstate="print" r:embed="rId815"/>
        <a:stretch>
          <a:fillRect/>
        </a:stretch>
      </xdr:blipFill>
      <xdr:spPr>
        <a:prstGeom prst="rect">
          <a:avLst/>
        </a:prstGeom>
        <a:noFill/>
      </xdr:spPr>
    </xdr:pic>
    <xdr:clientData fLocksWithSheet="0"/>
  </xdr:oneCellAnchor>
  <xdr:oneCellAnchor>
    <xdr:from>
      <xdr:col>6</xdr:col>
      <xdr:colOff>38100</xdr:colOff>
      <xdr:row>1570</xdr:row>
      <xdr:rowOff>38100</xdr:rowOff>
    </xdr:from>
    <xdr:ext cx="333375" cy="514350"/>
    <xdr:pic>
      <xdr:nvPicPr>
        <xdr:cNvPr id="0" name="image841.jpg"/>
        <xdr:cNvPicPr preferRelativeResize="0"/>
      </xdr:nvPicPr>
      <xdr:blipFill>
        <a:blip cstate="print" r:embed="rId813"/>
        <a:stretch>
          <a:fillRect/>
        </a:stretch>
      </xdr:blipFill>
      <xdr:spPr>
        <a:prstGeom prst="rect">
          <a:avLst/>
        </a:prstGeom>
        <a:noFill/>
      </xdr:spPr>
    </xdr:pic>
    <xdr:clientData fLocksWithSheet="0"/>
  </xdr:oneCellAnchor>
  <xdr:oneCellAnchor>
    <xdr:from>
      <xdr:col>6</xdr:col>
      <xdr:colOff>38100</xdr:colOff>
      <xdr:row>1571</xdr:row>
      <xdr:rowOff>38100</xdr:rowOff>
    </xdr:from>
    <xdr:ext cx="647700" cy="419100"/>
    <xdr:pic>
      <xdr:nvPicPr>
        <xdr:cNvPr id="0" name="image802.jpg"/>
        <xdr:cNvPicPr preferRelativeResize="0"/>
      </xdr:nvPicPr>
      <xdr:blipFill>
        <a:blip cstate="print" r:embed="rId816"/>
        <a:stretch>
          <a:fillRect/>
        </a:stretch>
      </xdr:blipFill>
      <xdr:spPr>
        <a:prstGeom prst="rect">
          <a:avLst/>
        </a:prstGeom>
        <a:noFill/>
      </xdr:spPr>
    </xdr:pic>
    <xdr:clientData fLocksWithSheet="0"/>
  </xdr:oneCellAnchor>
  <xdr:oneCellAnchor>
    <xdr:from>
      <xdr:col>6</xdr:col>
      <xdr:colOff>38100</xdr:colOff>
      <xdr:row>1572</xdr:row>
      <xdr:rowOff>38100</xdr:rowOff>
    </xdr:from>
    <xdr:ext cx="647700" cy="314325"/>
    <xdr:pic>
      <xdr:nvPicPr>
        <xdr:cNvPr id="0" name="image852.jpg"/>
        <xdr:cNvPicPr preferRelativeResize="0"/>
      </xdr:nvPicPr>
      <xdr:blipFill>
        <a:blip cstate="print" r:embed="rId817"/>
        <a:stretch>
          <a:fillRect/>
        </a:stretch>
      </xdr:blipFill>
      <xdr:spPr>
        <a:prstGeom prst="rect">
          <a:avLst/>
        </a:prstGeom>
        <a:noFill/>
      </xdr:spPr>
    </xdr:pic>
    <xdr:clientData fLocksWithSheet="0"/>
  </xdr:oneCellAnchor>
  <xdr:oneCellAnchor>
    <xdr:from>
      <xdr:col>6</xdr:col>
      <xdr:colOff>38100</xdr:colOff>
      <xdr:row>1573</xdr:row>
      <xdr:rowOff>38100</xdr:rowOff>
    </xdr:from>
    <xdr:ext cx="647700" cy="276225"/>
    <xdr:pic>
      <xdr:nvPicPr>
        <xdr:cNvPr id="0" name="image805.jpg"/>
        <xdr:cNvPicPr preferRelativeResize="0"/>
      </xdr:nvPicPr>
      <xdr:blipFill>
        <a:blip cstate="print" r:embed="rId818"/>
        <a:stretch>
          <a:fillRect/>
        </a:stretch>
      </xdr:blipFill>
      <xdr:spPr>
        <a:prstGeom prst="rect">
          <a:avLst/>
        </a:prstGeom>
        <a:noFill/>
      </xdr:spPr>
    </xdr:pic>
    <xdr:clientData fLocksWithSheet="0"/>
  </xdr:oneCellAnchor>
  <xdr:oneCellAnchor>
    <xdr:from>
      <xdr:col>6</xdr:col>
      <xdr:colOff>38100</xdr:colOff>
      <xdr:row>1574</xdr:row>
      <xdr:rowOff>38100</xdr:rowOff>
    </xdr:from>
    <xdr:ext cx="647700" cy="295275"/>
    <xdr:pic>
      <xdr:nvPicPr>
        <xdr:cNvPr id="0" name="image829.jpg"/>
        <xdr:cNvPicPr preferRelativeResize="0"/>
      </xdr:nvPicPr>
      <xdr:blipFill>
        <a:blip cstate="print" r:embed="rId819"/>
        <a:stretch>
          <a:fillRect/>
        </a:stretch>
      </xdr:blipFill>
      <xdr:spPr>
        <a:prstGeom prst="rect">
          <a:avLst/>
        </a:prstGeom>
        <a:noFill/>
      </xdr:spPr>
    </xdr:pic>
    <xdr:clientData fLocksWithSheet="0"/>
  </xdr:oneCellAnchor>
  <xdr:oneCellAnchor>
    <xdr:from>
      <xdr:col>6</xdr:col>
      <xdr:colOff>38100</xdr:colOff>
      <xdr:row>1575</xdr:row>
      <xdr:rowOff>38100</xdr:rowOff>
    </xdr:from>
    <xdr:ext cx="647700" cy="314325"/>
    <xdr:pic>
      <xdr:nvPicPr>
        <xdr:cNvPr id="0" name="image823.jpg"/>
        <xdr:cNvPicPr preferRelativeResize="0"/>
      </xdr:nvPicPr>
      <xdr:blipFill>
        <a:blip cstate="print" r:embed="rId820"/>
        <a:stretch>
          <a:fillRect/>
        </a:stretch>
      </xdr:blipFill>
      <xdr:spPr>
        <a:prstGeom prst="rect">
          <a:avLst/>
        </a:prstGeom>
        <a:noFill/>
      </xdr:spPr>
    </xdr:pic>
    <xdr:clientData fLocksWithSheet="0"/>
  </xdr:oneCellAnchor>
  <xdr:oneCellAnchor>
    <xdr:from>
      <xdr:col>6</xdr:col>
      <xdr:colOff>38100</xdr:colOff>
      <xdr:row>1576</xdr:row>
      <xdr:rowOff>38100</xdr:rowOff>
    </xdr:from>
    <xdr:ext cx="647700" cy="276225"/>
    <xdr:pic>
      <xdr:nvPicPr>
        <xdr:cNvPr id="0" name="image814.jpg"/>
        <xdr:cNvPicPr preferRelativeResize="0"/>
      </xdr:nvPicPr>
      <xdr:blipFill>
        <a:blip cstate="print" r:embed="rId821"/>
        <a:stretch>
          <a:fillRect/>
        </a:stretch>
      </xdr:blipFill>
      <xdr:spPr>
        <a:prstGeom prst="rect">
          <a:avLst/>
        </a:prstGeom>
        <a:noFill/>
      </xdr:spPr>
    </xdr:pic>
    <xdr:clientData fLocksWithSheet="0"/>
  </xdr:oneCellAnchor>
  <xdr:oneCellAnchor>
    <xdr:from>
      <xdr:col>6</xdr:col>
      <xdr:colOff>38100</xdr:colOff>
      <xdr:row>1577</xdr:row>
      <xdr:rowOff>38100</xdr:rowOff>
    </xdr:from>
    <xdr:ext cx="428625" cy="514350"/>
    <xdr:pic>
      <xdr:nvPicPr>
        <xdr:cNvPr id="0" name="image812.jpg"/>
        <xdr:cNvPicPr preferRelativeResize="0"/>
      </xdr:nvPicPr>
      <xdr:blipFill>
        <a:blip cstate="print" r:embed="rId822"/>
        <a:stretch>
          <a:fillRect/>
        </a:stretch>
      </xdr:blipFill>
      <xdr:spPr>
        <a:prstGeom prst="rect">
          <a:avLst/>
        </a:prstGeom>
        <a:noFill/>
      </xdr:spPr>
    </xdr:pic>
    <xdr:clientData fLocksWithSheet="0"/>
  </xdr:oneCellAnchor>
  <xdr:oneCellAnchor>
    <xdr:from>
      <xdr:col>6</xdr:col>
      <xdr:colOff>38100</xdr:colOff>
      <xdr:row>1578</xdr:row>
      <xdr:rowOff>38100</xdr:rowOff>
    </xdr:from>
    <xdr:ext cx="428625" cy="514350"/>
    <xdr:pic>
      <xdr:nvPicPr>
        <xdr:cNvPr id="0" name="image812.jpg"/>
        <xdr:cNvPicPr preferRelativeResize="0"/>
      </xdr:nvPicPr>
      <xdr:blipFill>
        <a:blip cstate="print" r:embed="rId822"/>
        <a:stretch>
          <a:fillRect/>
        </a:stretch>
      </xdr:blipFill>
      <xdr:spPr>
        <a:prstGeom prst="rect">
          <a:avLst/>
        </a:prstGeom>
        <a:noFill/>
      </xdr:spPr>
    </xdr:pic>
    <xdr:clientData fLocksWithSheet="0"/>
  </xdr:oneCellAnchor>
  <xdr:oneCellAnchor>
    <xdr:from>
      <xdr:col>6</xdr:col>
      <xdr:colOff>38100</xdr:colOff>
      <xdr:row>1579</xdr:row>
      <xdr:rowOff>38100</xdr:rowOff>
    </xdr:from>
    <xdr:ext cx="428625" cy="514350"/>
    <xdr:pic>
      <xdr:nvPicPr>
        <xdr:cNvPr id="0" name="image812.jpg"/>
        <xdr:cNvPicPr preferRelativeResize="0"/>
      </xdr:nvPicPr>
      <xdr:blipFill>
        <a:blip cstate="print" r:embed="rId822"/>
        <a:stretch>
          <a:fillRect/>
        </a:stretch>
      </xdr:blipFill>
      <xdr:spPr>
        <a:prstGeom prst="rect">
          <a:avLst/>
        </a:prstGeom>
        <a:noFill/>
      </xdr:spPr>
    </xdr:pic>
    <xdr:clientData fLocksWithSheet="0"/>
  </xdr:oneCellAnchor>
  <xdr:oneCellAnchor>
    <xdr:from>
      <xdr:col>6</xdr:col>
      <xdr:colOff>38100</xdr:colOff>
      <xdr:row>1580</xdr:row>
      <xdr:rowOff>38100</xdr:rowOff>
    </xdr:from>
    <xdr:ext cx="438150" cy="514350"/>
    <xdr:pic>
      <xdr:nvPicPr>
        <xdr:cNvPr id="0" name="image847.jpg"/>
        <xdr:cNvPicPr preferRelativeResize="0"/>
      </xdr:nvPicPr>
      <xdr:blipFill>
        <a:blip cstate="print" r:embed="rId823"/>
        <a:stretch>
          <a:fillRect/>
        </a:stretch>
      </xdr:blipFill>
      <xdr:spPr>
        <a:prstGeom prst="rect">
          <a:avLst/>
        </a:prstGeom>
        <a:noFill/>
      </xdr:spPr>
    </xdr:pic>
    <xdr:clientData fLocksWithSheet="0"/>
  </xdr:oneCellAnchor>
  <xdr:oneCellAnchor>
    <xdr:from>
      <xdr:col>6</xdr:col>
      <xdr:colOff>38100</xdr:colOff>
      <xdr:row>1581</xdr:row>
      <xdr:rowOff>38100</xdr:rowOff>
    </xdr:from>
    <xdr:ext cx="561975" cy="514350"/>
    <xdr:pic>
      <xdr:nvPicPr>
        <xdr:cNvPr id="0" name="image830.jpg"/>
        <xdr:cNvPicPr preferRelativeResize="0"/>
      </xdr:nvPicPr>
      <xdr:blipFill>
        <a:blip cstate="print" r:embed="rId824"/>
        <a:stretch>
          <a:fillRect/>
        </a:stretch>
      </xdr:blipFill>
      <xdr:spPr>
        <a:prstGeom prst="rect">
          <a:avLst/>
        </a:prstGeom>
        <a:noFill/>
      </xdr:spPr>
    </xdr:pic>
    <xdr:clientData fLocksWithSheet="0"/>
  </xdr:oneCellAnchor>
  <xdr:oneCellAnchor>
    <xdr:from>
      <xdr:col>6</xdr:col>
      <xdr:colOff>38100</xdr:colOff>
      <xdr:row>1582</xdr:row>
      <xdr:rowOff>38100</xdr:rowOff>
    </xdr:from>
    <xdr:ext cx="647700" cy="514350"/>
    <xdr:pic>
      <xdr:nvPicPr>
        <xdr:cNvPr id="0" name="image818.jpg"/>
        <xdr:cNvPicPr preferRelativeResize="0"/>
      </xdr:nvPicPr>
      <xdr:blipFill>
        <a:blip cstate="print" r:embed="rId825"/>
        <a:stretch>
          <a:fillRect/>
        </a:stretch>
      </xdr:blipFill>
      <xdr:spPr>
        <a:prstGeom prst="rect">
          <a:avLst/>
        </a:prstGeom>
        <a:noFill/>
      </xdr:spPr>
    </xdr:pic>
    <xdr:clientData fLocksWithSheet="0"/>
  </xdr:oneCellAnchor>
  <xdr:oneCellAnchor>
    <xdr:from>
      <xdr:col>6</xdr:col>
      <xdr:colOff>38100</xdr:colOff>
      <xdr:row>1583</xdr:row>
      <xdr:rowOff>38100</xdr:rowOff>
    </xdr:from>
    <xdr:ext cx="647700" cy="457200"/>
    <xdr:pic>
      <xdr:nvPicPr>
        <xdr:cNvPr id="0" name="image844.jpg"/>
        <xdr:cNvPicPr preferRelativeResize="0"/>
      </xdr:nvPicPr>
      <xdr:blipFill>
        <a:blip cstate="print" r:embed="rId826"/>
        <a:stretch>
          <a:fillRect/>
        </a:stretch>
      </xdr:blipFill>
      <xdr:spPr>
        <a:prstGeom prst="rect">
          <a:avLst/>
        </a:prstGeom>
        <a:noFill/>
      </xdr:spPr>
    </xdr:pic>
    <xdr:clientData fLocksWithSheet="0"/>
  </xdr:oneCellAnchor>
  <xdr:oneCellAnchor>
    <xdr:from>
      <xdr:col>6</xdr:col>
      <xdr:colOff>38100</xdr:colOff>
      <xdr:row>1584</xdr:row>
      <xdr:rowOff>38100</xdr:rowOff>
    </xdr:from>
    <xdr:ext cx="476250" cy="514350"/>
    <xdr:pic>
      <xdr:nvPicPr>
        <xdr:cNvPr id="0" name="image807.jpg"/>
        <xdr:cNvPicPr preferRelativeResize="0"/>
      </xdr:nvPicPr>
      <xdr:blipFill>
        <a:blip cstate="print" r:embed="rId827"/>
        <a:stretch>
          <a:fillRect/>
        </a:stretch>
      </xdr:blipFill>
      <xdr:spPr>
        <a:prstGeom prst="rect">
          <a:avLst/>
        </a:prstGeom>
        <a:noFill/>
      </xdr:spPr>
    </xdr:pic>
    <xdr:clientData fLocksWithSheet="0"/>
  </xdr:oneCellAnchor>
  <xdr:oneCellAnchor>
    <xdr:from>
      <xdr:col>6</xdr:col>
      <xdr:colOff>38100</xdr:colOff>
      <xdr:row>1585</xdr:row>
      <xdr:rowOff>38100</xdr:rowOff>
    </xdr:from>
    <xdr:ext cx="619125" cy="514350"/>
    <xdr:pic>
      <xdr:nvPicPr>
        <xdr:cNvPr id="0" name="image804.jpg"/>
        <xdr:cNvPicPr preferRelativeResize="0"/>
      </xdr:nvPicPr>
      <xdr:blipFill>
        <a:blip cstate="print" r:embed="rId828"/>
        <a:stretch>
          <a:fillRect/>
        </a:stretch>
      </xdr:blipFill>
      <xdr:spPr>
        <a:prstGeom prst="rect">
          <a:avLst/>
        </a:prstGeom>
        <a:noFill/>
      </xdr:spPr>
    </xdr:pic>
    <xdr:clientData fLocksWithSheet="0"/>
  </xdr:oneCellAnchor>
  <xdr:oneCellAnchor>
    <xdr:from>
      <xdr:col>6</xdr:col>
      <xdr:colOff>38100</xdr:colOff>
      <xdr:row>1586</xdr:row>
      <xdr:rowOff>38100</xdr:rowOff>
    </xdr:from>
    <xdr:ext cx="295275" cy="514350"/>
    <xdr:pic>
      <xdr:nvPicPr>
        <xdr:cNvPr id="0" name="image811.jpg"/>
        <xdr:cNvPicPr preferRelativeResize="0"/>
      </xdr:nvPicPr>
      <xdr:blipFill>
        <a:blip cstate="print" r:embed="rId829"/>
        <a:stretch>
          <a:fillRect/>
        </a:stretch>
      </xdr:blipFill>
      <xdr:spPr>
        <a:prstGeom prst="rect">
          <a:avLst/>
        </a:prstGeom>
        <a:noFill/>
      </xdr:spPr>
    </xdr:pic>
    <xdr:clientData fLocksWithSheet="0"/>
  </xdr:oneCellAnchor>
  <xdr:oneCellAnchor>
    <xdr:from>
      <xdr:col>6</xdr:col>
      <xdr:colOff>38100</xdr:colOff>
      <xdr:row>1587</xdr:row>
      <xdr:rowOff>38100</xdr:rowOff>
    </xdr:from>
    <xdr:ext cx="581025" cy="514350"/>
    <xdr:pic>
      <xdr:nvPicPr>
        <xdr:cNvPr id="0" name="image831.jpg"/>
        <xdr:cNvPicPr preferRelativeResize="0"/>
      </xdr:nvPicPr>
      <xdr:blipFill>
        <a:blip cstate="print" r:embed="rId830"/>
        <a:stretch>
          <a:fillRect/>
        </a:stretch>
      </xdr:blipFill>
      <xdr:spPr>
        <a:prstGeom prst="rect">
          <a:avLst/>
        </a:prstGeom>
        <a:noFill/>
      </xdr:spPr>
    </xdr:pic>
    <xdr:clientData fLocksWithSheet="0"/>
  </xdr:oneCellAnchor>
  <xdr:oneCellAnchor>
    <xdr:from>
      <xdr:col>6</xdr:col>
      <xdr:colOff>38100</xdr:colOff>
      <xdr:row>1588</xdr:row>
      <xdr:rowOff>38100</xdr:rowOff>
    </xdr:from>
    <xdr:ext cx="638175" cy="504825"/>
    <xdr:pic>
      <xdr:nvPicPr>
        <xdr:cNvPr id="0" name="image828.jpg"/>
        <xdr:cNvPicPr preferRelativeResize="0"/>
      </xdr:nvPicPr>
      <xdr:blipFill>
        <a:blip cstate="print" r:embed="rId831"/>
        <a:stretch>
          <a:fillRect/>
        </a:stretch>
      </xdr:blipFill>
      <xdr:spPr>
        <a:prstGeom prst="rect">
          <a:avLst/>
        </a:prstGeom>
        <a:noFill/>
      </xdr:spPr>
    </xdr:pic>
    <xdr:clientData fLocksWithSheet="0"/>
  </xdr:oneCellAnchor>
  <xdr:oneCellAnchor>
    <xdr:from>
      <xdr:col>6</xdr:col>
      <xdr:colOff>38100</xdr:colOff>
      <xdr:row>1589</xdr:row>
      <xdr:rowOff>38100</xdr:rowOff>
    </xdr:from>
    <xdr:ext cx="638175" cy="504825"/>
    <xdr:pic>
      <xdr:nvPicPr>
        <xdr:cNvPr id="0" name="image828.jpg"/>
        <xdr:cNvPicPr preferRelativeResize="0"/>
      </xdr:nvPicPr>
      <xdr:blipFill>
        <a:blip cstate="print" r:embed="rId831"/>
        <a:stretch>
          <a:fillRect/>
        </a:stretch>
      </xdr:blipFill>
      <xdr:spPr>
        <a:prstGeom prst="rect">
          <a:avLst/>
        </a:prstGeom>
        <a:noFill/>
      </xdr:spPr>
    </xdr:pic>
    <xdr:clientData fLocksWithSheet="0"/>
  </xdr:oneCellAnchor>
  <xdr:oneCellAnchor>
    <xdr:from>
      <xdr:col>6</xdr:col>
      <xdr:colOff>38100</xdr:colOff>
      <xdr:row>1590</xdr:row>
      <xdr:rowOff>38100</xdr:rowOff>
    </xdr:from>
    <xdr:ext cx="409575" cy="514350"/>
    <xdr:pic>
      <xdr:nvPicPr>
        <xdr:cNvPr id="0" name="image872.jpg"/>
        <xdr:cNvPicPr preferRelativeResize="0"/>
      </xdr:nvPicPr>
      <xdr:blipFill>
        <a:blip cstate="print" r:embed="rId832"/>
        <a:stretch>
          <a:fillRect/>
        </a:stretch>
      </xdr:blipFill>
      <xdr:spPr>
        <a:prstGeom prst="rect">
          <a:avLst/>
        </a:prstGeom>
        <a:noFill/>
      </xdr:spPr>
    </xdr:pic>
    <xdr:clientData fLocksWithSheet="0"/>
  </xdr:oneCellAnchor>
  <xdr:oneCellAnchor>
    <xdr:from>
      <xdr:col>6</xdr:col>
      <xdr:colOff>38100</xdr:colOff>
      <xdr:row>1591</xdr:row>
      <xdr:rowOff>38100</xdr:rowOff>
    </xdr:from>
    <xdr:ext cx="409575" cy="514350"/>
    <xdr:pic>
      <xdr:nvPicPr>
        <xdr:cNvPr id="0" name="image872.jpg"/>
        <xdr:cNvPicPr preferRelativeResize="0"/>
      </xdr:nvPicPr>
      <xdr:blipFill>
        <a:blip cstate="print" r:embed="rId832"/>
        <a:stretch>
          <a:fillRect/>
        </a:stretch>
      </xdr:blipFill>
      <xdr:spPr>
        <a:prstGeom prst="rect">
          <a:avLst/>
        </a:prstGeom>
        <a:noFill/>
      </xdr:spPr>
    </xdr:pic>
    <xdr:clientData fLocksWithSheet="0"/>
  </xdr:oneCellAnchor>
  <xdr:oneCellAnchor>
    <xdr:from>
      <xdr:col>6</xdr:col>
      <xdr:colOff>38100</xdr:colOff>
      <xdr:row>1592</xdr:row>
      <xdr:rowOff>38100</xdr:rowOff>
    </xdr:from>
    <xdr:ext cx="409575" cy="514350"/>
    <xdr:pic>
      <xdr:nvPicPr>
        <xdr:cNvPr id="0" name="image872.jpg"/>
        <xdr:cNvPicPr preferRelativeResize="0"/>
      </xdr:nvPicPr>
      <xdr:blipFill>
        <a:blip cstate="print" r:embed="rId832"/>
        <a:stretch>
          <a:fillRect/>
        </a:stretch>
      </xdr:blipFill>
      <xdr:spPr>
        <a:prstGeom prst="rect">
          <a:avLst/>
        </a:prstGeom>
        <a:noFill/>
      </xdr:spPr>
    </xdr:pic>
    <xdr:clientData fLocksWithSheet="0"/>
  </xdr:oneCellAnchor>
  <xdr:oneCellAnchor>
    <xdr:from>
      <xdr:col>6</xdr:col>
      <xdr:colOff>38100</xdr:colOff>
      <xdr:row>1593</xdr:row>
      <xdr:rowOff>38100</xdr:rowOff>
    </xdr:from>
    <xdr:ext cx="247650" cy="485775"/>
    <xdr:pic>
      <xdr:nvPicPr>
        <xdr:cNvPr id="0" name="image817.jpg"/>
        <xdr:cNvPicPr preferRelativeResize="0"/>
      </xdr:nvPicPr>
      <xdr:blipFill>
        <a:blip cstate="print" r:embed="rId833"/>
        <a:stretch>
          <a:fillRect/>
        </a:stretch>
      </xdr:blipFill>
      <xdr:spPr>
        <a:prstGeom prst="rect">
          <a:avLst/>
        </a:prstGeom>
        <a:noFill/>
      </xdr:spPr>
    </xdr:pic>
    <xdr:clientData fLocksWithSheet="0"/>
  </xdr:oneCellAnchor>
  <xdr:oneCellAnchor>
    <xdr:from>
      <xdr:col>6</xdr:col>
      <xdr:colOff>38100</xdr:colOff>
      <xdr:row>1594</xdr:row>
      <xdr:rowOff>38100</xdr:rowOff>
    </xdr:from>
    <xdr:ext cx="428625" cy="514350"/>
    <xdr:pic>
      <xdr:nvPicPr>
        <xdr:cNvPr id="0" name="image886.jpg"/>
        <xdr:cNvPicPr preferRelativeResize="0"/>
      </xdr:nvPicPr>
      <xdr:blipFill>
        <a:blip cstate="print" r:embed="rId834"/>
        <a:stretch>
          <a:fillRect/>
        </a:stretch>
      </xdr:blipFill>
      <xdr:spPr>
        <a:prstGeom prst="rect">
          <a:avLst/>
        </a:prstGeom>
        <a:noFill/>
      </xdr:spPr>
    </xdr:pic>
    <xdr:clientData fLocksWithSheet="0"/>
  </xdr:oneCellAnchor>
  <xdr:oneCellAnchor>
    <xdr:from>
      <xdr:col>6</xdr:col>
      <xdr:colOff>38100</xdr:colOff>
      <xdr:row>1595</xdr:row>
      <xdr:rowOff>38100</xdr:rowOff>
    </xdr:from>
    <xdr:ext cx="514350" cy="514350"/>
    <xdr:pic>
      <xdr:nvPicPr>
        <xdr:cNvPr id="0" name="image858.jpg"/>
        <xdr:cNvPicPr preferRelativeResize="0"/>
      </xdr:nvPicPr>
      <xdr:blipFill>
        <a:blip cstate="print" r:embed="rId835"/>
        <a:stretch>
          <a:fillRect/>
        </a:stretch>
      </xdr:blipFill>
      <xdr:spPr>
        <a:prstGeom prst="rect">
          <a:avLst/>
        </a:prstGeom>
        <a:noFill/>
      </xdr:spPr>
    </xdr:pic>
    <xdr:clientData fLocksWithSheet="0"/>
  </xdr:oneCellAnchor>
  <xdr:oneCellAnchor>
    <xdr:from>
      <xdr:col>6</xdr:col>
      <xdr:colOff>38100</xdr:colOff>
      <xdr:row>1596</xdr:row>
      <xdr:rowOff>38100</xdr:rowOff>
    </xdr:from>
    <xdr:ext cx="428625" cy="514350"/>
    <xdr:pic>
      <xdr:nvPicPr>
        <xdr:cNvPr id="0" name="image886.jpg"/>
        <xdr:cNvPicPr preferRelativeResize="0"/>
      </xdr:nvPicPr>
      <xdr:blipFill>
        <a:blip cstate="print" r:embed="rId834"/>
        <a:stretch>
          <a:fillRect/>
        </a:stretch>
      </xdr:blipFill>
      <xdr:spPr>
        <a:prstGeom prst="rect">
          <a:avLst/>
        </a:prstGeom>
        <a:noFill/>
      </xdr:spPr>
    </xdr:pic>
    <xdr:clientData fLocksWithSheet="0"/>
  </xdr:oneCellAnchor>
  <xdr:oneCellAnchor>
    <xdr:from>
      <xdr:col>6</xdr:col>
      <xdr:colOff>38100</xdr:colOff>
      <xdr:row>1597</xdr:row>
      <xdr:rowOff>38100</xdr:rowOff>
    </xdr:from>
    <xdr:ext cx="647700" cy="476250"/>
    <xdr:pic>
      <xdr:nvPicPr>
        <xdr:cNvPr id="0" name="image849.jpg"/>
        <xdr:cNvPicPr preferRelativeResize="0"/>
      </xdr:nvPicPr>
      <xdr:blipFill>
        <a:blip cstate="print" r:embed="rId836"/>
        <a:stretch>
          <a:fillRect/>
        </a:stretch>
      </xdr:blipFill>
      <xdr:spPr>
        <a:prstGeom prst="rect">
          <a:avLst/>
        </a:prstGeom>
        <a:noFill/>
      </xdr:spPr>
    </xdr:pic>
    <xdr:clientData fLocksWithSheet="0"/>
  </xdr:oneCellAnchor>
  <xdr:oneCellAnchor>
    <xdr:from>
      <xdr:col>6</xdr:col>
      <xdr:colOff>38100</xdr:colOff>
      <xdr:row>1598</xdr:row>
      <xdr:rowOff>38100</xdr:rowOff>
    </xdr:from>
    <xdr:ext cx="533400" cy="514350"/>
    <xdr:pic>
      <xdr:nvPicPr>
        <xdr:cNvPr id="0" name="image820.jpg"/>
        <xdr:cNvPicPr preferRelativeResize="0"/>
      </xdr:nvPicPr>
      <xdr:blipFill>
        <a:blip cstate="print" r:embed="rId837"/>
        <a:stretch>
          <a:fillRect/>
        </a:stretch>
      </xdr:blipFill>
      <xdr:spPr>
        <a:prstGeom prst="rect">
          <a:avLst/>
        </a:prstGeom>
        <a:noFill/>
      </xdr:spPr>
    </xdr:pic>
    <xdr:clientData fLocksWithSheet="0"/>
  </xdr:oneCellAnchor>
  <xdr:oneCellAnchor>
    <xdr:from>
      <xdr:col>6</xdr:col>
      <xdr:colOff>38100</xdr:colOff>
      <xdr:row>1599</xdr:row>
      <xdr:rowOff>38100</xdr:rowOff>
    </xdr:from>
    <xdr:ext cx="647700" cy="390525"/>
    <xdr:pic>
      <xdr:nvPicPr>
        <xdr:cNvPr id="0" name="image819.jpg"/>
        <xdr:cNvPicPr preferRelativeResize="0"/>
      </xdr:nvPicPr>
      <xdr:blipFill>
        <a:blip cstate="print" r:embed="rId838"/>
        <a:stretch>
          <a:fillRect/>
        </a:stretch>
      </xdr:blipFill>
      <xdr:spPr>
        <a:prstGeom prst="rect">
          <a:avLst/>
        </a:prstGeom>
        <a:noFill/>
      </xdr:spPr>
    </xdr:pic>
    <xdr:clientData fLocksWithSheet="0"/>
  </xdr:oneCellAnchor>
  <xdr:oneCellAnchor>
    <xdr:from>
      <xdr:col>6</xdr:col>
      <xdr:colOff>38100</xdr:colOff>
      <xdr:row>1600</xdr:row>
      <xdr:rowOff>38100</xdr:rowOff>
    </xdr:from>
    <xdr:ext cx="600075" cy="514350"/>
    <xdr:pic>
      <xdr:nvPicPr>
        <xdr:cNvPr id="0" name="image853.jpg"/>
        <xdr:cNvPicPr preferRelativeResize="0"/>
      </xdr:nvPicPr>
      <xdr:blipFill>
        <a:blip cstate="print" r:embed="rId839"/>
        <a:stretch>
          <a:fillRect/>
        </a:stretch>
      </xdr:blipFill>
      <xdr:spPr>
        <a:prstGeom prst="rect">
          <a:avLst/>
        </a:prstGeom>
        <a:noFill/>
      </xdr:spPr>
    </xdr:pic>
    <xdr:clientData fLocksWithSheet="0"/>
  </xdr:oneCellAnchor>
  <xdr:oneCellAnchor>
    <xdr:from>
      <xdr:col>6</xdr:col>
      <xdr:colOff>38100</xdr:colOff>
      <xdr:row>1601</xdr:row>
      <xdr:rowOff>38100</xdr:rowOff>
    </xdr:from>
    <xdr:ext cx="238125" cy="514350"/>
    <xdr:pic>
      <xdr:nvPicPr>
        <xdr:cNvPr id="0" name="image834.jpg"/>
        <xdr:cNvPicPr preferRelativeResize="0"/>
      </xdr:nvPicPr>
      <xdr:blipFill>
        <a:blip cstate="print" r:embed="rId840"/>
        <a:stretch>
          <a:fillRect/>
        </a:stretch>
      </xdr:blipFill>
      <xdr:spPr>
        <a:prstGeom prst="rect">
          <a:avLst/>
        </a:prstGeom>
        <a:noFill/>
      </xdr:spPr>
    </xdr:pic>
    <xdr:clientData fLocksWithSheet="0"/>
  </xdr:oneCellAnchor>
  <xdr:oneCellAnchor>
    <xdr:from>
      <xdr:col>6</xdr:col>
      <xdr:colOff>38100</xdr:colOff>
      <xdr:row>1602</xdr:row>
      <xdr:rowOff>38100</xdr:rowOff>
    </xdr:from>
    <xdr:ext cx="647700" cy="400050"/>
    <xdr:pic>
      <xdr:nvPicPr>
        <xdr:cNvPr id="0" name="image845.jpg"/>
        <xdr:cNvPicPr preferRelativeResize="0"/>
      </xdr:nvPicPr>
      <xdr:blipFill>
        <a:blip cstate="print" r:embed="rId841"/>
        <a:stretch>
          <a:fillRect/>
        </a:stretch>
      </xdr:blipFill>
      <xdr:spPr>
        <a:prstGeom prst="rect">
          <a:avLst/>
        </a:prstGeom>
        <a:noFill/>
      </xdr:spPr>
    </xdr:pic>
    <xdr:clientData fLocksWithSheet="0"/>
  </xdr:oneCellAnchor>
  <xdr:oneCellAnchor>
    <xdr:from>
      <xdr:col>6</xdr:col>
      <xdr:colOff>38100</xdr:colOff>
      <xdr:row>1603</xdr:row>
      <xdr:rowOff>38100</xdr:rowOff>
    </xdr:from>
    <xdr:ext cx="647700" cy="419100"/>
    <xdr:pic>
      <xdr:nvPicPr>
        <xdr:cNvPr id="0" name="image827.jpg"/>
        <xdr:cNvPicPr preferRelativeResize="0"/>
      </xdr:nvPicPr>
      <xdr:blipFill>
        <a:blip cstate="print" r:embed="rId842"/>
        <a:stretch>
          <a:fillRect/>
        </a:stretch>
      </xdr:blipFill>
      <xdr:spPr>
        <a:prstGeom prst="rect">
          <a:avLst/>
        </a:prstGeom>
        <a:noFill/>
      </xdr:spPr>
    </xdr:pic>
    <xdr:clientData fLocksWithSheet="0"/>
  </xdr:oneCellAnchor>
  <xdr:oneCellAnchor>
    <xdr:from>
      <xdr:col>6</xdr:col>
      <xdr:colOff>38100</xdr:colOff>
      <xdr:row>1604</xdr:row>
      <xdr:rowOff>38100</xdr:rowOff>
    </xdr:from>
    <xdr:ext cx="647700" cy="371475"/>
    <xdr:pic>
      <xdr:nvPicPr>
        <xdr:cNvPr id="0" name="image835.jpg"/>
        <xdr:cNvPicPr preferRelativeResize="0"/>
      </xdr:nvPicPr>
      <xdr:blipFill>
        <a:blip cstate="print" r:embed="rId843"/>
        <a:stretch>
          <a:fillRect/>
        </a:stretch>
      </xdr:blipFill>
      <xdr:spPr>
        <a:prstGeom prst="rect">
          <a:avLst/>
        </a:prstGeom>
        <a:noFill/>
      </xdr:spPr>
    </xdr:pic>
    <xdr:clientData fLocksWithSheet="0"/>
  </xdr:oneCellAnchor>
  <xdr:oneCellAnchor>
    <xdr:from>
      <xdr:col>6</xdr:col>
      <xdr:colOff>38100</xdr:colOff>
      <xdr:row>1605</xdr:row>
      <xdr:rowOff>38100</xdr:rowOff>
    </xdr:from>
    <xdr:ext cx="428625" cy="428625"/>
    <xdr:pic>
      <xdr:nvPicPr>
        <xdr:cNvPr id="0" name="image836.jpg"/>
        <xdr:cNvPicPr preferRelativeResize="0"/>
      </xdr:nvPicPr>
      <xdr:blipFill>
        <a:blip cstate="print" r:embed="rId844"/>
        <a:stretch>
          <a:fillRect/>
        </a:stretch>
      </xdr:blipFill>
      <xdr:spPr>
        <a:prstGeom prst="rect">
          <a:avLst/>
        </a:prstGeom>
        <a:noFill/>
      </xdr:spPr>
    </xdr:pic>
    <xdr:clientData fLocksWithSheet="0"/>
  </xdr:oneCellAnchor>
  <xdr:oneCellAnchor>
    <xdr:from>
      <xdr:col>6</xdr:col>
      <xdr:colOff>38100</xdr:colOff>
      <xdr:row>1606</xdr:row>
      <xdr:rowOff>38100</xdr:rowOff>
    </xdr:from>
    <xdr:ext cx="647700" cy="419100"/>
    <xdr:pic>
      <xdr:nvPicPr>
        <xdr:cNvPr id="0" name="image826.jpg"/>
        <xdr:cNvPicPr preferRelativeResize="0"/>
      </xdr:nvPicPr>
      <xdr:blipFill>
        <a:blip cstate="print" r:embed="rId845"/>
        <a:stretch>
          <a:fillRect/>
        </a:stretch>
      </xdr:blipFill>
      <xdr:spPr>
        <a:prstGeom prst="rect">
          <a:avLst/>
        </a:prstGeom>
        <a:noFill/>
      </xdr:spPr>
    </xdr:pic>
    <xdr:clientData fLocksWithSheet="0"/>
  </xdr:oneCellAnchor>
  <xdr:oneCellAnchor>
    <xdr:from>
      <xdr:col>6</xdr:col>
      <xdr:colOff>38100</xdr:colOff>
      <xdr:row>1607</xdr:row>
      <xdr:rowOff>38100</xdr:rowOff>
    </xdr:from>
    <xdr:ext cx="314325" cy="514350"/>
    <xdr:pic>
      <xdr:nvPicPr>
        <xdr:cNvPr id="0" name="image832.jpg"/>
        <xdr:cNvPicPr preferRelativeResize="0"/>
      </xdr:nvPicPr>
      <xdr:blipFill>
        <a:blip cstate="print" r:embed="rId846"/>
        <a:stretch>
          <a:fillRect/>
        </a:stretch>
      </xdr:blipFill>
      <xdr:spPr>
        <a:prstGeom prst="rect">
          <a:avLst/>
        </a:prstGeom>
        <a:noFill/>
      </xdr:spPr>
    </xdr:pic>
    <xdr:clientData fLocksWithSheet="0"/>
  </xdr:oneCellAnchor>
  <xdr:oneCellAnchor>
    <xdr:from>
      <xdr:col>6</xdr:col>
      <xdr:colOff>38100</xdr:colOff>
      <xdr:row>1608</xdr:row>
      <xdr:rowOff>38100</xdr:rowOff>
    </xdr:from>
    <xdr:ext cx="476250" cy="476250"/>
    <xdr:pic>
      <xdr:nvPicPr>
        <xdr:cNvPr id="0" name="image837.jpg"/>
        <xdr:cNvPicPr preferRelativeResize="0"/>
      </xdr:nvPicPr>
      <xdr:blipFill>
        <a:blip cstate="print" r:embed="rId847"/>
        <a:stretch>
          <a:fillRect/>
        </a:stretch>
      </xdr:blipFill>
      <xdr:spPr>
        <a:prstGeom prst="rect">
          <a:avLst/>
        </a:prstGeom>
        <a:noFill/>
      </xdr:spPr>
    </xdr:pic>
    <xdr:clientData fLocksWithSheet="0"/>
  </xdr:oneCellAnchor>
  <xdr:oneCellAnchor>
    <xdr:from>
      <xdr:col>6</xdr:col>
      <xdr:colOff>38100</xdr:colOff>
      <xdr:row>1609</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1610</xdr:row>
      <xdr:rowOff>38100</xdr:rowOff>
    </xdr:from>
    <xdr:ext cx="647700" cy="295275"/>
    <xdr:pic>
      <xdr:nvPicPr>
        <xdr:cNvPr id="0" name="image838.jpg"/>
        <xdr:cNvPicPr preferRelativeResize="0"/>
      </xdr:nvPicPr>
      <xdr:blipFill>
        <a:blip cstate="print" r:embed="rId849"/>
        <a:stretch>
          <a:fillRect/>
        </a:stretch>
      </xdr:blipFill>
      <xdr:spPr>
        <a:prstGeom prst="rect">
          <a:avLst/>
        </a:prstGeom>
        <a:noFill/>
      </xdr:spPr>
    </xdr:pic>
    <xdr:clientData fLocksWithSheet="0"/>
  </xdr:oneCellAnchor>
  <xdr:oneCellAnchor>
    <xdr:from>
      <xdr:col>6</xdr:col>
      <xdr:colOff>38100</xdr:colOff>
      <xdr:row>1611</xdr:row>
      <xdr:rowOff>38100</xdr:rowOff>
    </xdr:from>
    <xdr:ext cx="647700" cy="390525"/>
    <xdr:pic>
      <xdr:nvPicPr>
        <xdr:cNvPr id="0" name="image839.jpg"/>
        <xdr:cNvPicPr preferRelativeResize="0"/>
      </xdr:nvPicPr>
      <xdr:blipFill>
        <a:blip cstate="print" r:embed="rId850"/>
        <a:stretch>
          <a:fillRect/>
        </a:stretch>
      </xdr:blipFill>
      <xdr:spPr>
        <a:prstGeom prst="rect">
          <a:avLst/>
        </a:prstGeom>
        <a:noFill/>
      </xdr:spPr>
    </xdr:pic>
    <xdr:clientData fLocksWithSheet="0"/>
  </xdr:oneCellAnchor>
  <xdr:oneCellAnchor>
    <xdr:from>
      <xdr:col>6</xdr:col>
      <xdr:colOff>38100</xdr:colOff>
      <xdr:row>1612</xdr:row>
      <xdr:rowOff>38100</xdr:rowOff>
    </xdr:from>
    <xdr:ext cx="552450" cy="514350"/>
    <xdr:pic>
      <xdr:nvPicPr>
        <xdr:cNvPr id="0" name="image887.jpg"/>
        <xdr:cNvPicPr preferRelativeResize="0"/>
      </xdr:nvPicPr>
      <xdr:blipFill>
        <a:blip cstate="print" r:embed="rId851"/>
        <a:stretch>
          <a:fillRect/>
        </a:stretch>
      </xdr:blipFill>
      <xdr:spPr>
        <a:prstGeom prst="rect">
          <a:avLst/>
        </a:prstGeom>
        <a:noFill/>
      </xdr:spPr>
    </xdr:pic>
    <xdr:clientData fLocksWithSheet="0"/>
  </xdr:oneCellAnchor>
  <xdr:oneCellAnchor>
    <xdr:from>
      <xdr:col>6</xdr:col>
      <xdr:colOff>38100</xdr:colOff>
      <xdr:row>1613</xdr:row>
      <xdr:rowOff>38100</xdr:rowOff>
    </xdr:from>
    <xdr:ext cx="533400" cy="514350"/>
    <xdr:pic>
      <xdr:nvPicPr>
        <xdr:cNvPr id="0" name="image850.jpg"/>
        <xdr:cNvPicPr preferRelativeResize="0"/>
      </xdr:nvPicPr>
      <xdr:blipFill>
        <a:blip cstate="print" r:embed="rId852"/>
        <a:stretch>
          <a:fillRect/>
        </a:stretch>
      </xdr:blipFill>
      <xdr:spPr>
        <a:prstGeom prst="rect">
          <a:avLst/>
        </a:prstGeom>
        <a:noFill/>
      </xdr:spPr>
    </xdr:pic>
    <xdr:clientData fLocksWithSheet="0"/>
  </xdr:oneCellAnchor>
  <xdr:oneCellAnchor>
    <xdr:from>
      <xdr:col>6</xdr:col>
      <xdr:colOff>38100</xdr:colOff>
      <xdr:row>1614</xdr:row>
      <xdr:rowOff>38100</xdr:rowOff>
    </xdr:from>
    <xdr:ext cx="533400" cy="514350"/>
    <xdr:pic>
      <xdr:nvPicPr>
        <xdr:cNvPr id="0" name="image850.jpg"/>
        <xdr:cNvPicPr preferRelativeResize="0"/>
      </xdr:nvPicPr>
      <xdr:blipFill>
        <a:blip cstate="print" r:embed="rId852"/>
        <a:stretch>
          <a:fillRect/>
        </a:stretch>
      </xdr:blipFill>
      <xdr:spPr>
        <a:prstGeom prst="rect">
          <a:avLst/>
        </a:prstGeom>
        <a:noFill/>
      </xdr:spPr>
    </xdr:pic>
    <xdr:clientData fLocksWithSheet="0"/>
  </xdr:oneCellAnchor>
  <xdr:oneCellAnchor>
    <xdr:from>
      <xdr:col>6</xdr:col>
      <xdr:colOff>38100</xdr:colOff>
      <xdr:row>1615</xdr:row>
      <xdr:rowOff>38100</xdr:rowOff>
    </xdr:from>
    <xdr:ext cx="647700" cy="295275"/>
    <xdr:pic>
      <xdr:nvPicPr>
        <xdr:cNvPr id="0" name="image856.jpg"/>
        <xdr:cNvPicPr preferRelativeResize="0"/>
      </xdr:nvPicPr>
      <xdr:blipFill>
        <a:blip cstate="print" r:embed="rId853"/>
        <a:stretch>
          <a:fillRect/>
        </a:stretch>
      </xdr:blipFill>
      <xdr:spPr>
        <a:prstGeom prst="rect">
          <a:avLst/>
        </a:prstGeom>
        <a:noFill/>
      </xdr:spPr>
    </xdr:pic>
    <xdr:clientData fLocksWithSheet="0"/>
  </xdr:oneCellAnchor>
  <xdr:oneCellAnchor>
    <xdr:from>
      <xdr:col>6</xdr:col>
      <xdr:colOff>38100</xdr:colOff>
      <xdr:row>1616</xdr:row>
      <xdr:rowOff>38100</xdr:rowOff>
    </xdr:from>
    <xdr:ext cx="228600" cy="514350"/>
    <xdr:pic>
      <xdr:nvPicPr>
        <xdr:cNvPr id="0" name="image868.jpg"/>
        <xdr:cNvPicPr preferRelativeResize="0"/>
      </xdr:nvPicPr>
      <xdr:blipFill>
        <a:blip cstate="print" r:embed="rId854"/>
        <a:stretch>
          <a:fillRect/>
        </a:stretch>
      </xdr:blipFill>
      <xdr:spPr>
        <a:prstGeom prst="rect">
          <a:avLst/>
        </a:prstGeom>
        <a:noFill/>
      </xdr:spPr>
    </xdr:pic>
    <xdr:clientData fLocksWithSheet="0"/>
  </xdr:oneCellAnchor>
  <xdr:oneCellAnchor>
    <xdr:from>
      <xdr:col>6</xdr:col>
      <xdr:colOff>38100</xdr:colOff>
      <xdr:row>1617</xdr:row>
      <xdr:rowOff>38100</xdr:rowOff>
    </xdr:from>
    <xdr:ext cx="485775" cy="447675"/>
    <xdr:pic>
      <xdr:nvPicPr>
        <xdr:cNvPr id="0" name="image840.jpg"/>
        <xdr:cNvPicPr preferRelativeResize="0"/>
      </xdr:nvPicPr>
      <xdr:blipFill>
        <a:blip cstate="print" r:embed="rId855"/>
        <a:stretch>
          <a:fillRect/>
        </a:stretch>
      </xdr:blipFill>
      <xdr:spPr>
        <a:prstGeom prst="rect">
          <a:avLst/>
        </a:prstGeom>
        <a:noFill/>
      </xdr:spPr>
    </xdr:pic>
    <xdr:clientData fLocksWithSheet="0"/>
  </xdr:oneCellAnchor>
  <xdr:oneCellAnchor>
    <xdr:from>
      <xdr:col>6</xdr:col>
      <xdr:colOff>38100</xdr:colOff>
      <xdr:row>1618</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1619</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1620</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1621</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1622</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1623</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1624</xdr:row>
      <xdr:rowOff>38100</xdr:rowOff>
    </xdr:from>
    <xdr:ext cx="390525" cy="390525"/>
    <xdr:pic>
      <xdr:nvPicPr>
        <xdr:cNvPr id="0" name="image846.jpg"/>
        <xdr:cNvPicPr preferRelativeResize="0"/>
      </xdr:nvPicPr>
      <xdr:blipFill>
        <a:blip cstate="print" r:embed="rId856"/>
        <a:stretch>
          <a:fillRect/>
        </a:stretch>
      </xdr:blipFill>
      <xdr:spPr>
        <a:prstGeom prst="rect">
          <a:avLst/>
        </a:prstGeom>
        <a:noFill/>
      </xdr:spPr>
    </xdr:pic>
    <xdr:clientData fLocksWithSheet="0"/>
  </xdr:oneCellAnchor>
  <xdr:oneCellAnchor>
    <xdr:from>
      <xdr:col>6</xdr:col>
      <xdr:colOff>38100</xdr:colOff>
      <xdr:row>1625</xdr:row>
      <xdr:rowOff>38100</xdr:rowOff>
    </xdr:from>
    <xdr:ext cx="400050" cy="333375"/>
    <xdr:pic>
      <xdr:nvPicPr>
        <xdr:cNvPr id="0" name="image842.jpg"/>
        <xdr:cNvPicPr preferRelativeResize="0"/>
      </xdr:nvPicPr>
      <xdr:blipFill>
        <a:blip cstate="print" r:embed="rId857"/>
        <a:stretch>
          <a:fillRect/>
        </a:stretch>
      </xdr:blipFill>
      <xdr:spPr>
        <a:prstGeom prst="rect">
          <a:avLst/>
        </a:prstGeom>
        <a:noFill/>
      </xdr:spPr>
    </xdr:pic>
    <xdr:clientData fLocksWithSheet="0"/>
  </xdr:oneCellAnchor>
  <xdr:oneCellAnchor>
    <xdr:from>
      <xdr:col>6</xdr:col>
      <xdr:colOff>38100</xdr:colOff>
      <xdr:row>1626</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1627</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1628</xdr:row>
      <xdr:rowOff>38100</xdr:rowOff>
    </xdr:from>
    <xdr:ext cx="390525" cy="390525"/>
    <xdr:pic>
      <xdr:nvPicPr>
        <xdr:cNvPr id="0" name="image846.jpg"/>
        <xdr:cNvPicPr preferRelativeResize="0"/>
      </xdr:nvPicPr>
      <xdr:blipFill>
        <a:blip cstate="print" r:embed="rId856"/>
        <a:stretch>
          <a:fillRect/>
        </a:stretch>
      </xdr:blipFill>
      <xdr:spPr>
        <a:prstGeom prst="rect">
          <a:avLst/>
        </a:prstGeom>
        <a:noFill/>
      </xdr:spPr>
    </xdr:pic>
    <xdr:clientData fLocksWithSheet="0"/>
  </xdr:oneCellAnchor>
  <xdr:oneCellAnchor>
    <xdr:from>
      <xdr:col>6</xdr:col>
      <xdr:colOff>38100</xdr:colOff>
      <xdr:row>1629</xdr:row>
      <xdr:rowOff>38100</xdr:rowOff>
    </xdr:from>
    <xdr:ext cx="390525" cy="390525"/>
    <xdr:pic>
      <xdr:nvPicPr>
        <xdr:cNvPr id="0" name="image846.jpg"/>
        <xdr:cNvPicPr preferRelativeResize="0"/>
      </xdr:nvPicPr>
      <xdr:blipFill>
        <a:blip cstate="print" r:embed="rId856"/>
        <a:stretch>
          <a:fillRect/>
        </a:stretch>
      </xdr:blipFill>
      <xdr:spPr>
        <a:prstGeom prst="rect">
          <a:avLst/>
        </a:prstGeom>
        <a:noFill/>
      </xdr:spPr>
    </xdr:pic>
    <xdr:clientData fLocksWithSheet="0"/>
  </xdr:oneCellAnchor>
  <xdr:oneCellAnchor>
    <xdr:from>
      <xdr:col>6</xdr:col>
      <xdr:colOff>38100</xdr:colOff>
      <xdr:row>1630</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1631</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1632</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1633</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1634</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1635</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1636</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1637</xdr:row>
      <xdr:rowOff>38100</xdr:rowOff>
    </xdr:from>
    <xdr:ext cx="647700" cy="352425"/>
    <xdr:pic>
      <xdr:nvPicPr>
        <xdr:cNvPr id="0" name="image843.jp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38100</xdr:colOff>
      <xdr:row>1638</xdr:row>
      <xdr:rowOff>38100</xdr:rowOff>
    </xdr:from>
    <xdr:ext cx="647700" cy="123825"/>
    <xdr:pic>
      <xdr:nvPicPr>
        <xdr:cNvPr id="0" name="image870.jpg"/>
        <xdr:cNvPicPr preferRelativeResize="0"/>
      </xdr:nvPicPr>
      <xdr:blipFill>
        <a:blip cstate="print" r:embed="rId858"/>
        <a:stretch>
          <a:fillRect/>
        </a:stretch>
      </xdr:blipFill>
      <xdr:spPr>
        <a:prstGeom prst="rect">
          <a:avLst/>
        </a:prstGeom>
        <a:noFill/>
      </xdr:spPr>
    </xdr:pic>
    <xdr:clientData fLocksWithSheet="0"/>
  </xdr:oneCellAnchor>
  <xdr:oneCellAnchor>
    <xdr:from>
      <xdr:col>6</xdr:col>
      <xdr:colOff>38100</xdr:colOff>
      <xdr:row>1639</xdr:row>
      <xdr:rowOff>38100</xdr:rowOff>
    </xdr:from>
    <xdr:ext cx="647700" cy="171450"/>
    <xdr:pic>
      <xdr:nvPicPr>
        <xdr:cNvPr id="0" name="image907.jpg"/>
        <xdr:cNvPicPr preferRelativeResize="0"/>
      </xdr:nvPicPr>
      <xdr:blipFill>
        <a:blip cstate="print" r:embed="rId859"/>
        <a:stretch>
          <a:fillRect/>
        </a:stretch>
      </xdr:blipFill>
      <xdr:spPr>
        <a:prstGeom prst="rect">
          <a:avLst/>
        </a:prstGeom>
        <a:noFill/>
      </xdr:spPr>
    </xdr:pic>
    <xdr:clientData fLocksWithSheet="0"/>
  </xdr:oneCellAnchor>
  <xdr:oneCellAnchor>
    <xdr:from>
      <xdr:col>6</xdr:col>
      <xdr:colOff>38100</xdr:colOff>
      <xdr:row>1640</xdr:row>
      <xdr:rowOff>38100</xdr:rowOff>
    </xdr:from>
    <xdr:ext cx="628650" cy="314325"/>
    <xdr:pic>
      <xdr:nvPicPr>
        <xdr:cNvPr id="0" name="image890.jpg"/>
        <xdr:cNvPicPr preferRelativeResize="0"/>
      </xdr:nvPicPr>
      <xdr:blipFill>
        <a:blip cstate="print" r:embed="rId860"/>
        <a:stretch>
          <a:fillRect/>
        </a:stretch>
      </xdr:blipFill>
      <xdr:spPr>
        <a:prstGeom prst="rect">
          <a:avLst/>
        </a:prstGeom>
        <a:noFill/>
      </xdr:spPr>
    </xdr:pic>
    <xdr:clientData fLocksWithSheet="0"/>
  </xdr:oneCellAnchor>
  <xdr:oneCellAnchor>
    <xdr:from>
      <xdr:col>6</xdr:col>
      <xdr:colOff>38100</xdr:colOff>
      <xdr:row>1641</xdr:row>
      <xdr:rowOff>38100</xdr:rowOff>
    </xdr:from>
    <xdr:ext cx="628650" cy="314325"/>
    <xdr:pic>
      <xdr:nvPicPr>
        <xdr:cNvPr id="0" name="image890.jpg"/>
        <xdr:cNvPicPr preferRelativeResize="0"/>
      </xdr:nvPicPr>
      <xdr:blipFill>
        <a:blip cstate="print" r:embed="rId860"/>
        <a:stretch>
          <a:fillRect/>
        </a:stretch>
      </xdr:blipFill>
      <xdr:spPr>
        <a:prstGeom prst="rect">
          <a:avLst/>
        </a:prstGeom>
        <a:noFill/>
      </xdr:spPr>
    </xdr:pic>
    <xdr:clientData fLocksWithSheet="0"/>
  </xdr:oneCellAnchor>
  <xdr:oneCellAnchor>
    <xdr:from>
      <xdr:col>6</xdr:col>
      <xdr:colOff>38100</xdr:colOff>
      <xdr:row>1642</xdr:row>
      <xdr:rowOff>38100</xdr:rowOff>
    </xdr:from>
    <xdr:ext cx="628650" cy="314325"/>
    <xdr:pic>
      <xdr:nvPicPr>
        <xdr:cNvPr id="0" name="image890.jpg"/>
        <xdr:cNvPicPr preferRelativeResize="0"/>
      </xdr:nvPicPr>
      <xdr:blipFill>
        <a:blip cstate="print" r:embed="rId860"/>
        <a:stretch>
          <a:fillRect/>
        </a:stretch>
      </xdr:blipFill>
      <xdr:spPr>
        <a:prstGeom prst="rect">
          <a:avLst/>
        </a:prstGeom>
        <a:noFill/>
      </xdr:spPr>
    </xdr:pic>
    <xdr:clientData fLocksWithSheet="0"/>
  </xdr:oneCellAnchor>
  <xdr:oneCellAnchor>
    <xdr:from>
      <xdr:col>6</xdr:col>
      <xdr:colOff>38100</xdr:colOff>
      <xdr:row>1643</xdr:row>
      <xdr:rowOff>38100</xdr:rowOff>
    </xdr:from>
    <xdr:ext cx="647700" cy="190500"/>
    <xdr:pic>
      <xdr:nvPicPr>
        <xdr:cNvPr id="0" name="image848.jpg"/>
        <xdr:cNvPicPr preferRelativeResize="0"/>
      </xdr:nvPicPr>
      <xdr:blipFill>
        <a:blip cstate="print" r:embed="rId861"/>
        <a:stretch>
          <a:fillRect/>
        </a:stretch>
      </xdr:blipFill>
      <xdr:spPr>
        <a:prstGeom prst="rect">
          <a:avLst/>
        </a:prstGeom>
        <a:noFill/>
      </xdr:spPr>
    </xdr:pic>
    <xdr:clientData fLocksWithSheet="0"/>
  </xdr:oneCellAnchor>
  <xdr:oneCellAnchor>
    <xdr:from>
      <xdr:col>6</xdr:col>
      <xdr:colOff>38100</xdr:colOff>
      <xdr:row>1644</xdr:row>
      <xdr:rowOff>38100</xdr:rowOff>
    </xdr:from>
    <xdr:ext cx="647700" cy="190500"/>
    <xdr:pic>
      <xdr:nvPicPr>
        <xdr:cNvPr id="0" name="image848.jpg"/>
        <xdr:cNvPicPr preferRelativeResize="0"/>
      </xdr:nvPicPr>
      <xdr:blipFill>
        <a:blip cstate="print" r:embed="rId861"/>
        <a:stretch>
          <a:fillRect/>
        </a:stretch>
      </xdr:blipFill>
      <xdr:spPr>
        <a:prstGeom prst="rect">
          <a:avLst/>
        </a:prstGeom>
        <a:noFill/>
      </xdr:spPr>
    </xdr:pic>
    <xdr:clientData fLocksWithSheet="0"/>
  </xdr:oneCellAnchor>
  <xdr:oneCellAnchor>
    <xdr:from>
      <xdr:col>6</xdr:col>
      <xdr:colOff>38100</xdr:colOff>
      <xdr:row>1645</xdr:row>
      <xdr:rowOff>38100</xdr:rowOff>
    </xdr:from>
    <xdr:ext cx="647700" cy="190500"/>
    <xdr:pic>
      <xdr:nvPicPr>
        <xdr:cNvPr id="0" name="image848.jpg"/>
        <xdr:cNvPicPr preferRelativeResize="0"/>
      </xdr:nvPicPr>
      <xdr:blipFill>
        <a:blip cstate="print" r:embed="rId861"/>
        <a:stretch>
          <a:fillRect/>
        </a:stretch>
      </xdr:blipFill>
      <xdr:spPr>
        <a:prstGeom prst="rect">
          <a:avLst/>
        </a:prstGeom>
        <a:noFill/>
      </xdr:spPr>
    </xdr:pic>
    <xdr:clientData fLocksWithSheet="0"/>
  </xdr:oneCellAnchor>
  <xdr:oneCellAnchor>
    <xdr:from>
      <xdr:col>6</xdr:col>
      <xdr:colOff>38100</xdr:colOff>
      <xdr:row>1646</xdr:row>
      <xdr:rowOff>38100</xdr:rowOff>
    </xdr:from>
    <xdr:ext cx="647700" cy="190500"/>
    <xdr:pic>
      <xdr:nvPicPr>
        <xdr:cNvPr id="0" name="image848.jpg"/>
        <xdr:cNvPicPr preferRelativeResize="0"/>
      </xdr:nvPicPr>
      <xdr:blipFill>
        <a:blip cstate="print" r:embed="rId861"/>
        <a:stretch>
          <a:fillRect/>
        </a:stretch>
      </xdr:blipFill>
      <xdr:spPr>
        <a:prstGeom prst="rect">
          <a:avLst/>
        </a:prstGeom>
        <a:noFill/>
      </xdr:spPr>
    </xdr:pic>
    <xdr:clientData fLocksWithSheet="0"/>
  </xdr:oneCellAnchor>
  <xdr:oneCellAnchor>
    <xdr:from>
      <xdr:col>6</xdr:col>
      <xdr:colOff>38100</xdr:colOff>
      <xdr:row>1647</xdr:row>
      <xdr:rowOff>38100</xdr:rowOff>
    </xdr:from>
    <xdr:ext cx="609600" cy="514350"/>
    <xdr:pic>
      <xdr:nvPicPr>
        <xdr:cNvPr id="0" name="image851.jpg"/>
        <xdr:cNvPicPr preferRelativeResize="0"/>
      </xdr:nvPicPr>
      <xdr:blipFill>
        <a:blip cstate="print" r:embed="rId862"/>
        <a:stretch>
          <a:fillRect/>
        </a:stretch>
      </xdr:blipFill>
      <xdr:spPr>
        <a:prstGeom prst="rect">
          <a:avLst/>
        </a:prstGeom>
        <a:noFill/>
      </xdr:spPr>
    </xdr:pic>
    <xdr:clientData fLocksWithSheet="0"/>
  </xdr:oneCellAnchor>
  <xdr:oneCellAnchor>
    <xdr:from>
      <xdr:col>6</xdr:col>
      <xdr:colOff>38100</xdr:colOff>
      <xdr:row>1648</xdr:row>
      <xdr:rowOff>38100</xdr:rowOff>
    </xdr:from>
    <xdr:ext cx="609600" cy="514350"/>
    <xdr:pic>
      <xdr:nvPicPr>
        <xdr:cNvPr id="0" name="image851.jpg"/>
        <xdr:cNvPicPr preferRelativeResize="0"/>
      </xdr:nvPicPr>
      <xdr:blipFill>
        <a:blip cstate="print" r:embed="rId862"/>
        <a:stretch>
          <a:fillRect/>
        </a:stretch>
      </xdr:blipFill>
      <xdr:spPr>
        <a:prstGeom prst="rect">
          <a:avLst/>
        </a:prstGeom>
        <a:noFill/>
      </xdr:spPr>
    </xdr:pic>
    <xdr:clientData fLocksWithSheet="0"/>
  </xdr:oneCellAnchor>
  <xdr:oneCellAnchor>
    <xdr:from>
      <xdr:col>6</xdr:col>
      <xdr:colOff>38100</xdr:colOff>
      <xdr:row>1649</xdr:row>
      <xdr:rowOff>38100</xdr:rowOff>
    </xdr:from>
    <xdr:ext cx="304800" cy="514350"/>
    <xdr:pic>
      <xdr:nvPicPr>
        <xdr:cNvPr id="0" name="image866.jpg"/>
        <xdr:cNvPicPr preferRelativeResize="0"/>
      </xdr:nvPicPr>
      <xdr:blipFill>
        <a:blip cstate="print" r:embed="rId863"/>
        <a:stretch>
          <a:fillRect/>
        </a:stretch>
      </xdr:blipFill>
      <xdr:spPr>
        <a:prstGeom prst="rect">
          <a:avLst/>
        </a:prstGeom>
        <a:noFill/>
      </xdr:spPr>
    </xdr:pic>
    <xdr:clientData fLocksWithSheet="0"/>
  </xdr:oneCellAnchor>
  <xdr:oneCellAnchor>
    <xdr:from>
      <xdr:col>6</xdr:col>
      <xdr:colOff>38100</xdr:colOff>
      <xdr:row>1650</xdr:row>
      <xdr:rowOff>38100</xdr:rowOff>
    </xdr:from>
    <xdr:ext cx="371475" cy="514350"/>
    <xdr:pic>
      <xdr:nvPicPr>
        <xdr:cNvPr id="0" name="image901.jpg"/>
        <xdr:cNvPicPr preferRelativeResize="0"/>
      </xdr:nvPicPr>
      <xdr:blipFill>
        <a:blip cstate="print" r:embed="rId864"/>
        <a:stretch>
          <a:fillRect/>
        </a:stretch>
      </xdr:blipFill>
      <xdr:spPr>
        <a:prstGeom prst="rect">
          <a:avLst/>
        </a:prstGeom>
        <a:noFill/>
      </xdr:spPr>
    </xdr:pic>
    <xdr:clientData fLocksWithSheet="0"/>
  </xdr:oneCellAnchor>
  <xdr:oneCellAnchor>
    <xdr:from>
      <xdr:col>6</xdr:col>
      <xdr:colOff>38100</xdr:colOff>
      <xdr:row>1651</xdr:row>
      <xdr:rowOff>38100</xdr:rowOff>
    </xdr:from>
    <xdr:ext cx="371475" cy="514350"/>
    <xdr:pic>
      <xdr:nvPicPr>
        <xdr:cNvPr id="0" name="image901.jpg"/>
        <xdr:cNvPicPr preferRelativeResize="0"/>
      </xdr:nvPicPr>
      <xdr:blipFill>
        <a:blip cstate="print" r:embed="rId864"/>
        <a:stretch>
          <a:fillRect/>
        </a:stretch>
      </xdr:blipFill>
      <xdr:spPr>
        <a:prstGeom prst="rect">
          <a:avLst/>
        </a:prstGeom>
        <a:noFill/>
      </xdr:spPr>
    </xdr:pic>
    <xdr:clientData fLocksWithSheet="0"/>
  </xdr:oneCellAnchor>
  <xdr:oneCellAnchor>
    <xdr:from>
      <xdr:col>6</xdr:col>
      <xdr:colOff>38100</xdr:colOff>
      <xdr:row>1652</xdr:row>
      <xdr:rowOff>38100</xdr:rowOff>
    </xdr:from>
    <xdr:ext cx="371475" cy="514350"/>
    <xdr:pic>
      <xdr:nvPicPr>
        <xdr:cNvPr id="0" name="image901.jpg"/>
        <xdr:cNvPicPr preferRelativeResize="0"/>
      </xdr:nvPicPr>
      <xdr:blipFill>
        <a:blip cstate="print" r:embed="rId864"/>
        <a:stretch>
          <a:fillRect/>
        </a:stretch>
      </xdr:blipFill>
      <xdr:spPr>
        <a:prstGeom prst="rect">
          <a:avLst/>
        </a:prstGeom>
        <a:noFill/>
      </xdr:spPr>
    </xdr:pic>
    <xdr:clientData fLocksWithSheet="0"/>
  </xdr:oneCellAnchor>
  <xdr:oneCellAnchor>
    <xdr:from>
      <xdr:col>6</xdr:col>
      <xdr:colOff>38100</xdr:colOff>
      <xdr:row>1653</xdr:row>
      <xdr:rowOff>38100</xdr:rowOff>
    </xdr:from>
    <xdr:ext cx="647700" cy="504825"/>
    <xdr:pic>
      <xdr:nvPicPr>
        <xdr:cNvPr id="0" name="image867.jpg"/>
        <xdr:cNvPicPr preferRelativeResize="0"/>
      </xdr:nvPicPr>
      <xdr:blipFill>
        <a:blip cstate="print" r:embed="rId865"/>
        <a:stretch>
          <a:fillRect/>
        </a:stretch>
      </xdr:blipFill>
      <xdr:spPr>
        <a:prstGeom prst="rect">
          <a:avLst/>
        </a:prstGeom>
        <a:noFill/>
      </xdr:spPr>
    </xdr:pic>
    <xdr:clientData fLocksWithSheet="0"/>
  </xdr:oneCellAnchor>
  <xdr:oneCellAnchor>
    <xdr:from>
      <xdr:col>6</xdr:col>
      <xdr:colOff>38100</xdr:colOff>
      <xdr:row>1654</xdr:row>
      <xdr:rowOff>38100</xdr:rowOff>
    </xdr:from>
    <xdr:ext cx="371475" cy="514350"/>
    <xdr:pic>
      <xdr:nvPicPr>
        <xdr:cNvPr id="0" name="image901.jpg"/>
        <xdr:cNvPicPr preferRelativeResize="0"/>
      </xdr:nvPicPr>
      <xdr:blipFill>
        <a:blip cstate="print" r:embed="rId864"/>
        <a:stretch>
          <a:fillRect/>
        </a:stretch>
      </xdr:blipFill>
      <xdr:spPr>
        <a:prstGeom prst="rect">
          <a:avLst/>
        </a:prstGeom>
        <a:noFill/>
      </xdr:spPr>
    </xdr:pic>
    <xdr:clientData fLocksWithSheet="0"/>
  </xdr:oneCellAnchor>
  <xdr:oneCellAnchor>
    <xdr:from>
      <xdr:col>6</xdr:col>
      <xdr:colOff>38100</xdr:colOff>
      <xdr:row>1655</xdr:row>
      <xdr:rowOff>38100</xdr:rowOff>
    </xdr:from>
    <xdr:ext cx="609600" cy="514350"/>
    <xdr:pic>
      <xdr:nvPicPr>
        <xdr:cNvPr id="0" name="image851.jpg"/>
        <xdr:cNvPicPr preferRelativeResize="0"/>
      </xdr:nvPicPr>
      <xdr:blipFill>
        <a:blip cstate="print" r:embed="rId862"/>
        <a:stretch>
          <a:fillRect/>
        </a:stretch>
      </xdr:blipFill>
      <xdr:spPr>
        <a:prstGeom prst="rect">
          <a:avLst/>
        </a:prstGeom>
        <a:noFill/>
      </xdr:spPr>
    </xdr:pic>
    <xdr:clientData fLocksWithSheet="0"/>
  </xdr:oneCellAnchor>
  <xdr:oneCellAnchor>
    <xdr:from>
      <xdr:col>6</xdr:col>
      <xdr:colOff>38100</xdr:colOff>
      <xdr:row>1656</xdr:row>
      <xdr:rowOff>38100</xdr:rowOff>
    </xdr:from>
    <xdr:ext cx="371475" cy="514350"/>
    <xdr:pic>
      <xdr:nvPicPr>
        <xdr:cNvPr id="0" name="image901.jpg"/>
        <xdr:cNvPicPr preferRelativeResize="0"/>
      </xdr:nvPicPr>
      <xdr:blipFill>
        <a:blip cstate="print" r:embed="rId864"/>
        <a:stretch>
          <a:fillRect/>
        </a:stretch>
      </xdr:blipFill>
      <xdr:spPr>
        <a:prstGeom prst="rect">
          <a:avLst/>
        </a:prstGeom>
        <a:noFill/>
      </xdr:spPr>
    </xdr:pic>
    <xdr:clientData fLocksWithSheet="0"/>
  </xdr:oneCellAnchor>
  <xdr:oneCellAnchor>
    <xdr:from>
      <xdr:col>6</xdr:col>
      <xdr:colOff>38100</xdr:colOff>
      <xdr:row>1657</xdr:row>
      <xdr:rowOff>38100</xdr:rowOff>
    </xdr:from>
    <xdr:ext cx="371475" cy="514350"/>
    <xdr:pic>
      <xdr:nvPicPr>
        <xdr:cNvPr id="0" name="image901.jpg"/>
        <xdr:cNvPicPr preferRelativeResize="0"/>
      </xdr:nvPicPr>
      <xdr:blipFill>
        <a:blip cstate="print" r:embed="rId864"/>
        <a:stretch>
          <a:fillRect/>
        </a:stretch>
      </xdr:blipFill>
      <xdr:spPr>
        <a:prstGeom prst="rect">
          <a:avLst/>
        </a:prstGeom>
        <a:noFill/>
      </xdr:spPr>
    </xdr:pic>
    <xdr:clientData fLocksWithSheet="0"/>
  </xdr:oneCellAnchor>
  <xdr:oneCellAnchor>
    <xdr:from>
      <xdr:col>6</xdr:col>
      <xdr:colOff>38100</xdr:colOff>
      <xdr:row>1658</xdr:row>
      <xdr:rowOff>38100</xdr:rowOff>
    </xdr:from>
    <xdr:ext cx="371475" cy="514350"/>
    <xdr:pic>
      <xdr:nvPicPr>
        <xdr:cNvPr id="0" name="image901.jpg"/>
        <xdr:cNvPicPr preferRelativeResize="0"/>
      </xdr:nvPicPr>
      <xdr:blipFill>
        <a:blip cstate="print" r:embed="rId864"/>
        <a:stretch>
          <a:fillRect/>
        </a:stretch>
      </xdr:blipFill>
      <xdr:spPr>
        <a:prstGeom prst="rect">
          <a:avLst/>
        </a:prstGeom>
        <a:noFill/>
      </xdr:spPr>
    </xdr:pic>
    <xdr:clientData fLocksWithSheet="0"/>
  </xdr:oneCellAnchor>
  <xdr:oneCellAnchor>
    <xdr:from>
      <xdr:col>6</xdr:col>
      <xdr:colOff>38100</xdr:colOff>
      <xdr:row>1659</xdr:row>
      <xdr:rowOff>38100</xdr:rowOff>
    </xdr:from>
    <xdr:ext cx="638175" cy="514350"/>
    <xdr:pic>
      <xdr:nvPicPr>
        <xdr:cNvPr id="0" name="image864.jpg"/>
        <xdr:cNvPicPr preferRelativeResize="0"/>
      </xdr:nvPicPr>
      <xdr:blipFill>
        <a:blip cstate="print" r:embed="rId866"/>
        <a:stretch>
          <a:fillRect/>
        </a:stretch>
      </xdr:blipFill>
      <xdr:spPr>
        <a:prstGeom prst="rect">
          <a:avLst/>
        </a:prstGeom>
        <a:noFill/>
      </xdr:spPr>
    </xdr:pic>
    <xdr:clientData fLocksWithSheet="0"/>
  </xdr:oneCellAnchor>
  <xdr:oneCellAnchor>
    <xdr:from>
      <xdr:col>6</xdr:col>
      <xdr:colOff>38100</xdr:colOff>
      <xdr:row>1660</xdr:row>
      <xdr:rowOff>38100</xdr:rowOff>
    </xdr:from>
    <xdr:ext cx="638175" cy="514350"/>
    <xdr:pic>
      <xdr:nvPicPr>
        <xdr:cNvPr id="0" name="image864.jpg"/>
        <xdr:cNvPicPr preferRelativeResize="0"/>
      </xdr:nvPicPr>
      <xdr:blipFill>
        <a:blip cstate="print" r:embed="rId866"/>
        <a:stretch>
          <a:fillRect/>
        </a:stretch>
      </xdr:blipFill>
      <xdr:spPr>
        <a:prstGeom prst="rect">
          <a:avLst/>
        </a:prstGeom>
        <a:noFill/>
      </xdr:spPr>
    </xdr:pic>
    <xdr:clientData fLocksWithSheet="0"/>
  </xdr:oneCellAnchor>
  <xdr:oneCellAnchor>
    <xdr:from>
      <xdr:col>6</xdr:col>
      <xdr:colOff>38100</xdr:colOff>
      <xdr:row>1661</xdr:row>
      <xdr:rowOff>38100</xdr:rowOff>
    </xdr:from>
    <xdr:ext cx="600075" cy="514350"/>
    <xdr:pic>
      <xdr:nvPicPr>
        <xdr:cNvPr id="0" name="image854.jpg"/>
        <xdr:cNvPicPr preferRelativeResize="0"/>
      </xdr:nvPicPr>
      <xdr:blipFill>
        <a:blip cstate="print" r:embed="rId867"/>
        <a:stretch>
          <a:fillRect/>
        </a:stretch>
      </xdr:blipFill>
      <xdr:spPr>
        <a:prstGeom prst="rect">
          <a:avLst/>
        </a:prstGeom>
        <a:noFill/>
      </xdr:spPr>
    </xdr:pic>
    <xdr:clientData fLocksWithSheet="0"/>
  </xdr:oneCellAnchor>
  <xdr:oneCellAnchor>
    <xdr:from>
      <xdr:col>6</xdr:col>
      <xdr:colOff>38100</xdr:colOff>
      <xdr:row>1662</xdr:row>
      <xdr:rowOff>38100</xdr:rowOff>
    </xdr:from>
    <xdr:ext cx="600075" cy="514350"/>
    <xdr:pic>
      <xdr:nvPicPr>
        <xdr:cNvPr id="0" name="image876.jpg"/>
        <xdr:cNvPicPr preferRelativeResize="0"/>
      </xdr:nvPicPr>
      <xdr:blipFill>
        <a:blip cstate="print" r:embed="rId868"/>
        <a:stretch>
          <a:fillRect/>
        </a:stretch>
      </xdr:blipFill>
      <xdr:spPr>
        <a:prstGeom prst="rect">
          <a:avLst/>
        </a:prstGeom>
        <a:noFill/>
      </xdr:spPr>
    </xdr:pic>
    <xdr:clientData fLocksWithSheet="0"/>
  </xdr:oneCellAnchor>
  <xdr:oneCellAnchor>
    <xdr:from>
      <xdr:col>6</xdr:col>
      <xdr:colOff>38100</xdr:colOff>
      <xdr:row>1663</xdr:row>
      <xdr:rowOff>38100</xdr:rowOff>
    </xdr:from>
    <xdr:ext cx="638175" cy="514350"/>
    <xdr:pic>
      <xdr:nvPicPr>
        <xdr:cNvPr id="0" name="image864.jpg"/>
        <xdr:cNvPicPr preferRelativeResize="0"/>
      </xdr:nvPicPr>
      <xdr:blipFill>
        <a:blip cstate="print" r:embed="rId866"/>
        <a:stretch>
          <a:fillRect/>
        </a:stretch>
      </xdr:blipFill>
      <xdr:spPr>
        <a:prstGeom prst="rect">
          <a:avLst/>
        </a:prstGeom>
        <a:noFill/>
      </xdr:spPr>
    </xdr:pic>
    <xdr:clientData fLocksWithSheet="0"/>
  </xdr:oneCellAnchor>
  <xdr:oneCellAnchor>
    <xdr:from>
      <xdr:col>6</xdr:col>
      <xdr:colOff>38100</xdr:colOff>
      <xdr:row>1664</xdr:row>
      <xdr:rowOff>38100</xdr:rowOff>
    </xdr:from>
    <xdr:ext cx="638175" cy="514350"/>
    <xdr:pic>
      <xdr:nvPicPr>
        <xdr:cNvPr id="0" name="image864.jpg"/>
        <xdr:cNvPicPr preferRelativeResize="0"/>
      </xdr:nvPicPr>
      <xdr:blipFill>
        <a:blip cstate="print" r:embed="rId866"/>
        <a:stretch>
          <a:fillRect/>
        </a:stretch>
      </xdr:blipFill>
      <xdr:spPr>
        <a:prstGeom prst="rect">
          <a:avLst/>
        </a:prstGeom>
        <a:noFill/>
      </xdr:spPr>
    </xdr:pic>
    <xdr:clientData fLocksWithSheet="0"/>
  </xdr:oneCellAnchor>
  <xdr:oneCellAnchor>
    <xdr:from>
      <xdr:col>6</xdr:col>
      <xdr:colOff>38100</xdr:colOff>
      <xdr:row>1665</xdr:row>
      <xdr:rowOff>38100</xdr:rowOff>
    </xdr:from>
    <xdr:ext cx="600075" cy="514350"/>
    <xdr:pic>
      <xdr:nvPicPr>
        <xdr:cNvPr id="0" name="image854.jpg"/>
        <xdr:cNvPicPr preferRelativeResize="0"/>
      </xdr:nvPicPr>
      <xdr:blipFill>
        <a:blip cstate="print" r:embed="rId867"/>
        <a:stretch>
          <a:fillRect/>
        </a:stretch>
      </xdr:blipFill>
      <xdr:spPr>
        <a:prstGeom prst="rect">
          <a:avLst/>
        </a:prstGeom>
        <a:noFill/>
      </xdr:spPr>
    </xdr:pic>
    <xdr:clientData fLocksWithSheet="0"/>
  </xdr:oneCellAnchor>
  <xdr:oneCellAnchor>
    <xdr:from>
      <xdr:col>6</xdr:col>
      <xdr:colOff>38100</xdr:colOff>
      <xdr:row>1666</xdr:row>
      <xdr:rowOff>38100</xdr:rowOff>
    </xdr:from>
    <xdr:ext cx="600075" cy="514350"/>
    <xdr:pic>
      <xdr:nvPicPr>
        <xdr:cNvPr id="0" name="image876.jpg"/>
        <xdr:cNvPicPr preferRelativeResize="0"/>
      </xdr:nvPicPr>
      <xdr:blipFill>
        <a:blip cstate="print" r:embed="rId868"/>
        <a:stretch>
          <a:fillRect/>
        </a:stretch>
      </xdr:blipFill>
      <xdr:spPr>
        <a:prstGeom prst="rect">
          <a:avLst/>
        </a:prstGeom>
        <a:noFill/>
      </xdr:spPr>
    </xdr:pic>
    <xdr:clientData fLocksWithSheet="0"/>
  </xdr:oneCellAnchor>
  <xdr:oneCellAnchor>
    <xdr:from>
      <xdr:col>6</xdr:col>
      <xdr:colOff>38100</xdr:colOff>
      <xdr:row>1667</xdr:row>
      <xdr:rowOff>38100</xdr:rowOff>
    </xdr:from>
    <xdr:ext cx="295275" cy="514350"/>
    <xdr:pic>
      <xdr:nvPicPr>
        <xdr:cNvPr id="0" name="image860.jpg"/>
        <xdr:cNvPicPr preferRelativeResize="0"/>
      </xdr:nvPicPr>
      <xdr:blipFill>
        <a:blip cstate="print" r:embed="rId869"/>
        <a:stretch>
          <a:fillRect/>
        </a:stretch>
      </xdr:blipFill>
      <xdr:spPr>
        <a:prstGeom prst="rect">
          <a:avLst/>
        </a:prstGeom>
        <a:noFill/>
      </xdr:spPr>
    </xdr:pic>
    <xdr:clientData fLocksWithSheet="0"/>
  </xdr:oneCellAnchor>
  <xdr:oneCellAnchor>
    <xdr:from>
      <xdr:col>6</xdr:col>
      <xdr:colOff>38100</xdr:colOff>
      <xdr:row>1668</xdr:row>
      <xdr:rowOff>38100</xdr:rowOff>
    </xdr:from>
    <xdr:ext cx="352425" cy="419100"/>
    <xdr:pic>
      <xdr:nvPicPr>
        <xdr:cNvPr id="0" name="image878.jpg"/>
        <xdr:cNvPicPr preferRelativeResize="0"/>
      </xdr:nvPicPr>
      <xdr:blipFill>
        <a:blip cstate="print" r:embed="rId870"/>
        <a:stretch>
          <a:fillRect/>
        </a:stretch>
      </xdr:blipFill>
      <xdr:spPr>
        <a:prstGeom prst="rect">
          <a:avLst/>
        </a:prstGeom>
        <a:noFill/>
      </xdr:spPr>
    </xdr:pic>
    <xdr:clientData fLocksWithSheet="0"/>
  </xdr:oneCellAnchor>
  <xdr:oneCellAnchor>
    <xdr:from>
      <xdr:col>6</xdr:col>
      <xdr:colOff>38100</xdr:colOff>
      <xdr:row>1669</xdr:row>
      <xdr:rowOff>38100</xdr:rowOff>
    </xdr:from>
    <xdr:ext cx="352425" cy="514350"/>
    <xdr:pic>
      <xdr:nvPicPr>
        <xdr:cNvPr id="0" name="image875.jpg"/>
        <xdr:cNvPicPr preferRelativeResize="0"/>
      </xdr:nvPicPr>
      <xdr:blipFill>
        <a:blip cstate="print" r:embed="rId871"/>
        <a:stretch>
          <a:fillRect/>
        </a:stretch>
      </xdr:blipFill>
      <xdr:spPr>
        <a:prstGeom prst="rect">
          <a:avLst/>
        </a:prstGeom>
        <a:noFill/>
      </xdr:spPr>
    </xdr:pic>
    <xdr:clientData fLocksWithSheet="0"/>
  </xdr:oneCellAnchor>
  <xdr:oneCellAnchor>
    <xdr:from>
      <xdr:col>6</xdr:col>
      <xdr:colOff>38100</xdr:colOff>
      <xdr:row>1670</xdr:row>
      <xdr:rowOff>38100</xdr:rowOff>
    </xdr:from>
    <xdr:ext cx="504825" cy="514350"/>
    <xdr:pic>
      <xdr:nvPicPr>
        <xdr:cNvPr id="0" name="image855.jpg"/>
        <xdr:cNvPicPr preferRelativeResize="0"/>
      </xdr:nvPicPr>
      <xdr:blipFill>
        <a:blip cstate="print" r:embed="rId872"/>
        <a:stretch>
          <a:fillRect/>
        </a:stretch>
      </xdr:blipFill>
      <xdr:spPr>
        <a:prstGeom prst="rect">
          <a:avLst/>
        </a:prstGeom>
        <a:noFill/>
      </xdr:spPr>
    </xdr:pic>
    <xdr:clientData fLocksWithSheet="0"/>
  </xdr:oneCellAnchor>
  <xdr:oneCellAnchor>
    <xdr:from>
      <xdr:col>6</xdr:col>
      <xdr:colOff>38100</xdr:colOff>
      <xdr:row>1671</xdr:row>
      <xdr:rowOff>38100</xdr:rowOff>
    </xdr:from>
    <xdr:ext cx="523875" cy="514350"/>
    <xdr:pic>
      <xdr:nvPicPr>
        <xdr:cNvPr id="0" name="image865.jpg"/>
        <xdr:cNvPicPr preferRelativeResize="0"/>
      </xdr:nvPicPr>
      <xdr:blipFill>
        <a:blip cstate="print" r:embed="rId873"/>
        <a:stretch>
          <a:fillRect/>
        </a:stretch>
      </xdr:blipFill>
      <xdr:spPr>
        <a:prstGeom prst="rect">
          <a:avLst/>
        </a:prstGeom>
        <a:noFill/>
      </xdr:spPr>
    </xdr:pic>
    <xdr:clientData fLocksWithSheet="0"/>
  </xdr:oneCellAnchor>
  <xdr:oneCellAnchor>
    <xdr:from>
      <xdr:col>6</xdr:col>
      <xdr:colOff>38100</xdr:colOff>
      <xdr:row>1672</xdr:row>
      <xdr:rowOff>38100</xdr:rowOff>
    </xdr:from>
    <xdr:ext cx="504825" cy="514350"/>
    <xdr:pic>
      <xdr:nvPicPr>
        <xdr:cNvPr id="0" name="image855.jpg"/>
        <xdr:cNvPicPr preferRelativeResize="0"/>
      </xdr:nvPicPr>
      <xdr:blipFill>
        <a:blip cstate="print" r:embed="rId872"/>
        <a:stretch>
          <a:fillRect/>
        </a:stretch>
      </xdr:blipFill>
      <xdr:spPr>
        <a:prstGeom prst="rect">
          <a:avLst/>
        </a:prstGeom>
        <a:noFill/>
      </xdr:spPr>
    </xdr:pic>
    <xdr:clientData fLocksWithSheet="0"/>
  </xdr:oneCellAnchor>
  <xdr:oneCellAnchor>
    <xdr:from>
      <xdr:col>6</xdr:col>
      <xdr:colOff>38100</xdr:colOff>
      <xdr:row>1673</xdr:row>
      <xdr:rowOff>38100</xdr:rowOff>
    </xdr:from>
    <xdr:ext cx="504825" cy="514350"/>
    <xdr:pic>
      <xdr:nvPicPr>
        <xdr:cNvPr id="0" name="image855.jpg"/>
        <xdr:cNvPicPr preferRelativeResize="0"/>
      </xdr:nvPicPr>
      <xdr:blipFill>
        <a:blip cstate="print" r:embed="rId872"/>
        <a:stretch>
          <a:fillRect/>
        </a:stretch>
      </xdr:blipFill>
      <xdr:spPr>
        <a:prstGeom prst="rect">
          <a:avLst/>
        </a:prstGeom>
        <a:noFill/>
      </xdr:spPr>
    </xdr:pic>
    <xdr:clientData fLocksWithSheet="0"/>
  </xdr:oneCellAnchor>
  <xdr:oneCellAnchor>
    <xdr:from>
      <xdr:col>6</xdr:col>
      <xdr:colOff>38100</xdr:colOff>
      <xdr:row>1674</xdr:row>
      <xdr:rowOff>38100</xdr:rowOff>
    </xdr:from>
    <xdr:ext cx="504825" cy="514350"/>
    <xdr:pic>
      <xdr:nvPicPr>
        <xdr:cNvPr id="0" name="image855.jpg"/>
        <xdr:cNvPicPr preferRelativeResize="0"/>
      </xdr:nvPicPr>
      <xdr:blipFill>
        <a:blip cstate="print" r:embed="rId872"/>
        <a:stretch>
          <a:fillRect/>
        </a:stretch>
      </xdr:blipFill>
      <xdr:spPr>
        <a:prstGeom prst="rect">
          <a:avLst/>
        </a:prstGeom>
        <a:noFill/>
      </xdr:spPr>
    </xdr:pic>
    <xdr:clientData fLocksWithSheet="0"/>
  </xdr:oneCellAnchor>
  <xdr:oneCellAnchor>
    <xdr:from>
      <xdr:col>6</xdr:col>
      <xdr:colOff>38100</xdr:colOff>
      <xdr:row>1675</xdr:row>
      <xdr:rowOff>38100</xdr:rowOff>
    </xdr:from>
    <xdr:ext cx="504825" cy="514350"/>
    <xdr:pic>
      <xdr:nvPicPr>
        <xdr:cNvPr id="0" name="image855.jpg"/>
        <xdr:cNvPicPr preferRelativeResize="0"/>
      </xdr:nvPicPr>
      <xdr:blipFill>
        <a:blip cstate="print" r:embed="rId872"/>
        <a:stretch>
          <a:fillRect/>
        </a:stretch>
      </xdr:blipFill>
      <xdr:spPr>
        <a:prstGeom prst="rect">
          <a:avLst/>
        </a:prstGeom>
        <a:noFill/>
      </xdr:spPr>
    </xdr:pic>
    <xdr:clientData fLocksWithSheet="0"/>
  </xdr:oneCellAnchor>
  <xdr:oneCellAnchor>
    <xdr:from>
      <xdr:col>6</xdr:col>
      <xdr:colOff>38100</xdr:colOff>
      <xdr:row>1676</xdr:row>
      <xdr:rowOff>38100</xdr:rowOff>
    </xdr:from>
    <xdr:ext cx="523875" cy="514350"/>
    <xdr:pic>
      <xdr:nvPicPr>
        <xdr:cNvPr id="0" name="image865.jpg"/>
        <xdr:cNvPicPr preferRelativeResize="0"/>
      </xdr:nvPicPr>
      <xdr:blipFill>
        <a:blip cstate="print" r:embed="rId873"/>
        <a:stretch>
          <a:fillRect/>
        </a:stretch>
      </xdr:blipFill>
      <xdr:spPr>
        <a:prstGeom prst="rect">
          <a:avLst/>
        </a:prstGeom>
        <a:noFill/>
      </xdr:spPr>
    </xdr:pic>
    <xdr:clientData fLocksWithSheet="0"/>
  </xdr:oneCellAnchor>
  <xdr:oneCellAnchor>
    <xdr:from>
      <xdr:col>6</xdr:col>
      <xdr:colOff>38100</xdr:colOff>
      <xdr:row>1677</xdr:row>
      <xdr:rowOff>38100</xdr:rowOff>
    </xdr:from>
    <xdr:ext cx="504825" cy="514350"/>
    <xdr:pic>
      <xdr:nvPicPr>
        <xdr:cNvPr id="0" name="image855.jpg"/>
        <xdr:cNvPicPr preferRelativeResize="0"/>
      </xdr:nvPicPr>
      <xdr:blipFill>
        <a:blip cstate="print" r:embed="rId872"/>
        <a:stretch>
          <a:fillRect/>
        </a:stretch>
      </xdr:blipFill>
      <xdr:spPr>
        <a:prstGeom prst="rect">
          <a:avLst/>
        </a:prstGeom>
        <a:noFill/>
      </xdr:spPr>
    </xdr:pic>
    <xdr:clientData fLocksWithSheet="0"/>
  </xdr:oneCellAnchor>
  <xdr:oneCellAnchor>
    <xdr:from>
      <xdr:col>6</xdr:col>
      <xdr:colOff>38100</xdr:colOff>
      <xdr:row>1678</xdr:row>
      <xdr:rowOff>38100</xdr:rowOff>
    </xdr:from>
    <xdr:ext cx="523875" cy="514350"/>
    <xdr:pic>
      <xdr:nvPicPr>
        <xdr:cNvPr id="0" name="image865.jpg"/>
        <xdr:cNvPicPr preferRelativeResize="0"/>
      </xdr:nvPicPr>
      <xdr:blipFill>
        <a:blip cstate="print" r:embed="rId873"/>
        <a:stretch>
          <a:fillRect/>
        </a:stretch>
      </xdr:blipFill>
      <xdr:spPr>
        <a:prstGeom prst="rect">
          <a:avLst/>
        </a:prstGeom>
        <a:noFill/>
      </xdr:spPr>
    </xdr:pic>
    <xdr:clientData fLocksWithSheet="0"/>
  </xdr:oneCellAnchor>
  <xdr:oneCellAnchor>
    <xdr:from>
      <xdr:col>6</xdr:col>
      <xdr:colOff>38100</xdr:colOff>
      <xdr:row>1679</xdr:row>
      <xdr:rowOff>38100</xdr:rowOff>
    </xdr:from>
    <xdr:ext cx="647700" cy="476250"/>
    <xdr:pic>
      <xdr:nvPicPr>
        <xdr:cNvPr id="0" name="image863.jpg"/>
        <xdr:cNvPicPr preferRelativeResize="0"/>
      </xdr:nvPicPr>
      <xdr:blipFill>
        <a:blip cstate="print" r:embed="rId874"/>
        <a:stretch>
          <a:fillRect/>
        </a:stretch>
      </xdr:blipFill>
      <xdr:spPr>
        <a:prstGeom prst="rect">
          <a:avLst/>
        </a:prstGeom>
        <a:noFill/>
      </xdr:spPr>
    </xdr:pic>
    <xdr:clientData fLocksWithSheet="0"/>
  </xdr:oneCellAnchor>
  <xdr:oneCellAnchor>
    <xdr:from>
      <xdr:col>6</xdr:col>
      <xdr:colOff>38100</xdr:colOff>
      <xdr:row>1680</xdr:row>
      <xdr:rowOff>38100</xdr:rowOff>
    </xdr:from>
    <xdr:ext cx="647700" cy="457200"/>
    <xdr:pic>
      <xdr:nvPicPr>
        <xdr:cNvPr id="0" name="image857.jpg"/>
        <xdr:cNvPicPr preferRelativeResize="0"/>
      </xdr:nvPicPr>
      <xdr:blipFill>
        <a:blip cstate="print" r:embed="rId875"/>
        <a:stretch>
          <a:fillRect/>
        </a:stretch>
      </xdr:blipFill>
      <xdr:spPr>
        <a:prstGeom prst="rect">
          <a:avLst/>
        </a:prstGeom>
        <a:noFill/>
      </xdr:spPr>
    </xdr:pic>
    <xdr:clientData fLocksWithSheet="0"/>
  </xdr:oneCellAnchor>
  <xdr:oneCellAnchor>
    <xdr:from>
      <xdr:col>6</xdr:col>
      <xdr:colOff>38100</xdr:colOff>
      <xdr:row>1681</xdr:row>
      <xdr:rowOff>38100</xdr:rowOff>
    </xdr:from>
    <xdr:ext cx="571500" cy="514350"/>
    <xdr:pic>
      <xdr:nvPicPr>
        <xdr:cNvPr id="0" name="image894.jpg"/>
        <xdr:cNvPicPr preferRelativeResize="0"/>
      </xdr:nvPicPr>
      <xdr:blipFill>
        <a:blip cstate="print" r:embed="rId876"/>
        <a:stretch>
          <a:fillRect/>
        </a:stretch>
      </xdr:blipFill>
      <xdr:spPr>
        <a:prstGeom prst="rect">
          <a:avLst/>
        </a:prstGeom>
        <a:noFill/>
      </xdr:spPr>
    </xdr:pic>
    <xdr:clientData fLocksWithSheet="0"/>
  </xdr:oneCellAnchor>
  <xdr:oneCellAnchor>
    <xdr:from>
      <xdr:col>6</xdr:col>
      <xdr:colOff>38100</xdr:colOff>
      <xdr:row>1682</xdr:row>
      <xdr:rowOff>38100</xdr:rowOff>
    </xdr:from>
    <xdr:ext cx="647700" cy="514350"/>
    <xdr:pic>
      <xdr:nvPicPr>
        <xdr:cNvPr id="0" name="image861.jpg"/>
        <xdr:cNvPicPr preferRelativeResize="0"/>
      </xdr:nvPicPr>
      <xdr:blipFill>
        <a:blip cstate="print" r:embed="rId877"/>
        <a:stretch>
          <a:fillRect/>
        </a:stretch>
      </xdr:blipFill>
      <xdr:spPr>
        <a:prstGeom prst="rect">
          <a:avLst/>
        </a:prstGeom>
        <a:noFill/>
      </xdr:spPr>
    </xdr:pic>
    <xdr:clientData fLocksWithSheet="0"/>
  </xdr:oneCellAnchor>
  <xdr:oneCellAnchor>
    <xdr:from>
      <xdr:col>6</xdr:col>
      <xdr:colOff>38100</xdr:colOff>
      <xdr:row>1683</xdr:row>
      <xdr:rowOff>38100</xdr:rowOff>
    </xdr:from>
    <xdr:ext cx="533400" cy="514350"/>
    <xdr:pic>
      <xdr:nvPicPr>
        <xdr:cNvPr id="0" name="image873.jpg"/>
        <xdr:cNvPicPr preferRelativeResize="0"/>
      </xdr:nvPicPr>
      <xdr:blipFill>
        <a:blip cstate="print" r:embed="rId878"/>
        <a:stretch>
          <a:fillRect/>
        </a:stretch>
      </xdr:blipFill>
      <xdr:spPr>
        <a:prstGeom prst="rect">
          <a:avLst/>
        </a:prstGeom>
        <a:noFill/>
      </xdr:spPr>
    </xdr:pic>
    <xdr:clientData fLocksWithSheet="0"/>
  </xdr:oneCellAnchor>
  <xdr:oneCellAnchor>
    <xdr:from>
      <xdr:col>6</xdr:col>
      <xdr:colOff>38100</xdr:colOff>
      <xdr:row>1684</xdr:row>
      <xdr:rowOff>38100</xdr:rowOff>
    </xdr:from>
    <xdr:ext cx="571500" cy="514350"/>
    <xdr:pic>
      <xdr:nvPicPr>
        <xdr:cNvPr id="0" name="image884.jpg"/>
        <xdr:cNvPicPr preferRelativeResize="0"/>
      </xdr:nvPicPr>
      <xdr:blipFill>
        <a:blip cstate="print" r:embed="rId879"/>
        <a:stretch>
          <a:fillRect/>
        </a:stretch>
      </xdr:blipFill>
      <xdr:spPr>
        <a:prstGeom prst="rect">
          <a:avLst/>
        </a:prstGeom>
        <a:noFill/>
      </xdr:spPr>
    </xdr:pic>
    <xdr:clientData fLocksWithSheet="0"/>
  </xdr:oneCellAnchor>
  <xdr:oneCellAnchor>
    <xdr:from>
      <xdr:col>6</xdr:col>
      <xdr:colOff>38100</xdr:colOff>
      <xdr:row>1685</xdr:row>
      <xdr:rowOff>38100</xdr:rowOff>
    </xdr:from>
    <xdr:ext cx="381000" cy="447675"/>
    <xdr:pic>
      <xdr:nvPicPr>
        <xdr:cNvPr id="0" name="image897.jpg"/>
        <xdr:cNvPicPr preferRelativeResize="0"/>
      </xdr:nvPicPr>
      <xdr:blipFill>
        <a:blip cstate="print" r:embed="rId880"/>
        <a:stretch>
          <a:fillRect/>
        </a:stretch>
      </xdr:blipFill>
      <xdr:spPr>
        <a:prstGeom prst="rect">
          <a:avLst/>
        </a:prstGeom>
        <a:noFill/>
      </xdr:spPr>
    </xdr:pic>
    <xdr:clientData fLocksWithSheet="0"/>
  </xdr:oneCellAnchor>
  <xdr:oneCellAnchor>
    <xdr:from>
      <xdr:col>6</xdr:col>
      <xdr:colOff>38100</xdr:colOff>
      <xdr:row>1686</xdr:row>
      <xdr:rowOff>38100</xdr:rowOff>
    </xdr:from>
    <xdr:ext cx="523875" cy="466725"/>
    <xdr:pic>
      <xdr:nvPicPr>
        <xdr:cNvPr id="0" name="image862.jpg"/>
        <xdr:cNvPicPr preferRelativeResize="0"/>
      </xdr:nvPicPr>
      <xdr:blipFill>
        <a:blip cstate="print" r:embed="rId881"/>
        <a:stretch>
          <a:fillRect/>
        </a:stretch>
      </xdr:blipFill>
      <xdr:spPr>
        <a:prstGeom prst="rect">
          <a:avLst/>
        </a:prstGeom>
        <a:noFill/>
      </xdr:spPr>
    </xdr:pic>
    <xdr:clientData fLocksWithSheet="0"/>
  </xdr:oneCellAnchor>
  <xdr:oneCellAnchor>
    <xdr:from>
      <xdr:col>6</xdr:col>
      <xdr:colOff>38100</xdr:colOff>
      <xdr:row>1687</xdr:row>
      <xdr:rowOff>38100</xdr:rowOff>
    </xdr:from>
    <xdr:ext cx="533400" cy="457200"/>
    <xdr:pic>
      <xdr:nvPicPr>
        <xdr:cNvPr id="0" name="image859.jpg"/>
        <xdr:cNvPicPr preferRelativeResize="0"/>
      </xdr:nvPicPr>
      <xdr:blipFill>
        <a:blip cstate="print" r:embed="rId882"/>
        <a:stretch>
          <a:fillRect/>
        </a:stretch>
      </xdr:blipFill>
      <xdr:spPr>
        <a:prstGeom prst="rect">
          <a:avLst/>
        </a:prstGeom>
        <a:noFill/>
      </xdr:spPr>
    </xdr:pic>
    <xdr:clientData fLocksWithSheet="0"/>
  </xdr:oneCellAnchor>
  <xdr:oneCellAnchor>
    <xdr:from>
      <xdr:col>6</xdr:col>
      <xdr:colOff>38100</xdr:colOff>
      <xdr:row>1688</xdr:row>
      <xdr:rowOff>38100</xdr:rowOff>
    </xdr:from>
    <xdr:ext cx="609600" cy="514350"/>
    <xdr:pic>
      <xdr:nvPicPr>
        <xdr:cNvPr id="0" name="image869.jpg"/>
        <xdr:cNvPicPr preferRelativeResize="0"/>
      </xdr:nvPicPr>
      <xdr:blipFill>
        <a:blip cstate="print" r:embed="rId883"/>
        <a:stretch>
          <a:fillRect/>
        </a:stretch>
      </xdr:blipFill>
      <xdr:spPr>
        <a:prstGeom prst="rect">
          <a:avLst/>
        </a:prstGeom>
        <a:noFill/>
      </xdr:spPr>
    </xdr:pic>
    <xdr:clientData fLocksWithSheet="0"/>
  </xdr:oneCellAnchor>
  <xdr:oneCellAnchor>
    <xdr:from>
      <xdr:col>6</xdr:col>
      <xdr:colOff>38100</xdr:colOff>
      <xdr:row>1689</xdr:row>
      <xdr:rowOff>38100</xdr:rowOff>
    </xdr:from>
    <xdr:ext cx="523875" cy="476250"/>
    <xdr:pic>
      <xdr:nvPicPr>
        <xdr:cNvPr id="0" name="image883.jpg"/>
        <xdr:cNvPicPr preferRelativeResize="0"/>
      </xdr:nvPicPr>
      <xdr:blipFill>
        <a:blip cstate="print" r:embed="rId884"/>
        <a:stretch>
          <a:fillRect/>
        </a:stretch>
      </xdr:blipFill>
      <xdr:spPr>
        <a:prstGeom prst="rect">
          <a:avLst/>
        </a:prstGeom>
        <a:noFill/>
      </xdr:spPr>
    </xdr:pic>
    <xdr:clientData fLocksWithSheet="0"/>
  </xdr:oneCellAnchor>
  <xdr:oneCellAnchor>
    <xdr:from>
      <xdr:col>6</xdr:col>
      <xdr:colOff>38100</xdr:colOff>
      <xdr:row>1690</xdr:row>
      <xdr:rowOff>38100</xdr:rowOff>
    </xdr:from>
    <xdr:ext cx="533400" cy="476250"/>
    <xdr:pic>
      <xdr:nvPicPr>
        <xdr:cNvPr id="0" name="image925.jpg"/>
        <xdr:cNvPicPr preferRelativeResize="0"/>
      </xdr:nvPicPr>
      <xdr:blipFill>
        <a:blip cstate="print" r:embed="rId885"/>
        <a:stretch>
          <a:fillRect/>
        </a:stretch>
      </xdr:blipFill>
      <xdr:spPr>
        <a:prstGeom prst="rect">
          <a:avLst/>
        </a:prstGeom>
        <a:noFill/>
      </xdr:spPr>
    </xdr:pic>
    <xdr:clientData fLocksWithSheet="0"/>
  </xdr:oneCellAnchor>
  <xdr:oneCellAnchor>
    <xdr:from>
      <xdr:col>6</xdr:col>
      <xdr:colOff>38100</xdr:colOff>
      <xdr:row>1691</xdr:row>
      <xdr:rowOff>38100</xdr:rowOff>
    </xdr:from>
    <xdr:ext cx="523875" cy="514350"/>
    <xdr:pic>
      <xdr:nvPicPr>
        <xdr:cNvPr id="0" name="image885.jpg"/>
        <xdr:cNvPicPr preferRelativeResize="0"/>
      </xdr:nvPicPr>
      <xdr:blipFill>
        <a:blip cstate="print" r:embed="rId886"/>
        <a:stretch>
          <a:fillRect/>
        </a:stretch>
      </xdr:blipFill>
      <xdr:spPr>
        <a:prstGeom prst="rect">
          <a:avLst/>
        </a:prstGeom>
        <a:noFill/>
      </xdr:spPr>
    </xdr:pic>
    <xdr:clientData fLocksWithSheet="0"/>
  </xdr:oneCellAnchor>
  <xdr:oneCellAnchor>
    <xdr:from>
      <xdr:col>6</xdr:col>
      <xdr:colOff>38100</xdr:colOff>
      <xdr:row>1692</xdr:row>
      <xdr:rowOff>38100</xdr:rowOff>
    </xdr:from>
    <xdr:ext cx="523875" cy="514350"/>
    <xdr:pic>
      <xdr:nvPicPr>
        <xdr:cNvPr id="0" name="image885.jpg"/>
        <xdr:cNvPicPr preferRelativeResize="0"/>
      </xdr:nvPicPr>
      <xdr:blipFill>
        <a:blip cstate="print" r:embed="rId886"/>
        <a:stretch>
          <a:fillRect/>
        </a:stretch>
      </xdr:blipFill>
      <xdr:spPr>
        <a:prstGeom prst="rect">
          <a:avLst/>
        </a:prstGeom>
        <a:noFill/>
      </xdr:spPr>
    </xdr:pic>
    <xdr:clientData fLocksWithSheet="0"/>
  </xdr:oneCellAnchor>
  <xdr:oneCellAnchor>
    <xdr:from>
      <xdr:col>6</xdr:col>
      <xdr:colOff>38100</xdr:colOff>
      <xdr:row>1693</xdr:row>
      <xdr:rowOff>38100</xdr:rowOff>
    </xdr:from>
    <xdr:ext cx="523875" cy="514350"/>
    <xdr:pic>
      <xdr:nvPicPr>
        <xdr:cNvPr id="0" name="image885.jpg"/>
        <xdr:cNvPicPr preferRelativeResize="0"/>
      </xdr:nvPicPr>
      <xdr:blipFill>
        <a:blip cstate="print" r:embed="rId886"/>
        <a:stretch>
          <a:fillRect/>
        </a:stretch>
      </xdr:blipFill>
      <xdr:spPr>
        <a:prstGeom prst="rect">
          <a:avLst/>
        </a:prstGeom>
        <a:noFill/>
      </xdr:spPr>
    </xdr:pic>
    <xdr:clientData fLocksWithSheet="0"/>
  </xdr:oneCellAnchor>
  <xdr:oneCellAnchor>
    <xdr:from>
      <xdr:col>6</xdr:col>
      <xdr:colOff>38100</xdr:colOff>
      <xdr:row>1694</xdr:row>
      <xdr:rowOff>38100</xdr:rowOff>
    </xdr:from>
    <xdr:ext cx="523875" cy="514350"/>
    <xdr:pic>
      <xdr:nvPicPr>
        <xdr:cNvPr id="0" name="image885.jpg"/>
        <xdr:cNvPicPr preferRelativeResize="0"/>
      </xdr:nvPicPr>
      <xdr:blipFill>
        <a:blip cstate="print" r:embed="rId886"/>
        <a:stretch>
          <a:fillRect/>
        </a:stretch>
      </xdr:blipFill>
      <xdr:spPr>
        <a:prstGeom prst="rect">
          <a:avLst/>
        </a:prstGeom>
        <a:noFill/>
      </xdr:spPr>
    </xdr:pic>
    <xdr:clientData fLocksWithSheet="0"/>
  </xdr:oneCellAnchor>
  <xdr:oneCellAnchor>
    <xdr:from>
      <xdr:col>6</xdr:col>
      <xdr:colOff>38100</xdr:colOff>
      <xdr:row>1695</xdr:row>
      <xdr:rowOff>38100</xdr:rowOff>
    </xdr:from>
    <xdr:ext cx="523875" cy="514350"/>
    <xdr:pic>
      <xdr:nvPicPr>
        <xdr:cNvPr id="0" name="image885.jpg"/>
        <xdr:cNvPicPr preferRelativeResize="0"/>
      </xdr:nvPicPr>
      <xdr:blipFill>
        <a:blip cstate="print" r:embed="rId886"/>
        <a:stretch>
          <a:fillRect/>
        </a:stretch>
      </xdr:blipFill>
      <xdr:spPr>
        <a:prstGeom prst="rect">
          <a:avLst/>
        </a:prstGeom>
        <a:noFill/>
      </xdr:spPr>
    </xdr:pic>
    <xdr:clientData fLocksWithSheet="0"/>
  </xdr:oneCellAnchor>
  <xdr:oneCellAnchor>
    <xdr:from>
      <xdr:col>6</xdr:col>
      <xdr:colOff>38100</xdr:colOff>
      <xdr:row>1696</xdr:row>
      <xdr:rowOff>38100</xdr:rowOff>
    </xdr:from>
    <xdr:ext cx="523875" cy="514350"/>
    <xdr:pic>
      <xdr:nvPicPr>
        <xdr:cNvPr id="0" name="image885.jpg"/>
        <xdr:cNvPicPr preferRelativeResize="0"/>
      </xdr:nvPicPr>
      <xdr:blipFill>
        <a:blip cstate="print" r:embed="rId886"/>
        <a:stretch>
          <a:fillRect/>
        </a:stretch>
      </xdr:blipFill>
      <xdr:spPr>
        <a:prstGeom prst="rect">
          <a:avLst/>
        </a:prstGeom>
        <a:noFill/>
      </xdr:spPr>
    </xdr:pic>
    <xdr:clientData fLocksWithSheet="0"/>
  </xdr:oneCellAnchor>
  <xdr:oneCellAnchor>
    <xdr:from>
      <xdr:col>6</xdr:col>
      <xdr:colOff>38100</xdr:colOff>
      <xdr:row>1697</xdr:row>
      <xdr:rowOff>38100</xdr:rowOff>
    </xdr:from>
    <xdr:ext cx="523875" cy="514350"/>
    <xdr:pic>
      <xdr:nvPicPr>
        <xdr:cNvPr id="0" name="image885.jpg"/>
        <xdr:cNvPicPr preferRelativeResize="0"/>
      </xdr:nvPicPr>
      <xdr:blipFill>
        <a:blip cstate="print" r:embed="rId886"/>
        <a:stretch>
          <a:fillRect/>
        </a:stretch>
      </xdr:blipFill>
      <xdr:spPr>
        <a:prstGeom prst="rect">
          <a:avLst/>
        </a:prstGeom>
        <a:noFill/>
      </xdr:spPr>
    </xdr:pic>
    <xdr:clientData fLocksWithSheet="0"/>
  </xdr:oneCellAnchor>
  <xdr:oneCellAnchor>
    <xdr:from>
      <xdr:col>6</xdr:col>
      <xdr:colOff>38100</xdr:colOff>
      <xdr:row>1698</xdr:row>
      <xdr:rowOff>38100</xdr:rowOff>
    </xdr:from>
    <xdr:ext cx="523875" cy="514350"/>
    <xdr:pic>
      <xdr:nvPicPr>
        <xdr:cNvPr id="0" name="image885.jpg"/>
        <xdr:cNvPicPr preferRelativeResize="0"/>
      </xdr:nvPicPr>
      <xdr:blipFill>
        <a:blip cstate="print" r:embed="rId886"/>
        <a:stretch>
          <a:fillRect/>
        </a:stretch>
      </xdr:blipFill>
      <xdr:spPr>
        <a:prstGeom prst="rect">
          <a:avLst/>
        </a:prstGeom>
        <a:noFill/>
      </xdr:spPr>
    </xdr:pic>
    <xdr:clientData fLocksWithSheet="0"/>
  </xdr:oneCellAnchor>
  <xdr:oneCellAnchor>
    <xdr:from>
      <xdr:col>6</xdr:col>
      <xdr:colOff>38100</xdr:colOff>
      <xdr:row>1699</xdr:row>
      <xdr:rowOff>38100</xdr:rowOff>
    </xdr:from>
    <xdr:ext cx="438150" cy="409575"/>
    <xdr:pic>
      <xdr:nvPicPr>
        <xdr:cNvPr id="0" name="image871.jpg"/>
        <xdr:cNvPicPr preferRelativeResize="0"/>
      </xdr:nvPicPr>
      <xdr:blipFill>
        <a:blip cstate="print" r:embed="rId887"/>
        <a:stretch>
          <a:fillRect/>
        </a:stretch>
      </xdr:blipFill>
      <xdr:spPr>
        <a:prstGeom prst="rect">
          <a:avLst/>
        </a:prstGeom>
        <a:noFill/>
      </xdr:spPr>
    </xdr:pic>
    <xdr:clientData fLocksWithSheet="0"/>
  </xdr:oneCellAnchor>
  <xdr:oneCellAnchor>
    <xdr:from>
      <xdr:col>6</xdr:col>
      <xdr:colOff>38100</xdr:colOff>
      <xdr:row>1700</xdr:row>
      <xdr:rowOff>38100</xdr:rowOff>
    </xdr:from>
    <xdr:ext cx="438150" cy="409575"/>
    <xdr:pic>
      <xdr:nvPicPr>
        <xdr:cNvPr id="0" name="image871.jpg"/>
        <xdr:cNvPicPr preferRelativeResize="0"/>
      </xdr:nvPicPr>
      <xdr:blipFill>
        <a:blip cstate="print" r:embed="rId887"/>
        <a:stretch>
          <a:fillRect/>
        </a:stretch>
      </xdr:blipFill>
      <xdr:spPr>
        <a:prstGeom prst="rect">
          <a:avLst/>
        </a:prstGeom>
        <a:noFill/>
      </xdr:spPr>
    </xdr:pic>
    <xdr:clientData fLocksWithSheet="0"/>
  </xdr:oneCellAnchor>
  <xdr:oneCellAnchor>
    <xdr:from>
      <xdr:col>6</xdr:col>
      <xdr:colOff>38100</xdr:colOff>
      <xdr:row>1701</xdr:row>
      <xdr:rowOff>38100</xdr:rowOff>
    </xdr:from>
    <xdr:ext cx="438150" cy="409575"/>
    <xdr:pic>
      <xdr:nvPicPr>
        <xdr:cNvPr id="0" name="image871.jpg"/>
        <xdr:cNvPicPr preferRelativeResize="0"/>
      </xdr:nvPicPr>
      <xdr:blipFill>
        <a:blip cstate="print" r:embed="rId887"/>
        <a:stretch>
          <a:fillRect/>
        </a:stretch>
      </xdr:blipFill>
      <xdr:spPr>
        <a:prstGeom prst="rect">
          <a:avLst/>
        </a:prstGeom>
        <a:noFill/>
      </xdr:spPr>
    </xdr:pic>
    <xdr:clientData fLocksWithSheet="0"/>
  </xdr:oneCellAnchor>
  <xdr:oneCellAnchor>
    <xdr:from>
      <xdr:col>6</xdr:col>
      <xdr:colOff>38100</xdr:colOff>
      <xdr:row>1702</xdr:row>
      <xdr:rowOff>38100</xdr:rowOff>
    </xdr:from>
    <xdr:ext cx="504825" cy="485775"/>
    <xdr:pic>
      <xdr:nvPicPr>
        <xdr:cNvPr id="0" name="image900.jpg"/>
        <xdr:cNvPicPr preferRelativeResize="0"/>
      </xdr:nvPicPr>
      <xdr:blipFill>
        <a:blip cstate="print" r:embed="rId888"/>
        <a:stretch>
          <a:fillRect/>
        </a:stretch>
      </xdr:blipFill>
      <xdr:spPr>
        <a:prstGeom prst="rect">
          <a:avLst/>
        </a:prstGeom>
        <a:noFill/>
      </xdr:spPr>
    </xdr:pic>
    <xdr:clientData fLocksWithSheet="0"/>
  </xdr:oneCellAnchor>
  <xdr:oneCellAnchor>
    <xdr:from>
      <xdr:col>6</xdr:col>
      <xdr:colOff>38100</xdr:colOff>
      <xdr:row>1703</xdr:row>
      <xdr:rowOff>38100</xdr:rowOff>
    </xdr:from>
    <xdr:ext cx="504825" cy="485775"/>
    <xdr:pic>
      <xdr:nvPicPr>
        <xdr:cNvPr id="0" name="image900.jpg"/>
        <xdr:cNvPicPr preferRelativeResize="0"/>
      </xdr:nvPicPr>
      <xdr:blipFill>
        <a:blip cstate="print" r:embed="rId888"/>
        <a:stretch>
          <a:fillRect/>
        </a:stretch>
      </xdr:blipFill>
      <xdr:spPr>
        <a:prstGeom prst="rect">
          <a:avLst/>
        </a:prstGeom>
        <a:noFill/>
      </xdr:spPr>
    </xdr:pic>
    <xdr:clientData fLocksWithSheet="0"/>
  </xdr:oneCellAnchor>
  <xdr:oneCellAnchor>
    <xdr:from>
      <xdr:col>6</xdr:col>
      <xdr:colOff>38100</xdr:colOff>
      <xdr:row>1704</xdr:row>
      <xdr:rowOff>38100</xdr:rowOff>
    </xdr:from>
    <xdr:ext cx="438150" cy="400050"/>
    <xdr:pic>
      <xdr:nvPicPr>
        <xdr:cNvPr id="0" name="image877.jpg"/>
        <xdr:cNvPicPr preferRelativeResize="0"/>
      </xdr:nvPicPr>
      <xdr:blipFill>
        <a:blip cstate="print" r:embed="rId889"/>
        <a:stretch>
          <a:fillRect/>
        </a:stretch>
      </xdr:blipFill>
      <xdr:spPr>
        <a:prstGeom prst="rect">
          <a:avLst/>
        </a:prstGeom>
        <a:noFill/>
      </xdr:spPr>
    </xdr:pic>
    <xdr:clientData fLocksWithSheet="0"/>
  </xdr:oneCellAnchor>
  <xdr:oneCellAnchor>
    <xdr:from>
      <xdr:col>6</xdr:col>
      <xdr:colOff>38100</xdr:colOff>
      <xdr:row>1705</xdr:row>
      <xdr:rowOff>38100</xdr:rowOff>
    </xdr:from>
    <xdr:ext cx="504825" cy="485775"/>
    <xdr:pic>
      <xdr:nvPicPr>
        <xdr:cNvPr id="0" name="image900.jpg"/>
        <xdr:cNvPicPr preferRelativeResize="0"/>
      </xdr:nvPicPr>
      <xdr:blipFill>
        <a:blip cstate="print" r:embed="rId888"/>
        <a:stretch>
          <a:fillRect/>
        </a:stretch>
      </xdr:blipFill>
      <xdr:spPr>
        <a:prstGeom prst="rect">
          <a:avLst/>
        </a:prstGeom>
        <a:noFill/>
      </xdr:spPr>
    </xdr:pic>
    <xdr:clientData fLocksWithSheet="0"/>
  </xdr:oneCellAnchor>
  <xdr:oneCellAnchor>
    <xdr:from>
      <xdr:col>6</xdr:col>
      <xdr:colOff>38100</xdr:colOff>
      <xdr:row>1706</xdr:row>
      <xdr:rowOff>38100</xdr:rowOff>
    </xdr:from>
    <xdr:ext cx="438150" cy="400050"/>
    <xdr:pic>
      <xdr:nvPicPr>
        <xdr:cNvPr id="0" name="image877.jpg"/>
        <xdr:cNvPicPr preferRelativeResize="0"/>
      </xdr:nvPicPr>
      <xdr:blipFill>
        <a:blip cstate="print" r:embed="rId889"/>
        <a:stretch>
          <a:fillRect/>
        </a:stretch>
      </xdr:blipFill>
      <xdr:spPr>
        <a:prstGeom prst="rect">
          <a:avLst/>
        </a:prstGeom>
        <a:noFill/>
      </xdr:spPr>
    </xdr:pic>
    <xdr:clientData fLocksWithSheet="0"/>
  </xdr:oneCellAnchor>
  <xdr:oneCellAnchor>
    <xdr:from>
      <xdr:col>6</xdr:col>
      <xdr:colOff>38100</xdr:colOff>
      <xdr:row>1707</xdr:row>
      <xdr:rowOff>38100</xdr:rowOff>
    </xdr:from>
    <xdr:ext cx="438150" cy="400050"/>
    <xdr:pic>
      <xdr:nvPicPr>
        <xdr:cNvPr id="0" name="image877.jpg"/>
        <xdr:cNvPicPr preferRelativeResize="0"/>
      </xdr:nvPicPr>
      <xdr:blipFill>
        <a:blip cstate="print" r:embed="rId889"/>
        <a:stretch>
          <a:fillRect/>
        </a:stretch>
      </xdr:blipFill>
      <xdr:spPr>
        <a:prstGeom prst="rect">
          <a:avLst/>
        </a:prstGeom>
        <a:noFill/>
      </xdr:spPr>
    </xdr:pic>
    <xdr:clientData fLocksWithSheet="0"/>
  </xdr:oneCellAnchor>
  <xdr:oneCellAnchor>
    <xdr:from>
      <xdr:col>6</xdr:col>
      <xdr:colOff>38100</xdr:colOff>
      <xdr:row>1708</xdr:row>
      <xdr:rowOff>38100</xdr:rowOff>
    </xdr:from>
    <xdr:ext cx="438150" cy="400050"/>
    <xdr:pic>
      <xdr:nvPicPr>
        <xdr:cNvPr id="0" name="image877.jpg"/>
        <xdr:cNvPicPr preferRelativeResize="0"/>
      </xdr:nvPicPr>
      <xdr:blipFill>
        <a:blip cstate="print" r:embed="rId889"/>
        <a:stretch>
          <a:fillRect/>
        </a:stretch>
      </xdr:blipFill>
      <xdr:spPr>
        <a:prstGeom prst="rect">
          <a:avLst/>
        </a:prstGeom>
        <a:noFill/>
      </xdr:spPr>
    </xdr:pic>
    <xdr:clientData fLocksWithSheet="0"/>
  </xdr:oneCellAnchor>
  <xdr:oneCellAnchor>
    <xdr:from>
      <xdr:col>6</xdr:col>
      <xdr:colOff>38100</xdr:colOff>
      <xdr:row>1709</xdr:row>
      <xdr:rowOff>38100</xdr:rowOff>
    </xdr:from>
    <xdr:ext cx="504825" cy="485775"/>
    <xdr:pic>
      <xdr:nvPicPr>
        <xdr:cNvPr id="0" name="image900.jpg"/>
        <xdr:cNvPicPr preferRelativeResize="0"/>
      </xdr:nvPicPr>
      <xdr:blipFill>
        <a:blip cstate="print" r:embed="rId888"/>
        <a:stretch>
          <a:fillRect/>
        </a:stretch>
      </xdr:blipFill>
      <xdr:spPr>
        <a:prstGeom prst="rect">
          <a:avLst/>
        </a:prstGeom>
        <a:noFill/>
      </xdr:spPr>
    </xdr:pic>
    <xdr:clientData fLocksWithSheet="0"/>
  </xdr:oneCellAnchor>
  <xdr:oneCellAnchor>
    <xdr:from>
      <xdr:col>6</xdr:col>
      <xdr:colOff>38100</xdr:colOff>
      <xdr:row>1710</xdr:row>
      <xdr:rowOff>38100</xdr:rowOff>
    </xdr:from>
    <xdr:ext cx="504825" cy="485775"/>
    <xdr:pic>
      <xdr:nvPicPr>
        <xdr:cNvPr id="0" name="image900.jpg"/>
        <xdr:cNvPicPr preferRelativeResize="0"/>
      </xdr:nvPicPr>
      <xdr:blipFill>
        <a:blip cstate="print" r:embed="rId888"/>
        <a:stretch>
          <a:fillRect/>
        </a:stretch>
      </xdr:blipFill>
      <xdr:spPr>
        <a:prstGeom prst="rect">
          <a:avLst/>
        </a:prstGeom>
        <a:noFill/>
      </xdr:spPr>
    </xdr:pic>
    <xdr:clientData fLocksWithSheet="0"/>
  </xdr:oneCellAnchor>
  <xdr:oneCellAnchor>
    <xdr:from>
      <xdr:col>6</xdr:col>
      <xdr:colOff>38100</xdr:colOff>
      <xdr:row>1711</xdr:row>
      <xdr:rowOff>38100</xdr:rowOff>
    </xdr:from>
    <xdr:ext cx="438150" cy="400050"/>
    <xdr:pic>
      <xdr:nvPicPr>
        <xdr:cNvPr id="0" name="image877.jpg"/>
        <xdr:cNvPicPr preferRelativeResize="0"/>
      </xdr:nvPicPr>
      <xdr:blipFill>
        <a:blip cstate="print" r:embed="rId889"/>
        <a:stretch>
          <a:fillRect/>
        </a:stretch>
      </xdr:blipFill>
      <xdr:spPr>
        <a:prstGeom prst="rect">
          <a:avLst/>
        </a:prstGeom>
        <a:noFill/>
      </xdr:spPr>
    </xdr:pic>
    <xdr:clientData fLocksWithSheet="0"/>
  </xdr:oneCellAnchor>
  <xdr:oneCellAnchor>
    <xdr:from>
      <xdr:col>6</xdr:col>
      <xdr:colOff>38100</xdr:colOff>
      <xdr:row>1712</xdr:row>
      <xdr:rowOff>38100</xdr:rowOff>
    </xdr:from>
    <xdr:ext cx="504825" cy="485775"/>
    <xdr:pic>
      <xdr:nvPicPr>
        <xdr:cNvPr id="0" name="image900.jpg"/>
        <xdr:cNvPicPr preferRelativeResize="0"/>
      </xdr:nvPicPr>
      <xdr:blipFill>
        <a:blip cstate="print" r:embed="rId888"/>
        <a:stretch>
          <a:fillRect/>
        </a:stretch>
      </xdr:blipFill>
      <xdr:spPr>
        <a:prstGeom prst="rect">
          <a:avLst/>
        </a:prstGeom>
        <a:noFill/>
      </xdr:spPr>
    </xdr:pic>
    <xdr:clientData fLocksWithSheet="0"/>
  </xdr:oneCellAnchor>
  <xdr:oneCellAnchor>
    <xdr:from>
      <xdr:col>6</xdr:col>
      <xdr:colOff>38100</xdr:colOff>
      <xdr:row>1713</xdr:row>
      <xdr:rowOff>38100</xdr:rowOff>
    </xdr:from>
    <xdr:ext cx="495300" cy="447675"/>
    <xdr:pic>
      <xdr:nvPicPr>
        <xdr:cNvPr id="0" name="image874.jpg"/>
        <xdr:cNvPicPr preferRelativeResize="0"/>
      </xdr:nvPicPr>
      <xdr:blipFill>
        <a:blip cstate="print" r:embed="rId890"/>
        <a:stretch>
          <a:fillRect/>
        </a:stretch>
      </xdr:blipFill>
      <xdr:spPr>
        <a:prstGeom prst="rect">
          <a:avLst/>
        </a:prstGeom>
        <a:noFill/>
      </xdr:spPr>
    </xdr:pic>
    <xdr:clientData fLocksWithSheet="0"/>
  </xdr:oneCellAnchor>
  <xdr:oneCellAnchor>
    <xdr:from>
      <xdr:col>6</xdr:col>
      <xdr:colOff>38100</xdr:colOff>
      <xdr:row>1714</xdr:row>
      <xdr:rowOff>38100</xdr:rowOff>
    </xdr:from>
    <xdr:ext cx="495300" cy="447675"/>
    <xdr:pic>
      <xdr:nvPicPr>
        <xdr:cNvPr id="0" name="image874.jpg"/>
        <xdr:cNvPicPr preferRelativeResize="0"/>
      </xdr:nvPicPr>
      <xdr:blipFill>
        <a:blip cstate="print" r:embed="rId890"/>
        <a:stretch>
          <a:fillRect/>
        </a:stretch>
      </xdr:blipFill>
      <xdr:spPr>
        <a:prstGeom prst="rect">
          <a:avLst/>
        </a:prstGeom>
        <a:noFill/>
      </xdr:spPr>
    </xdr:pic>
    <xdr:clientData fLocksWithSheet="0"/>
  </xdr:oneCellAnchor>
  <xdr:oneCellAnchor>
    <xdr:from>
      <xdr:col>6</xdr:col>
      <xdr:colOff>38100</xdr:colOff>
      <xdr:row>1715</xdr:row>
      <xdr:rowOff>38100</xdr:rowOff>
    </xdr:from>
    <xdr:ext cx="485775" cy="419100"/>
    <xdr:pic>
      <xdr:nvPicPr>
        <xdr:cNvPr id="0" name="image895.jpg"/>
        <xdr:cNvPicPr preferRelativeResize="0"/>
      </xdr:nvPicPr>
      <xdr:blipFill>
        <a:blip cstate="print" r:embed="rId891"/>
        <a:stretch>
          <a:fillRect/>
        </a:stretch>
      </xdr:blipFill>
      <xdr:spPr>
        <a:prstGeom prst="rect">
          <a:avLst/>
        </a:prstGeom>
        <a:noFill/>
      </xdr:spPr>
    </xdr:pic>
    <xdr:clientData fLocksWithSheet="0"/>
  </xdr:oneCellAnchor>
  <xdr:oneCellAnchor>
    <xdr:from>
      <xdr:col>6</xdr:col>
      <xdr:colOff>38100</xdr:colOff>
      <xdr:row>1716</xdr:row>
      <xdr:rowOff>38100</xdr:rowOff>
    </xdr:from>
    <xdr:ext cx="428625" cy="447675"/>
    <xdr:pic>
      <xdr:nvPicPr>
        <xdr:cNvPr id="0" name="image889.jpg"/>
        <xdr:cNvPicPr preferRelativeResize="0"/>
      </xdr:nvPicPr>
      <xdr:blipFill>
        <a:blip cstate="print" r:embed="rId892"/>
        <a:stretch>
          <a:fillRect/>
        </a:stretch>
      </xdr:blipFill>
      <xdr:spPr>
        <a:prstGeom prst="rect">
          <a:avLst/>
        </a:prstGeom>
        <a:noFill/>
      </xdr:spPr>
    </xdr:pic>
    <xdr:clientData fLocksWithSheet="0"/>
  </xdr:oneCellAnchor>
  <xdr:oneCellAnchor>
    <xdr:from>
      <xdr:col>6</xdr:col>
      <xdr:colOff>38100</xdr:colOff>
      <xdr:row>1717</xdr:row>
      <xdr:rowOff>38100</xdr:rowOff>
    </xdr:from>
    <xdr:ext cx="428625" cy="447675"/>
    <xdr:pic>
      <xdr:nvPicPr>
        <xdr:cNvPr id="0" name="image889.jpg"/>
        <xdr:cNvPicPr preferRelativeResize="0"/>
      </xdr:nvPicPr>
      <xdr:blipFill>
        <a:blip cstate="print" r:embed="rId892"/>
        <a:stretch>
          <a:fillRect/>
        </a:stretch>
      </xdr:blipFill>
      <xdr:spPr>
        <a:prstGeom prst="rect">
          <a:avLst/>
        </a:prstGeom>
        <a:noFill/>
      </xdr:spPr>
    </xdr:pic>
    <xdr:clientData fLocksWithSheet="0"/>
  </xdr:oneCellAnchor>
  <xdr:oneCellAnchor>
    <xdr:from>
      <xdr:col>6</xdr:col>
      <xdr:colOff>38100</xdr:colOff>
      <xdr:row>1718</xdr:row>
      <xdr:rowOff>38100</xdr:rowOff>
    </xdr:from>
    <xdr:ext cx="552450" cy="514350"/>
    <xdr:pic>
      <xdr:nvPicPr>
        <xdr:cNvPr id="0" name="image198.jpg"/>
        <xdr:cNvPicPr preferRelativeResize="0"/>
      </xdr:nvPicPr>
      <xdr:blipFill>
        <a:blip cstate="print" r:embed="rId202"/>
        <a:stretch>
          <a:fillRect/>
        </a:stretch>
      </xdr:blipFill>
      <xdr:spPr>
        <a:prstGeom prst="rect">
          <a:avLst/>
        </a:prstGeom>
        <a:noFill/>
      </xdr:spPr>
    </xdr:pic>
    <xdr:clientData fLocksWithSheet="0"/>
  </xdr:oneCellAnchor>
  <xdr:oneCellAnchor>
    <xdr:from>
      <xdr:col>6</xdr:col>
      <xdr:colOff>38100</xdr:colOff>
      <xdr:row>1719</xdr:row>
      <xdr:rowOff>38100</xdr:rowOff>
    </xdr:from>
    <xdr:ext cx="552450" cy="514350"/>
    <xdr:pic>
      <xdr:nvPicPr>
        <xdr:cNvPr id="0" name="image198.jpg"/>
        <xdr:cNvPicPr preferRelativeResize="0"/>
      </xdr:nvPicPr>
      <xdr:blipFill>
        <a:blip cstate="print" r:embed="rId202"/>
        <a:stretch>
          <a:fillRect/>
        </a:stretch>
      </xdr:blipFill>
      <xdr:spPr>
        <a:prstGeom prst="rect">
          <a:avLst/>
        </a:prstGeom>
        <a:noFill/>
      </xdr:spPr>
    </xdr:pic>
    <xdr:clientData fLocksWithSheet="0"/>
  </xdr:oneCellAnchor>
  <xdr:oneCellAnchor>
    <xdr:from>
      <xdr:col>6</xdr:col>
      <xdr:colOff>38100</xdr:colOff>
      <xdr:row>1720</xdr:row>
      <xdr:rowOff>38100</xdr:rowOff>
    </xdr:from>
    <xdr:ext cx="552450" cy="514350"/>
    <xdr:pic>
      <xdr:nvPicPr>
        <xdr:cNvPr id="0" name="image198.jpg"/>
        <xdr:cNvPicPr preferRelativeResize="0"/>
      </xdr:nvPicPr>
      <xdr:blipFill>
        <a:blip cstate="print" r:embed="rId202"/>
        <a:stretch>
          <a:fillRect/>
        </a:stretch>
      </xdr:blipFill>
      <xdr:spPr>
        <a:prstGeom prst="rect">
          <a:avLst/>
        </a:prstGeom>
        <a:noFill/>
      </xdr:spPr>
    </xdr:pic>
    <xdr:clientData fLocksWithSheet="0"/>
  </xdr:oneCellAnchor>
  <xdr:oneCellAnchor>
    <xdr:from>
      <xdr:col>6</xdr:col>
      <xdr:colOff>38100</xdr:colOff>
      <xdr:row>1721</xdr:row>
      <xdr:rowOff>38100</xdr:rowOff>
    </xdr:from>
    <xdr:ext cx="428625" cy="447675"/>
    <xdr:pic>
      <xdr:nvPicPr>
        <xdr:cNvPr id="0" name="image889.jpg"/>
        <xdr:cNvPicPr preferRelativeResize="0"/>
      </xdr:nvPicPr>
      <xdr:blipFill>
        <a:blip cstate="print" r:embed="rId892"/>
        <a:stretch>
          <a:fillRect/>
        </a:stretch>
      </xdr:blipFill>
      <xdr:spPr>
        <a:prstGeom prst="rect">
          <a:avLst/>
        </a:prstGeom>
        <a:noFill/>
      </xdr:spPr>
    </xdr:pic>
    <xdr:clientData fLocksWithSheet="0"/>
  </xdr:oneCellAnchor>
  <xdr:oneCellAnchor>
    <xdr:from>
      <xdr:col>6</xdr:col>
      <xdr:colOff>38100</xdr:colOff>
      <xdr:row>1722</xdr:row>
      <xdr:rowOff>38100</xdr:rowOff>
    </xdr:from>
    <xdr:ext cx="514350" cy="514350"/>
    <xdr:pic>
      <xdr:nvPicPr>
        <xdr:cNvPr id="0" name="image881.jpg"/>
        <xdr:cNvPicPr preferRelativeResize="0"/>
      </xdr:nvPicPr>
      <xdr:blipFill>
        <a:blip cstate="print" r:embed="rId893"/>
        <a:stretch>
          <a:fillRect/>
        </a:stretch>
      </xdr:blipFill>
      <xdr:spPr>
        <a:prstGeom prst="rect">
          <a:avLst/>
        </a:prstGeom>
        <a:noFill/>
      </xdr:spPr>
    </xdr:pic>
    <xdr:clientData fLocksWithSheet="0"/>
  </xdr:oneCellAnchor>
  <xdr:oneCellAnchor>
    <xdr:from>
      <xdr:col>6</xdr:col>
      <xdr:colOff>38100</xdr:colOff>
      <xdr:row>1723</xdr:row>
      <xdr:rowOff>38100</xdr:rowOff>
    </xdr:from>
    <xdr:ext cx="457200" cy="514350"/>
    <xdr:pic>
      <xdr:nvPicPr>
        <xdr:cNvPr id="0" name="image323.jpg"/>
        <xdr:cNvPicPr preferRelativeResize="0"/>
      </xdr:nvPicPr>
      <xdr:blipFill>
        <a:blip cstate="print" r:embed="rId335"/>
        <a:stretch>
          <a:fillRect/>
        </a:stretch>
      </xdr:blipFill>
      <xdr:spPr>
        <a:prstGeom prst="rect">
          <a:avLst/>
        </a:prstGeom>
        <a:noFill/>
      </xdr:spPr>
    </xdr:pic>
    <xdr:clientData fLocksWithSheet="0"/>
  </xdr:oneCellAnchor>
  <xdr:oneCellAnchor>
    <xdr:from>
      <xdr:col>6</xdr:col>
      <xdr:colOff>38100</xdr:colOff>
      <xdr:row>1724</xdr:row>
      <xdr:rowOff>38100</xdr:rowOff>
    </xdr:from>
    <xdr:ext cx="457200" cy="514350"/>
    <xdr:pic>
      <xdr:nvPicPr>
        <xdr:cNvPr id="0" name="image323.jpg"/>
        <xdr:cNvPicPr preferRelativeResize="0"/>
      </xdr:nvPicPr>
      <xdr:blipFill>
        <a:blip cstate="print" r:embed="rId335"/>
        <a:stretch>
          <a:fillRect/>
        </a:stretch>
      </xdr:blipFill>
      <xdr:spPr>
        <a:prstGeom prst="rect">
          <a:avLst/>
        </a:prstGeom>
        <a:noFill/>
      </xdr:spPr>
    </xdr:pic>
    <xdr:clientData fLocksWithSheet="0"/>
  </xdr:oneCellAnchor>
  <xdr:oneCellAnchor>
    <xdr:from>
      <xdr:col>6</xdr:col>
      <xdr:colOff>38100</xdr:colOff>
      <xdr:row>1725</xdr:row>
      <xdr:rowOff>38100</xdr:rowOff>
    </xdr:from>
    <xdr:ext cx="457200" cy="514350"/>
    <xdr:pic>
      <xdr:nvPicPr>
        <xdr:cNvPr id="0" name="image323.jpg"/>
        <xdr:cNvPicPr preferRelativeResize="0"/>
      </xdr:nvPicPr>
      <xdr:blipFill>
        <a:blip cstate="print" r:embed="rId335"/>
        <a:stretch>
          <a:fillRect/>
        </a:stretch>
      </xdr:blipFill>
      <xdr:spPr>
        <a:prstGeom prst="rect">
          <a:avLst/>
        </a:prstGeom>
        <a:noFill/>
      </xdr:spPr>
    </xdr:pic>
    <xdr:clientData fLocksWithSheet="0"/>
  </xdr:oneCellAnchor>
  <xdr:oneCellAnchor>
    <xdr:from>
      <xdr:col>6</xdr:col>
      <xdr:colOff>38100</xdr:colOff>
      <xdr:row>1726</xdr:row>
      <xdr:rowOff>38100</xdr:rowOff>
    </xdr:from>
    <xdr:ext cx="457200" cy="514350"/>
    <xdr:pic>
      <xdr:nvPicPr>
        <xdr:cNvPr id="0" name="image323.jpg"/>
        <xdr:cNvPicPr preferRelativeResize="0"/>
      </xdr:nvPicPr>
      <xdr:blipFill>
        <a:blip cstate="print" r:embed="rId335"/>
        <a:stretch>
          <a:fillRect/>
        </a:stretch>
      </xdr:blipFill>
      <xdr:spPr>
        <a:prstGeom prst="rect">
          <a:avLst/>
        </a:prstGeom>
        <a:noFill/>
      </xdr:spPr>
    </xdr:pic>
    <xdr:clientData fLocksWithSheet="0"/>
  </xdr:oneCellAnchor>
  <xdr:oneCellAnchor>
    <xdr:from>
      <xdr:col>6</xdr:col>
      <xdr:colOff>38100</xdr:colOff>
      <xdr:row>1727</xdr:row>
      <xdr:rowOff>38100</xdr:rowOff>
    </xdr:from>
    <xdr:ext cx="428625" cy="447675"/>
    <xdr:pic>
      <xdr:nvPicPr>
        <xdr:cNvPr id="0" name="image889.jpg"/>
        <xdr:cNvPicPr preferRelativeResize="0"/>
      </xdr:nvPicPr>
      <xdr:blipFill>
        <a:blip cstate="print" r:embed="rId892"/>
        <a:stretch>
          <a:fillRect/>
        </a:stretch>
      </xdr:blipFill>
      <xdr:spPr>
        <a:prstGeom prst="rect">
          <a:avLst/>
        </a:prstGeom>
        <a:noFill/>
      </xdr:spPr>
    </xdr:pic>
    <xdr:clientData fLocksWithSheet="0"/>
  </xdr:oneCellAnchor>
  <xdr:oneCellAnchor>
    <xdr:from>
      <xdr:col>6</xdr:col>
      <xdr:colOff>38100</xdr:colOff>
      <xdr:row>1728</xdr:row>
      <xdr:rowOff>38100</xdr:rowOff>
    </xdr:from>
    <xdr:ext cx="447675" cy="438150"/>
    <xdr:pic>
      <xdr:nvPicPr>
        <xdr:cNvPr id="0" name="image891.jpg"/>
        <xdr:cNvPicPr preferRelativeResize="0"/>
      </xdr:nvPicPr>
      <xdr:blipFill>
        <a:blip cstate="print" r:embed="rId894"/>
        <a:stretch>
          <a:fillRect/>
        </a:stretch>
      </xdr:blipFill>
      <xdr:spPr>
        <a:prstGeom prst="rect">
          <a:avLst/>
        </a:prstGeom>
        <a:noFill/>
      </xdr:spPr>
    </xdr:pic>
    <xdr:clientData fLocksWithSheet="0"/>
  </xdr:oneCellAnchor>
  <xdr:oneCellAnchor>
    <xdr:from>
      <xdr:col>6</xdr:col>
      <xdr:colOff>38100</xdr:colOff>
      <xdr:row>1729</xdr:row>
      <xdr:rowOff>38100</xdr:rowOff>
    </xdr:from>
    <xdr:ext cx="409575" cy="514350"/>
    <xdr:pic>
      <xdr:nvPicPr>
        <xdr:cNvPr id="0" name="image931.jpg"/>
        <xdr:cNvPicPr preferRelativeResize="0"/>
      </xdr:nvPicPr>
      <xdr:blipFill>
        <a:blip cstate="print" r:embed="rId895"/>
        <a:stretch>
          <a:fillRect/>
        </a:stretch>
      </xdr:blipFill>
      <xdr:spPr>
        <a:prstGeom prst="rect">
          <a:avLst/>
        </a:prstGeom>
        <a:noFill/>
      </xdr:spPr>
    </xdr:pic>
    <xdr:clientData fLocksWithSheet="0"/>
  </xdr:oneCellAnchor>
  <xdr:oneCellAnchor>
    <xdr:from>
      <xdr:col>6</xdr:col>
      <xdr:colOff>38100</xdr:colOff>
      <xdr:row>1730</xdr:row>
      <xdr:rowOff>38100</xdr:rowOff>
    </xdr:from>
    <xdr:ext cx="647700" cy="409575"/>
    <xdr:pic>
      <xdr:nvPicPr>
        <xdr:cNvPr id="0" name="image879.jpg"/>
        <xdr:cNvPicPr preferRelativeResize="0"/>
      </xdr:nvPicPr>
      <xdr:blipFill>
        <a:blip cstate="print" r:embed="rId896"/>
        <a:stretch>
          <a:fillRect/>
        </a:stretch>
      </xdr:blipFill>
      <xdr:spPr>
        <a:prstGeom prst="rect">
          <a:avLst/>
        </a:prstGeom>
        <a:noFill/>
      </xdr:spPr>
    </xdr:pic>
    <xdr:clientData fLocksWithSheet="0"/>
  </xdr:oneCellAnchor>
  <xdr:oneCellAnchor>
    <xdr:from>
      <xdr:col>6</xdr:col>
      <xdr:colOff>38100</xdr:colOff>
      <xdr:row>1731</xdr:row>
      <xdr:rowOff>38100</xdr:rowOff>
    </xdr:from>
    <xdr:ext cx="514350" cy="514350"/>
    <xdr:pic>
      <xdr:nvPicPr>
        <xdr:cNvPr id="0" name="image880.jpg"/>
        <xdr:cNvPicPr preferRelativeResize="0"/>
      </xdr:nvPicPr>
      <xdr:blipFill>
        <a:blip cstate="print" r:embed="rId897"/>
        <a:stretch>
          <a:fillRect/>
        </a:stretch>
      </xdr:blipFill>
      <xdr:spPr>
        <a:prstGeom prst="rect">
          <a:avLst/>
        </a:prstGeom>
        <a:noFill/>
      </xdr:spPr>
    </xdr:pic>
    <xdr:clientData fLocksWithSheet="0"/>
  </xdr:oneCellAnchor>
  <xdr:oneCellAnchor>
    <xdr:from>
      <xdr:col>6</xdr:col>
      <xdr:colOff>38100</xdr:colOff>
      <xdr:row>1732</xdr:row>
      <xdr:rowOff>38100</xdr:rowOff>
    </xdr:from>
    <xdr:ext cx="514350" cy="514350"/>
    <xdr:pic>
      <xdr:nvPicPr>
        <xdr:cNvPr id="0" name="image880.jpg"/>
        <xdr:cNvPicPr preferRelativeResize="0"/>
      </xdr:nvPicPr>
      <xdr:blipFill>
        <a:blip cstate="print" r:embed="rId897"/>
        <a:stretch>
          <a:fillRect/>
        </a:stretch>
      </xdr:blipFill>
      <xdr:spPr>
        <a:prstGeom prst="rect">
          <a:avLst/>
        </a:prstGeom>
        <a:noFill/>
      </xdr:spPr>
    </xdr:pic>
    <xdr:clientData fLocksWithSheet="0"/>
  </xdr:oneCellAnchor>
  <xdr:oneCellAnchor>
    <xdr:from>
      <xdr:col>6</xdr:col>
      <xdr:colOff>38100</xdr:colOff>
      <xdr:row>1733</xdr:row>
      <xdr:rowOff>38100</xdr:rowOff>
    </xdr:from>
    <xdr:ext cx="495300" cy="476250"/>
    <xdr:pic>
      <xdr:nvPicPr>
        <xdr:cNvPr id="0" name="image893.jpg"/>
        <xdr:cNvPicPr preferRelativeResize="0"/>
      </xdr:nvPicPr>
      <xdr:blipFill>
        <a:blip cstate="print" r:embed="rId898"/>
        <a:stretch>
          <a:fillRect/>
        </a:stretch>
      </xdr:blipFill>
      <xdr:spPr>
        <a:prstGeom prst="rect">
          <a:avLst/>
        </a:prstGeom>
        <a:noFill/>
      </xdr:spPr>
    </xdr:pic>
    <xdr:clientData fLocksWithSheet="0"/>
  </xdr:oneCellAnchor>
  <xdr:oneCellAnchor>
    <xdr:from>
      <xdr:col>6</xdr:col>
      <xdr:colOff>38100</xdr:colOff>
      <xdr:row>1734</xdr:row>
      <xdr:rowOff>38100</xdr:rowOff>
    </xdr:from>
    <xdr:ext cx="581025" cy="514350"/>
    <xdr:pic>
      <xdr:nvPicPr>
        <xdr:cNvPr id="0" name="image882.jpg"/>
        <xdr:cNvPicPr preferRelativeResize="0"/>
      </xdr:nvPicPr>
      <xdr:blipFill>
        <a:blip cstate="print" r:embed="rId899"/>
        <a:stretch>
          <a:fillRect/>
        </a:stretch>
      </xdr:blipFill>
      <xdr:spPr>
        <a:prstGeom prst="rect">
          <a:avLst/>
        </a:prstGeom>
        <a:noFill/>
      </xdr:spPr>
    </xdr:pic>
    <xdr:clientData fLocksWithSheet="0"/>
  </xdr:oneCellAnchor>
  <xdr:oneCellAnchor>
    <xdr:from>
      <xdr:col>6</xdr:col>
      <xdr:colOff>38100</xdr:colOff>
      <xdr:row>1735</xdr:row>
      <xdr:rowOff>38100</xdr:rowOff>
    </xdr:from>
    <xdr:ext cx="571500" cy="514350"/>
    <xdr:pic>
      <xdr:nvPicPr>
        <xdr:cNvPr id="0" name="image906.jpg"/>
        <xdr:cNvPicPr preferRelativeResize="0"/>
      </xdr:nvPicPr>
      <xdr:blipFill>
        <a:blip cstate="print" r:embed="rId900"/>
        <a:stretch>
          <a:fillRect/>
        </a:stretch>
      </xdr:blipFill>
      <xdr:spPr>
        <a:prstGeom prst="rect">
          <a:avLst/>
        </a:prstGeom>
        <a:noFill/>
      </xdr:spPr>
    </xdr:pic>
    <xdr:clientData fLocksWithSheet="0"/>
  </xdr:oneCellAnchor>
  <xdr:oneCellAnchor>
    <xdr:from>
      <xdr:col>6</xdr:col>
      <xdr:colOff>38100</xdr:colOff>
      <xdr:row>1736</xdr:row>
      <xdr:rowOff>38100</xdr:rowOff>
    </xdr:from>
    <xdr:ext cx="514350" cy="514350"/>
    <xdr:pic>
      <xdr:nvPicPr>
        <xdr:cNvPr id="0" name="image880.jpg"/>
        <xdr:cNvPicPr preferRelativeResize="0"/>
      </xdr:nvPicPr>
      <xdr:blipFill>
        <a:blip cstate="print" r:embed="rId897"/>
        <a:stretch>
          <a:fillRect/>
        </a:stretch>
      </xdr:blipFill>
      <xdr:spPr>
        <a:prstGeom prst="rect">
          <a:avLst/>
        </a:prstGeom>
        <a:noFill/>
      </xdr:spPr>
    </xdr:pic>
    <xdr:clientData fLocksWithSheet="0"/>
  </xdr:oneCellAnchor>
  <xdr:oneCellAnchor>
    <xdr:from>
      <xdr:col>6</xdr:col>
      <xdr:colOff>38100</xdr:colOff>
      <xdr:row>1737</xdr:row>
      <xdr:rowOff>38100</xdr:rowOff>
    </xdr:from>
    <xdr:ext cx="514350" cy="514350"/>
    <xdr:pic>
      <xdr:nvPicPr>
        <xdr:cNvPr id="0" name="image880.jpg"/>
        <xdr:cNvPicPr preferRelativeResize="0"/>
      </xdr:nvPicPr>
      <xdr:blipFill>
        <a:blip cstate="print" r:embed="rId897"/>
        <a:stretch>
          <a:fillRect/>
        </a:stretch>
      </xdr:blipFill>
      <xdr:spPr>
        <a:prstGeom prst="rect">
          <a:avLst/>
        </a:prstGeom>
        <a:noFill/>
      </xdr:spPr>
    </xdr:pic>
    <xdr:clientData fLocksWithSheet="0"/>
  </xdr:oneCellAnchor>
  <xdr:oneCellAnchor>
    <xdr:from>
      <xdr:col>6</xdr:col>
      <xdr:colOff>38100</xdr:colOff>
      <xdr:row>1738</xdr:row>
      <xdr:rowOff>38100</xdr:rowOff>
    </xdr:from>
    <xdr:ext cx="514350" cy="514350"/>
    <xdr:pic>
      <xdr:nvPicPr>
        <xdr:cNvPr id="0" name="image880.jpg"/>
        <xdr:cNvPicPr preferRelativeResize="0"/>
      </xdr:nvPicPr>
      <xdr:blipFill>
        <a:blip cstate="print" r:embed="rId897"/>
        <a:stretch>
          <a:fillRect/>
        </a:stretch>
      </xdr:blipFill>
      <xdr:spPr>
        <a:prstGeom prst="rect">
          <a:avLst/>
        </a:prstGeom>
        <a:noFill/>
      </xdr:spPr>
    </xdr:pic>
    <xdr:clientData fLocksWithSheet="0"/>
  </xdr:oneCellAnchor>
  <xdr:oneCellAnchor>
    <xdr:from>
      <xdr:col>6</xdr:col>
      <xdr:colOff>38100</xdr:colOff>
      <xdr:row>1739</xdr:row>
      <xdr:rowOff>38100</xdr:rowOff>
    </xdr:from>
    <xdr:ext cx="514350" cy="514350"/>
    <xdr:pic>
      <xdr:nvPicPr>
        <xdr:cNvPr id="0" name="image880.jpg"/>
        <xdr:cNvPicPr preferRelativeResize="0"/>
      </xdr:nvPicPr>
      <xdr:blipFill>
        <a:blip cstate="print" r:embed="rId897"/>
        <a:stretch>
          <a:fillRect/>
        </a:stretch>
      </xdr:blipFill>
      <xdr:spPr>
        <a:prstGeom prst="rect">
          <a:avLst/>
        </a:prstGeom>
        <a:noFill/>
      </xdr:spPr>
    </xdr:pic>
    <xdr:clientData fLocksWithSheet="0"/>
  </xdr:oneCellAnchor>
  <xdr:oneCellAnchor>
    <xdr:from>
      <xdr:col>6</xdr:col>
      <xdr:colOff>38100</xdr:colOff>
      <xdr:row>1740</xdr:row>
      <xdr:rowOff>38100</xdr:rowOff>
    </xdr:from>
    <xdr:ext cx="485775" cy="361950"/>
    <xdr:pic>
      <xdr:nvPicPr>
        <xdr:cNvPr id="0" name="image908.jpg"/>
        <xdr:cNvPicPr preferRelativeResize="0"/>
      </xdr:nvPicPr>
      <xdr:blipFill>
        <a:blip cstate="print" r:embed="rId901"/>
        <a:stretch>
          <a:fillRect/>
        </a:stretch>
      </xdr:blipFill>
      <xdr:spPr>
        <a:prstGeom prst="rect">
          <a:avLst/>
        </a:prstGeom>
        <a:noFill/>
      </xdr:spPr>
    </xdr:pic>
    <xdr:clientData fLocksWithSheet="0"/>
  </xdr:oneCellAnchor>
  <xdr:oneCellAnchor>
    <xdr:from>
      <xdr:col>6</xdr:col>
      <xdr:colOff>38100</xdr:colOff>
      <xdr:row>1741</xdr:row>
      <xdr:rowOff>38100</xdr:rowOff>
    </xdr:from>
    <xdr:ext cx="485775" cy="361950"/>
    <xdr:pic>
      <xdr:nvPicPr>
        <xdr:cNvPr id="0" name="image908.jpg"/>
        <xdr:cNvPicPr preferRelativeResize="0"/>
      </xdr:nvPicPr>
      <xdr:blipFill>
        <a:blip cstate="print" r:embed="rId901"/>
        <a:stretch>
          <a:fillRect/>
        </a:stretch>
      </xdr:blipFill>
      <xdr:spPr>
        <a:prstGeom prst="rect">
          <a:avLst/>
        </a:prstGeom>
        <a:noFill/>
      </xdr:spPr>
    </xdr:pic>
    <xdr:clientData fLocksWithSheet="0"/>
  </xdr:oneCellAnchor>
  <xdr:oneCellAnchor>
    <xdr:from>
      <xdr:col>6</xdr:col>
      <xdr:colOff>38100</xdr:colOff>
      <xdr:row>1742</xdr:row>
      <xdr:rowOff>38100</xdr:rowOff>
    </xdr:from>
    <xdr:ext cx="647700" cy="438150"/>
    <xdr:pic>
      <xdr:nvPicPr>
        <xdr:cNvPr id="0" name="image888.jpg"/>
        <xdr:cNvPicPr preferRelativeResize="0"/>
      </xdr:nvPicPr>
      <xdr:blipFill>
        <a:blip cstate="print" r:embed="rId902"/>
        <a:stretch>
          <a:fillRect/>
        </a:stretch>
      </xdr:blipFill>
      <xdr:spPr>
        <a:prstGeom prst="rect">
          <a:avLst/>
        </a:prstGeom>
        <a:noFill/>
      </xdr:spPr>
    </xdr:pic>
    <xdr:clientData fLocksWithSheet="0"/>
  </xdr:oneCellAnchor>
  <xdr:oneCellAnchor>
    <xdr:from>
      <xdr:col>6</xdr:col>
      <xdr:colOff>38100</xdr:colOff>
      <xdr:row>1743</xdr:row>
      <xdr:rowOff>38100</xdr:rowOff>
    </xdr:from>
    <xdr:ext cx="647700" cy="438150"/>
    <xdr:pic>
      <xdr:nvPicPr>
        <xdr:cNvPr id="0" name="image888.jpg"/>
        <xdr:cNvPicPr preferRelativeResize="0"/>
      </xdr:nvPicPr>
      <xdr:blipFill>
        <a:blip cstate="print" r:embed="rId902"/>
        <a:stretch>
          <a:fillRect/>
        </a:stretch>
      </xdr:blipFill>
      <xdr:spPr>
        <a:prstGeom prst="rect">
          <a:avLst/>
        </a:prstGeom>
        <a:noFill/>
      </xdr:spPr>
    </xdr:pic>
    <xdr:clientData fLocksWithSheet="0"/>
  </xdr:oneCellAnchor>
  <xdr:oneCellAnchor>
    <xdr:from>
      <xdr:col>6</xdr:col>
      <xdr:colOff>38100</xdr:colOff>
      <xdr:row>1744</xdr:row>
      <xdr:rowOff>38100</xdr:rowOff>
    </xdr:from>
    <xdr:ext cx="647700" cy="438150"/>
    <xdr:pic>
      <xdr:nvPicPr>
        <xdr:cNvPr id="0" name="image888.jpg"/>
        <xdr:cNvPicPr preferRelativeResize="0"/>
      </xdr:nvPicPr>
      <xdr:blipFill>
        <a:blip cstate="print" r:embed="rId902"/>
        <a:stretch>
          <a:fillRect/>
        </a:stretch>
      </xdr:blipFill>
      <xdr:spPr>
        <a:prstGeom prst="rect">
          <a:avLst/>
        </a:prstGeom>
        <a:noFill/>
      </xdr:spPr>
    </xdr:pic>
    <xdr:clientData fLocksWithSheet="0"/>
  </xdr:oneCellAnchor>
  <xdr:oneCellAnchor>
    <xdr:from>
      <xdr:col>6</xdr:col>
      <xdr:colOff>38100</xdr:colOff>
      <xdr:row>1745</xdr:row>
      <xdr:rowOff>38100</xdr:rowOff>
    </xdr:from>
    <xdr:ext cx="647700" cy="438150"/>
    <xdr:pic>
      <xdr:nvPicPr>
        <xdr:cNvPr id="0" name="image888.jpg"/>
        <xdr:cNvPicPr preferRelativeResize="0"/>
      </xdr:nvPicPr>
      <xdr:blipFill>
        <a:blip cstate="print" r:embed="rId902"/>
        <a:stretch>
          <a:fillRect/>
        </a:stretch>
      </xdr:blipFill>
      <xdr:spPr>
        <a:prstGeom prst="rect">
          <a:avLst/>
        </a:prstGeom>
        <a:noFill/>
      </xdr:spPr>
    </xdr:pic>
    <xdr:clientData fLocksWithSheet="0"/>
  </xdr:oneCellAnchor>
  <xdr:oneCellAnchor>
    <xdr:from>
      <xdr:col>6</xdr:col>
      <xdr:colOff>38100</xdr:colOff>
      <xdr:row>1746</xdr:row>
      <xdr:rowOff>38100</xdr:rowOff>
    </xdr:from>
    <xdr:ext cx="647700" cy="438150"/>
    <xdr:pic>
      <xdr:nvPicPr>
        <xdr:cNvPr id="0" name="image888.jpg"/>
        <xdr:cNvPicPr preferRelativeResize="0"/>
      </xdr:nvPicPr>
      <xdr:blipFill>
        <a:blip cstate="print" r:embed="rId902"/>
        <a:stretch>
          <a:fillRect/>
        </a:stretch>
      </xdr:blipFill>
      <xdr:spPr>
        <a:prstGeom prst="rect">
          <a:avLst/>
        </a:prstGeom>
        <a:noFill/>
      </xdr:spPr>
    </xdr:pic>
    <xdr:clientData fLocksWithSheet="0"/>
  </xdr:oneCellAnchor>
  <xdr:oneCellAnchor>
    <xdr:from>
      <xdr:col>6</xdr:col>
      <xdr:colOff>38100</xdr:colOff>
      <xdr:row>1747</xdr:row>
      <xdr:rowOff>38100</xdr:rowOff>
    </xdr:from>
    <xdr:ext cx="514350" cy="514350"/>
    <xdr:pic>
      <xdr:nvPicPr>
        <xdr:cNvPr id="0" name="image880.jpg"/>
        <xdr:cNvPicPr preferRelativeResize="0"/>
      </xdr:nvPicPr>
      <xdr:blipFill>
        <a:blip cstate="print" r:embed="rId897"/>
        <a:stretch>
          <a:fillRect/>
        </a:stretch>
      </xdr:blipFill>
      <xdr:spPr>
        <a:prstGeom prst="rect">
          <a:avLst/>
        </a:prstGeom>
        <a:noFill/>
      </xdr:spPr>
    </xdr:pic>
    <xdr:clientData fLocksWithSheet="0"/>
  </xdr:oneCellAnchor>
  <xdr:oneCellAnchor>
    <xdr:from>
      <xdr:col>6</xdr:col>
      <xdr:colOff>38100</xdr:colOff>
      <xdr:row>1748</xdr:row>
      <xdr:rowOff>38100</xdr:rowOff>
    </xdr:from>
    <xdr:ext cx="647700" cy="438150"/>
    <xdr:pic>
      <xdr:nvPicPr>
        <xdr:cNvPr id="0" name="image888.jpg"/>
        <xdr:cNvPicPr preferRelativeResize="0"/>
      </xdr:nvPicPr>
      <xdr:blipFill>
        <a:blip cstate="print" r:embed="rId902"/>
        <a:stretch>
          <a:fillRect/>
        </a:stretch>
      </xdr:blipFill>
      <xdr:spPr>
        <a:prstGeom prst="rect">
          <a:avLst/>
        </a:prstGeom>
        <a:noFill/>
      </xdr:spPr>
    </xdr:pic>
    <xdr:clientData fLocksWithSheet="0"/>
  </xdr:oneCellAnchor>
  <xdr:oneCellAnchor>
    <xdr:from>
      <xdr:col>6</xdr:col>
      <xdr:colOff>38100</xdr:colOff>
      <xdr:row>1749</xdr:row>
      <xdr:rowOff>38100</xdr:rowOff>
    </xdr:from>
    <xdr:ext cx="647700" cy="438150"/>
    <xdr:pic>
      <xdr:nvPicPr>
        <xdr:cNvPr id="0" name="image888.jpg"/>
        <xdr:cNvPicPr preferRelativeResize="0"/>
      </xdr:nvPicPr>
      <xdr:blipFill>
        <a:blip cstate="print" r:embed="rId902"/>
        <a:stretch>
          <a:fillRect/>
        </a:stretch>
      </xdr:blipFill>
      <xdr:spPr>
        <a:prstGeom prst="rect">
          <a:avLst/>
        </a:prstGeom>
        <a:noFill/>
      </xdr:spPr>
    </xdr:pic>
    <xdr:clientData fLocksWithSheet="0"/>
  </xdr:oneCellAnchor>
  <xdr:oneCellAnchor>
    <xdr:from>
      <xdr:col>6</xdr:col>
      <xdr:colOff>38100</xdr:colOff>
      <xdr:row>1750</xdr:row>
      <xdr:rowOff>38100</xdr:rowOff>
    </xdr:from>
    <xdr:ext cx="514350" cy="514350"/>
    <xdr:pic>
      <xdr:nvPicPr>
        <xdr:cNvPr id="0" name="image880.jpg"/>
        <xdr:cNvPicPr preferRelativeResize="0"/>
      </xdr:nvPicPr>
      <xdr:blipFill>
        <a:blip cstate="print" r:embed="rId897"/>
        <a:stretch>
          <a:fillRect/>
        </a:stretch>
      </xdr:blipFill>
      <xdr:spPr>
        <a:prstGeom prst="rect">
          <a:avLst/>
        </a:prstGeom>
        <a:noFill/>
      </xdr:spPr>
    </xdr:pic>
    <xdr:clientData fLocksWithSheet="0"/>
  </xdr:oneCellAnchor>
  <xdr:oneCellAnchor>
    <xdr:from>
      <xdr:col>6</xdr:col>
      <xdr:colOff>38100</xdr:colOff>
      <xdr:row>1751</xdr:row>
      <xdr:rowOff>38100</xdr:rowOff>
    </xdr:from>
    <xdr:ext cx="552450" cy="390525"/>
    <xdr:pic>
      <xdr:nvPicPr>
        <xdr:cNvPr id="0" name="image940.jpg"/>
        <xdr:cNvPicPr preferRelativeResize="0"/>
      </xdr:nvPicPr>
      <xdr:blipFill>
        <a:blip cstate="print" r:embed="rId903"/>
        <a:stretch>
          <a:fillRect/>
        </a:stretch>
      </xdr:blipFill>
      <xdr:spPr>
        <a:prstGeom prst="rect">
          <a:avLst/>
        </a:prstGeom>
        <a:noFill/>
      </xdr:spPr>
    </xdr:pic>
    <xdr:clientData fLocksWithSheet="0"/>
  </xdr:oneCellAnchor>
  <xdr:oneCellAnchor>
    <xdr:from>
      <xdr:col>6</xdr:col>
      <xdr:colOff>38100</xdr:colOff>
      <xdr:row>1752</xdr:row>
      <xdr:rowOff>38100</xdr:rowOff>
    </xdr:from>
    <xdr:ext cx="581025" cy="514350"/>
    <xdr:pic>
      <xdr:nvPicPr>
        <xdr:cNvPr id="0" name="image892.jpg"/>
        <xdr:cNvPicPr preferRelativeResize="0"/>
      </xdr:nvPicPr>
      <xdr:blipFill>
        <a:blip cstate="print" r:embed="rId904"/>
        <a:stretch>
          <a:fillRect/>
        </a:stretch>
      </xdr:blipFill>
      <xdr:spPr>
        <a:prstGeom prst="rect">
          <a:avLst/>
        </a:prstGeom>
        <a:noFill/>
      </xdr:spPr>
    </xdr:pic>
    <xdr:clientData fLocksWithSheet="0"/>
  </xdr:oneCellAnchor>
  <xdr:oneCellAnchor>
    <xdr:from>
      <xdr:col>6</xdr:col>
      <xdr:colOff>38100</xdr:colOff>
      <xdr:row>1753</xdr:row>
      <xdr:rowOff>38100</xdr:rowOff>
    </xdr:from>
    <xdr:ext cx="447675" cy="476250"/>
    <xdr:pic>
      <xdr:nvPicPr>
        <xdr:cNvPr id="0" name="image930.jpg"/>
        <xdr:cNvPicPr preferRelativeResize="0"/>
      </xdr:nvPicPr>
      <xdr:blipFill>
        <a:blip cstate="print" r:embed="rId905"/>
        <a:stretch>
          <a:fillRect/>
        </a:stretch>
      </xdr:blipFill>
      <xdr:spPr>
        <a:prstGeom prst="rect">
          <a:avLst/>
        </a:prstGeom>
        <a:noFill/>
      </xdr:spPr>
    </xdr:pic>
    <xdr:clientData fLocksWithSheet="0"/>
  </xdr:oneCellAnchor>
  <xdr:oneCellAnchor>
    <xdr:from>
      <xdr:col>6</xdr:col>
      <xdr:colOff>38100</xdr:colOff>
      <xdr:row>1754</xdr:row>
      <xdr:rowOff>38100</xdr:rowOff>
    </xdr:from>
    <xdr:ext cx="447675" cy="476250"/>
    <xdr:pic>
      <xdr:nvPicPr>
        <xdr:cNvPr id="0" name="image930.jpg"/>
        <xdr:cNvPicPr preferRelativeResize="0"/>
      </xdr:nvPicPr>
      <xdr:blipFill>
        <a:blip cstate="print" r:embed="rId905"/>
        <a:stretch>
          <a:fillRect/>
        </a:stretch>
      </xdr:blipFill>
      <xdr:spPr>
        <a:prstGeom prst="rect">
          <a:avLst/>
        </a:prstGeom>
        <a:noFill/>
      </xdr:spPr>
    </xdr:pic>
    <xdr:clientData fLocksWithSheet="0"/>
  </xdr:oneCellAnchor>
  <xdr:oneCellAnchor>
    <xdr:from>
      <xdr:col>6</xdr:col>
      <xdr:colOff>38100</xdr:colOff>
      <xdr:row>1755</xdr:row>
      <xdr:rowOff>38100</xdr:rowOff>
    </xdr:from>
    <xdr:ext cx="447675" cy="476250"/>
    <xdr:pic>
      <xdr:nvPicPr>
        <xdr:cNvPr id="0" name="image930.jpg"/>
        <xdr:cNvPicPr preferRelativeResize="0"/>
      </xdr:nvPicPr>
      <xdr:blipFill>
        <a:blip cstate="print" r:embed="rId905"/>
        <a:stretch>
          <a:fillRect/>
        </a:stretch>
      </xdr:blipFill>
      <xdr:spPr>
        <a:prstGeom prst="rect">
          <a:avLst/>
        </a:prstGeom>
        <a:noFill/>
      </xdr:spPr>
    </xdr:pic>
    <xdr:clientData fLocksWithSheet="0"/>
  </xdr:oneCellAnchor>
  <xdr:oneCellAnchor>
    <xdr:from>
      <xdr:col>6</xdr:col>
      <xdr:colOff>38100</xdr:colOff>
      <xdr:row>1756</xdr:row>
      <xdr:rowOff>38100</xdr:rowOff>
    </xdr:from>
    <xdr:ext cx="447675" cy="476250"/>
    <xdr:pic>
      <xdr:nvPicPr>
        <xdr:cNvPr id="0" name="image930.jpg"/>
        <xdr:cNvPicPr preferRelativeResize="0"/>
      </xdr:nvPicPr>
      <xdr:blipFill>
        <a:blip cstate="print" r:embed="rId905"/>
        <a:stretch>
          <a:fillRect/>
        </a:stretch>
      </xdr:blipFill>
      <xdr:spPr>
        <a:prstGeom prst="rect">
          <a:avLst/>
        </a:prstGeom>
        <a:noFill/>
      </xdr:spPr>
    </xdr:pic>
    <xdr:clientData fLocksWithSheet="0"/>
  </xdr:oneCellAnchor>
  <xdr:oneCellAnchor>
    <xdr:from>
      <xdr:col>6</xdr:col>
      <xdr:colOff>38100</xdr:colOff>
      <xdr:row>1757</xdr:row>
      <xdr:rowOff>38100</xdr:rowOff>
    </xdr:from>
    <xdr:ext cx="447675" cy="476250"/>
    <xdr:pic>
      <xdr:nvPicPr>
        <xdr:cNvPr id="0" name="image930.jpg"/>
        <xdr:cNvPicPr preferRelativeResize="0"/>
      </xdr:nvPicPr>
      <xdr:blipFill>
        <a:blip cstate="print" r:embed="rId905"/>
        <a:stretch>
          <a:fillRect/>
        </a:stretch>
      </xdr:blipFill>
      <xdr:spPr>
        <a:prstGeom prst="rect">
          <a:avLst/>
        </a:prstGeom>
        <a:noFill/>
      </xdr:spPr>
    </xdr:pic>
    <xdr:clientData fLocksWithSheet="0"/>
  </xdr:oneCellAnchor>
  <xdr:oneCellAnchor>
    <xdr:from>
      <xdr:col>6</xdr:col>
      <xdr:colOff>38100</xdr:colOff>
      <xdr:row>1758</xdr:row>
      <xdr:rowOff>38100</xdr:rowOff>
    </xdr:from>
    <xdr:ext cx="447675" cy="476250"/>
    <xdr:pic>
      <xdr:nvPicPr>
        <xdr:cNvPr id="0" name="image930.jpg"/>
        <xdr:cNvPicPr preferRelativeResize="0"/>
      </xdr:nvPicPr>
      <xdr:blipFill>
        <a:blip cstate="print" r:embed="rId905"/>
        <a:stretch>
          <a:fillRect/>
        </a:stretch>
      </xdr:blipFill>
      <xdr:spPr>
        <a:prstGeom prst="rect">
          <a:avLst/>
        </a:prstGeom>
        <a:noFill/>
      </xdr:spPr>
    </xdr:pic>
    <xdr:clientData fLocksWithSheet="0"/>
  </xdr:oneCellAnchor>
  <xdr:oneCellAnchor>
    <xdr:from>
      <xdr:col>6</xdr:col>
      <xdr:colOff>38100</xdr:colOff>
      <xdr:row>1759</xdr:row>
      <xdr:rowOff>38100</xdr:rowOff>
    </xdr:from>
    <xdr:ext cx="581025" cy="514350"/>
    <xdr:pic>
      <xdr:nvPicPr>
        <xdr:cNvPr id="0" name="image938.jpg"/>
        <xdr:cNvPicPr preferRelativeResize="0"/>
      </xdr:nvPicPr>
      <xdr:blipFill>
        <a:blip cstate="print" r:embed="rId906"/>
        <a:stretch>
          <a:fillRect/>
        </a:stretch>
      </xdr:blipFill>
      <xdr:spPr>
        <a:prstGeom prst="rect">
          <a:avLst/>
        </a:prstGeom>
        <a:noFill/>
      </xdr:spPr>
    </xdr:pic>
    <xdr:clientData fLocksWithSheet="0"/>
  </xdr:oneCellAnchor>
  <xdr:oneCellAnchor>
    <xdr:from>
      <xdr:col>6</xdr:col>
      <xdr:colOff>38100</xdr:colOff>
      <xdr:row>1760</xdr:row>
      <xdr:rowOff>38100</xdr:rowOff>
    </xdr:from>
    <xdr:ext cx="581025" cy="514350"/>
    <xdr:pic>
      <xdr:nvPicPr>
        <xdr:cNvPr id="0" name="image938.jpg"/>
        <xdr:cNvPicPr preferRelativeResize="0"/>
      </xdr:nvPicPr>
      <xdr:blipFill>
        <a:blip cstate="print" r:embed="rId906"/>
        <a:stretch>
          <a:fillRect/>
        </a:stretch>
      </xdr:blipFill>
      <xdr:spPr>
        <a:prstGeom prst="rect">
          <a:avLst/>
        </a:prstGeom>
        <a:noFill/>
      </xdr:spPr>
    </xdr:pic>
    <xdr:clientData fLocksWithSheet="0"/>
  </xdr:oneCellAnchor>
  <xdr:oneCellAnchor>
    <xdr:from>
      <xdr:col>6</xdr:col>
      <xdr:colOff>38100</xdr:colOff>
      <xdr:row>1761</xdr:row>
      <xdr:rowOff>38100</xdr:rowOff>
    </xdr:from>
    <xdr:ext cx="457200" cy="361950"/>
    <xdr:pic>
      <xdr:nvPicPr>
        <xdr:cNvPr id="0" name="image902.jpg"/>
        <xdr:cNvPicPr preferRelativeResize="0"/>
      </xdr:nvPicPr>
      <xdr:blipFill>
        <a:blip cstate="print" r:embed="rId907"/>
        <a:stretch>
          <a:fillRect/>
        </a:stretch>
      </xdr:blipFill>
      <xdr:spPr>
        <a:prstGeom prst="rect">
          <a:avLst/>
        </a:prstGeom>
        <a:noFill/>
      </xdr:spPr>
    </xdr:pic>
    <xdr:clientData fLocksWithSheet="0"/>
  </xdr:oneCellAnchor>
  <xdr:oneCellAnchor>
    <xdr:from>
      <xdr:col>6</xdr:col>
      <xdr:colOff>38100</xdr:colOff>
      <xdr:row>1762</xdr:row>
      <xdr:rowOff>38100</xdr:rowOff>
    </xdr:from>
    <xdr:ext cx="457200" cy="361950"/>
    <xdr:pic>
      <xdr:nvPicPr>
        <xdr:cNvPr id="0" name="image902.jpg"/>
        <xdr:cNvPicPr preferRelativeResize="0"/>
      </xdr:nvPicPr>
      <xdr:blipFill>
        <a:blip cstate="print" r:embed="rId907"/>
        <a:stretch>
          <a:fillRect/>
        </a:stretch>
      </xdr:blipFill>
      <xdr:spPr>
        <a:prstGeom prst="rect">
          <a:avLst/>
        </a:prstGeom>
        <a:noFill/>
      </xdr:spPr>
    </xdr:pic>
    <xdr:clientData fLocksWithSheet="0"/>
  </xdr:oneCellAnchor>
  <xdr:oneCellAnchor>
    <xdr:from>
      <xdr:col>6</xdr:col>
      <xdr:colOff>38100</xdr:colOff>
      <xdr:row>1763</xdr:row>
      <xdr:rowOff>38100</xdr:rowOff>
    </xdr:from>
    <xdr:ext cx="457200" cy="361950"/>
    <xdr:pic>
      <xdr:nvPicPr>
        <xdr:cNvPr id="0" name="image902.jpg"/>
        <xdr:cNvPicPr preferRelativeResize="0"/>
      </xdr:nvPicPr>
      <xdr:blipFill>
        <a:blip cstate="print" r:embed="rId907"/>
        <a:stretch>
          <a:fillRect/>
        </a:stretch>
      </xdr:blipFill>
      <xdr:spPr>
        <a:prstGeom prst="rect">
          <a:avLst/>
        </a:prstGeom>
        <a:noFill/>
      </xdr:spPr>
    </xdr:pic>
    <xdr:clientData fLocksWithSheet="0"/>
  </xdr:oneCellAnchor>
  <xdr:oneCellAnchor>
    <xdr:from>
      <xdr:col>6</xdr:col>
      <xdr:colOff>38100</xdr:colOff>
      <xdr:row>1764</xdr:row>
      <xdr:rowOff>38100</xdr:rowOff>
    </xdr:from>
    <xdr:ext cx="438150" cy="514350"/>
    <xdr:pic>
      <xdr:nvPicPr>
        <xdr:cNvPr id="0" name="image943.jpg"/>
        <xdr:cNvPicPr preferRelativeResize="0"/>
      </xdr:nvPicPr>
      <xdr:blipFill>
        <a:blip cstate="print" r:embed="rId908"/>
        <a:stretch>
          <a:fillRect/>
        </a:stretch>
      </xdr:blipFill>
      <xdr:spPr>
        <a:prstGeom prst="rect">
          <a:avLst/>
        </a:prstGeom>
        <a:noFill/>
      </xdr:spPr>
    </xdr:pic>
    <xdr:clientData fLocksWithSheet="0"/>
  </xdr:oneCellAnchor>
  <xdr:oneCellAnchor>
    <xdr:from>
      <xdr:col>6</xdr:col>
      <xdr:colOff>38100</xdr:colOff>
      <xdr:row>1765</xdr:row>
      <xdr:rowOff>38100</xdr:rowOff>
    </xdr:from>
    <xdr:ext cx="438150" cy="514350"/>
    <xdr:pic>
      <xdr:nvPicPr>
        <xdr:cNvPr id="0" name="image943.jpg"/>
        <xdr:cNvPicPr preferRelativeResize="0"/>
      </xdr:nvPicPr>
      <xdr:blipFill>
        <a:blip cstate="print" r:embed="rId908"/>
        <a:stretch>
          <a:fillRect/>
        </a:stretch>
      </xdr:blipFill>
      <xdr:spPr>
        <a:prstGeom prst="rect">
          <a:avLst/>
        </a:prstGeom>
        <a:noFill/>
      </xdr:spPr>
    </xdr:pic>
    <xdr:clientData fLocksWithSheet="0"/>
  </xdr:oneCellAnchor>
  <xdr:oneCellAnchor>
    <xdr:from>
      <xdr:col>6</xdr:col>
      <xdr:colOff>38100</xdr:colOff>
      <xdr:row>1766</xdr:row>
      <xdr:rowOff>38100</xdr:rowOff>
    </xdr:from>
    <xdr:ext cx="323850" cy="428625"/>
    <xdr:pic>
      <xdr:nvPicPr>
        <xdr:cNvPr id="0" name="image896.jpg"/>
        <xdr:cNvPicPr preferRelativeResize="0"/>
      </xdr:nvPicPr>
      <xdr:blipFill>
        <a:blip cstate="print" r:embed="rId909"/>
        <a:stretch>
          <a:fillRect/>
        </a:stretch>
      </xdr:blipFill>
      <xdr:spPr>
        <a:prstGeom prst="rect">
          <a:avLst/>
        </a:prstGeom>
        <a:noFill/>
      </xdr:spPr>
    </xdr:pic>
    <xdr:clientData fLocksWithSheet="0"/>
  </xdr:oneCellAnchor>
  <xdr:oneCellAnchor>
    <xdr:from>
      <xdr:col>6</xdr:col>
      <xdr:colOff>38100</xdr:colOff>
      <xdr:row>1767</xdr:row>
      <xdr:rowOff>38100</xdr:rowOff>
    </xdr:from>
    <xdr:ext cx="323850" cy="428625"/>
    <xdr:pic>
      <xdr:nvPicPr>
        <xdr:cNvPr id="0" name="image896.jpg"/>
        <xdr:cNvPicPr preferRelativeResize="0"/>
      </xdr:nvPicPr>
      <xdr:blipFill>
        <a:blip cstate="print" r:embed="rId909"/>
        <a:stretch>
          <a:fillRect/>
        </a:stretch>
      </xdr:blipFill>
      <xdr:spPr>
        <a:prstGeom prst="rect">
          <a:avLst/>
        </a:prstGeom>
        <a:noFill/>
      </xdr:spPr>
    </xdr:pic>
    <xdr:clientData fLocksWithSheet="0"/>
  </xdr:oneCellAnchor>
  <xdr:oneCellAnchor>
    <xdr:from>
      <xdr:col>6</xdr:col>
      <xdr:colOff>38100</xdr:colOff>
      <xdr:row>1768</xdr:row>
      <xdr:rowOff>38100</xdr:rowOff>
    </xdr:from>
    <xdr:ext cx="647700" cy="495300"/>
    <xdr:pic>
      <xdr:nvPicPr>
        <xdr:cNvPr id="0" name="image899.jpg"/>
        <xdr:cNvPicPr preferRelativeResize="0"/>
      </xdr:nvPicPr>
      <xdr:blipFill>
        <a:blip cstate="print" r:embed="rId910"/>
        <a:stretch>
          <a:fillRect/>
        </a:stretch>
      </xdr:blipFill>
      <xdr:spPr>
        <a:prstGeom prst="rect">
          <a:avLst/>
        </a:prstGeom>
        <a:noFill/>
      </xdr:spPr>
    </xdr:pic>
    <xdr:clientData fLocksWithSheet="0"/>
  </xdr:oneCellAnchor>
  <xdr:oneCellAnchor>
    <xdr:from>
      <xdr:col>6</xdr:col>
      <xdr:colOff>38100</xdr:colOff>
      <xdr:row>1769</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1770</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1771</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1772</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1773</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1774</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1775</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1776</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1777</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1778</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1779</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1780</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1781</xdr:row>
      <xdr:rowOff>38100</xdr:rowOff>
    </xdr:from>
    <xdr:ext cx="514350" cy="514350"/>
    <xdr:pic>
      <xdr:nvPicPr>
        <xdr:cNvPr id="0" name="image936.jpg"/>
        <xdr:cNvPicPr preferRelativeResize="0"/>
      </xdr:nvPicPr>
      <xdr:blipFill>
        <a:blip cstate="print" r:embed="rId912"/>
        <a:stretch>
          <a:fillRect/>
        </a:stretch>
      </xdr:blipFill>
      <xdr:spPr>
        <a:prstGeom prst="rect">
          <a:avLst/>
        </a:prstGeom>
        <a:noFill/>
      </xdr:spPr>
    </xdr:pic>
    <xdr:clientData fLocksWithSheet="0"/>
  </xdr:oneCellAnchor>
  <xdr:oneCellAnchor>
    <xdr:from>
      <xdr:col>6</xdr:col>
      <xdr:colOff>38100</xdr:colOff>
      <xdr:row>1782</xdr:row>
      <xdr:rowOff>38100</xdr:rowOff>
    </xdr:from>
    <xdr:ext cx="438150" cy="381000"/>
    <xdr:pic>
      <xdr:nvPicPr>
        <xdr:cNvPr id="0" name="image898.jp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38100</xdr:colOff>
      <xdr:row>1783</xdr:row>
      <xdr:rowOff>38100</xdr:rowOff>
    </xdr:from>
    <xdr:ext cx="571500" cy="514350"/>
    <xdr:pic>
      <xdr:nvPicPr>
        <xdr:cNvPr id="0" name="image909.jpg"/>
        <xdr:cNvPicPr preferRelativeResize="0"/>
      </xdr:nvPicPr>
      <xdr:blipFill>
        <a:blip cstate="print" r:embed="rId913"/>
        <a:stretch>
          <a:fillRect/>
        </a:stretch>
      </xdr:blipFill>
      <xdr:spPr>
        <a:prstGeom prst="rect">
          <a:avLst/>
        </a:prstGeom>
        <a:noFill/>
      </xdr:spPr>
    </xdr:pic>
    <xdr:clientData fLocksWithSheet="0"/>
  </xdr:oneCellAnchor>
  <xdr:oneCellAnchor>
    <xdr:from>
      <xdr:col>6</xdr:col>
      <xdr:colOff>38100</xdr:colOff>
      <xdr:row>1784</xdr:row>
      <xdr:rowOff>38100</xdr:rowOff>
    </xdr:from>
    <xdr:ext cx="514350" cy="466725"/>
    <xdr:pic>
      <xdr:nvPicPr>
        <xdr:cNvPr id="0" name="image915.jpg"/>
        <xdr:cNvPicPr preferRelativeResize="0"/>
      </xdr:nvPicPr>
      <xdr:blipFill>
        <a:blip cstate="print" r:embed="rId914"/>
        <a:stretch>
          <a:fillRect/>
        </a:stretch>
      </xdr:blipFill>
      <xdr:spPr>
        <a:prstGeom prst="rect">
          <a:avLst/>
        </a:prstGeom>
        <a:noFill/>
      </xdr:spPr>
    </xdr:pic>
    <xdr:clientData fLocksWithSheet="0"/>
  </xdr:oneCellAnchor>
  <xdr:oneCellAnchor>
    <xdr:from>
      <xdr:col>6</xdr:col>
      <xdr:colOff>38100</xdr:colOff>
      <xdr:row>1785</xdr:row>
      <xdr:rowOff>38100</xdr:rowOff>
    </xdr:from>
    <xdr:ext cx="514350" cy="466725"/>
    <xdr:pic>
      <xdr:nvPicPr>
        <xdr:cNvPr id="0" name="image915.jpg"/>
        <xdr:cNvPicPr preferRelativeResize="0"/>
      </xdr:nvPicPr>
      <xdr:blipFill>
        <a:blip cstate="print" r:embed="rId914"/>
        <a:stretch>
          <a:fillRect/>
        </a:stretch>
      </xdr:blipFill>
      <xdr:spPr>
        <a:prstGeom prst="rect">
          <a:avLst/>
        </a:prstGeom>
        <a:noFill/>
      </xdr:spPr>
    </xdr:pic>
    <xdr:clientData fLocksWithSheet="0"/>
  </xdr:oneCellAnchor>
  <xdr:oneCellAnchor>
    <xdr:from>
      <xdr:col>6</xdr:col>
      <xdr:colOff>38100</xdr:colOff>
      <xdr:row>1786</xdr:row>
      <xdr:rowOff>38100</xdr:rowOff>
    </xdr:from>
    <xdr:ext cx="476250" cy="514350"/>
    <xdr:pic>
      <xdr:nvPicPr>
        <xdr:cNvPr id="0" name="image918.jpg"/>
        <xdr:cNvPicPr preferRelativeResize="0"/>
      </xdr:nvPicPr>
      <xdr:blipFill>
        <a:blip cstate="print" r:embed="rId915"/>
        <a:stretch>
          <a:fillRect/>
        </a:stretch>
      </xdr:blipFill>
      <xdr:spPr>
        <a:prstGeom prst="rect">
          <a:avLst/>
        </a:prstGeom>
        <a:noFill/>
      </xdr:spPr>
    </xdr:pic>
    <xdr:clientData fLocksWithSheet="0"/>
  </xdr:oneCellAnchor>
  <xdr:oneCellAnchor>
    <xdr:from>
      <xdr:col>6</xdr:col>
      <xdr:colOff>38100</xdr:colOff>
      <xdr:row>1787</xdr:row>
      <xdr:rowOff>38100</xdr:rowOff>
    </xdr:from>
    <xdr:ext cx="647700" cy="428625"/>
    <xdr:pic>
      <xdr:nvPicPr>
        <xdr:cNvPr id="0" name="image903.jpg"/>
        <xdr:cNvPicPr preferRelativeResize="0"/>
      </xdr:nvPicPr>
      <xdr:blipFill>
        <a:blip cstate="print" r:embed="rId916"/>
        <a:stretch>
          <a:fillRect/>
        </a:stretch>
      </xdr:blipFill>
      <xdr:spPr>
        <a:prstGeom prst="rect">
          <a:avLst/>
        </a:prstGeom>
        <a:noFill/>
      </xdr:spPr>
    </xdr:pic>
    <xdr:clientData fLocksWithSheet="0"/>
  </xdr:oneCellAnchor>
  <xdr:oneCellAnchor>
    <xdr:from>
      <xdr:col>6</xdr:col>
      <xdr:colOff>38100</xdr:colOff>
      <xdr:row>1788</xdr:row>
      <xdr:rowOff>38100</xdr:rowOff>
    </xdr:from>
    <xdr:ext cx="647700" cy="428625"/>
    <xdr:pic>
      <xdr:nvPicPr>
        <xdr:cNvPr id="0" name="image903.jpg"/>
        <xdr:cNvPicPr preferRelativeResize="0"/>
      </xdr:nvPicPr>
      <xdr:blipFill>
        <a:blip cstate="print" r:embed="rId916"/>
        <a:stretch>
          <a:fillRect/>
        </a:stretch>
      </xdr:blipFill>
      <xdr:spPr>
        <a:prstGeom prst="rect">
          <a:avLst/>
        </a:prstGeom>
        <a:noFill/>
      </xdr:spPr>
    </xdr:pic>
    <xdr:clientData fLocksWithSheet="0"/>
  </xdr:oneCellAnchor>
  <xdr:oneCellAnchor>
    <xdr:from>
      <xdr:col>6</xdr:col>
      <xdr:colOff>38100</xdr:colOff>
      <xdr:row>1789</xdr:row>
      <xdr:rowOff>38100</xdr:rowOff>
    </xdr:from>
    <xdr:ext cx="647700" cy="428625"/>
    <xdr:pic>
      <xdr:nvPicPr>
        <xdr:cNvPr id="0" name="image903.jpg"/>
        <xdr:cNvPicPr preferRelativeResize="0"/>
      </xdr:nvPicPr>
      <xdr:blipFill>
        <a:blip cstate="print" r:embed="rId916"/>
        <a:stretch>
          <a:fillRect/>
        </a:stretch>
      </xdr:blipFill>
      <xdr:spPr>
        <a:prstGeom prst="rect">
          <a:avLst/>
        </a:prstGeom>
        <a:noFill/>
      </xdr:spPr>
    </xdr:pic>
    <xdr:clientData fLocksWithSheet="0"/>
  </xdr:oneCellAnchor>
  <xdr:oneCellAnchor>
    <xdr:from>
      <xdr:col>6</xdr:col>
      <xdr:colOff>38100</xdr:colOff>
      <xdr:row>1790</xdr:row>
      <xdr:rowOff>38100</xdr:rowOff>
    </xdr:from>
    <xdr:ext cx="457200" cy="514350"/>
    <xdr:pic>
      <xdr:nvPicPr>
        <xdr:cNvPr id="0" name="image922.jpg"/>
        <xdr:cNvPicPr preferRelativeResize="0"/>
      </xdr:nvPicPr>
      <xdr:blipFill>
        <a:blip cstate="print" r:embed="rId917"/>
        <a:stretch>
          <a:fillRect/>
        </a:stretch>
      </xdr:blipFill>
      <xdr:spPr>
        <a:prstGeom prst="rect">
          <a:avLst/>
        </a:prstGeom>
        <a:noFill/>
      </xdr:spPr>
    </xdr:pic>
    <xdr:clientData fLocksWithSheet="0"/>
  </xdr:oneCellAnchor>
  <xdr:oneCellAnchor>
    <xdr:from>
      <xdr:col>6</xdr:col>
      <xdr:colOff>38100</xdr:colOff>
      <xdr:row>1791</xdr:row>
      <xdr:rowOff>38100</xdr:rowOff>
    </xdr:from>
    <xdr:ext cx="342900" cy="514350"/>
    <xdr:pic>
      <xdr:nvPicPr>
        <xdr:cNvPr id="0" name="image910.jpg"/>
        <xdr:cNvPicPr preferRelativeResize="0"/>
      </xdr:nvPicPr>
      <xdr:blipFill>
        <a:blip cstate="print" r:embed="rId918"/>
        <a:stretch>
          <a:fillRect/>
        </a:stretch>
      </xdr:blipFill>
      <xdr:spPr>
        <a:prstGeom prst="rect">
          <a:avLst/>
        </a:prstGeom>
        <a:noFill/>
      </xdr:spPr>
    </xdr:pic>
    <xdr:clientData fLocksWithSheet="0"/>
  </xdr:oneCellAnchor>
  <xdr:oneCellAnchor>
    <xdr:from>
      <xdr:col>6</xdr:col>
      <xdr:colOff>38100</xdr:colOff>
      <xdr:row>1792</xdr:row>
      <xdr:rowOff>38100</xdr:rowOff>
    </xdr:from>
    <xdr:ext cx="342900" cy="514350"/>
    <xdr:pic>
      <xdr:nvPicPr>
        <xdr:cNvPr id="0" name="image910.jpg"/>
        <xdr:cNvPicPr preferRelativeResize="0"/>
      </xdr:nvPicPr>
      <xdr:blipFill>
        <a:blip cstate="print" r:embed="rId918"/>
        <a:stretch>
          <a:fillRect/>
        </a:stretch>
      </xdr:blipFill>
      <xdr:spPr>
        <a:prstGeom prst="rect">
          <a:avLst/>
        </a:prstGeom>
        <a:noFill/>
      </xdr:spPr>
    </xdr:pic>
    <xdr:clientData fLocksWithSheet="0"/>
  </xdr:oneCellAnchor>
  <xdr:oneCellAnchor>
    <xdr:from>
      <xdr:col>6</xdr:col>
      <xdr:colOff>38100</xdr:colOff>
      <xdr:row>1793</xdr:row>
      <xdr:rowOff>38100</xdr:rowOff>
    </xdr:from>
    <xdr:ext cx="514350" cy="514350"/>
    <xdr:pic>
      <xdr:nvPicPr>
        <xdr:cNvPr id="0" name="image936.jpg"/>
        <xdr:cNvPicPr preferRelativeResize="0"/>
      </xdr:nvPicPr>
      <xdr:blipFill>
        <a:blip cstate="print" r:embed="rId912"/>
        <a:stretch>
          <a:fillRect/>
        </a:stretch>
      </xdr:blipFill>
      <xdr:spPr>
        <a:prstGeom prst="rect">
          <a:avLst/>
        </a:prstGeom>
        <a:noFill/>
      </xdr:spPr>
    </xdr:pic>
    <xdr:clientData fLocksWithSheet="0"/>
  </xdr:oneCellAnchor>
  <xdr:oneCellAnchor>
    <xdr:from>
      <xdr:col>6</xdr:col>
      <xdr:colOff>38100</xdr:colOff>
      <xdr:row>1794</xdr:row>
      <xdr:rowOff>38100</xdr:rowOff>
    </xdr:from>
    <xdr:ext cx="419100" cy="514350"/>
    <xdr:pic>
      <xdr:nvPicPr>
        <xdr:cNvPr id="0" name="image927.jpg"/>
        <xdr:cNvPicPr preferRelativeResize="0"/>
      </xdr:nvPicPr>
      <xdr:blipFill>
        <a:blip cstate="print" r:embed="rId919"/>
        <a:stretch>
          <a:fillRect/>
        </a:stretch>
      </xdr:blipFill>
      <xdr:spPr>
        <a:prstGeom prst="rect">
          <a:avLst/>
        </a:prstGeom>
        <a:noFill/>
      </xdr:spPr>
    </xdr:pic>
    <xdr:clientData fLocksWithSheet="0"/>
  </xdr:oneCellAnchor>
  <xdr:oneCellAnchor>
    <xdr:from>
      <xdr:col>6</xdr:col>
      <xdr:colOff>38100</xdr:colOff>
      <xdr:row>1795</xdr:row>
      <xdr:rowOff>38100</xdr:rowOff>
    </xdr:from>
    <xdr:ext cx="457200" cy="514350"/>
    <xdr:pic>
      <xdr:nvPicPr>
        <xdr:cNvPr id="0" name="image926.jpg"/>
        <xdr:cNvPicPr preferRelativeResize="0"/>
      </xdr:nvPicPr>
      <xdr:blipFill>
        <a:blip cstate="print" r:embed="rId920"/>
        <a:stretch>
          <a:fillRect/>
        </a:stretch>
      </xdr:blipFill>
      <xdr:spPr>
        <a:prstGeom prst="rect">
          <a:avLst/>
        </a:prstGeom>
        <a:noFill/>
      </xdr:spPr>
    </xdr:pic>
    <xdr:clientData fLocksWithSheet="0"/>
  </xdr:oneCellAnchor>
  <xdr:oneCellAnchor>
    <xdr:from>
      <xdr:col>6</xdr:col>
      <xdr:colOff>38100</xdr:colOff>
      <xdr:row>1796</xdr:row>
      <xdr:rowOff>38100</xdr:rowOff>
    </xdr:from>
    <xdr:ext cx="457200" cy="514350"/>
    <xdr:pic>
      <xdr:nvPicPr>
        <xdr:cNvPr id="0" name="image926.jpg"/>
        <xdr:cNvPicPr preferRelativeResize="0"/>
      </xdr:nvPicPr>
      <xdr:blipFill>
        <a:blip cstate="print" r:embed="rId920"/>
        <a:stretch>
          <a:fillRect/>
        </a:stretch>
      </xdr:blipFill>
      <xdr:spPr>
        <a:prstGeom prst="rect">
          <a:avLst/>
        </a:prstGeom>
        <a:noFill/>
      </xdr:spPr>
    </xdr:pic>
    <xdr:clientData fLocksWithSheet="0"/>
  </xdr:oneCellAnchor>
  <xdr:oneCellAnchor>
    <xdr:from>
      <xdr:col>6</xdr:col>
      <xdr:colOff>38100</xdr:colOff>
      <xdr:row>1797</xdr:row>
      <xdr:rowOff>38100</xdr:rowOff>
    </xdr:from>
    <xdr:ext cx="457200" cy="514350"/>
    <xdr:pic>
      <xdr:nvPicPr>
        <xdr:cNvPr id="0" name="image926.jpg"/>
        <xdr:cNvPicPr preferRelativeResize="0"/>
      </xdr:nvPicPr>
      <xdr:blipFill>
        <a:blip cstate="print" r:embed="rId920"/>
        <a:stretch>
          <a:fillRect/>
        </a:stretch>
      </xdr:blipFill>
      <xdr:spPr>
        <a:prstGeom prst="rect">
          <a:avLst/>
        </a:prstGeom>
        <a:noFill/>
      </xdr:spPr>
    </xdr:pic>
    <xdr:clientData fLocksWithSheet="0"/>
  </xdr:oneCellAnchor>
  <xdr:oneCellAnchor>
    <xdr:from>
      <xdr:col>6</xdr:col>
      <xdr:colOff>38100</xdr:colOff>
      <xdr:row>1798</xdr:row>
      <xdr:rowOff>38100</xdr:rowOff>
    </xdr:from>
    <xdr:ext cx="533400" cy="438150"/>
    <xdr:pic>
      <xdr:nvPicPr>
        <xdr:cNvPr id="0" name="image904.jpg"/>
        <xdr:cNvPicPr preferRelativeResize="0"/>
      </xdr:nvPicPr>
      <xdr:blipFill>
        <a:blip cstate="print" r:embed="rId921"/>
        <a:stretch>
          <a:fillRect/>
        </a:stretch>
      </xdr:blipFill>
      <xdr:spPr>
        <a:prstGeom prst="rect">
          <a:avLst/>
        </a:prstGeom>
        <a:noFill/>
      </xdr:spPr>
    </xdr:pic>
    <xdr:clientData fLocksWithSheet="0"/>
  </xdr:oneCellAnchor>
  <xdr:oneCellAnchor>
    <xdr:from>
      <xdr:col>6</xdr:col>
      <xdr:colOff>38100</xdr:colOff>
      <xdr:row>1799</xdr:row>
      <xdr:rowOff>38100</xdr:rowOff>
    </xdr:from>
    <xdr:ext cx="542925" cy="457200"/>
    <xdr:pic>
      <xdr:nvPicPr>
        <xdr:cNvPr id="0" name="image946.jp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38100</xdr:colOff>
      <xdr:row>1800</xdr:row>
      <xdr:rowOff>38100</xdr:rowOff>
    </xdr:from>
    <xdr:ext cx="542925" cy="457200"/>
    <xdr:pic>
      <xdr:nvPicPr>
        <xdr:cNvPr id="0" name="image946.jp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38100</xdr:colOff>
      <xdr:row>1801</xdr:row>
      <xdr:rowOff>38100</xdr:rowOff>
    </xdr:from>
    <xdr:ext cx="542925" cy="457200"/>
    <xdr:pic>
      <xdr:nvPicPr>
        <xdr:cNvPr id="0" name="image946.jp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38100</xdr:colOff>
      <xdr:row>1802</xdr:row>
      <xdr:rowOff>38100</xdr:rowOff>
    </xdr:from>
    <xdr:ext cx="542925" cy="457200"/>
    <xdr:pic>
      <xdr:nvPicPr>
        <xdr:cNvPr id="0" name="image946.jp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38100</xdr:colOff>
      <xdr:row>1803</xdr:row>
      <xdr:rowOff>38100</xdr:rowOff>
    </xdr:from>
    <xdr:ext cx="542925" cy="457200"/>
    <xdr:pic>
      <xdr:nvPicPr>
        <xdr:cNvPr id="0" name="image946.jp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38100</xdr:colOff>
      <xdr:row>1804</xdr:row>
      <xdr:rowOff>38100</xdr:rowOff>
    </xdr:from>
    <xdr:ext cx="542925" cy="457200"/>
    <xdr:pic>
      <xdr:nvPicPr>
        <xdr:cNvPr id="0" name="image946.jp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38100</xdr:colOff>
      <xdr:row>1805</xdr:row>
      <xdr:rowOff>38100</xdr:rowOff>
    </xdr:from>
    <xdr:ext cx="542925" cy="457200"/>
    <xdr:pic>
      <xdr:nvPicPr>
        <xdr:cNvPr id="0" name="image946.jp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38100</xdr:colOff>
      <xdr:row>1806</xdr:row>
      <xdr:rowOff>38100</xdr:rowOff>
    </xdr:from>
    <xdr:ext cx="542925" cy="457200"/>
    <xdr:pic>
      <xdr:nvPicPr>
        <xdr:cNvPr id="0" name="image946.jp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38100</xdr:colOff>
      <xdr:row>1807</xdr:row>
      <xdr:rowOff>38100</xdr:rowOff>
    </xdr:from>
    <xdr:ext cx="542925" cy="457200"/>
    <xdr:pic>
      <xdr:nvPicPr>
        <xdr:cNvPr id="0" name="image946.jp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38100</xdr:colOff>
      <xdr:row>1808</xdr:row>
      <xdr:rowOff>38100</xdr:rowOff>
    </xdr:from>
    <xdr:ext cx="542925" cy="457200"/>
    <xdr:pic>
      <xdr:nvPicPr>
        <xdr:cNvPr id="0" name="image946.jp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38100</xdr:colOff>
      <xdr:row>1809</xdr:row>
      <xdr:rowOff>38100</xdr:rowOff>
    </xdr:from>
    <xdr:ext cx="552450" cy="514350"/>
    <xdr:pic>
      <xdr:nvPicPr>
        <xdr:cNvPr id="0" name="image912.jpg"/>
        <xdr:cNvPicPr preferRelativeResize="0"/>
      </xdr:nvPicPr>
      <xdr:blipFill>
        <a:blip cstate="print" r:embed="rId923"/>
        <a:stretch>
          <a:fillRect/>
        </a:stretch>
      </xdr:blipFill>
      <xdr:spPr>
        <a:prstGeom prst="rect">
          <a:avLst/>
        </a:prstGeom>
        <a:noFill/>
      </xdr:spPr>
    </xdr:pic>
    <xdr:clientData fLocksWithSheet="0"/>
  </xdr:oneCellAnchor>
  <xdr:oneCellAnchor>
    <xdr:from>
      <xdr:col>6</xdr:col>
      <xdr:colOff>38100</xdr:colOff>
      <xdr:row>1810</xdr:row>
      <xdr:rowOff>38100</xdr:rowOff>
    </xdr:from>
    <xdr:ext cx="419100" cy="438150"/>
    <xdr:pic>
      <xdr:nvPicPr>
        <xdr:cNvPr id="0" name="image905.jpg"/>
        <xdr:cNvPicPr preferRelativeResize="0"/>
      </xdr:nvPicPr>
      <xdr:blipFill>
        <a:blip cstate="print" r:embed="rId924"/>
        <a:stretch>
          <a:fillRect/>
        </a:stretch>
      </xdr:blipFill>
      <xdr:spPr>
        <a:prstGeom prst="rect">
          <a:avLst/>
        </a:prstGeom>
        <a:noFill/>
      </xdr:spPr>
    </xdr:pic>
    <xdr:clientData fLocksWithSheet="0"/>
  </xdr:oneCellAnchor>
  <xdr:oneCellAnchor>
    <xdr:from>
      <xdr:col>6</xdr:col>
      <xdr:colOff>38100</xdr:colOff>
      <xdr:row>1811</xdr:row>
      <xdr:rowOff>38100</xdr:rowOff>
    </xdr:from>
    <xdr:ext cx="457200" cy="514350"/>
    <xdr:pic>
      <xdr:nvPicPr>
        <xdr:cNvPr id="0" name="image937.jpg"/>
        <xdr:cNvPicPr preferRelativeResize="0"/>
      </xdr:nvPicPr>
      <xdr:blipFill>
        <a:blip cstate="print" r:embed="rId925"/>
        <a:stretch>
          <a:fillRect/>
        </a:stretch>
      </xdr:blipFill>
      <xdr:spPr>
        <a:prstGeom prst="rect">
          <a:avLst/>
        </a:prstGeom>
        <a:noFill/>
      </xdr:spPr>
    </xdr:pic>
    <xdr:clientData fLocksWithSheet="0"/>
  </xdr:oneCellAnchor>
  <xdr:oneCellAnchor>
    <xdr:from>
      <xdr:col>6</xdr:col>
      <xdr:colOff>38100</xdr:colOff>
      <xdr:row>1812</xdr:row>
      <xdr:rowOff>38100</xdr:rowOff>
    </xdr:from>
    <xdr:ext cx="514350" cy="514350"/>
    <xdr:pic>
      <xdr:nvPicPr>
        <xdr:cNvPr id="0" name="image936.jpg"/>
        <xdr:cNvPicPr preferRelativeResize="0"/>
      </xdr:nvPicPr>
      <xdr:blipFill>
        <a:blip cstate="print" r:embed="rId912"/>
        <a:stretch>
          <a:fillRect/>
        </a:stretch>
      </xdr:blipFill>
      <xdr:spPr>
        <a:prstGeom prst="rect">
          <a:avLst/>
        </a:prstGeom>
        <a:noFill/>
      </xdr:spPr>
    </xdr:pic>
    <xdr:clientData fLocksWithSheet="0"/>
  </xdr:oneCellAnchor>
  <xdr:oneCellAnchor>
    <xdr:from>
      <xdr:col>6</xdr:col>
      <xdr:colOff>38100</xdr:colOff>
      <xdr:row>1813</xdr:row>
      <xdr:rowOff>38100</xdr:rowOff>
    </xdr:from>
    <xdr:ext cx="419100" cy="428625"/>
    <xdr:pic>
      <xdr:nvPicPr>
        <xdr:cNvPr id="0" name="image933.jpg"/>
        <xdr:cNvPicPr preferRelativeResize="0"/>
      </xdr:nvPicPr>
      <xdr:blipFill>
        <a:blip cstate="print" r:embed="rId926"/>
        <a:stretch>
          <a:fillRect/>
        </a:stretch>
      </xdr:blipFill>
      <xdr:spPr>
        <a:prstGeom prst="rect">
          <a:avLst/>
        </a:prstGeom>
        <a:noFill/>
      </xdr:spPr>
    </xdr:pic>
    <xdr:clientData fLocksWithSheet="0"/>
  </xdr:oneCellAnchor>
  <xdr:oneCellAnchor>
    <xdr:from>
      <xdr:col>6</xdr:col>
      <xdr:colOff>38100</xdr:colOff>
      <xdr:row>1814</xdr:row>
      <xdr:rowOff>38100</xdr:rowOff>
    </xdr:from>
    <xdr:ext cx="600075" cy="514350"/>
    <xdr:pic>
      <xdr:nvPicPr>
        <xdr:cNvPr id="0" name="image934.jpg"/>
        <xdr:cNvPicPr preferRelativeResize="0"/>
      </xdr:nvPicPr>
      <xdr:blipFill>
        <a:blip cstate="print" r:embed="rId927"/>
        <a:stretch>
          <a:fillRect/>
        </a:stretch>
      </xdr:blipFill>
      <xdr:spPr>
        <a:prstGeom prst="rect">
          <a:avLst/>
        </a:prstGeom>
        <a:noFill/>
      </xdr:spPr>
    </xdr:pic>
    <xdr:clientData fLocksWithSheet="0"/>
  </xdr:oneCellAnchor>
  <xdr:oneCellAnchor>
    <xdr:from>
      <xdr:col>6</xdr:col>
      <xdr:colOff>38100</xdr:colOff>
      <xdr:row>1815</xdr:row>
      <xdr:rowOff>38100</xdr:rowOff>
    </xdr:from>
    <xdr:ext cx="600075" cy="514350"/>
    <xdr:pic>
      <xdr:nvPicPr>
        <xdr:cNvPr id="0" name="image934.jpg"/>
        <xdr:cNvPicPr preferRelativeResize="0"/>
      </xdr:nvPicPr>
      <xdr:blipFill>
        <a:blip cstate="print" r:embed="rId927"/>
        <a:stretch>
          <a:fillRect/>
        </a:stretch>
      </xdr:blipFill>
      <xdr:spPr>
        <a:prstGeom prst="rect">
          <a:avLst/>
        </a:prstGeom>
        <a:noFill/>
      </xdr:spPr>
    </xdr:pic>
    <xdr:clientData fLocksWithSheet="0"/>
  </xdr:oneCellAnchor>
  <xdr:oneCellAnchor>
    <xdr:from>
      <xdr:col>6</xdr:col>
      <xdr:colOff>38100</xdr:colOff>
      <xdr:row>1816</xdr:row>
      <xdr:rowOff>38100</xdr:rowOff>
    </xdr:from>
    <xdr:ext cx="466725" cy="514350"/>
    <xdr:pic>
      <xdr:nvPicPr>
        <xdr:cNvPr id="0" name="image911.jpg"/>
        <xdr:cNvPicPr preferRelativeResize="0"/>
      </xdr:nvPicPr>
      <xdr:blipFill>
        <a:blip cstate="print" r:embed="rId928"/>
        <a:stretch>
          <a:fillRect/>
        </a:stretch>
      </xdr:blipFill>
      <xdr:spPr>
        <a:prstGeom prst="rect">
          <a:avLst/>
        </a:prstGeom>
        <a:noFill/>
      </xdr:spPr>
    </xdr:pic>
    <xdr:clientData fLocksWithSheet="0"/>
  </xdr:oneCellAnchor>
  <xdr:oneCellAnchor>
    <xdr:from>
      <xdr:col>6</xdr:col>
      <xdr:colOff>38100</xdr:colOff>
      <xdr:row>1817</xdr:row>
      <xdr:rowOff>38100</xdr:rowOff>
    </xdr:from>
    <xdr:ext cx="647700" cy="504825"/>
    <xdr:pic>
      <xdr:nvPicPr>
        <xdr:cNvPr id="0" name="image929.jpg"/>
        <xdr:cNvPicPr preferRelativeResize="0"/>
      </xdr:nvPicPr>
      <xdr:blipFill>
        <a:blip cstate="print" r:embed="rId929"/>
        <a:stretch>
          <a:fillRect/>
        </a:stretch>
      </xdr:blipFill>
      <xdr:spPr>
        <a:prstGeom prst="rect">
          <a:avLst/>
        </a:prstGeom>
        <a:noFill/>
      </xdr:spPr>
    </xdr:pic>
    <xdr:clientData fLocksWithSheet="0"/>
  </xdr:oneCellAnchor>
  <xdr:oneCellAnchor>
    <xdr:from>
      <xdr:col>6</xdr:col>
      <xdr:colOff>38100</xdr:colOff>
      <xdr:row>1818</xdr:row>
      <xdr:rowOff>38100</xdr:rowOff>
    </xdr:from>
    <xdr:ext cx="647700" cy="361950"/>
    <xdr:pic>
      <xdr:nvPicPr>
        <xdr:cNvPr id="0" name="image913.jpg"/>
        <xdr:cNvPicPr preferRelativeResize="0"/>
      </xdr:nvPicPr>
      <xdr:blipFill>
        <a:blip cstate="print" r:embed="rId930"/>
        <a:stretch>
          <a:fillRect/>
        </a:stretch>
      </xdr:blipFill>
      <xdr:spPr>
        <a:prstGeom prst="rect">
          <a:avLst/>
        </a:prstGeom>
        <a:noFill/>
      </xdr:spPr>
    </xdr:pic>
    <xdr:clientData fLocksWithSheet="0"/>
  </xdr:oneCellAnchor>
  <xdr:oneCellAnchor>
    <xdr:from>
      <xdr:col>6</xdr:col>
      <xdr:colOff>38100</xdr:colOff>
      <xdr:row>1819</xdr:row>
      <xdr:rowOff>38100</xdr:rowOff>
    </xdr:from>
    <xdr:ext cx="647700" cy="361950"/>
    <xdr:pic>
      <xdr:nvPicPr>
        <xdr:cNvPr id="0" name="image913.jpg"/>
        <xdr:cNvPicPr preferRelativeResize="0"/>
      </xdr:nvPicPr>
      <xdr:blipFill>
        <a:blip cstate="print" r:embed="rId930"/>
        <a:stretch>
          <a:fillRect/>
        </a:stretch>
      </xdr:blipFill>
      <xdr:spPr>
        <a:prstGeom prst="rect">
          <a:avLst/>
        </a:prstGeom>
        <a:noFill/>
      </xdr:spPr>
    </xdr:pic>
    <xdr:clientData fLocksWithSheet="0"/>
  </xdr:oneCellAnchor>
  <xdr:oneCellAnchor>
    <xdr:from>
      <xdr:col>6</xdr:col>
      <xdr:colOff>38100</xdr:colOff>
      <xdr:row>1820</xdr:row>
      <xdr:rowOff>38100</xdr:rowOff>
    </xdr:from>
    <xdr:ext cx="647700" cy="371475"/>
    <xdr:pic>
      <xdr:nvPicPr>
        <xdr:cNvPr id="0" name="image921.jpg"/>
        <xdr:cNvPicPr preferRelativeResize="0"/>
      </xdr:nvPicPr>
      <xdr:blipFill>
        <a:blip cstate="print" r:embed="rId931"/>
        <a:stretch>
          <a:fillRect/>
        </a:stretch>
      </xdr:blipFill>
      <xdr:spPr>
        <a:prstGeom prst="rect">
          <a:avLst/>
        </a:prstGeom>
        <a:noFill/>
      </xdr:spPr>
    </xdr:pic>
    <xdr:clientData fLocksWithSheet="0"/>
  </xdr:oneCellAnchor>
  <xdr:oneCellAnchor>
    <xdr:from>
      <xdr:col>6</xdr:col>
      <xdr:colOff>38100</xdr:colOff>
      <xdr:row>1821</xdr:row>
      <xdr:rowOff>38100</xdr:rowOff>
    </xdr:from>
    <xdr:ext cx="647700" cy="361950"/>
    <xdr:pic>
      <xdr:nvPicPr>
        <xdr:cNvPr id="0" name="image914.jpg"/>
        <xdr:cNvPicPr preferRelativeResize="0"/>
      </xdr:nvPicPr>
      <xdr:blipFill>
        <a:blip cstate="print" r:embed="rId932"/>
        <a:stretch>
          <a:fillRect/>
        </a:stretch>
      </xdr:blipFill>
      <xdr:spPr>
        <a:prstGeom prst="rect">
          <a:avLst/>
        </a:prstGeom>
        <a:noFill/>
      </xdr:spPr>
    </xdr:pic>
    <xdr:clientData fLocksWithSheet="0"/>
  </xdr:oneCellAnchor>
  <xdr:oneCellAnchor>
    <xdr:from>
      <xdr:col>6</xdr:col>
      <xdr:colOff>38100</xdr:colOff>
      <xdr:row>1822</xdr:row>
      <xdr:rowOff>38100</xdr:rowOff>
    </xdr:from>
    <xdr:ext cx="647700" cy="361950"/>
    <xdr:pic>
      <xdr:nvPicPr>
        <xdr:cNvPr id="0" name="image914.jpg"/>
        <xdr:cNvPicPr preferRelativeResize="0"/>
      </xdr:nvPicPr>
      <xdr:blipFill>
        <a:blip cstate="print" r:embed="rId932"/>
        <a:stretch>
          <a:fillRect/>
        </a:stretch>
      </xdr:blipFill>
      <xdr:spPr>
        <a:prstGeom prst="rect">
          <a:avLst/>
        </a:prstGeom>
        <a:noFill/>
      </xdr:spPr>
    </xdr:pic>
    <xdr:clientData fLocksWithSheet="0"/>
  </xdr:oneCellAnchor>
  <xdr:oneCellAnchor>
    <xdr:from>
      <xdr:col>6</xdr:col>
      <xdr:colOff>38100</xdr:colOff>
      <xdr:row>1823</xdr:row>
      <xdr:rowOff>38100</xdr:rowOff>
    </xdr:from>
    <xdr:ext cx="647700" cy="361950"/>
    <xdr:pic>
      <xdr:nvPicPr>
        <xdr:cNvPr id="0" name="image914.jpg"/>
        <xdr:cNvPicPr preferRelativeResize="0"/>
      </xdr:nvPicPr>
      <xdr:blipFill>
        <a:blip cstate="print" r:embed="rId932"/>
        <a:stretch>
          <a:fillRect/>
        </a:stretch>
      </xdr:blipFill>
      <xdr:spPr>
        <a:prstGeom prst="rect">
          <a:avLst/>
        </a:prstGeom>
        <a:noFill/>
      </xdr:spPr>
    </xdr:pic>
    <xdr:clientData fLocksWithSheet="0"/>
  </xdr:oneCellAnchor>
  <xdr:oneCellAnchor>
    <xdr:from>
      <xdr:col>6</xdr:col>
      <xdr:colOff>38100</xdr:colOff>
      <xdr:row>1824</xdr:row>
      <xdr:rowOff>38100</xdr:rowOff>
    </xdr:from>
    <xdr:ext cx="647700" cy="361950"/>
    <xdr:pic>
      <xdr:nvPicPr>
        <xdr:cNvPr id="0" name="image914.jpg"/>
        <xdr:cNvPicPr preferRelativeResize="0"/>
      </xdr:nvPicPr>
      <xdr:blipFill>
        <a:blip cstate="print" r:embed="rId932"/>
        <a:stretch>
          <a:fillRect/>
        </a:stretch>
      </xdr:blipFill>
      <xdr:spPr>
        <a:prstGeom prst="rect">
          <a:avLst/>
        </a:prstGeom>
        <a:noFill/>
      </xdr:spPr>
    </xdr:pic>
    <xdr:clientData fLocksWithSheet="0"/>
  </xdr:oneCellAnchor>
  <xdr:oneCellAnchor>
    <xdr:from>
      <xdr:col>6</xdr:col>
      <xdr:colOff>38100</xdr:colOff>
      <xdr:row>1825</xdr:row>
      <xdr:rowOff>38100</xdr:rowOff>
    </xdr:from>
    <xdr:ext cx="647700" cy="361950"/>
    <xdr:pic>
      <xdr:nvPicPr>
        <xdr:cNvPr id="0" name="image914.jpg"/>
        <xdr:cNvPicPr preferRelativeResize="0"/>
      </xdr:nvPicPr>
      <xdr:blipFill>
        <a:blip cstate="print" r:embed="rId932"/>
        <a:stretch>
          <a:fillRect/>
        </a:stretch>
      </xdr:blipFill>
      <xdr:spPr>
        <a:prstGeom prst="rect">
          <a:avLst/>
        </a:prstGeom>
        <a:noFill/>
      </xdr:spPr>
    </xdr:pic>
    <xdr:clientData fLocksWithSheet="0"/>
  </xdr:oneCellAnchor>
  <xdr:oneCellAnchor>
    <xdr:from>
      <xdr:col>6</xdr:col>
      <xdr:colOff>38100</xdr:colOff>
      <xdr:row>1826</xdr:row>
      <xdr:rowOff>38100</xdr:rowOff>
    </xdr:from>
    <xdr:ext cx="457200" cy="466725"/>
    <xdr:pic>
      <xdr:nvPicPr>
        <xdr:cNvPr id="0" name="image932.jpg"/>
        <xdr:cNvPicPr preferRelativeResize="0"/>
      </xdr:nvPicPr>
      <xdr:blipFill>
        <a:blip cstate="print" r:embed="rId933"/>
        <a:stretch>
          <a:fillRect/>
        </a:stretch>
      </xdr:blipFill>
      <xdr:spPr>
        <a:prstGeom prst="rect">
          <a:avLst/>
        </a:prstGeom>
        <a:noFill/>
      </xdr:spPr>
    </xdr:pic>
    <xdr:clientData fLocksWithSheet="0"/>
  </xdr:oneCellAnchor>
  <xdr:oneCellAnchor>
    <xdr:from>
      <xdr:col>6</xdr:col>
      <xdr:colOff>38100</xdr:colOff>
      <xdr:row>1827</xdr:row>
      <xdr:rowOff>38100</xdr:rowOff>
    </xdr:from>
    <xdr:ext cx="457200" cy="466725"/>
    <xdr:pic>
      <xdr:nvPicPr>
        <xdr:cNvPr id="0" name="image932.jpg"/>
        <xdr:cNvPicPr preferRelativeResize="0"/>
      </xdr:nvPicPr>
      <xdr:blipFill>
        <a:blip cstate="print" r:embed="rId933"/>
        <a:stretch>
          <a:fillRect/>
        </a:stretch>
      </xdr:blipFill>
      <xdr:spPr>
        <a:prstGeom prst="rect">
          <a:avLst/>
        </a:prstGeom>
        <a:noFill/>
      </xdr:spPr>
    </xdr:pic>
    <xdr:clientData fLocksWithSheet="0"/>
  </xdr:oneCellAnchor>
  <xdr:oneCellAnchor>
    <xdr:from>
      <xdr:col>6</xdr:col>
      <xdr:colOff>38100</xdr:colOff>
      <xdr:row>1828</xdr:row>
      <xdr:rowOff>38100</xdr:rowOff>
    </xdr:from>
    <xdr:ext cx="485775" cy="447675"/>
    <xdr:pic>
      <xdr:nvPicPr>
        <xdr:cNvPr id="0" name="image917.jpg"/>
        <xdr:cNvPicPr preferRelativeResize="0"/>
      </xdr:nvPicPr>
      <xdr:blipFill>
        <a:blip cstate="print" r:embed="rId934"/>
        <a:stretch>
          <a:fillRect/>
        </a:stretch>
      </xdr:blipFill>
      <xdr:spPr>
        <a:prstGeom prst="rect">
          <a:avLst/>
        </a:prstGeom>
        <a:noFill/>
      </xdr:spPr>
    </xdr:pic>
    <xdr:clientData fLocksWithSheet="0"/>
  </xdr:oneCellAnchor>
  <xdr:oneCellAnchor>
    <xdr:from>
      <xdr:col>6</xdr:col>
      <xdr:colOff>38100</xdr:colOff>
      <xdr:row>1829</xdr:row>
      <xdr:rowOff>38100</xdr:rowOff>
    </xdr:from>
    <xdr:ext cx="533400" cy="514350"/>
    <xdr:pic>
      <xdr:nvPicPr>
        <xdr:cNvPr id="0" name="image916.jpg"/>
        <xdr:cNvPicPr preferRelativeResize="0"/>
      </xdr:nvPicPr>
      <xdr:blipFill>
        <a:blip cstate="print" r:embed="rId935"/>
        <a:stretch>
          <a:fillRect/>
        </a:stretch>
      </xdr:blipFill>
      <xdr:spPr>
        <a:prstGeom prst="rect">
          <a:avLst/>
        </a:prstGeom>
        <a:noFill/>
      </xdr:spPr>
    </xdr:pic>
    <xdr:clientData fLocksWithSheet="0"/>
  </xdr:oneCellAnchor>
  <xdr:oneCellAnchor>
    <xdr:from>
      <xdr:col>6</xdr:col>
      <xdr:colOff>38100</xdr:colOff>
      <xdr:row>1830</xdr:row>
      <xdr:rowOff>38100</xdr:rowOff>
    </xdr:from>
    <xdr:ext cx="561975" cy="514350"/>
    <xdr:pic>
      <xdr:nvPicPr>
        <xdr:cNvPr id="0" name="image928.jpg"/>
        <xdr:cNvPicPr preferRelativeResize="0"/>
      </xdr:nvPicPr>
      <xdr:blipFill>
        <a:blip cstate="print" r:embed="rId936"/>
        <a:stretch>
          <a:fillRect/>
        </a:stretch>
      </xdr:blipFill>
      <xdr:spPr>
        <a:prstGeom prst="rect">
          <a:avLst/>
        </a:prstGeom>
        <a:noFill/>
      </xdr:spPr>
    </xdr:pic>
    <xdr:clientData fLocksWithSheet="0"/>
  </xdr:oneCellAnchor>
  <xdr:oneCellAnchor>
    <xdr:from>
      <xdr:col>6</xdr:col>
      <xdr:colOff>38100</xdr:colOff>
      <xdr:row>1831</xdr:row>
      <xdr:rowOff>38100</xdr:rowOff>
    </xdr:from>
    <xdr:ext cx="466725" cy="476250"/>
    <xdr:pic>
      <xdr:nvPicPr>
        <xdr:cNvPr id="0" name="image924.jpg"/>
        <xdr:cNvPicPr preferRelativeResize="0"/>
      </xdr:nvPicPr>
      <xdr:blipFill>
        <a:blip cstate="print" r:embed="rId937"/>
        <a:stretch>
          <a:fillRect/>
        </a:stretch>
      </xdr:blipFill>
      <xdr:spPr>
        <a:prstGeom prst="rect">
          <a:avLst/>
        </a:prstGeom>
        <a:noFill/>
      </xdr:spPr>
    </xdr:pic>
    <xdr:clientData fLocksWithSheet="0"/>
  </xdr:oneCellAnchor>
  <xdr:oneCellAnchor>
    <xdr:from>
      <xdr:col>6</xdr:col>
      <xdr:colOff>38100</xdr:colOff>
      <xdr:row>1832</xdr:row>
      <xdr:rowOff>38100</xdr:rowOff>
    </xdr:from>
    <xdr:ext cx="647700" cy="514350"/>
    <xdr:pic>
      <xdr:nvPicPr>
        <xdr:cNvPr id="0" name="image920.jpg"/>
        <xdr:cNvPicPr preferRelativeResize="0"/>
      </xdr:nvPicPr>
      <xdr:blipFill>
        <a:blip cstate="print" r:embed="rId938"/>
        <a:stretch>
          <a:fillRect/>
        </a:stretch>
      </xdr:blipFill>
      <xdr:spPr>
        <a:prstGeom prst="rect">
          <a:avLst/>
        </a:prstGeom>
        <a:noFill/>
      </xdr:spPr>
    </xdr:pic>
    <xdr:clientData fLocksWithSheet="0"/>
  </xdr:oneCellAnchor>
  <xdr:oneCellAnchor>
    <xdr:from>
      <xdr:col>6</xdr:col>
      <xdr:colOff>38100</xdr:colOff>
      <xdr:row>1833</xdr:row>
      <xdr:rowOff>38100</xdr:rowOff>
    </xdr:from>
    <xdr:ext cx="485775" cy="476250"/>
    <xdr:pic>
      <xdr:nvPicPr>
        <xdr:cNvPr id="0" name="image919.jpg"/>
        <xdr:cNvPicPr preferRelativeResize="0"/>
      </xdr:nvPicPr>
      <xdr:blipFill>
        <a:blip cstate="print" r:embed="rId939"/>
        <a:stretch>
          <a:fillRect/>
        </a:stretch>
      </xdr:blipFill>
      <xdr:spPr>
        <a:prstGeom prst="rect">
          <a:avLst/>
        </a:prstGeom>
        <a:noFill/>
      </xdr:spPr>
    </xdr:pic>
    <xdr:clientData fLocksWithSheet="0"/>
  </xdr:oneCellAnchor>
  <xdr:oneCellAnchor>
    <xdr:from>
      <xdr:col>6</xdr:col>
      <xdr:colOff>38100</xdr:colOff>
      <xdr:row>1834</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1835</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1836</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1837</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1838</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1839</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1840</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1841</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1842</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1843</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1844</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1845</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1846</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1847</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1848</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1849</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1850</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1851</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1852</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1853</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1854</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1855</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1856</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1857</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1858</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1859</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1860</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1861</xdr:row>
      <xdr:rowOff>38100</xdr:rowOff>
    </xdr:from>
    <xdr:ext cx="419100" cy="400050"/>
    <xdr:pic>
      <xdr:nvPicPr>
        <xdr:cNvPr id="0" name="image945.jp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38100</xdr:colOff>
      <xdr:row>1862</xdr:row>
      <xdr:rowOff>38100</xdr:rowOff>
    </xdr:from>
    <xdr:ext cx="542925" cy="514350"/>
    <xdr:pic>
      <xdr:nvPicPr>
        <xdr:cNvPr id="0" name="image923.jp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38100</xdr:colOff>
      <xdr:row>1863</xdr:row>
      <xdr:rowOff>38100</xdr:rowOff>
    </xdr:from>
    <xdr:ext cx="476250" cy="514350"/>
    <xdr:pic>
      <xdr:nvPicPr>
        <xdr:cNvPr id="0" name="image939.jpg"/>
        <xdr:cNvPicPr preferRelativeResize="0"/>
      </xdr:nvPicPr>
      <xdr:blipFill>
        <a:blip cstate="print" r:embed="rId942"/>
        <a:stretch>
          <a:fillRect/>
        </a:stretch>
      </xdr:blipFill>
      <xdr:spPr>
        <a:prstGeom prst="rect">
          <a:avLst/>
        </a:prstGeom>
        <a:noFill/>
      </xdr:spPr>
    </xdr:pic>
    <xdr:clientData fLocksWithSheet="0"/>
  </xdr:oneCellAnchor>
  <xdr:oneCellAnchor>
    <xdr:from>
      <xdr:col>6</xdr:col>
      <xdr:colOff>38100</xdr:colOff>
      <xdr:row>1864</xdr:row>
      <xdr:rowOff>38100</xdr:rowOff>
    </xdr:from>
    <xdr:ext cx="476250" cy="514350"/>
    <xdr:pic>
      <xdr:nvPicPr>
        <xdr:cNvPr id="0" name="image939.jpg"/>
        <xdr:cNvPicPr preferRelativeResize="0"/>
      </xdr:nvPicPr>
      <xdr:blipFill>
        <a:blip cstate="print" r:embed="rId942"/>
        <a:stretch>
          <a:fillRect/>
        </a:stretch>
      </xdr:blipFill>
      <xdr:spPr>
        <a:prstGeom prst="rect">
          <a:avLst/>
        </a:prstGeom>
        <a:noFill/>
      </xdr:spPr>
    </xdr:pic>
    <xdr:clientData fLocksWithSheet="0"/>
  </xdr:oneCellAnchor>
  <xdr:oneCellAnchor>
    <xdr:from>
      <xdr:col>6</xdr:col>
      <xdr:colOff>38100</xdr:colOff>
      <xdr:row>1865</xdr:row>
      <xdr:rowOff>38100</xdr:rowOff>
    </xdr:from>
    <xdr:ext cx="476250" cy="514350"/>
    <xdr:pic>
      <xdr:nvPicPr>
        <xdr:cNvPr id="0" name="image939.jpg"/>
        <xdr:cNvPicPr preferRelativeResize="0"/>
      </xdr:nvPicPr>
      <xdr:blipFill>
        <a:blip cstate="print" r:embed="rId942"/>
        <a:stretch>
          <a:fillRect/>
        </a:stretch>
      </xdr:blipFill>
      <xdr:spPr>
        <a:prstGeom prst="rect">
          <a:avLst/>
        </a:prstGeom>
        <a:noFill/>
      </xdr:spPr>
    </xdr:pic>
    <xdr:clientData fLocksWithSheet="0"/>
  </xdr:oneCellAnchor>
  <xdr:oneCellAnchor>
    <xdr:from>
      <xdr:col>6</xdr:col>
      <xdr:colOff>38100</xdr:colOff>
      <xdr:row>1866</xdr:row>
      <xdr:rowOff>38100</xdr:rowOff>
    </xdr:from>
    <xdr:ext cx="476250" cy="514350"/>
    <xdr:pic>
      <xdr:nvPicPr>
        <xdr:cNvPr id="0" name="image939.jpg"/>
        <xdr:cNvPicPr preferRelativeResize="0"/>
      </xdr:nvPicPr>
      <xdr:blipFill>
        <a:blip cstate="print" r:embed="rId942"/>
        <a:stretch>
          <a:fillRect/>
        </a:stretch>
      </xdr:blipFill>
      <xdr:spPr>
        <a:prstGeom prst="rect">
          <a:avLst/>
        </a:prstGeom>
        <a:noFill/>
      </xdr:spPr>
    </xdr:pic>
    <xdr:clientData fLocksWithSheet="0"/>
  </xdr:oneCellAnchor>
  <xdr:oneCellAnchor>
    <xdr:from>
      <xdr:col>6</xdr:col>
      <xdr:colOff>38100</xdr:colOff>
      <xdr:row>1867</xdr:row>
      <xdr:rowOff>38100</xdr:rowOff>
    </xdr:from>
    <xdr:ext cx="495300" cy="361950"/>
    <xdr:pic>
      <xdr:nvPicPr>
        <xdr:cNvPr id="0" name="image935.jpg"/>
        <xdr:cNvPicPr preferRelativeResize="0"/>
      </xdr:nvPicPr>
      <xdr:blipFill>
        <a:blip cstate="print" r:embed="rId943"/>
        <a:stretch>
          <a:fillRect/>
        </a:stretch>
      </xdr:blipFill>
      <xdr:spPr>
        <a:prstGeom prst="rect">
          <a:avLst/>
        </a:prstGeom>
        <a:noFill/>
      </xdr:spPr>
    </xdr:pic>
    <xdr:clientData fLocksWithSheet="0"/>
  </xdr:oneCellAnchor>
  <xdr:oneCellAnchor>
    <xdr:from>
      <xdr:col>6</xdr:col>
      <xdr:colOff>38100</xdr:colOff>
      <xdr:row>1868</xdr:row>
      <xdr:rowOff>38100</xdr:rowOff>
    </xdr:from>
    <xdr:ext cx="619125" cy="514350"/>
    <xdr:pic>
      <xdr:nvPicPr>
        <xdr:cNvPr id="0" name="image980.jpg"/>
        <xdr:cNvPicPr preferRelativeResize="0"/>
      </xdr:nvPicPr>
      <xdr:blipFill>
        <a:blip cstate="print" r:embed="rId944"/>
        <a:stretch>
          <a:fillRect/>
        </a:stretch>
      </xdr:blipFill>
      <xdr:spPr>
        <a:prstGeom prst="rect">
          <a:avLst/>
        </a:prstGeom>
        <a:noFill/>
      </xdr:spPr>
    </xdr:pic>
    <xdr:clientData fLocksWithSheet="0"/>
  </xdr:oneCellAnchor>
  <xdr:oneCellAnchor>
    <xdr:from>
      <xdr:col>6</xdr:col>
      <xdr:colOff>38100</xdr:colOff>
      <xdr:row>1869</xdr:row>
      <xdr:rowOff>38100</xdr:rowOff>
    </xdr:from>
    <xdr:ext cx="647700" cy="361950"/>
    <xdr:pic>
      <xdr:nvPicPr>
        <xdr:cNvPr id="0" name="image983.jpg"/>
        <xdr:cNvPicPr preferRelativeResize="0"/>
      </xdr:nvPicPr>
      <xdr:blipFill>
        <a:blip cstate="print" r:embed="rId945"/>
        <a:stretch>
          <a:fillRect/>
        </a:stretch>
      </xdr:blipFill>
      <xdr:spPr>
        <a:prstGeom prst="rect">
          <a:avLst/>
        </a:prstGeom>
        <a:noFill/>
      </xdr:spPr>
    </xdr:pic>
    <xdr:clientData fLocksWithSheet="0"/>
  </xdr:oneCellAnchor>
  <xdr:oneCellAnchor>
    <xdr:from>
      <xdr:col>6</xdr:col>
      <xdr:colOff>38100</xdr:colOff>
      <xdr:row>1870</xdr:row>
      <xdr:rowOff>38100</xdr:rowOff>
    </xdr:from>
    <xdr:ext cx="619125" cy="514350"/>
    <xdr:pic>
      <xdr:nvPicPr>
        <xdr:cNvPr id="0" name="image980.jpg"/>
        <xdr:cNvPicPr preferRelativeResize="0"/>
      </xdr:nvPicPr>
      <xdr:blipFill>
        <a:blip cstate="print" r:embed="rId944"/>
        <a:stretch>
          <a:fillRect/>
        </a:stretch>
      </xdr:blipFill>
      <xdr:spPr>
        <a:prstGeom prst="rect">
          <a:avLst/>
        </a:prstGeom>
        <a:noFill/>
      </xdr:spPr>
    </xdr:pic>
    <xdr:clientData fLocksWithSheet="0"/>
  </xdr:oneCellAnchor>
  <xdr:oneCellAnchor>
    <xdr:from>
      <xdr:col>6</xdr:col>
      <xdr:colOff>38100</xdr:colOff>
      <xdr:row>1871</xdr:row>
      <xdr:rowOff>38100</xdr:rowOff>
    </xdr:from>
    <xdr:ext cx="552450" cy="514350"/>
    <xdr:pic>
      <xdr:nvPicPr>
        <xdr:cNvPr id="0" name="image942.jpg"/>
        <xdr:cNvPicPr preferRelativeResize="0"/>
      </xdr:nvPicPr>
      <xdr:blipFill>
        <a:blip cstate="print" r:embed="rId946"/>
        <a:stretch>
          <a:fillRect/>
        </a:stretch>
      </xdr:blipFill>
      <xdr:spPr>
        <a:prstGeom prst="rect">
          <a:avLst/>
        </a:prstGeom>
        <a:noFill/>
      </xdr:spPr>
    </xdr:pic>
    <xdr:clientData fLocksWithSheet="0"/>
  </xdr:oneCellAnchor>
  <xdr:oneCellAnchor>
    <xdr:from>
      <xdr:col>6</xdr:col>
      <xdr:colOff>38100</xdr:colOff>
      <xdr:row>1872</xdr:row>
      <xdr:rowOff>38100</xdr:rowOff>
    </xdr:from>
    <xdr:ext cx="514350" cy="447675"/>
    <xdr:pic>
      <xdr:nvPicPr>
        <xdr:cNvPr id="0" name="image992.jpg"/>
        <xdr:cNvPicPr preferRelativeResize="0"/>
      </xdr:nvPicPr>
      <xdr:blipFill>
        <a:blip cstate="print" r:embed="rId947"/>
        <a:stretch>
          <a:fillRect/>
        </a:stretch>
      </xdr:blipFill>
      <xdr:spPr>
        <a:prstGeom prst="rect">
          <a:avLst/>
        </a:prstGeom>
        <a:noFill/>
      </xdr:spPr>
    </xdr:pic>
    <xdr:clientData fLocksWithSheet="0"/>
  </xdr:oneCellAnchor>
  <xdr:oneCellAnchor>
    <xdr:from>
      <xdr:col>6</xdr:col>
      <xdr:colOff>38100</xdr:colOff>
      <xdr:row>1873</xdr:row>
      <xdr:rowOff>38100</xdr:rowOff>
    </xdr:from>
    <xdr:ext cx="647700" cy="504825"/>
    <xdr:pic>
      <xdr:nvPicPr>
        <xdr:cNvPr id="0" name="image993.jpg"/>
        <xdr:cNvPicPr preferRelativeResize="0"/>
      </xdr:nvPicPr>
      <xdr:blipFill>
        <a:blip cstate="print" r:embed="rId948"/>
        <a:stretch>
          <a:fillRect/>
        </a:stretch>
      </xdr:blipFill>
      <xdr:spPr>
        <a:prstGeom prst="rect">
          <a:avLst/>
        </a:prstGeom>
        <a:noFill/>
      </xdr:spPr>
    </xdr:pic>
    <xdr:clientData fLocksWithSheet="0"/>
  </xdr:oneCellAnchor>
  <xdr:oneCellAnchor>
    <xdr:from>
      <xdr:col>6</xdr:col>
      <xdr:colOff>38100</xdr:colOff>
      <xdr:row>1874</xdr:row>
      <xdr:rowOff>38100</xdr:rowOff>
    </xdr:from>
    <xdr:ext cx="647700" cy="361950"/>
    <xdr:pic>
      <xdr:nvPicPr>
        <xdr:cNvPr id="0" name="image970.jpg"/>
        <xdr:cNvPicPr preferRelativeResize="0"/>
      </xdr:nvPicPr>
      <xdr:blipFill>
        <a:blip cstate="print" r:embed="rId949"/>
        <a:stretch>
          <a:fillRect/>
        </a:stretch>
      </xdr:blipFill>
      <xdr:spPr>
        <a:prstGeom prst="rect">
          <a:avLst/>
        </a:prstGeom>
        <a:noFill/>
      </xdr:spPr>
    </xdr:pic>
    <xdr:clientData fLocksWithSheet="0"/>
  </xdr:oneCellAnchor>
  <xdr:oneCellAnchor>
    <xdr:from>
      <xdr:col>6</xdr:col>
      <xdr:colOff>38100</xdr:colOff>
      <xdr:row>1875</xdr:row>
      <xdr:rowOff>38100</xdr:rowOff>
    </xdr:from>
    <xdr:ext cx="647700" cy="361950"/>
    <xdr:pic>
      <xdr:nvPicPr>
        <xdr:cNvPr id="0" name="image983.jpg"/>
        <xdr:cNvPicPr preferRelativeResize="0"/>
      </xdr:nvPicPr>
      <xdr:blipFill>
        <a:blip cstate="print" r:embed="rId945"/>
        <a:stretch>
          <a:fillRect/>
        </a:stretch>
      </xdr:blipFill>
      <xdr:spPr>
        <a:prstGeom prst="rect">
          <a:avLst/>
        </a:prstGeom>
        <a:noFill/>
      </xdr:spPr>
    </xdr:pic>
    <xdr:clientData fLocksWithSheet="0"/>
  </xdr:oneCellAnchor>
  <xdr:oneCellAnchor>
    <xdr:from>
      <xdr:col>6</xdr:col>
      <xdr:colOff>38100</xdr:colOff>
      <xdr:row>1876</xdr:row>
      <xdr:rowOff>38100</xdr:rowOff>
    </xdr:from>
    <xdr:ext cx="647700" cy="361950"/>
    <xdr:pic>
      <xdr:nvPicPr>
        <xdr:cNvPr id="0" name="image983.jpg"/>
        <xdr:cNvPicPr preferRelativeResize="0"/>
      </xdr:nvPicPr>
      <xdr:blipFill>
        <a:blip cstate="print" r:embed="rId945"/>
        <a:stretch>
          <a:fillRect/>
        </a:stretch>
      </xdr:blipFill>
      <xdr:spPr>
        <a:prstGeom prst="rect">
          <a:avLst/>
        </a:prstGeom>
        <a:noFill/>
      </xdr:spPr>
    </xdr:pic>
    <xdr:clientData fLocksWithSheet="0"/>
  </xdr:oneCellAnchor>
  <xdr:oneCellAnchor>
    <xdr:from>
      <xdr:col>6</xdr:col>
      <xdr:colOff>38100</xdr:colOff>
      <xdr:row>1877</xdr:row>
      <xdr:rowOff>38100</xdr:rowOff>
    </xdr:from>
    <xdr:ext cx="647700" cy="361950"/>
    <xdr:pic>
      <xdr:nvPicPr>
        <xdr:cNvPr id="0" name="image997.jpg"/>
        <xdr:cNvPicPr preferRelativeResize="0"/>
      </xdr:nvPicPr>
      <xdr:blipFill>
        <a:blip cstate="print" r:embed="rId950"/>
        <a:stretch>
          <a:fillRect/>
        </a:stretch>
      </xdr:blipFill>
      <xdr:spPr>
        <a:prstGeom prst="rect">
          <a:avLst/>
        </a:prstGeom>
        <a:noFill/>
      </xdr:spPr>
    </xdr:pic>
    <xdr:clientData fLocksWithSheet="0"/>
  </xdr:oneCellAnchor>
  <xdr:oneCellAnchor>
    <xdr:from>
      <xdr:col>6</xdr:col>
      <xdr:colOff>38100</xdr:colOff>
      <xdr:row>1878</xdr:row>
      <xdr:rowOff>38100</xdr:rowOff>
    </xdr:from>
    <xdr:ext cx="514350" cy="514350"/>
    <xdr:pic>
      <xdr:nvPicPr>
        <xdr:cNvPr id="0" name="image976.jpg"/>
        <xdr:cNvPicPr preferRelativeResize="0"/>
      </xdr:nvPicPr>
      <xdr:blipFill>
        <a:blip cstate="print" r:embed="rId951"/>
        <a:stretch>
          <a:fillRect/>
        </a:stretch>
      </xdr:blipFill>
      <xdr:spPr>
        <a:prstGeom prst="rect">
          <a:avLst/>
        </a:prstGeom>
        <a:noFill/>
      </xdr:spPr>
    </xdr:pic>
    <xdr:clientData fLocksWithSheet="0"/>
  </xdr:oneCellAnchor>
  <xdr:oneCellAnchor>
    <xdr:from>
      <xdr:col>6</xdr:col>
      <xdr:colOff>38100</xdr:colOff>
      <xdr:row>1879</xdr:row>
      <xdr:rowOff>38100</xdr:rowOff>
    </xdr:from>
    <xdr:ext cx="647700" cy="409575"/>
    <xdr:pic>
      <xdr:nvPicPr>
        <xdr:cNvPr id="0" name="image941.jpg"/>
        <xdr:cNvPicPr preferRelativeResize="0"/>
      </xdr:nvPicPr>
      <xdr:blipFill>
        <a:blip cstate="print" r:embed="rId952"/>
        <a:stretch>
          <a:fillRect/>
        </a:stretch>
      </xdr:blipFill>
      <xdr:spPr>
        <a:prstGeom prst="rect">
          <a:avLst/>
        </a:prstGeom>
        <a:noFill/>
      </xdr:spPr>
    </xdr:pic>
    <xdr:clientData fLocksWithSheet="0"/>
  </xdr:oneCellAnchor>
  <xdr:oneCellAnchor>
    <xdr:from>
      <xdr:col>6</xdr:col>
      <xdr:colOff>38100</xdr:colOff>
      <xdr:row>1880</xdr:row>
      <xdr:rowOff>38100</xdr:rowOff>
    </xdr:from>
    <xdr:ext cx="647700" cy="409575"/>
    <xdr:pic>
      <xdr:nvPicPr>
        <xdr:cNvPr id="0" name="image941.jpg"/>
        <xdr:cNvPicPr preferRelativeResize="0"/>
      </xdr:nvPicPr>
      <xdr:blipFill>
        <a:blip cstate="print" r:embed="rId952"/>
        <a:stretch>
          <a:fillRect/>
        </a:stretch>
      </xdr:blipFill>
      <xdr:spPr>
        <a:prstGeom prst="rect">
          <a:avLst/>
        </a:prstGeom>
        <a:noFill/>
      </xdr:spPr>
    </xdr:pic>
    <xdr:clientData fLocksWithSheet="0"/>
  </xdr:oneCellAnchor>
  <xdr:oneCellAnchor>
    <xdr:from>
      <xdr:col>6</xdr:col>
      <xdr:colOff>38100</xdr:colOff>
      <xdr:row>1881</xdr:row>
      <xdr:rowOff>38100</xdr:rowOff>
    </xdr:from>
    <xdr:ext cx="647700" cy="409575"/>
    <xdr:pic>
      <xdr:nvPicPr>
        <xdr:cNvPr id="0" name="image941.jpg"/>
        <xdr:cNvPicPr preferRelativeResize="0"/>
      </xdr:nvPicPr>
      <xdr:blipFill>
        <a:blip cstate="print" r:embed="rId952"/>
        <a:stretch>
          <a:fillRect/>
        </a:stretch>
      </xdr:blipFill>
      <xdr:spPr>
        <a:prstGeom prst="rect">
          <a:avLst/>
        </a:prstGeom>
        <a:noFill/>
      </xdr:spPr>
    </xdr:pic>
    <xdr:clientData fLocksWithSheet="0"/>
  </xdr:oneCellAnchor>
  <xdr:oneCellAnchor>
    <xdr:from>
      <xdr:col>6</xdr:col>
      <xdr:colOff>38100</xdr:colOff>
      <xdr:row>1882</xdr:row>
      <xdr:rowOff>38100</xdr:rowOff>
    </xdr:from>
    <xdr:ext cx="647700" cy="361950"/>
    <xdr:pic>
      <xdr:nvPicPr>
        <xdr:cNvPr id="0" name="image999.jpg"/>
        <xdr:cNvPicPr preferRelativeResize="0"/>
      </xdr:nvPicPr>
      <xdr:blipFill>
        <a:blip cstate="print" r:embed="rId953"/>
        <a:stretch>
          <a:fillRect/>
        </a:stretch>
      </xdr:blipFill>
      <xdr:spPr>
        <a:prstGeom prst="rect">
          <a:avLst/>
        </a:prstGeom>
        <a:noFill/>
      </xdr:spPr>
    </xdr:pic>
    <xdr:clientData fLocksWithSheet="0"/>
  </xdr:oneCellAnchor>
  <xdr:oneCellAnchor>
    <xdr:from>
      <xdr:col>6</xdr:col>
      <xdr:colOff>38100</xdr:colOff>
      <xdr:row>1883</xdr:row>
      <xdr:rowOff>38100</xdr:rowOff>
    </xdr:from>
    <xdr:ext cx="647700" cy="361950"/>
    <xdr:pic>
      <xdr:nvPicPr>
        <xdr:cNvPr id="0" name="image999.jpg"/>
        <xdr:cNvPicPr preferRelativeResize="0"/>
      </xdr:nvPicPr>
      <xdr:blipFill>
        <a:blip cstate="print" r:embed="rId953"/>
        <a:stretch>
          <a:fillRect/>
        </a:stretch>
      </xdr:blipFill>
      <xdr:spPr>
        <a:prstGeom prst="rect">
          <a:avLst/>
        </a:prstGeom>
        <a:noFill/>
      </xdr:spPr>
    </xdr:pic>
    <xdr:clientData fLocksWithSheet="0"/>
  </xdr:oneCellAnchor>
  <xdr:oneCellAnchor>
    <xdr:from>
      <xdr:col>6</xdr:col>
      <xdr:colOff>38100</xdr:colOff>
      <xdr:row>1884</xdr:row>
      <xdr:rowOff>38100</xdr:rowOff>
    </xdr:from>
    <xdr:ext cx="514350" cy="514350"/>
    <xdr:pic>
      <xdr:nvPicPr>
        <xdr:cNvPr id="0" name="image950.jpg"/>
        <xdr:cNvPicPr preferRelativeResize="0"/>
      </xdr:nvPicPr>
      <xdr:blipFill>
        <a:blip cstate="print" r:embed="rId954"/>
        <a:stretch>
          <a:fillRect/>
        </a:stretch>
      </xdr:blipFill>
      <xdr:spPr>
        <a:prstGeom prst="rect">
          <a:avLst/>
        </a:prstGeom>
        <a:noFill/>
      </xdr:spPr>
    </xdr:pic>
    <xdr:clientData fLocksWithSheet="0"/>
  </xdr:oneCellAnchor>
  <xdr:oneCellAnchor>
    <xdr:from>
      <xdr:col>6</xdr:col>
      <xdr:colOff>38100</xdr:colOff>
      <xdr:row>1885</xdr:row>
      <xdr:rowOff>38100</xdr:rowOff>
    </xdr:from>
    <xdr:ext cx="485775" cy="438150"/>
    <xdr:pic>
      <xdr:nvPicPr>
        <xdr:cNvPr id="0" name="image1016.jpg"/>
        <xdr:cNvPicPr preferRelativeResize="0"/>
      </xdr:nvPicPr>
      <xdr:blipFill>
        <a:blip cstate="print" r:embed="rId955"/>
        <a:stretch>
          <a:fillRect/>
        </a:stretch>
      </xdr:blipFill>
      <xdr:spPr>
        <a:prstGeom prst="rect">
          <a:avLst/>
        </a:prstGeom>
        <a:noFill/>
      </xdr:spPr>
    </xdr:pic>
    <xdr:clientData fLocksWithSheet="0"/>
  </xdr:oneCellAnchor>
  <xdr:oneCellAnchor>
    <xdr:from>
      <xdr:col>6</xdr:col>
      <xdr:colOff>38100</xdr:colOff>
      <xdr:row>1886</xdr:row>
      <xdr:rowOff>38100</xdr:rowOff>
    </xdr:from>
    <xdr:ext cx="647700" cy="361950"/>
    <xdr:pic>
      <xdr:nvPicPr>
        <xdr:cNvPr id="0" name="image999.jpg"/>
        <xdr:cNvPicPr preferRelativeResize="0"/>
      </xdr:nvPicPr>
      <xdr:blipFill>
        <a:blip cstate="print" r:embed="rId953"/>
        <a:stretch>
          <a:fillRect/>
        </a:stretch>
      </xdr:blipFill>
      <xdr:spPr>
        <a:prstGeom prst="rect">
          <a:avLst/>
        </a:prstGeom>
        <a:noFill/>
      </xdr:spPr>
    </xdr:pic>
    <xdr:clientData fLocksWithSheet="0"/>
  </xdr:oneCellAnchor>
  <xdr:oneCellAnchor>
    <xdr:from>
      <xdr:col>6</xdr:col>
      <xdr:colOff>38100</xdr:colOff>
      <xdr:row>1887</xdr:row>
      <xdr:rowOff>38100</xdr:rowOff>
    </xdr:from>
    <xdr:ext cx="514350" cy="514350"/>
    <xdr:pic>
      <xdr:nvPicPr>
        <xdr:cNvPr id="0" name="image944.jpg"/>
        <xdr:cNvPicPr preferRelativeResize="0"/>
      </xdr:nvPicPr>
      <xdr:blipFill>
        <a:blip cstate="print" r:embed="rId956"/>
        <a:stretch>
          <a:fillRect/>
        </a:stretch>
      </xdr:blipFill>
      <xdr:spPr>
        <a:prstGeom prst="rect">
          <a:avLst/>
        </a:prstGeom>
        <a:noFill/>
      </xdr:spPr>
    </xdr:pic>
    <xdr:clientData fLocksWithSheet="0"/>
  </xdr:oneCellAnchor>
  <xdr:oneCellAnchor>
    <xdr:from>
      <xdr:col>6</xdr:col>
      <xdr:colOff>38100</xdr:colOff>
      <xdr:row>1888</xdr:row>
      <xdr:rowOff>38100</xdr:rowOff>
    </xdr:from>
    <xdr:ext cx="504825" cy="514350"/>
    <xdr:pic>
      <xdr:nvPicPr>
        <xdr:cNvPr id="0" name="image961.jpg"/>
        <xdr:cNvPicPr preferRelativeResize="0"/>
      </xdr:nvPicPr>
      <xdr:blipFill>
        <a:blip cstate="print" r:embed="rId957"/>
        <a:stretch>
          <a:fillRect/>
        </a:stretch>
      </xdr:blipFill>
      <xdr:spPr>
        <a:prstGeom prst="rect">
          <a:avLst/>
        </a:prstGeom>
        <a:noFill/>
      </xdr:spPr>
    </xdr:pic>
    <xdr:clientData fLocksWithSheet="0"/>
  </xdr:oneCellAnchor>
  <xdr:oneCellAnchor>
    <xdr:from>
      <xdr:col>6</xdr:col>
      <xdr:colOff>38100</xdr:colOff>
      <xdr:row>1889</xdr:row>
      <xdr:rowOff>38100</xdr:rowOff>
    </xdr:from>
    <xdr:ext cx="428625" cy="457200"/>
    <xdr:pic>
      <xdr:nvPicPr>
        <xdr:cNvPr id="0" name="image1027.jpg"/>
        <xdr:cNvPicPr preferRelativeResize="0"/>
      </xdr:nvPicPr>
      <xdr:blipFill>
        <a:blip cstate="print" r:embed="rId958"/>
        <a:stretch>
          <a:fillRect/>
        </a:stretch>
      </xdr:blipFill>
      <xdr:spPr>
        <a:prstGeom prst="rect">
          <a:avLst/>
        </a:prstGeom>
        <a:noFill/>
      </xdr:spPr>
    </xdr:pic>
    <xdr:clientData fLocksWithSheet="0"/>
  </xdr:oneCellAnchor>
  <xdr:oneCellAnchor>
    <xdr:from>
      <xdr:col>6</xdr:col>
      <xdr:colOff>38100</xdr:colOff>
      <xdr:row>1890</xdr:row>
      <xdr:rowOff>38100</xdr:rowOff>
    </xdr:from>
    <xdr:ext cx="647700" cy="361950"/>
    <xdr:pic>
      <xdr:nvPicPr>
        <xdr:cNvPr id="0" name="image947.jpg"/>
        <xdr:cNvPicPr preferRelativeResize="0"/>
      </xdr:nvPicPr>
      <xdr:blipFill>
        <a:blip cstate="print" r:embed="rId959"/>
        <a:stretch>
          <a:fillRect/>
        </a:stretch>
      </xdr:blipFill>
      <xdr:spPr>
        <a:prstGeom prst="rect">
          <a:avLst/>
        </a:prstGeom>
        <a:noFill/>
      </xdr:spPr>
    </xdr:pic>
    <xdr:clientData fLocksWithSheet="0"/>
  </xdr:oneCellAnchor>
  <xdr:oneCellAnchor>
    <xdr:from>
      <xdr:col>6</xdr:col>
      <xdr:colOff>38100</xdr:colOff>
      <xdr:row>1891</xdr:row>
      <xdr:rowOff>38100</xdr:rowOff>
    </xdr:from>
    <xdr:ext cx="647700" cy="361950"/>
    <xdr:pic>
      <xdr:nvPicPr>
        <xdr:cNvPr id="0" name="image947.jpg"/>
        <xdr:cNvPicPr preferRelativeResize="0"/>
      </xdr:nvPicPr>
      <xdr:blipFill>
        <a:blip cstate="print" r:embed="rId959"/>
        <a:stretch>
          <a:fillRect/>
        </a:stretch>
      </xdr:blipFill>
      <xdr:spPr>
        <a:prstGeom prst="rect">
          <a:avLst/>
        </a:prstGeom>
        <a:noFill/>
      </xdr:spPr>
    </xdr:pic>
    <xdr:clientData fLocksWithSheet="0"/>
  </xdr:oneCellAnchor>
  <xdr:oneCellAnchor>
    <xdr:from>
      <xdr:col>6</xdr:col>
      <xdr:colOff>38100</xdr:colOff>
      <xdr:row>1892</xdr:row>
      <xdr:rowOff>38100</xdr:rowOff>
    </xdr:from>
    <xdr:ext cx="647700" cy="342900"/>
    <xdr:pic>
      <xdr:nvPicPr>
        <xdr:cNvPr id="0" name="image1031.jpg"/>
        <xdr:cNvPicPr preferRelativeResize="0"/>
      </xdr:nvPicPr>
      <xdr:blipFill>
        <a:blip cstate="print" r:embed="rId960"/>
        <a:stretch>
          <a:fillRect/>
        </a:stretch>
      </xdr:blipFill>
      <xdr:spPr>
        <a:prstGeom prst="rect">
          <a:avLst/>
        </a:prstGeom>
        <a:noFill/>
      </xdr:spPr>
    </xdr:pic>
    <xdr:clientData fLocksWithSheet="0"/>
  </xdr:oneCellAnchor>
  <xdr:oneCellAnchor>
    <xdr:from>
      <xdr:col>6</xdr:col>
      <xdr:colOff>38100</xdr:colOff>
      <xdr:row>1893</xdr:row>
      <xdr:rowOff>38100</xdr:rowOff>
    </xdr:from>
    <xdr:ext cx="542925" cy="514350"/>
    <xdr:pic>
      <xdr:nvPicPr>
        <xdr:cNvPr id="0" name="image1162.jpg"/>
        <xdr:cNvPicPr preferRelativeResize="0"/>
      </xdr:nvPicPr>
      <xdr:blipFill>
        <a:blip cstate="print" r:embed="rId961"/>
        <a:stretch>
          <a:fillRect/>
        </a:stretch>
      </xdr:blipFill>
      <xdr:spPr>
        <a:prstGeom prst="rect">
          <a:avLst/>
        </a:prstGeom>
        <a:noFill/>
      </xdr:spPr>
    </xdr:pic>
    <xdr:clientData fLocksWithSheet="0"/>
  </xdr:oneCellAnchor>
  <xdr:oneCellAnchor>
    <xdr:from>
      <xdr:col>6</xdr:col>
      <xdr:colOff>38100</xdr:colOff>
      <xdr:row>1894</xdr:row>
      <xdr:rowOff>38100</xdr:rowOff>
    </xdr:from>
    <xdr:ext cx="590550" cy="419100"/>
    <xdr:pic>
      <xdr:nvPicPr>
        <xdr:cNvPr id="0" name="image959.jpg"/>
        <xdr:cNvPicPr preferRelativeResize="0"/>
      </xdr:nvPicPr>
      <xdr:blipFill>
        <a:blip cstate="print" r:embed="rId962"/>
        <a:stretch>
          <a:fillRect/>
        </a:stretch>
      </xdr:blipFill>
      <xdr:spPr>
        <a:prstGeom prst="rect">
          <a:avLst/>
        </a:prstGeom>
        <a:noFill/>
      </xdr:spPr>
    </xdr:pic>
    <xdr:clientData fLocksWithSheet="0"/>
  </xdr:oneCellAnchor>
  <xdr:oneCellAnchor>
    <xdr:from>
      <xdr:col>6</xdr:col>
      <xdr:colOff>38100</xdr:colOff>
      <xdr:row>1895</xdr:row>
      <xdr:rowOff>38100</xdr:rowOff>
    </xdr:from>
    <xdr:ext cx="647700" cy="371475"/>
    <xdr:pic>
      <xdr:nvPicPr>
        <xdr:cNvPr id="0" name="image1032.jpg"/>
        <xdr:cNvPicPr preferRelativeResize="0"/>
      </xdr:nvPicPr>
      <xdr:blipFill>
        <a:blip cstate="print" r:embed="rId963"/>
        <a:stretch>
          <a:fillRect/>
        </a:stretch>
      </xdr:blipFill>
      <xdr:spPr>
        <a:prstGeom prst="rect">
          <a:avLst/>
        </a:prstGeom>
        <a:noFill/>
      </xdr:spPr>
    </xdr:pic>
    <xdr:clientData fLocksWithSheet="0"/>
  </xdr:oneCellAnchor>
  <xdr:oneCellAnchor>
    <xdr:from>
      <xdr:col>6</xdr:col>
      <xdr:colOff>38100</xdr:colOff>
      <xdr:row>1896</xdr:row>
      <xdr:rowOff>38100</xdr:rowOff>
    </xdr:from>
    <xdr:ext cx="647700" cy="361950"/>
    <xdr:pic>
      <xdr:nvPicPr>
        <xdr:cNvPr id="0" name="image955.jpg"/>
        <xdr:cNvPicPr preferRelativeResize="0"/>
      </xdr:nvPicPr>
      <xdr:blipFill>
        <a:blip cstate="print" r:embed="rId964"/>
        <a:stretch>
          <a:fillRect/>
        </a:stretch>
      </xdr:blipFill>
      <xdr:spPr>
        <a:prstGeom prst="rect">
          <a:avLst/>
        </a:prstGeom>
        <a:noFill/>
      </xdr:spPr>
    </xdr:pic>
    <xdr:clientData fLocksWithSheet="0"/>
  </xdr:oneCellAnchor>
  <xdr:oneCellAnchor>
    <xdr:from>
      <xdr:col>6</xdr:col>
      <xdr:colOff>38100</xdr:colOff>
      <xdr:row>1897</xdr:row>
      <xdr:rowOff>38100</xdr:rowOff>
    </xdr:from>
    <xdr:ext cx="571500" cy="514350"/>
    <xdr:pic>
      <xdr:nvPicPr>
        <xdr:cNvPr id="0" name="image987.jpg"/>
        <xdr:cNvPicPr preferRelativeResize="0"/>
      </xdr:nvPicPr>
      <xdr:blipFill>
        <a:blip cstate="print" r:embed="rId965"/>
        <a:stretch>
          <a:fillRect/>
        </a:stretch>
      </xdr:blipFill>
      <xdr:spPr>
        <a:prstGeom prst="rect">
          <a:avLst/>
        </a:prstGeom>
        <a:noFill/>
      </xdr:spPr>
    </xdr:pic>
    <xdr:clientData fLocksWithSheet="0"/>
  </xdr:oneCellAnchor>
  <xdr:oneCellAnchor>
    <xdr:from>
      <xdr:col>6</xdr:col>
      <xdr:colOff>38100</xdr:colOff>
      <xdr:row>1898</xdr:row>
      <xdr:rowOff>38100</xdr:rowOff>
    </xdr:from>
    <xdr:ext cx="647700" cy="361950"/>
    <xdr:pic>
      <xdr:nvPicPr>
        <xdr:cNvPr id="0" name="image955.jpg"/>
        <xdr:cNvPicPr preferRelativeResize="0"/>
      </xdr:nvPicPr>
      <xdr:blipFill>
        <a:blip cstate="print" r:embed="rId964"/>
        <a:stretch>
          <a:fillRect/>
        </a:stretch>
      </xdr:blipFill>
      <xdr:spPr>
        <a:prstGeom prst="rect">
          <a:avLst/>
        </a:prstGeom>
        <a:noFill/>
      </xdr:spPr>
    </xdr:pic>
    <xdr:clientData fLocksWithSheet="0"/>
  </xdr:oneCellAnchor>
  <xdr:oneCellAnchor>
    <xdr:from>
      <xdr:col>6</xdr:col>
      <xdr:colOff>38100</xdr:colOff>
      <xdr:row>1899</xdr:row>
      <xdr:rowOff>38100</xdr:rowOff>
    </xdr:from>
    <xdr:ext cx="647700" cy="323850"/>
    <xdr:pic>
      <xdr:nvPicPr>
        <xdr:cNvPr id="0" name="image971.jpg"/>
        <xdr:cNvPicPr preferRelativeResize="0"/>
      </xdr:nvPicPr>
      <xdr:blipFill>
        <a:blip cstate="print" r:embed="rId966"/>
        <a:stretch>
          <a:fillRect/>
        </a:stretch>
      </xdr:blipFill>
      <xdr:spPr>
        <a:prstGeom prst="rect">
          <a:avLst/>
        </a:prstGeom>
        <a:noFill/>
      </xdr:spPr>
    </xdr:pic>
    <xdr:clientData fLocksWithSheet="0"/>
  </xdr:oneCellAnchor>
  <xdr:oneCellAnchor>
    <xdr:from>
      <xdr:col>6</xdr:col>
      <xdr:colOff>38100</xdr:colOff>
      <xdr:row>1900</xdr:row>
      <xdr:rowOff>38100</xdr:rowOff>
    </xdr:from>
    <xdr:ext cx="647700" cy="504825"/>
    <xdr:pic>
      <xdr:nvPicPr>
        <xdr:cNvPr id="0" name="image957.jpg"/>
        <xdr:cNvPicPr preferRelativeResize="0"/>
      </xdr:nvPicPr>
      <xdr:blipFill>
        <a:blip cstate="print" r:embed="rId967"/>
        <a:stretch>
          <a:fillRect/>
        </a:stretch>
      </xdr:blipFill>
      <xdr:spPr>
        <a:prstGeom prst="rect">
          <a:avLst/>
        </a:prstGeom>
        <a:noFill/>
      </xdr:spPr>
    </xdr:pic>
    <xdr:clientData fLocksWithSheet="0"/>
  </xdr:oneCellAnchor>
  <xdr:oneCellAnchor>
    <xdr:from>
      <xdr:col>6</xdr:col>
      <xdr:colOff>38100</xdr:colOff>
      <xdr:row>1901</xdr:row>
      <xdr:rowOff>38100</xdr:rowOff>
    </xdr:from>
    <xdr:ext cx="619125" cy="514350"/>
    <xdr:pic>
      <xdr:nvPicPr>
        <xdr:cNvPr id="0" name="image948.jpg"/>
        <xdr:cNvPicPr preferRelativeResize="0"/>
      </xdr:nvPicPr>
      <xdr:blipFill>
        <a:blip cstate="print" r:embed="rId968"/>
        <a:stretch>
          <a:fillRect/>
        </a:stretch>
      </xdr:blipFill>
      <xdr:spPr>
        <a:prstGeom prst="rect">
          <a:avLst/>
        </a:prstGeom>
        <a:noFill/>
      </xdr:spPr>
    </xdr:pic>
    <xdr:clientData fLocksWithSheet="0"/>
  </xdr:oneCellAnchor>
  <xdr:oneCellAnchor>
    <xdr:from>
      <xdr:col>6</xdr:col>
      <xdr:colOff>38100</xdr:colOff>
      <xdr:row>1902</xdr:row>
      <xdr:rowOff>38100</xdr:rowOff>
    </xdr:from>
    <xdr:ext cx="647700" cy="161925"/>
    <xdr:pic>
      <xdr:nvPicPr>
        <xdr:cNvPr id="0" name="image996.jpg"/>
        <xdr:cNvPicPr preferRelativeResize="0"/>
      </xdr:nvPicPr>
      <xdr:blipFill>
        <a:blip cstate="print" r:embed="rId969"/>
        <a:stretch>
          <a:fillRect/>
        </a:stretch>
      </xdr:blipFill>
      <xdr:spPr>
        <a:prstGeom prst="rect">
          <a:avLst/>
        </a:prstGeom>
        <a:noFill/>
      </xdr:spPr>
    </xdr:pic>
    <xdr:clientData fLocksWithSheet="0"/>
  </xdr:oneCellAnchor>
  <xdr:oneCellAnchor>
    <xdr:from>
      <xdr:col>6</xdr:col>
      <xdr:colOff>38100</xdr:colOff>
      <xdr:row>1903</xdr:row>
      <xdr:rowOff>38100</xdr:rowOff>
    </xdr:from>
    <xdr:ext cx="561975" cy="447675"/>
    <xdr:pic>
      <xdr:nvPicPr>
        <xdr:cNvPr id="0" name="image978.jpg"/>
        <xdr:cNvPicPr preferRelativeResize="0"/>
      </xdr:nvPicPr>
      <xdr:blipFill>
        <a:blip cstate="print" r:embed="rId970"/>
        <a:stretch>
          <a:fillRect/>
        </a:stretch>
      </xdr:blipFill>
      <xdr:spPr>
        <a:prstGeom prst="rect">
          <a:avLst/>
        </a:prstGeom>
        <a:noFill/>
      </xdr:spPr>
    </xdr:pic>
    <xdr:clientData fLocksWithSheet="0"/>
  </xdr:oneCellAnchor>
  <xdr:oneCellAnchor>
    <xdr:from>
      <xdr:col>6</xdr:col>
      <xdr:colOff>38100</xdr:colOff>
      <xdr:row>1904</xdr:row>
      <xdr:rowOff>38100</xdr:rowOff>
    </xdr:from>
    <xdr:ext cx="409575" cy="304800"/>
    <xdr:pic>
      <xdr:nvPicPr>
        <xdr:cNvPr id="0" name="image998.jpg"/>
        <xdr:cNvPicPr preferRelativeResize="0"/>
      </xdr:nvPicPr>
      <xdr:blipFill>
        <a:blip cstate="print" r:embed="rId971"/>
        <a:stretch>
          <a:fillRect/>
        </a:stretch>
      </xdr:blipFill>
      <xdr:spPr>
        <a:prstGeom prst="rect">
          <a:avLst/>
        </a:prstGeom>
        <a:noFill/>
      </xdr:spPr>
    </xdr:pic>
    <xdr:clientData fLocksWithSheet="0"/>
  </xdr:oneCellAnchor>
  <xdr:oneCellAnchor>
    <xdr:from>
      <xdr:col>6</xdr:col>
      <xdr:colOff>38100</xdr:colOff>
      <xdr:row>1905</xdr:row>
      <xdr:rowOff>38100</xdr:rowOff>
    </xdr:from>
    <xdr:ext cx="647700" cy="390525"/>
    <xdr:pic>
      <xdr:nvPicPr>
        <xdr:cNvPr id="0" name="image949.jpg"/>
        <xdr:cNvPicPr preferRelativeResize="0"/>
      </xdr:nvPicPr>
      <xdr:blipFill>
        <a:blip cstate="print" r:embed="rId972"/>
        <a:stretch>
          <a:fillRect/>
        </a:stretch>
      </xdr:blipFill>
      <xdr:spPr>
        <a:prstGeom prst="rect">
          <a:avLst/>
        </a:prstGeom>
        <a:noFill/>
      </xdr:spPr>
    </xdr:pic>
    <xdr:clientData fLocksWithSheet="0"/>
  </xdr:oneCellAnchor>
  <xdr:oneCellAnchor>
    <xdr:from>
      <xdr:col>6</xdr:col>
      <xdr:colOff>38100</xdr:colOff>
      <xdr:row>1906</xdr:row>
      <xdr:rowOff>38100</xdr:rowOff>
    </xdr:from>
    <xdr:ext cx="495300" cy="342900"/>
    <xdr:pic>
      <xdr:nvPicPr>
        <xdr:cNvPr id="0" name="image1030.jpg"/>
        <xdr:cNvPicPr preferRelativeResize="0"/>
      </xdr:nvPicPr>
      <xdr:blipFill>
        <a:blip cstate="print" r:embed="rId973"/>
        <a:stretch>
          <a:fillRect/>
        </a:stretch>
      </xdr:blipFill>
      <xdr:spPr>
        <a:prstGeom prst="rect">
          <a:avLst/>
        </a:prstGeom>
        <a:noFill/>
      </xdr:spPr>
    </xdr:pic>
    <xdr:clientData fLocksWithSheet="0"/>
  </xdr:oneCellAnchor>
  <xdr:oneCellAnchor>
    <xdr:from>
      <xdr:col>6</xdr:col>
      <xdr:colOff>38100</xdr:colOff>
      <xdr:row>1907</xdr:row>
      <xdr:rowOff>38100</xdr:rowOff>
    </xdr:from>
    <xdr:ext cx="457200" cy="438150"/>
    <xdr:pic>
      <xdr:nvPicPr>
        <xdr:cNvPr id="0" name="image969.jpg"/>
        <xdr:cNvPicPr preferRelativeResize="0"/>
      </xdr:nvPicPr>
      <xdr:blipFill>
        <a:blip cstate="print" r:embed="rId974"/>
        <a:stretch>
          <a:fillRect/>
        </a:stretch>
      </xdr:blipFill>
      <xdr:spPr>
        <a:prstGeom prst="rect">
          <a:avLst/>
        </a:prstGeom>
        <a:noFill/>
      </xdr:spPr>
    </xdr:pic>
    <xdr:clientData fLocksWithSheet="0"/>
  </xdr:oneCellAnchor>
  <xdr:oneCellAnchor>
    <xdr:from>
      <xdr:col>6</xdr:col>
      <xdr:colOff>38100</xdr:colOff>
      <xdr:row>1908</xdr:row>
      <xdr:rowOff>38100</xdr:rowOff>
    </xdr:from>
    <xdr:ext cx="647700" cy="447675"/>
    <xdr:pic>
      <xdr:nvPicPr>
        <xdr:cNvPr id="0" name="image1011.jpg"/>
        <xdr:cNvPicPr preferRelativeResize="0"/>
      </xdr:nvPicPr>
      <xdr:blipFill>
        <a:blip cstate="print" r:embed="rId975"/>
        <a:stretch>
          <a:fillRect/>
        </a:stretch>
      </xdr:blipFill>
      <xdr:spPr>
        <a:prstGeom prst="rect">
          <a:avLst/>
        </a:prstGeom>
        <a:noFill/>
      </xdr:spPr>
    </xdr:pic>
    <xdr:clientData fLocksWithSheet="0"/>
  </xdr:oneCellAnchor>
  <xdr:oneCellAnchor>
    <xdr:from>
      <xdr:col>6</xdr:col>
      <xdr:colOff>38100</xdr:colOff>
      <xdr:row>1909</xdr:row>
      <xdr:rowOff>38100</xdr:rowOff>
    </xdr:from>
    <xdr:ext cx="647700" cy="428625"/>
    <xdr:pic>
      <xdr:nvPicPr>
        <xdr:cNvPr id="0" name="image991.jpg"/>
        <xdr:cNvPicPr preferRelativeResize="0"/>
      </xdr:nvPicPr>
      <xdr:blipFill>
        <a:blip cstate="print" r:embed="rId976"/>
        <a:stretch>
          <a:fillRect/>
        </a:stretch>
      </xdr:blipFill>
      <xdr:spPr>
        <a:prstGeom prst="rect">
          <a:avLst/>
        </a:prstGeom>
        <a:noFill/>
      </xdr:spPr>
    </xdr:pic>
    <xdr:clientData fLocksWithSheet="0"/>
  </xdr:oneCellAnchor>
  <xdr:oneCellAnchor>
    <xdr:from>
      <xdr:col>6</xdr:col>
      <xdr:colOff>38100</xdr:colOff>
      <xdr:row>1910</xdr:row>
      <xdr:rowOff>38100</xdr:rowOff>
    </xdr:from>
    <xdr:ext cx="647700" cy="428625"/>
    <xdr:pic>
      <xdr:nvPicPr>
        <xdr:cNvPr id="0" name="image991.jpg"/>
        <xdr:cNvPicPr preferRelativeResize="0"/>
      </xdr:nvPicPr>
      <xdr:blipFill>
        <a:blip cstate="print" r:embed="rId976"/>
        <a:stretch>
          <a:fillRect/>
        </a:stretch>
      </xdr:blipFill>
      <xdr:spPr>
        <a:prstGeom prst="rect">
          <a:avLst/>
        </a:prstGeom>
        <a:noFill/>
      </xdr:spPr>
    </xdr:pic>
    <xdr:clientData fLocksWithSheet="0"/>
  </xdr:oneCellAnchor>
  <xdr:oneCellAnchor>
    <xdr:from>
      <xdr:col>6</xdr:col>
      <xdr:colOff>38100</xdr:colOff>
      <xdr:row>1911</xdr:row>
      <xdr:rowOff>38100</xdr:rowOff>
    </xdr:from>
    <xdr:ext cx="647700" cy="447675"/>
    <xdr:pic>
      <xdr:nvPicPr>
        <xdr:cNvPr id="0" name="image1000.jpg"/>
        <xdr:cNvPicPr preferRelativeResize="0"/>
      </xdr:nvPicPr>
      <xdr:blipFill>
        <a:blip cstate="print" r:embed="rId977"/>
        <a:stretch>
          <a:fillRect/>
        </a:stretch>
      </xdr:blipFill>
      <xdr:spPr>
        <a:prstGeom prst="rect">
          <a:avLst/>
        </a:prstGeom>
        <a:noFill/>
      </xdr:spPr>
    </xdr:pic>
    <xdr:clientData fLocksWithSheet="0"/>
  </xdr:oneCellAnchor>
  <xdr:oneCellAnchor>
    <xdr:from>
      <xdr:col>6</xdr:col>
      <xdr:colOff>38100</xdr:colOff>
      <xdr:row>1912</xdr:row>
      <xdr:rowOff>38100</xdr:rowOff>
    </xdr:from>
    <xdr:ext cx="647700" cy="438150"/>
    <xdr:pic>
      <xdr:nvPicPr>
        <xdr:cNvPr id="0" name="image951.jpg"/>
        <xdr:cNvPicPr preferRelativeResize="0"/>
      </xdr:nvPicPr>
      <xdr:blipFill>
        <a:blip cstate="print" r:embed="rId978"/>
        <a:stretch>
          <a:fillRect/>
        </a:stretch>
      </xdr:blipFill>
      <xdr:spPr>
        <a:prstGeom prst="rect">
          <a:avLst/>
        </a:prstGeom>
        <a:noFill/>
      </xdr:spPr>
    </xdr:pic>
    <xdr:clientData fLocksWithSheet="0"/>
  </xdr:oneCellAnchor>
  <xdr:oneCellAnchor>
    <xdr:from>
      <xdr:col>6</xdr:col>
      <xdr:colOff>38100</xdr:colOff>
      <xdr:row>1913</xdr:row>
      <xdr:rowOff>38100</xdr:rowOff>
    </xdr:from>
    <xdr:ext cx="552450" cy="381000"/>
    <xdr:pic>
      <xdr:nvPicPr>
        <xdr:cNvPr id="0" name="image954.jpg"/>
        <xdr:cNvPicPr preferRelativeResize="0"/>
      </xdr:nvPicPr>
      <xdr:blipFill>
        <a:blip cstate="print" r:embed="rId979"/>
        <a:stretch>
          <a:fillRect/>
        </a:stretch>
      </xdr:blipFill>
      <xdr:spPr>
        <a:prstGeom prst="rect">
          <a:avLst/>
        </a:prstGeom>
        <a:noFill/>
      </xdr:spPr>
    </xdr:pic>
    <xdr:clientData fLocksWithSheet="0"/>
  </xdr:oneCellAnchor>
  <xdr:oneCellAnchor>
    <xdr:from>
      <xdr:col>6</xdr:col>
      <xdr:colOff>38100</xdr:colOff>
      <xdr:row>1914</xdr:row>
      <xdr:rowOff>38100</xdr:rowOff>
    </xdr:from>
    <xdr:ext cx="552450" cy="381000"/>
    <xdr:pic>
      <xdr:nvPicPr>
        <xdr:cNvPr id="0" name="image954.jpg"/>
        <xdr:cNvPicPr preferRelativeResize="0"/>
      </xdr:nvPicPr>
      <xdr:blipFill>
        <a:blip cstate="print" r:embed="rId979"/>
        <a:stretch>
          <a:fillRect/>
        </a:stretch>
      </xdr:blipFill>
      <xdr:spPr>
        <a:prstGeom prst="rect">
          <a:avLst/>
        </a:prstGeom>
        <a:noFill/>
      </xdr:spPr>
    </xdr:pic>
    <xdr:clientData fLocksWithSheet="0"/>
  </xdr:oneCellAnchor>
  <xdr:oneCellAnchor>
    <xdr:from>
      <xdr:col>6</xdr:col>
      <xdr:colOff>38100</xdr:colOff>
      <xdr:row>1915</xdr:row>
      <xdr:rowOff>38100</xdr:rowOff>
    </xdr:from>
    <xdr:ext cx="466725" cy="447675"/>
    <xdr:pic>
      <xdr:nvPicPr>
        <xdr:cNvPr id="0" name="image964.jpg"/>
        <xdr:cNvPicPr preferRelativeResize="0"/>
      </xdr:nvPicPr>
      <xdr:blipFill>
        <a:blip cstate="print" r:embed="rId980"/>
        <a:stretch>
          <a:fillRect/>
        </a:stretch>
      </xdr:blipFill>
      <xdr:spPr>
        <a:prstGeom prst="rect">
          <a:avLst/>
        </a:prstGeom>
        <a:noFill/>
      </xdr:spPr>
    </xdr:pic>
    <xdr:clientData fLocksWithSheet="0"/>
  </xdr:oneCellAnchor>
  <xdr:oneCellAnchor>
    <xdr:from>
      <xdr:col>6</xdr:col>
      <xdr:colOff>38100</xdr:colOff>
      <xdr:row>1916</xdr:row>
      <xdr:rowOff>38100</xdr:rowOff>
    </xdr:from>
    <xdr:ext cx="466725" cy="447675"/>
    <xdr:pic>
      <xdr:nvPicPr>
        <xdr:cNvPr id="0" name="image964.jpg"/>
        <xdr:cNvPicPr preferRelativeResize="0"/>
      </xdr:nvPicPr>
      <xdr:blipFill>
        <a:blip cstate="print" r:embed="rId980"/>
        <a:stretch>
          <a:fillRect/>
        </a:stretch>
      </xdr:blipFill>
      <xdr:spPr>
        <a:prstGeom prst="rect">
          <a:avLst/>
        </a:prstGeom>
        <a:noFill/>
      </xdr:spPr>
    </xdr:pic>
    <xdr:clientData fLocksWithSheet="0"/>
  </xdr:oneCellAnchor>
  <xdr:oneCellAnchor>
    <xdr:from>
      <xdr:col>6</xdr:col>
      <xdr:colOff>38100</xdr:colOff>
      <xdr:row>1917</xdr:row>
      <xdr:rowOff>38100</xdr:rowOff>
    </xdr:from>
    <xdr:ext cx="514350" cy="514350"/>
    <xdr:pic>
      <xdr:nvPicPr>
        <xdr:cNvPr id="0" name="image962.jpg"/>
        <xdr:cNvPicPr preferRelativeResize="0"/>
      </xdr:nvPicPr>
      <xdr:blipFill>
        <a:blip cstate="print" r:embed="rId981"/>
        <a:stretch>
          <a:fillRect/>
        </a:stretch>
      </xdr:blipFill>
      <xdr:spPr>
        <a:prstGeom prst="rect">
          <a:avLst/>
        </a:prstGeom>
        <a:noFill/>
      </xdr:spPr>
    </xdr:pic>
    <xdr:clientData fLocksWithSheet="0"/>
  </xdr:oneCellAnchor>
  <xdr:oneCellAnchor>
    <xdr:from>
      <xdr:col>6</xdr:col>
      <xdr:colOff>38100</xdr:colOff>
      <xdr:row>1918</xdr:row>
      <xdr:rowOff>38100</xdr:rowOff>
    </xdr:from>
    <xdr:ext cx="514350" cy="514350"/>
    <xdr:pic>
      <xdr:nvPicPr>
        <xdr:cNvPr id="0" name="image977.jpg"/>
        <xdr:cNvPicPr preferRelativeResize="0"/>
      </xdr:nvPicPr>
      <xdr:blipFill>
        <a:blip cstate="print" r:embed="rId982"/>
        <a:stretch>
          <a:fillRect/>
        </a:stretch>
      </xdr:blipFill>
      <xdr:spPr>
        <a:prstGeom prst="rect">
          <a:avLst/>
        </a:prstGeom>
        <a:noFill/>
      </xdr:spPr>
    </xdr:pic>
    <xdr:clientData fLocksWithSheet="0"/>
  </xdr:oneCellAnchor>
  <xdr:oneCellAnchor>
    <xdr:from>
      <xdr:col>6</xdr:col>
      <xdr:colOff>38100</xdr:colOff>
      <xdr:row>1919</xdr:row>
      <xdr:rowOff>38100</xdr:rowOff>
    </xdr:from>
    <xdr:ext cx="647700" cy="295275"/>
    <xdr:pic>
      <xdr:nvPicPr>
        <xdr:cNvPr id="0" name="image960.jpg"/>
        <xdr:cNvPicPr preferRelativeResize="0"/>
      </xdr:nvPicPr>
      <xdr:blipFill>
        <a:blip cstate="print" r:embed="rId983"/>
        <a:stretch>
          <a:fillRect/>
        </a:stretch>
      </xdr:blipFill>
      <xdr:spPr>
        <a:prstGeom prst="rect">
          <a:avLst/>
        </a:prstGeom>
        <a:noFill/>
      </xdr:spPr>
    </xdr:pic>
    <xdr:clientData fLocksWithSheet="0"/>
  </xdr:oneCellAnchor>
  <xdr:oneCellAnchor>
    <xdr:from>
      <xdr:col>6</xdr:col>
      <xdr:colOff>38100</xdr:colOff>
      <xdr:row>1920</xdr:row>
      <xdr:rowOff>38100</xdr:rowOff>
    </xdr:from>
    <xdr:ext cx="542925" cy="466725"/>
    <xdr:pic>
      <xdr:nvPicPr>
        <xdr:cNvPr id="0" name="image989.jpg"/>
        <xdr:cNvPicPr preferRelativeResize="0"/>
      </xdr:nvPicPr>
      <xdr:blipFill>
        <a:blip cstate="print" r:embed="rId984"/>
        <a:stretch>
          <a:fillRect/>
        </a:stretch>
      </xdr:blipFill>
      <xdr:spPr>
        <a:prstGeom prst="rect">
          <a:avLst/>
        </a:prstGeom>
        <a:noFill/>
      </xdr:spPr>
    </xdr:pic>
    <xdr:clientData fLocksWithSheet="0"/>
  </xdr:oneCellAnchor>
  <xdr:oneCellAnchor>
    <xdr:from>
      <xdr:col>6</xdr:col>
      <xdr:colOff>38100</xdr:colOff>
      <xdr:row>1921</xdr:row>
      <xdr:rowOff>38100</xdr:rowOff>
    </xdr:from>
    <xdr:ext cx="647700" cy="457200"/>
    <xdr:pic>
      <xdr:nvPicPr>
        <xdr:cNvPr id="0" name="image963.jpg"/>
        <xdr:cNvPicPr preferRelativeResize="0"/>
      </xdr:nvPicPr>
      <xdr:blipFill>
        <a:blip cstate="print" r:embed="rId985"/>
        <a:stretch>
          <a:fillRect/>
        </a:stretch>
      </xdr:blipFill>
      <xdr:spPr>
        <a:prstGeom prst="rect">
          <a:avLst/>
        </a:prstGeom>
        <a:noFill/>
      </xdr:spPr>
    </xdr:pic>
    <xdr:clientData fLocksWithSheet="0"/>
  </xdr:oneCellAnchor>
  <xdr:oneCellAnchor>
    <xdr:from>
      <xdr:col>6</xdr:col>
      <xdr:colOff>38100</xdr:colOff>
      <xdr:row>1922</xdr:row>
      <xdr:rowOff>38100</xdr:rowOff>
    </xdr:from>
    <xdr:ext cx="504825" cy="514350"/>
    <xdr:pic>
      <xdr:nvPicPr>
        <xdr:cNvPr id="0" name="image953.jpg"/>
        <xdr:cNvPicPr preferRelativeResize="0"/>
      </xdr:nvPicPr>
      <xdr:blipFill>
        <a:blip cstate="print" r:embed="rId986"/>
        <a:stretch>
          <a:fillRect/>
        </a:stretch>
      </xdr:blipFill>
      <xdr:spPr>
        <a:prstGeom prst="rect">
          <a:avLst/>
        </a:prstGeom>
        <a:noFill/>
      </xdr:spPr>
    </xdr:pic>
    <xdr:clientData fLocksWithSheet="0"/>
  </xdr:oneCellAnchor>
  <xdr:oneCellAnchor>
    <xdr:from>
      <xdr:col>6</xdr:col>
      <xdr:colOff>38100</xdr:colOff>
      <xdr:row>1923</xdr:row>
      <xdr:rowOff>38100</xdr:rowOff>
    </xdr:from>
    <xdr:ext cx="504825" cy="514350"/>
    <xdr:pic>
      <xdr:nvPicPr>
        <xdr:cNvPr id="0" name="image953.jpg"/>
        <xdr:cNvPicPr preferRelativeResize="0"/>
      </xdr:nvPicPr>
      <xdr:blipFill>
        <a:blip cstate="print" r:embed="rId986"/>
        <a:stretch>
          <a:fillRect/>
        </a:stretch>
      </xdr:blipFill>
      <xdr:spPr>
        <a:prstGeom prst="rect">
          <a:avLst/>
        </a:prstGeom>
        <a:noFill/>
      </xdr:spPr>
    </xdr:pic>
    <xdr:clientData fLocksWithSheet="0"/>
  </xdr:oneCellAnchor>
  <xdr:oneCellAnchor>
    <xdr:from>
      <xdr:col>6</xdr:col>
      <xdr:colOff>38100</xdr:colOff>
      <xdr:row>1924</xdr:row>
      <xdr:rowOff>38100</xdr:rowOff>
    </xdr:from>
    <xdr:ext cx="476250" cy="514350"/>
    <xdr:pic>
      <xdr:nvPicPr>
        <xdr:cNvPr id="0" name="image952.jpg"/>
        <xdr:cNvPicPr preferRelativeResize="0"/>
      </xdr:nvPicPr>
      <xdr:blipFill>
        <a:blip cstate="print" r:embed="rId987"/>
        <a:stretch>
          <a:fillRect/>
        </a:stretch>
      </xdr:blipFill>
      <xdr:spPr>
        <a:prstGeom prst="rect">
          <a:avLst/>
        </a:prstGeom>
        <a:noFill/>
      </xdr:spPr>
    </xdr:pic>
    <xdr:clientData fLocksWithSheet="0"/>
  </xdr:oneCellAnchor>
  <xdr:oneCellAnchor>
    <xdr:from>
      <xdr:col>6</xdr:col>
      <xdr:colOff>38100</xdr:colOff>
      <xdr:row>1925</xdr:row>
      <xdr:rowOff>38100</xdr:rowOff>
    </xdr:from>
    <xdr:ext cx="476250" cy="514350"/>
    <xdr:pic>
      <xdr:nvPicPr>
        <xdr:cNvPr id="0" name="image952.jpg"/>
        <xdr:cNvPicPr preferRelativeResize="0"/>
      </xdr:nvPicPr>
      <xdr:blipFill>
        <a:blip cstate="print" r:embed="rId987"/>
        <a:stretch>
          <a:fillRect/>
        </a:stretch>
      </xdr:blipFill>
      <xdr:spPr>
        <a:prstGeom prst="rect">
          <a:avLst/>
        </a:prstGeom>
        <a:noFill/>
      </xdr:spPr>
    </xdr:pic>
    <xdr:clientData fLocksWithSheet="0"/>
  </xdr:oneCellAnchor>
  <xdr:oneCellAnchor>
    <xdr:from>
      <xdr:col>6</xdr:col>
      <xdr:colOff>38100</xdr:colOff>
      <xdr:row>1926</xdr:row>
      <xdr:rowOff>38100</xdr:rowOff>
    </xdr:from>
    <xdr:ext cx="342900" cy="381000"/>
    <xdr:pic>
      <xdr:nvPicPr>
        <xdr:cNvPr id="0" name="image988.jpg"/>
        <xdr:cNvPicPr preferRelativeResize="0"/>
      </xdr:nvPicPr>
      <xdr:blipFill>
        <a:blip cstate="print" r:embed="rId988"/>
        <a:stretch>
          <a:fillRect/>
        </a:stretch>
      </xdr:blipFill>
      <xdr:spPr>
        <a:prstGeom prst="rect">
          <a:avLst/>
        </a:prstGeom>
        <a:noFill/>
      </xdr:spPr>
    </xdr:pic>
    <xdr:clientData fLocksWithSheet="0"/>
  </xdr:oneCellAnchor>
  <xdr:oneCellAnchor>
    <xdr:from>
      <xdr:col>6</xdr:col>
      <xdr:colOff>38100</xdr:colOff>
      <xdr:row>1927</xdr:row>
      <xdr:rowOff>38100</xdr:rowOff>
    </xdr:from>
    <xdr:ext cx="342900" cy="381000"/>
    <xdr:pic>
      <xdr:nvPicPr>
        <xdr:cNvPr id="0" name="image988.jpg"/>
        <xdr:cNvPicPr preferRelativeResize="0"/>
      </xdr:nvPicPr>
      <xdr:blipFill>
        <a:blip cstate="print" r:embed="rId988"/>
        <a:stretch>
          <a:fillRect/>
        </a:stretch>
      </xdr:blipFill>
      <xdr:spPr>
        <a:prstGeom prst="rect">
          <a:avLst/>
        </a:prstGeom>
        <a:noFill/>
      </xdr:spPr>
    </xdr:pic>
    <xdr:clientData fLocksWithSheet="0"/>
  </xdr:oneCellAnchor>
  <xdr:oneCellAnchor>
    <xdr:from>
      <xdr:col>6</xdr:col>
      <xdr:colOff>38100</xdr:colOff>
      <xdr:row>1928</xdr:row>
      <xdr:rowOff>38100</xdr:rowOff>
    </xdr:from>
    <xdr:ext cx="390525" cy="514350"/>
    <xdr:pic>
      <xdr:nvPicPr>
        <xdr:cNvPr id="0" name="image958.jpg"/>
        <xdr:cNvPicPr preferRelativeResize="0"/>
      </xdr:nvPicPr>
      <xdr:blipFill>
        <a:blip cstate="print" r:embed="rId989"/>
        <a:stretch>
          <a:fillRect/>
        </a:stretch>
      </xdr:blipFill>
      <xdr:spPr>
        <a:prstGeom prst="rect">
          <a:avLst/>
        </a:prstGeom>
        <a:noFill/>
      </xdr:spPr>
    </xdr:pic>
    <xdr:clientData fLocksWithSheet="0"/>
  </xdr:oneCellAnchor>
  <xdr:oneCellAnchor>
    <xdr:from>
      <xdr:col>6</xdr:col>
      <xdr:colOff>38100</xdr:colOff>
      <xdr:row>1929</xdr:row>
      <xdr:rowOff>38100</xdr:rowOff>
    </xdr:from>
    <xdr:ext cx="314325" cy="361950"/>
    <xdr:pic>
      <xdr:nvPicPr>
        <xdr:cNvPr id="0" name="image956.jpg"/>
        <xdr:cNvPicPr preferRelativeResize="0"/>
      </xdr:nvPicPr>
      <xdr:blipFill>
        <a:blip cstate="print" r:embed="rId990"/>
        <a:stretch>
          <a:fillRect/>
        </a:stretch>
      </xdr:blipFill>
      <xdr:spPr>
        <a:prstGeom prst="rect">
          <a:avLst/>
        </a:prstGeom>
        <a:noFill/>
      </xdr:spPr>
    </xdr:pic>
    <xdr:clientData fLocksWithSheet="0"/>
  </xdr:oneCellAnchor>
  <xdr:oneCellAnchor>
    <xdr:from>
      <xdr:col>6</xdr:col>
      <xdr:colOff>38100</xdr:colOff>
      <xdr:row>1930</xdr:row>
      <xdr:rowOff>38100</xdr:rowOff>
    </xdr:from>
    <xdr:ext cx="514350" cy="514350"/>
    <xdr:pic>
      <xdr:nvPicPr>
        <xdr:cNvPr id="0" name="image986.jpg"/>
        <xdr:cNvPicPr preferRelativeResize="0"/>
      </xdr:nvPicPr>
      <xdr:blipFill>
        <a:blip cstate="print" r:embed="rId991"/>
        <a:stretch>
          <a:fillRect/>
        </a:stretch>
      </xdr:blipFill>
      <xdr:spPr>
        <a:prstGeom prst="rect">
          <a:avLst/>
        </a:prstGeom>
        <a:noFill/>
      </xdr:spPr>
    </xdr:pic>
    <xdr:clientData fLocksWithSheet="0"/>
  </xdr:oneCellAnchor>
  <xdr:oneCellAnchor>
    <xdr:from>
      <xdr:col>6</xdr:col>
      <xdr:colOff>38100</xdr:colOff>
      <xdr:row>1931</xdr:row>
      <xdr:rowOff>38100</xdr:rowOff>
    </xdr:from>
    <xdr:ext cx="466725" cy="514350"/>
    <xdr:pic>
      <xdr:nvPicPr>
        <xdr:cNvPr id="0" name="image982.jpg"/>
        <xdr:cNvPicPr preferRelativeResize="0"/>
      </xdr:nvPicPr>
      <xdr:blipFill>
        <a:blip cstate="print" r:embed="rId992"/>
        <a:stretch>
          <a:fillRect/>
        </a:stretch>
      </xdr:blipFill>
      <xdr:spPr>
        <a:prstGeom prst="rect">
          <a:avLst/>
        </a:prstGeom>
        <a:noFill/>
      </xdr:spPr>
    </xdr:pic>
    <xdr:clientData fLocksWithSheet="0"/>
  </xdr:oneCellAnchor>
  <xdr:oneCellAnchor>
    <xdr:from>
      <xdr:col>6</xdr:col>
      <xdr:colOff>38100</xdr:colOff>
      <xdr:row>1932</xdr:row>
      <xdr:rowOff>38100</xdr:rowOff>
    </xdr:from>
    <xdr:ext cx="257175" cy="514350"/>
    <xdr:pic>
      <xdr:nvPicPr>
        <xdr:cNvPr id="0" name="image973.jpg"/>
        <xdr:cNvPicPr preferRelativeResize="0"/>
      </xdr:nvPicPr>
      <xdr:blipFill>
        <a:blip cstate="print" r:embed="rId993"/>
        <a:stretch>
          <a:fillRect/>
        </a:stretch>
      </xdr:blipFill>
      <xdr:spPr>
        <a:prstGeom prst="rect">
          <a:avLst/>
        </a:prstGeom>
        <a:noFill/>
      </xdr:spPr>
    </xdr:pic>
    <xdr:clientData fLocksWithSheet="0"/>
  </xdr:oneCellAnchor>
  <xdr:oneCellAnchor>
    <xdr:from>
      <xdr:col>6</xdr:col>
      <xdr:colOff>38100</xdr:colOff>
      <xdr:row>1933</xdr:row>
      <xdr:rowOff>38100</xdr:rowOff>
    </xdr:from>
    <xdr:ext cx="209550" cy="390525"/>
    <xdr:pic>
      <xdr:nvPicPr>
        <xdr:cNvPr id="0" name="image1010.jpg"/>
        <xdr:cNvPicPr preferRelativeResize="0"/>
      </xdr:nvPicPr>
      <xdr:blipFill>
        <a:blip cstate="print" r:embed="rId994"/>
        <a:stretch>
          <a:fillRect/>
        </a:stretch>
      </xdr:blipFill>
      <xdr:spPr>
        <a:prstGeom prst="rect">
          <a:avLst/>
        </a:prstGeom>
        <a:noFill/>
      </xdr:spPr>
    </xdr:pic>
    <xdr:clientData fLocksWithSheet="0"/>
  </xdr:oneCellAnchor>
  <xdr:oneCellAnchor>
    <xdr:from>
      <xdr:col>6</xdr:col>
      <xdr:colOff>38100</xdr:colOff>
      <xdr:row>1934</xdr:row>
      <xdr:rowOff>38100</xdr:rowOff>
    </xdr:from>
    <xdr:ext cx="552450" cy="514350"/>
    <xdr:pic>
      <xdr:nvPicPr>
        <xdr:cNvPr id="0" name="image984.jpg"/>
        <xdr:cNvPicPr preferRelativeResize="0"/>
      </xdr:nvPicPr>
      <xdr:blipFill>
        <a:blip cstate="print" r:embed="rId995"/>
        <a:stretch>
          <a:fillRect/>
        </a:stretch>
      </xdr:blipFill>
      <xdr:spPr>
        <a:prstGeom prst="rect">
          <a:avLst/>
        </a:prstGeom>
        <a:noFill/>
      </xdr:spPr>
    </xdr:pic>
    <xdr:clientData fLocksWithSheet="0"/>
  </xdr:oneCellAnchor>
  <xdr:oneCellAnchor>
    <xdr:from>
      <xdr:col>6</xdr:col>
      <xdr:colOff>38100</xdr:colOff>
      <xdr:row>1935</xdr:row>
      <xdr:rowOff>38100</xdr:rowOff>
    </xdr:from>
    <xdr:ext cx="438150" cy="514350"/>
    <xdr:pic>
      <xdr:nvPicPr>
        <xdr:cNvPr id="0" name="image1038.jpg"/>
        <xdr:cNvPicPr preferRelativeResize="0"/>
      </xdr:nvPicPr>
      <xdr:blipFill>
        <a:blip cstate="print" r:embed="rId996"/>
        <a:stretch>
          <a:fillRect/>
        </a:stretch>
      </xdr:blipFill>
      <xdr:spPr>
        <a:prstGeom prst="rect">
          <a:avLst/>
        </a:prstGeom>
        <a:noFill/>
      </xdr:spPr>
    </xdr:pic>
    <xdr:clientData fLocksWithSheet="0"/>
  </xdr:oneCellAnchor>
  <xdr:oneCellAnchor>
    <xdr:from>
      <xdr:col>6</xdr:col>
      <xdr:colOff>38100</xdr:colOff>
      <xdr:row>1936</xdr:row>
      <xdr:rowOff>38100</xdr:rowOff>
    </xdr:from>
    <xdr:ext cx="447675" cy="514350"/>
    <xdr:pic>
      <xdr:nvPicPr>
        <xdr:cNvPr id="0" name="image967.jpg"/>
        <xdr:cNvPicPr preferRelativeResize="0"/>
      </xdr:nvPicPr>
      <xdr:blipFill>
        <a:blip cstate="print" r:embed="rId997"/>
        <a:stretch>
          <a:fillRect/>
        </a:stretch>
      </xdr:blipFill>
      <xdr:spPr>
        <a:prstGeom prst="rect">
          <a:avLst/>
        </a:prstGeom>
        <a:noFill/>
      </xdr:spPr>
    </xdr:pic>
    <xdr:clientData fLocksWithSheet="0"/>
  </xdr:oneCellAnchor>
  <xdr:oneCellAnchor>
    <xdr:from>
      <xdr:col>6</xdr:col>
      <xdr:colOff>38100</xdr:colOff>
      <xdr:row>1937</xdr:row>
      <xdr:rowOff>38100</xdr:rowOff>
    </xdr:from>
    <xdr:ext cx="466725" cy="352425"/>
    <xdr:pic>
      <xdr:nvPicPr>
        <xdr:cNvPr id="0" name="image979.jpg"/>
        <xdr:cNvPicPr preferRelativeResize="0"/>
      </xdr:nvPicPr>
      <xdr:blipFill>
        <a:blip cstate="print" r:embed="rId998"/>
        <a:stretch>
          <a:fillRect/>
        </a:stretch>
      </xdr:blipFill>
      <xdr:spPr>
        <a:prstGeom prst="rect">
          <a:avLst/>
        </a:prstGeom>
        <a:noFill/>
      </xdr:spPr>
    </xdr:pic>
    <xdr:clientData fLocksWithSheet="0"/>
  </xdr:oneCellAnchor>
  <xdr:oneCellAnchor>
    <xdr:from>
      <xdr:col>6</xdr:col>
      <xdr:colOff>38100</xdr:colOff>
      <xdr:row>1938</xdr:row>
      <xdr:rowOff>38100</xdr:rowOff>
    </xdr:from>
    <xdr:ext cx="581025" cy="514350"/>
    <xdr:pic>
      <xdr:nvPicPr>
        <xdr:cNvPr id="0" name="image985.jpg"/>
        <xdr:cNvPicPr preferRelativeResize="0"/>
      </xdr:nvPicPr>
      <xdr:blipFill>
        <a:blip cstate="print" r:embed="rId999"/>
        <a:stretch>
          <a:fillRect/>
        </a:stretch>
      </xdr:blipFill>
      <xdr:spPr>
        <a:prstGeom prst="rect">
          <a:avLst/>
        </a:prstGeom>
        <a:noFill/>
      </xdr:spPr>
    </xdr:pic>
    <xdr:clientData fLocksWithSheet="0"/>
  </xdr:oneCellAnchor>
  <xdr:oneCellAnchor>
    <xdr:from>
      <xdr:col>6</xdr:col>
      <xdr:colOff>38100</xdr:colOff>
      <xdr:row>1939</xdr:row>
      <xdr:rowOff>38100</xdr:rowOff>
    </xdr:from>
    <xdr:ext cx="323850" cy="180975"/>
    <xdr:pic>
      <xdr:nvPicPr>
        <xdr:cNvPr id="0" name="image965.jpg"/>
        <xdr:cNvPicPr preferRelativeResize="0"/>
      </xdr:nvPicPr>
      <xdr:blipFill>
        <a:blip cstate="print" r:embed="rId1000"/>
        <a:stretch>
          <a:fillRect/>
        </a:stretch>
      </xdr:blipFill>
      <xdr:spPr>
        <a:prstGeom prst="rect">
          <a:avLst/>
        </a:prstGeom>
        <a:noFill/>
      </xdr:spPr>
    </xdr:pic>
    <xdr:clientData fLocksWithSheet="0"/>
  </xdr:oneCellAnchor>
  <xdr:oneCellAnchor>
    <xdr:from>
      <xdr:col>6</xdr:col>
      <xdr:colOff>38100</xdr:colOff>
      <xdr:row>1940</xdr:row>
      <xdr:rowOff>38100</xdr:rowOff>
    </xdr:from>
    <xdr:ext cx="647700" cy="495300"/>
    <xdr:pic>
      <xdr:nvPicPr>
        <xdr:cNvPr id="0" name="image966.jpg"/>
        <xdr:cNvPicPr preferRelativeResize="0"/>
      </xdr:nvPicPr>
      <xdr:blipFill>
        <a:blip cstate="print" r:embed="rId1001"/>
        <a:stretch>
          <a:fillRect/>
        </a:stretch>
      </xdr:blipFill>
      <xdr:spPr>
        <a:prstGeom prst="rect">
          <a:avLst/>
        </a:prstGeom>
        <a:noFill/>
      </xdr:spPr>
    </xdr:pic>
    <xdr:clientData fLocksWithSheet="0"/>
  </xdr:oneCellAnchor>
  <xdr:oneCellAnchor>
    <xdr:from>
      <xdr:col>6</xdr:col>
      <xdr:colOff>38100</xdr:colOff>
      <xdr:row>1941</xdr:row>
      <xdr:rowOff>38100</xdr:rowOff>
    </xdr:from>
    <xdr:ext cx="323850" cy="180975"/>
    <xdr:pic>
      <xdr:nvPicPr>
        <xdr:cNvPr id="0" name="image965.jpg"/>
        <xdr:cNvPicPr preferRelativeResize="0"/>
      </xdr:nvPicPr>
      <xdr:blipFill>
        <a:blip cstate="print" r:embed="rId1000"/>
        <a:stretch>
          <a:fillRect/>
        </a:stretch>
      </xdr:blipFill>
      <xdr:spPr>
        <a:prstGeom prst="rect">
          <a:avLst/>
        </a:prstGeom>
        <a:noFill/>
      </xdr:spPr>
    </xdr:pic>
    <xdr:clientData fLocksWithSheet="0"/>
  </xdr:oneCellAnchor>
  <xdr:oneCellAnchor>
    <xdr:from>
      <xdr:col>6</xdr:col>
      <xdr:colOff>38100</xdr:colOff>
      <xdr:row>1942</xdr:row>
      <xdr:rowOff>38100</xdr:rowOff>
    </xdr:from>
    <xdr:ext cx="361950" cy="228600"/>
    <xdr:pic>
      <xdr:nvPicPr>
        <xdr:cNvPr id="0" name="image995.jpg"/>
        <xdr:cNvPicPr preferRelativeResize="0"/>
      </xdr:nvPicPr>
      <xdr:blipFill>
        <a:blip cstate="print" r:embed="rId1002"/>
        <a:stretch>
          <a:fillRect/>
        </a:stretch>
      </xdr:blipFill>
      <xdr:spPr>
        <a:prstGeom prst="rect">
          <a:avLst/>
        </a:prstGeom>
        <a:noFill/>
      </xdr:spPr>
    </xdr:pic>
    <xdr:clientData fLocksWithSheet="0"/>
  </xdr:oneCellAnchor>
  <xdr:oneCellAnchor>
    <xdr:from>
      <xdr:col>6</xdr:col>
      <xdr:colOff>38100</xdr:colOff>
      <xdr:row>1943</xdr:row>
      <xdr:rowOff>38100</xdr:rowOff>
    </xdr:from>
    <xdr:ext cx="647700" cy="361950"/>
    <xdr:pic>
      <xdr:nvPicPr>
        <xdr:cNvPr id="0" name="image975.jpg"/>
        <xdr:cNvPicPr preferRelativeResize="0"/>
      </xdr:nvPicPr>
      <xdr:blipFill>
        <a:blip cstate="print" r:embed="rId1003"/>
        <a:stretch>
          <a:fillRect/>
        </a:stretch>
      </xdr:blipFill>
      <xdr:spPr>
        <a:prstGeom prst="rect">
          <a:avLst/>
        </a:prstGeom>
        <a:noFill/>
      </xdr:spPr>
    </xdr:pic>
    <xdr:clientData fLocksWithSheet="0"/>
  </xdr:oneCellAnchor>
  <xdr:oneCellAnchor>
    <xdr:from>
      <xdr:col>6</xdr:col>
      <xdr:colOff>38100</xdr:colOff>
      <xdr:row>1944</xdr:row>
      <xdr:rowOff>38100</xdr:rowOff>
    </xdr:from>
    <xdr:ext cx="342900" cy="381000"/>
    <xdr:pic>
      <xdr:nvPicPr>
        <xdr:cNvPr id="0" name="image994.jpg"/>
        <xdr:cNvPicPr preferRelativeResize="0"/>
      </xdr:nvPicPr>
      <xdr:blipFill>
        <a:blip cstate="print" r:embed="rId1004"/>
        <a:stretch>
          <a:fillRect/>
        </a:stretch>
      </xdr:blipFill>
      <xdr:spPr>
        <a:prstGeom prst="rect">
          <a:avLst/>
        </a:prstGeom>
        <a:noFill/>
      </xdr:spPr>
    </xdr:pic>
    <xdr:clientData fLocksWithSheet="0"/>
  </xdr:oneCellAnchor>
  <xdr:oneCellAnchor>
    <xdr:from>
      <xdr:col>6</xdr:col>
      <xdr:colOff>38100</xdr:colOff>
      <xdr:row>1945</xdr:row>
      <xdr:rowOff>38100</xdr:rowOff>
    </xdr:from>
    <xdr:ext cx="342900" cy="390525"/>
    <xdr:pic>
      <xdr:nvPicPr>
        <xdr:cNvPr id="0" name="image974.jpg"/>
        <xdr:cNvPicPr preferRelativeResize="0"/>
      </xdr:nvPicPr>
      <xdr:blipFill>
        <a:blip cstate="print" r:embed="rId1005"/>
        <a:stretch>
          <a:fillRect/>
        </a:stretch>
      </xdr:blipFill>
      <xdr:spPr>
        <a:prstGeom prst="rect">
          <a:avLst/>
        </a:prstGeom>
        <a:noFill/>
      </xdr:spPr>
    </xdr:pic>
    <xdr:clientData fLocksWithSheet="0"/>
  </xdr:oneCellAnchor>
  <xdr:oneCellAnchor>
    <xdr:from>
      <xdr:col>6</xdr:col>
      <xdr:colOff>38100</xdr:colOff>
      <xdr:row>1946</xdr:row>
      <xdr:rowOff>38100</xdr:rowOff>
    </xdr:from>
    <xdr:ext cx="342900" cy="390525"/>
    <xdr:pic>
      <xdr:nvPicPr>
        <xdr:cNvPr id="0" name="image974.jpg"/>
        <xdr:cNvPicPr preferRelativeResize="0"/>
      </xdr:nvPicPr>
      <xdr:blipFill>
        <a:blip cstate="print" r:embed="rId1005"/>
        <a:stretch>
          <a:fillRect/>
        </a:stretch>
      </xdr:blipFill>
      <xdr:spPr>
        <a:prstGeom prst="rect">
          <a:avLst/>
        </a:prstGeom>
        <a:noFill/>
      </xdr:spPr>
    </xdr:pic>
    <xdr:clientData fLocksWithSheet="0"/>
  </xdr:oneCellAnchor>
  <xdr:oneCellAnchor>
    <xdr:from>
      <xdr:col>6</xdr:col>
      <xdr:colOff>38100</xdr:colOff>
      <xdr:row>1947</xdr:row>
      <xdr:rowOff>38100</xdr:rowOff>
    </xdr:from>
    <xdr:ext cx="561975" cy="390525"/>
    <xdr:pic>
      <xdr:nvPicPr>
        <xdr:cNvPr id="0" name="image968.jpg"/>
        <xdr:cNvPicPr preferRelativeResize="0"/>
      </xdr:nvPicPr>
      <xdr:blipFill>
        <a:blip cstate="print" r:embed="rId1006"/>
        <a:stretch>
          <a:fillRect/>
        </a:stretch>
      </xdr:blipFill>
      <xdr:spPr>
        <a:prstGeom prst="rect">
          <a:avLst/>
        </a:prstGeom>
        <a:noFill/>
      </xdr:spPr>
    </xdr:pic>
    <xdr:clientData fLocksWithSheet="0"/>
  </xdr:oneCellAnchor>
  <xdr:oneCellAnchor>
    <xdr:from>
      <xdr:col>6</xdr:col>
      <xdr:colOff>38100</xdr:colOff>
      <xdr:row>1948</xdr:row>
      <xdr:rowOff>38100</xdr:rowOff>
    </xdr:from>
    <xdr:ext cx="514350" cy="514350"/>
    <xdr:pic>
      <xdr:nvPicPr>
        <xdr:cNvPr id="0" name="image1002.jpg"/>
        <xdr:cNvPicPr preferRelativeResize="0"/>
      </xdr:nvPicPr>
      <xdr:blipFill>
        <a:blip cstate="print" r:embed="rId1007"/>
        <a:stretch>
          <a:fillRect/>
        </a:stretch>
      </xdr:blipFill>
      <xdr:spPr>
        <a:prstGeom prst="rect">
          <a:avLst/>
        </a:prstGeom>
        <a:noFill/>
      </xdr:spPr>
    </xdr:pic>
    <xdr:clientData fLocksWithSheet="0"/>
  </xdr:oneCellAnchor>
  <xdr:oneCellAnchor>
    <xdr:from>
      <xdr:col>6</xdr:col>
      <xdr:colOff>38100</xdr:colOff>
      <xdr:row>1949</xdr:row>
      <xdr:rowOff>38100</xdr:rowOff>
    </xdr:from>
    <xdr:ext cx="561975" cy="390525"/>
    <xdr:pic>
      <xdr:nvPicPr>
        <xdr:cNvPr id="0" name="image968.jpg"/>
        <xdr:cNvPicPr preferRelativeResize="0"/>
      </xdr:nvPicPr>
      <xdr:blipFill>
        <a:blip cstate="print" r:embed="rId1006"/>
        <a:stretch>
          <a:fillRect/>
        </a:stretch>
      </xdr:blipFill>
      <xdr:spPr>
        <a:prstGeom prst="rect">
          <a:avLst/>
        </a:prstGeom>
        <a:noFill/>
      </xdr:spPr>
    </xdr:pic>
    <xdr:clientData fLocksWithSheet="0"/>
  </xdr:oneCellAnchor>
  <xdr:oneCellAnchor>
    <xdr:from>
      <xdr:col>6</xdr:col>
      <xdr:colOff>38100</xdr:colOff>
      <xdr:row>1950</xdr:row>
      <xdr:rowOff>38100</xdr:rowOff>
    </xdr:from>
    <xdr:ext cx="476250" cy="514350"/>
    <xdr:pic>
      <xdr:nvPicPr>
        <xdr:cNvPr id="0" name="image972.jpg"/>
        <xdr:cNvPicPr preferRelativeResize="0"/>
      </xdr:nvPicPr>
      <xdr:blipFill>
        <a:blip cstate="print" r:embed="rId1008"/>
        <a:stretch>
          <a:fillRect/>
        </a:stretch>
      </xdr:blipFill>
      <xdr:spPr>
        <a:prstGeom prst="rect">
          <a:avLst/>
        </a:prstGeom>
        <a:noFill/>
      </xdr:spPr>
    </xdr:pic>
    <xdr:clientData fLocksWithSheet="0"/>
  </xdr:oneCellAnchor>
  <xdr:oneCellAnchor>
    <xdr:from>
      <xdr:col>6</xdr:col>
      <xdr:colOff>38100</xdr:colOff>
      <xdr:row>1951</xdr:row>
      <xdr:rowOff>38100</xdr:rowOff>
    </xdr:from>
    <xdr:ext cx="476250" cy="514350"/>
    <xdr:pic>
      <xdr:nvPicPr>
        <xdr:cNvPr id="0" name="image981.jpg"/>
        <xdr:cNvPicPr preferRelativeResize="0"/>
      </xdr:nvPicPr>
      <xdr:blipFill>
        <a:blip cstate="print" r:embed="rId1009"/>
        <a:stretch>
          <a:fillRect/>
        </a:stretch>
      </xdr:blipFill>
      <xdr:spPr>
        <a:prstGeom prst="rect">
          <a:avLst/>
        </a:prstGeom>
        <a:noFill/>
      </xdr:spPr>
    </xdr:pic>
    <xdr:clientData fLocksWithSheet="0"/>
  </xdr:oneCellAnchor>
  <xdr:oneCellAnchor>
    <xdr:from>
      <xdr:col>6</xdr:col>
      <xdr:colOff>38100</xdr:colOff>
      <xdr:row>1952</xdr:row>
      <xdr:rowOff>38100</xdr:rowOff>
    </xdr:from>
    <xdr:ext cx="323850" cy="257175"/>
    <xdr:pic>
      <xdr:nvPicPr>
        <xdr:cNvPr id="0" name="image1009.jpg"/>
        <xdr:cNvPicPr preferRelativeResize="0"/>
      </xdr:nvPicPr>
      <xdr:blipFill>
        <a:blip cstate="print" r:embed="rId1010"/>
        <a:stretch>
          <a:fillRect/>
        </a:stretch>
      </xdr:blipFill>
      <xdr:spPr>
        <a:prstGeom prst="rect">
          <a:avLst/>
        </a:prstGeom>
        <a:noFill/>
      </xdr:spPr>
    </xdr:pic>
    <xdr:clientData fLocksWithSheet="0"/>
  </xdr:oneCellAnchor>
  <xdr:oneCellAnchor>
    <xdr:from>
      <xdr:col>6</xdr:col>
      <xdr:colOff>38100</xdr:colOff>
      <xdr:row>1953</xdr:row>
      <xdr:rowOff>38100</xdr:rowOff>
    </xdr:from>
    <xdr:ext cx="323850" cy="257175"/>
    <xdr:pic>
      <xdr:nvPicPr>
        <xdr:cNvPr id="0" name="image1009.jpg"/>
        <xdr:cNvPicPr preferRelativeResize="0"/>
      </xdr:nvPicPr>
      <xdr:blipFill>
        <a:blip cstate="print" r:embed="rId1010"/>
        <a:stretch>
          <a:fillRect/>
        </a:stretch>
      </xdr:blipFill>
      <xdr:spPr>
        <a:prstGeom prst="rect">
          <a:avLst/>
        </a:prstGeom>
        <a:noFill/>
      </xdr:spPr>
    </xdr:pic>
    <xdr:clientData fLocksWithSheet="0"/>
  </xdr:oneCellAnchor>
  <xdr:oneCellAnchor>
    <xdr:from>
      <xdr:col>6</xdr:col>
      <xdr:colOff>38100</xdr:colOff>
      <xdr:row>1954</xdr:row>
      <xdr:rowOff>38100</xdr:rowOff>
    </xdr:from>
    <xdr:ext cx="371475" cy="514350"/>
    <xdr:pic>
      <xdr:nvPicPr>
        <xdr:cNvPr id="0" name="image1001.jpg"/>
        <xdr:cNvPicPr preferRelativeResize="0"/>
      </xdr:nvPicPr>
      <xdr:blipFill>
        <a:blip cstate="print" r:embed="rId1011"/>
        <a:stretch>
          <a:fillRect/>
        </a:stretch>
      </xdr:blipFill>
      <xdr:spPr>
        <a:prstGeom prst="rect">
          <a:avLst/>
        </a:prstGeom>
        <a:noFill/>
      </xdr:spPr>
    </xdr:pic>
    <xdr:clientData fLocksWithSheet="0"/>
  </xdr:oneCellAnchor>
  <xdr:oneCellAnchor>
    <xdr:from>
      <xdr:col>6</xdr:col>
      <xdr:colOff>38100</xdr:colOff>
      <xdr:row>1955</xdr:row>
      <xdr:rowOff>38100</xdr:rowOff>
    </xdr:from>
    <xdr:ext cx="47625" cy="514350"/>
    <xdr:pic>
      <xdr:nvPicPr>
        <xdr:cNvPr id="0" name="image1003.jpg"/>
        <xdr:cNvPicPr preferRelativeResize="0"/>
      </xdr:nvPicPr>
      <xdr:blipFill>
        <a:blip cstate="print" r:embed="rId1012"/>
        <a:stretch>
          <a:fillRect/>
        </a:stretch>
      </xdr:blipFill>
      <xdr:spPr>
        <a:prstGeom prst="rect">
          <a:avLst/>
        </a:prstGeom>
        <a:noFill/>
      </xdr:spPr>
    </xdr:pic>
    <xdr:clientData fLocksWithSheet="0"/>
  </xdr:oneCellAnchor>
  <xdr:oneCellAnchor>
    <xdr:from>
      <xdr:col>6</xdr:col>
      <xdr:colOff>38100</xdr:colOff>
      <xdr:row>1956</xdr:row>
      <xdr:rowOff>38100</xdr:rowOff>
    </xdr:from>
    <xdr:ext cx="47625" cy="514350"/>
    <xdr:pic>
      <xdr:nvPicPr>
        <xdr:cNvPr id="0" name="image1003.jpg"/>
        <xdr:cNvPicPr preferRelativeResize="0"/>
      </xdr:nvPicPr>
      <xdr:blipFill>
        <a:blip cstate="print" r:embed="rId1012"/>
        <a:stretch>
          <a:fillRect/>
        </a:stretch>
      </xdr:blipFill>
      <xdr:spPr>
        <a:prstGeom prst="rect">
          <a:avLst/>
        </a:prstGeom>
        <a:noFill/>
      </xdr:spPr>
    </xdr:pic>
    <xdr:clientData fLocksWithSheet="0"/>
  </xdr:oneCellAnchor>
  <xdr:oneCellAnchor>
    <xdr:from>
      <xdr:col>6</xdr:col>
      <xdr:colOff>38100</xdr:colOff>
      <xdr:row>1957</xdr:row>
      <xdr:rowOff>38100</xdr:rowOff>
    </xdr:from>
    <xdr:ext cx="47625" cy="514350"/>
    <xdr:pic>
      <xdr:nvPicPr>
        <xdr:cNvPr id="0" name="image1003.jpg"/>
        <xdr:cNvPicPr preferRelativeResize="0"/>
      </xdr:nvPicPr>
      <xdr:blipFill>
        <a:blip cstate="print" r:embed="rId1012"/>
        <a:stretch>
          <a:fillRect/>
        </a:stretch>
      </xdr:blipFill>
      <xdr:spPr>
        <a:prstGeom prst="rect">
          <a:avLst/>
        </a:prstGeom>
        <a:noFill/>
      </xdr:spPr>
    </xdr:pic>
    <xdr:clientData fLocksWithSheet="0"/>
  </xdr:oneCellAnchor>
  <xdr:oneCellAnchor>
    <xdr:from>
      <xdr:col>6</xdr:col>
      <xdr:colOff>38100</xdr:colOff>
      <xdr:row>1958</xdr:row>
      <xdr:rowOff>38100</xdr:rowOff>
    </xdr:from>
    <xdr:ext cx="47625" cy="514350"/>
    <xdr:pic>
      <xdr:nvPicPr>
        <xdr:cNvPr id="0" name="image1003.jpg"/>
        <xdr:cNvPicPr preferRelativeResize="0"/>
      </xdr:nvPicPr>
      <xdr:blipFill>
        <a:blip cstate="print" r:embed="rId1012"/>
        <a:stretch>
          <a:fillRect/>
        </a:stretch>
      </xdr:blipFill>
      <xdr:spPr>
        <a:prstGeom prst="rect">
          <a:avLst/>
        </a:prstGeom>
        <a:noFill/>
      </xdr:spPr>
    </xdr:pic>
    <xdr:clientData fLocksWithSheet="0"/>
  </xdr:oneCellAnchor>
  <xdr:oneCellAnchor>
    <xdr:from>
      <xdr:col>6</xdr:col>
      <xdr:colOff>38100</xdr:colOff>
      <xdr:row>1959</xdr:row>
      <xdr:rowOff>38100</xdr:rowOff>
    </xdr:from>
    <xdr:ext cx="533400" cy="514350"/>
    <xdr:pic>
      <xdr:nvPicPr>
        <xdr:cNvPr id="0" name="image1014.jpg"/>
        <xdr:cNvPicPr preferRelativeResize="0"/>
      </xdr:nvPicPr>
      <xdr:blipFill>
        <a:blip cstate="print" r:embed="rId1013"/>
        <a:stretch>
          <a:fillRect/>
        </a:stretch>
      </xdr:blipFill>
      <xdr:spPr>
        <a:prstGeom prst="rect">
          <a:avLst/>
        </a:prstGeom>
        <a:noFill/>
      </xdr:spPr>
    </xdr:pic>
    <xdr:clientData fLocksWithSheet="0"/>
  </xdr:oneCellAnchor>
  <xdr:oneCellAnchor>
    <xdr:from>
      <xdr:col>6</xdr:col>
      <xdr:colOff>38100</xdr:colOff>
      <xdr:row>1960</xdr:row>
      <xdr:rowOff>38100</xdr:rowOff>
    </xdr:from>
    <xdr:ext cx="533400" cy="514350"/>
    <xdr:pic>
      <xdr:nvPicPr>
        <xdr:cNvPr id="0" name="image1014.jpg"/>
        <xdr:cNvPicPr preferRelativeResize="0"/>
      </xdr:nvPicPr>
      <xdr:blipFill>
        <a:blip cstate="print" r:embed="rId1013"/>
        <a:stretch>
          <a:fillRect/>
        </a:stretch>
      </xdr:blipFill>
      <xdr:spPr>
        <a:prstGeom prst="rect">
          <a:avLst/>
        </a:prstGeom>
        <a:noFill/>
      </xdr:spPr>
    </xdr:pic>
    <xdr:clientData fLocksWithSheet="0"/>
  </xdr:oneCellAnchor>
  <xdr:oneCellAnchor>
    <xdr:from>
      <xdr:col>6</xdr:col>
      <xdr:colOff>38100</xdr:colOff>
      <xdr:row>1961</xdr:row>
      <xdr:rowOff>38100</xdr:rowOff>
    </xdr:from>
    <xdr:ext cx="533400" cy="514350"/>
    <xdr:pic>
      <xdr:nvPicPr>
        <xdr:cNvPr id="0" name="image1014.jpg"/>
        <xdr:cNvPicPr preferRelativeResize="0"/>
      </xdr:nvPicPr>
      <xdr:blipFill>
        <a:blip cstate="print" r:embed="rId1013"/>
        <a:stretch>
          <a:fillRect/>
        </a:stretch>
      </xdr:blipFill>
      <xdr:spPr>
        <a:prstGeom prst="rect">
          <a:avLst/>
        </a:prstGeom>
        <a:noFill/>
      </xdr:spPr>
    </xdr:pic>
    <xdr:clientData fLocksWithSheet="0"/>
  </xdr:oneCellAnchor>
  <xdr:oneCellAnchor>
    <xdr:from>
      <xdr:col>6</xdr:col>
      <xdr:colOff>38100</xdr:colOff>
      <xdr:row>1962</xdr:row>
      <xdr:rowOff>38100</xdr:rowOff>
    </xdr:from>
    <xdr:ext cx="533400" cy="514350"/>
    <xdr:pic>
      <xdr:nvPicPr>
        <xdr:cNvPr id="0" name="image1014.jpg"/>
        <xdr:cNvPicPr preferRelativeResize="0"/>
      </xdr:nvPicPr>
      <xdr:blipFill>
        <a:blip cstate="print" r:embed="rId1013"/>
        <a:stretch>
          <a:fillRect/>
        </a:stretch>
      </xdr:blipFill>
      <xdr:spPr>
        <a:prstGeom prst="rect">
          <a:avLst/>
        </a:prstGeom>
        <a:noFill/>
      </xdr:spPr>
    </xdr:pic>
    <xdr:clientData fLocksWithSheet="0"/>
  </xdr:oneCellAnchor>
  <xdr:oneCellAnchor>
    <xdr:from>
      <xdr:col>6</xdr:col>
      <xdr:colOff>38100</xdr:colOff>
      <xdr:row>1963</xdr:row>
      <xdr:rowOff>38100</xdr:rowOff>
    </xdr:from>
    <xdr:ext cx="533400" cy="514350"/>
    <xdr:pic>
      <xdr:nvPicPr>
        <xdr:cNvPr id="0" name="image1014.jpg"/>
        <xdr:cNvPicPr preferRelativeResize="0"/>
      </xdr:nvPicPr>
      <xdr:blipFill>
        <a:blip cstate="print" r:embed="rId1013"/>
        <a:stretch>
          <a:fillRect/>
        </a:stretch>
      </xdr:blipFill>
      <xdr:spPr>
        <a:prstGeom prst="rect">
          <a:avLst/>
        </a:prstGeom>
        <a:noFill/>
      </xdr:spPr>
    </xdr:pic>
    <xdr:clientData fLocksWithSheet="0"/>
  </xdr:oneCellAnchor>
  <xdr:oneCellAnchor>
    <xdr:from>
      <xdr:col>6</xdr:col>
      <xdr:colOff>38100</xdr:colOff>
      <xdr:row>1964</xdr:row>
      <xdr:rowOff>38100</xdr:rowOff>
    </xdr:from>
    <xdr:ext cx="533400" cy="514350"/>
    <xdr:pic>
      <xdr:nvPicPr>
        <xdr:cNvPr id="0" name="image1014.jpg"/>
        <xdr:cNvPicPr preferRelativeResize="0"/>
      </xdr:nvPicPr>
      <xdr:blipFill>
        <a:blip cstate="print" r:embed="rId1013"/>
        <a:stretch>
          <a:fillRect/>
        </a:stretch>
      </xdr:blipFill>
      <xdr:spPr>
        <a:prstGeom prst="rect">
          <a:avLst/>
        </a:prstGeom>
        <a:noFill/>
      </xdr:spPr>
    </xdr:pic>
    <xdr:clientData fLocksWithSheet="0"/>
  </xdr:oneCellAnchor>
  <xdr:oneCellAnchor>
    <xdr:from>
      <xdr:col>6</xdr:col>
      <xdr:colOff>38100</xdr:colOff>
      <xdr:row>1965</xdr:row>
      <xdr:rowOff>38100</xdr:rowOff>
    </xdr:from>
    <xdr:ext cx="304800" cy="361950"/>
    <xdr:pic>
      <xdr:nvPicPr>
        <xdr:cNvPr id="0" name="image990.jpg"/>
        <xdr:cNvPicPr preferRelativeResize="0"/>
      </xdr:nvPicPr>
      <xdr:blipFill>
        <a:blip cstate="print" r:embed="rId1014"/>
        <a:stretch>
          <a:fillRect/>
        </a:stretch>
      </xdr:blipFill>
      <xdr:spPr>
        <a:prstGeom prst="rect">
          <a:avLst/>
        </a:prstGeom>
        <a:noFill/>
      </xdr:spPr>
    </xdr:pic>
    <xdr:clientData fLocksWithSheet="0"/>
  </xdr:oneCellAnchor>
  <xdr:oneCellAnchor>
    <xdr:from>
      <xdr:col>6</xdr:col>
      <xdr:colOff>38100</xdr:colOff>
      <xdr:row>1966</xdr:row>
      <xdr:rowOff>38100</xdr:rowOff>
    </xdr:from>
    <xdr:ext cx="304800" cy="361950"/>
    <xdr:pic>
      <xdr:nvPicPr>
        <xdr:cNvPr id="0" name="image990.jpg"/>
        <xdr:cNvPicPr preferRelativeResize="0"/>
      </xdr:nvPicPr>
      <xdr:blipFill>
        <a:blip cstate="print" r:embed="rId1014"/>
        <a:stretch>
          <a:fillRect/>
        </a:stretch>
      </xdr:blipFill>
      <xdr:spPr>
        <a:prstGeom prst="rect">
          <a:avLst/>
        </a:prstGeom>
        <a:noFill/>
      </xdr:spPr>
    </xdr:pic>
    <xdr:clientData fLocksWithSheet="0"/>
  </xdr:oneCellAnchor>
  <xdr:oneCellAnchor>
    <xdr:from>
      <xdr:col>6</xdr:col>
      <xdr:colOff>38100</xdr:colOff>
      <xdr:row>1967</xdr:row>
      <xdr:rowOff>38100</xdr:rowOff>
    </xdr:from>
    <xdr:ext cx="304800" cy="361950"/>
    <xdr:pic>
      <xdr:nvPicPr>
        <xdr:cNvPr id="0" name="image990.jpg"/>
        <xdr:cNvPicPr preferRelativeResize="0"/>
      </xdr:nvPicPr>
      <xdr:blipFill>
        <a:blip cstate="print" r:embed="rId1014"/>
        <a:stretch>
          <a:fillRect/>
        </a:stretch>
      </xdr:blipFill>
      <xdr:spPr>
        <a:prstGeom prst="rect">
          <a:avLst/>
        </a:prstGeom>
        <a:noFill/>
      </xdr:spPr>
    </xdr:pic>
    <xdr:clientData fLocksWithSheet="0"/>
  </xdr:oneCellAnchor>
  <xdr:oneCellAnchor>
    <xdr:from>
      <xdr:col>6</xdr:col>
      <xdr:colOff>38100</xdr:colOff>
      <xdr:row>1968</xdr:row>
      <xdr:rowOff>38100</xdr:rowOff>
    </xdr:from>
    <xdr:ext cx="304800" cy="361950"/>
    <xdr:pic>
      <xdr:nvPicPr>
        <xdr:cNvPr id="0" name="image990.jpg"/>
        <xdr:cNvPicPr preferRelativeResize="0"/>
      </xdr:nvPicPr>
      <xdr:blipFill>
        <a:blip cstate="print" r:embed="rId1014"/>
        <a:stretch>
          <a:fillRect/>
        </a:stretch>
      </xdr:blipFill>
      <xdr:spPr>
        <a:prstGeom prst="rect">
          <a:avLst/>
        </a:prstGeom>
        <a:noFill/>
      </xdr:spPr>
    </xdr:pic>
    <xdr:clientData fLocksWithSheet="0"/>
  </xdr:oneCellAnchor>
  <xdr:oneCellAnchor>
    <xdr:from>
      <xdr:col>6</xdr:col>
      <xdr:colOff>38100</xdr:colOff>
      <xdr:row>1969</xdr:row>
      <xdr:rowOff>38100</xdr:rowOff>
    </xdr:from>
    <xdr:ext cx="400050" cy="381000"/>
    <xdr:pic>
      <xdr:nvPicPr>
        <xdr:cNvPr id="0" name="image1087.jpg"/>
        <xdr:cNvPicPr preferRelativeResize="0"/>
      </xdr:nvPicPr>
      <xdr:blipFill>
        <a:blip cstate="print" r:embed="rId1015"/>
        <a:stretch>
          <a:fillRect/>
        </a:stretch>
      </xdr:blipFill>
      <xdr:spPr>
        <a:prstGeom prst="rect">
          <a:avLst/>
        </a:prstGeom>
        <a:noFill/>
      </xdr:spPr>
    </xdr:pic>
    <xdr:clientData fLocksWithSheet="0"/>
  </xdr:oneCellAnchor>
  <xdr:oneCellAnchor>
    <xdr:from>
      <xdr:col>6</xdr:col>
      <xdr:colOff>38100</xdr:colOff>
      <xdr:row>1970</xdr:row>
      <xdr:rowOff>38100</xdr:rowOff>
    </xdr:from>
    <xdr:ext cx="400050" cy="381000"/>
    <xdr:pic>
      <xdr:nvPicPr>
        <xdr:cNvPr id="0" name="image1087.jpg"/>
        <xdr:cNvPicPr preferRelativeResize="0"/>
      </xdr:nvPicPr>
      <xdr:blipFill>
        <a:blip cstate="print" r:embed="rId1015"/>
        <a:stretch>
          <a:fillRect/>
        </a:stretch>
      </xdr:blipFill>
      <xdr:spPr>
        <a:prstGeom prst="rect">
          <a:avLst/>
        </a:prstGeom>
        <a:noFill/>
      </xdr:spPr>
    </xdr:pic>
    <xdr:clientData fLocksWithSheet="0"/>
  </xdr:oneCellAnchor>
  <xdr:oneCellAnchor>
    <xdr:from>
      <xdr:col>6</xdr:col>
      <xdr:colOff>38100</xdr:colOff>
      <xdr:row>1971</xdr:row>
      <xdr:rowOff>38100</xdr:rowOff>
    </xdr:from>
    <xdr:ext cx="400050" cy="381000"/>
    <xdr:pic>
      <xdr:nvPicPr>
        <xdr:cNvPr id="0" name="image1087.jpg"/>
        <xdr:cNvPicPr preferRelativeResize="0"/>
      </xdr:nvPicPr>
      <xdr:blipFill>
        <a:blip cstate="print" r:embed="rId1015"/>
        <a:stretch>
          <a:fillRect/>
        </a:stretch>
      </xdr:blipFill>
      <xdr:spPr>
        <a:prstGeom prst="rect">
          <a:avLst/>
        </a:prstGeom>
        <a:noFill/>
      </xdr:spPr>
    </xdr:pic>
    <xdr:clientData fLocksWithSheet="0"/>
  </xdr:oneCellAnchor>
  <xdr:oneCellAnchor>
    <xdr:from>
      <xdr:col>6</xdr:col>
      <xdr:colOff>38100</xdr:colOff>
      <xdr:row>1972</xdr:row>
      <xdr:rowOff>38100</xdr:rowOff>
    </xdr:from>
    <xdr:ext cx="400050" cy="381000"/>
    <xdr:pic>
      <xdr:nvPicPr>
        <xdr:cNvPr id="0" name="image1087.jpg"/>
        <xdr:cNvPicPr preferRelativeResize="0"/>
      </xdr:nvPicPr>
      <xdr:blipFill>
        <a:blip cstate="print" r:embed="rId1015"/>
        <a:stretch>
          <a:fillRect/>
        </a:stretch>
      </xdr:blipFill>
      <xdr:spPr>
        <a:prstGeom prst="rect">
          <a:avLst/>
        </a:prstGeom>
        <a:noFill/>
      </xdr:spPr>
    </xdr:pic>
    <xdr:clientData fLocksWithSheet="0"/>
  </xdr:oneCellAnchor>
  <xdr:oneCellAnchor>
    <xdr:from>
      <xdr:col>6</xdr:col>
      <xdr:colOff>38100</xdr:colOff>
      <xdr:row>1973</xdr:row>
      <xdr:rowOff>38100</xdr:rowOff>
    </xdr:from>
    <xdr:ext cx="400050" cy="381000"/>
    <xdr:pic>
      <xdr:nvPicPr>
        <xdr:cNvPr id="0" name="image1087.jpg"/>
        <xdr:cNvPicPr preferRelativeResize="0"/>
      </xdr:nvPicPr>
      <xdr:blipFill>
        <a:blip cstate="print" r:embed="rId1015"/>
        <a:stretch>
          <a:fillRect/>
        </a:stretch>
      </xdr:blipFill>
      <xdr:spPr>
        <a:prstGeom prst="rect">
          <a:avLst/>
        </a:prstGeom>
        <a:noFill/>
      </xdr:spPr>
    </xdr:pic>
    <xdr:clientData fLocksWithSheet="0"/>
  </xdr:oneCellAnchor>
  <xdr:oneCellAnchor>
    <xdr:from>
      <xdr:col>6</xdr:col>
      <xdr:colOff>38100</xdr:colOff>
      <xdr:row>1974</xdr:row>
      <xdr:rowOff>38100</xdr:rowOff>
    </xdr:from>
    <xdr:ext cx="400050" cy="381000"/>
    <xdr:pic>
      <xdr:nvPicPr>
        <xdr:cNvPr id="0" name="image1087.jpg"/>
        <xdr:cNvPicPr preferRelativeResize="0"/>
      </xdr:nvPicPr>
      <xdr:blipFill>
        <a:blip cstate="print" r:embed="rId1015"/>
        <a:stretch>
          <a:fillRect/>
        </a:stretch>
      </xdr:blipFill>
      <xdr:spPr>
        <a:prstGeom prst="rect">
          <a:avLst/>
        </a:prstGeom>
        <a:noFill/>
      </xdr:spPr>
    </xdr:pic>
    <xdr:clientData fLocksWithSheet="0"/>
  </xdr:oneCellAnchor>
  <xdr:oneCellAnchor>
    <xdr:from>
      <xdr:col>6</xdr:col>
      <xdr:colOff>38100</xdr:colOff>
      <xdr:row>1975</xdr:row>
      <xdr:rowOff>38100</xdr:rowOff>
    </xdr:from>
    <xdr:ext cx="400050" cy="381000"/>
    <xdr:pic>
      <xdr:nvPicPr>
        <xdr:cNvPr id="0" name="image1087.jpg"/>
        <xdr:cNvPicPr preferRelativeResize="0"/>
      </xdr:nvPicPr>
      <xdr:blipFill>
        <a:blip cstate="print" r:embed="rId1015"/>
        <a:stretch>
          <a:fillRect/>
        </a:stretch>
      </xdr:blipFill>
      <xdr:spPr>
        <a:prstGeom prst="rect">
          <a:avLst/>
        </a:prstGeom>
        <a:noFill/>
      </xdr:spPr>
    </xdr:pic>
    <xdr:clientData fLocksWithSheet="0"/>
  </xdr:oneCellAnchor>
  <xdr:oneCellAnchor>
    <xdr:from>
      <xdr:col>6</xdr:col>
      <xdr:colOff>38100</xdr:colOff>
      <xdr:row>1976</xdr:row>
      <xdr:rowOff>38100</xdr:rowOff>
    </xdr:from>
    <xdr:ext cx="647700" cy="419100"/>
    <xdr:pic>
      <xdr:nvPicPr>
        <xdr:cNvPr id="0" name="image1005.jpg"/>
        <xdr:cNvPicPr preferRelativeResize="0"/>
      </xdr:nvPicPr>
      <xdr:blipFill>
        <a:blip cstate="print" r:embed="rId1016"/>
        <a:stretch>
          <a:fillRect/>
        </a:stretch>
      </xdr:blipFill>
      <xdr:spPr>
        <a:prstGeom prst="rect">
          <a:avLst/>
        </a:prstGeom>
        <a:noFill/>
      </xdr:spPr>
    </xdr:pic>
    <xdr:clientData fLocksWithSheet="0"/>
  </xdr:oneCellAnchor>
  <xdr:oneCellAnchor>
    <xdr:from>
      <xdr:col>6</xdr:col>
      <xdr:colOff>38100</xdr:colOff>
      <xdr:row>1977</xdr:row>
      <xdr:rowOff>38100</xdr:rowOff>
    </xdr:from>
    <xdr:ext cx="647700" cy="419100"/>
    <xdr:pic>
      <xdr:nvPicPr>
        <xdr:cNvPr id="0" name="image1005.jpg"/>
        <xdr:cNvPicPr preferRelativeResize="0"/>
      </xdr:nvPicPr>
      <xdr:blipFill>
        <a:blip cstate="print" r:embed="rId1016"/>
        <a:stretch>
          <a:fillRect/>
        </a:stretch>
      </xdr:blipFill>
      <xdr:spPr>
        <a:prstGeom prst="rect">
          <a:avLst/>
        </a:prstGeom>
        <a:noFill/>
      </xdr:spPr>
    </xdr:pic>
    <xdr:clientData fLocksWithSheet="0"/>
  </xdr:oneCellAnchor>
  <xdr:oneCellAnchor>
    <xdr:from>
      <xdr:col>6</xdr:col>
      <xdr:colOff>38100</xdr:colOff>
      <xdr:row>1978</xdr:row>
      <xdr:rowOff>38100</xdr:rowOff>
    </xdr:from>
    <xdr:ext cx="647700" cy="419100"/>
    <xdr:pic>
      <xdr:nvPicPr>
        <xdr:cNvPr id="0" name="image1005.jpg"/>
        <xdr:cNvPicPr preferRelativeResize="0"/>
      </xdr:nvPicPr>
      <xdr:blipFill>
        <a:blip cstate="print" r:embed="rId1016"/>
        <a:stretch>
          <a:fillRect/>
        </a:stretch>
      </xdr:blipFill>
      <xdr:spPr>
        <a:prstGeom prst="rect">
          <a:avLst/>
        </a:prstGeom>
        <a:noFill/>
      </xdr:spPr>
    </xdr:pic>
    <xdr:clientData fLocksWithSheet="0"/>
  </xdr:oneCellAnchor>
  <xdr:oneCellAnchor>
    <xdr:from>
      <xdr:col>6</xdr:col>
      <xdr:colOff>38100</xdr:colOff>
      <xdr:row>1979</xdr:row>
      <xdr:rowOff>38100</xdr:rowOff>
    </xdr:from>
    <xdr:ext cx="647700" cy="419100"/>
    <xdr:pic>
      <xdr:nvPicPr>
        <xdr:cNvPr id="0" name="image1005.jpg"/>
        <xdr:cNvPicPr preferRelativeResize="0"/>
      </xdr:nvPicPr>
      <xdr:blipFill>
        <a:blip cstate="print" r:embed="rId1016"/>
        <a:stretch>
          <a:fillRect/>
        </a:stretch>
      </xdr:blipFill>
      <xdr:spPr>
        <a:prstGeom prst="rect">
          <a:avLst/>
        </a:prstGeom>
        <a:noFill/>
      </xdr:spPr>
    </xdr:pic>
    <xdr:clientData fLocksWithSheet="0"/>
  </xdr:oneCellAnchor>
  <xdr:oneCellAnchor>
    <xdr:from>
      <xdr:col>6</xdr:col>
      <xdr:colOff>38100</xdr:colOff>
      <xdr:row>1980</xdr:row>
      <xdr:rowOff>38100</xdr:rowOff>
    </xdr:from>
    <xdr:ext cx="647700" cy="419100"/>
    <xdr:pic>
      <xdr:nvPicPr>
        <xdr:cNvPr id="0" name="image1005.jpg"/>
        <xdr:cNvPicPr preferRelativeResize="0"/>
      </xdr:nvPicPr>
      <xdr:blipFill>
        <a:blip cstate="print" r:embed="rId1016"/>
        <a:stretch>
          <a:fillRect/>
        </a:stretch>
      </xdr:blipFill>
      <xdr:spPr>
        <a:prstGeom prst="rect">
          <a:avLst/>
        </a:prstGeom>
        <a:noFill/>
      </xdr:spPr>
    </xdr:pic>
    <xdr:clientData fLocksWithSheet="0"/>
  </xdr:oneCellAnchor>
  <xdr:oneCellAnchor>
    <xdr:from>
      <xdr:col>6</xdr:col>
      <xdr:colOff>38100</xdr:colOff>
      <xdr:row>1981</xdr:row>
      <xdr:rowOff>38100</xdr:rowOff>
    </xdr:from>
    <xdr:ext cx="647700" cy="381000"/>
    <xdr:pic>
      <xdr:nvPicPr>
        <xdr:cNvPr id="0" name="image1007.jpg"/>
        <xdr:cNvPicPr preferRelativeResize="0"/>
      </xdr:nvPicPr>
      <xdr:blipFill>
        <a:blip cstate="print" r:embed="rId1017"/>
        <a:stretch>
          <a:fillRect/>
        </a:stretch>
      </xdr:blipFill>
      <xdr:spPr>
        <a:prstGeom prst="rect">
          <a:avLst/>
        </a:prstGeom>
        <a:noFill/>
      </xdr:spPr>
    </xdr:pic>
    <xdr:clientData fLocksWithSheet="0"/>
  </xdr:oneCellAnchor>
  <xdr:oneCellAnchor>
    <xdr:from>
      <xdr:col>6</xdr:col>
      <xdr:colOff>38100</xdr:colOff>
      <xdr:row>1982</xdr:row>
      <xdr:rowOff>38100</xdr:rowOff>
    </xdr:from>
    <xdr:ext cx="647700" cy="381000"/>
    <xdr:pic>
      <xdr:nvPicPr>
        <xdr:cNvPr id="0" name="image1007.jpg"/>
        <xdr:cNvPicPr preferRelativeResize="0"/>
      </xdr:nvPicPr>
      <xdr:blipFill>
        <a:blip cstate="print" r:embed="rId1017"/>
        <a:stretch>
          <a:fillRect/>
        </a:stretch>
      </xdr:blipFill>
      <xdr:spPr>
        <a:prstGeom prst="rect">
          <a:avLst/>
        </a:prstGeom>
        <a:noFill/>
      </xdr:spPr>
    </xdr:pic>
    <xdr:clientData fLocksWithSheet="0"/>
  </xdr:oneCellAnchor>
  <xdr:oneCellAnchor>
    <xdr:from>
      <xdr:col>6</xdr:col>
      <xdr:colOff>38100</xdr:colOff>
      <xdr:row>1983</xdr:row>
      <xdr:rowOff>38100</xdr:rowOff>
    </xdr:from>
    <xdr:ext cx="361950" cy="266700"/>
    <xdr:pic>
      <xdr:nvPicPr>
        <xdr:cNvPr id="0" name="image1004.jpg"/>
        <xdr:cNvPicPr preferRelativeResize="0"/>
      </xdr:nvPicPr>
      <xdr:blipFill>
        <a:blip cstate="print" r:embed="rId1018"/>
        <a:stretch>
          <a:fillRect/>
        </a:stretch>
      </xdr:blipFill>
      <xdr:spPr>
        <a:prstGeom prst="rect">
          <a:avLst/>
        </a:prstGeom>
        <a:noFill/>
      </xdr:spPr>
    </xdr:pic>
    <xdr:clientData fLocksWithSheet="0"/>
  </xdr:oneCellAnchor>
  <xdr:oneCellAnchor>
    <xdr:from>
      <xdr:col>6</xdr:col>
      <xdr:colOff>38100</xdr:colOff>
      <xdr:row>1984</xdr:row>
      <xdr:rowOff>38100</xdr:rowOff>
    </xdr:from>
    <xdr:ext cx="361950" cy="266700"/>
    <xdr:pic>
      <xdr:nvPicPr>
        <xdr:cNvPr id="0" name="image1004.jpg"/>
        <xdr:cNvPicPr preferRelativeResize="0"/>
      </xdr:nvPicPr>
      <xdr:blipFill>
        <a:blip cstate="print" r:embed="rId1018"/>
        <a:stretch>
          <a:fillRect/>
        </a:stretch>
      </xdr:blipFill>
      <xdr:spPr>
        <a:prstGeom prst="rect">
          <a:avLst/>
        </a:prstGeom>
        <a:noFill/>
      </xdr:spPr>
    </xdr:pic>
    <xdr:clientData fLocksWithSheet="0"/>
  </xdr:oneCellAnchor>
  <xdr:oneCellAnchor>
    <xdr:from>
      <xdr:col>6</xdr:col>
      <xdr:colOff>38100</xdr:colOff>
      <xdr:row>1985</xdr:row>
      <xdr:rowOff>38100</xdr:rowOff>
    </xdr:from>
    <xdr:ext cx="361950" cy="266700"/>
    <xdr:pic>
      <xdr:nvPicPr>
        <xdr:cNvPr id="0" name="image1004.jpg"/>
        <xdr:cNvPicPr preferRelativeResize="0"/>
      </xdr:nvPicPr>
      <xdr:blipFill>
        <a:blip cstate="print" r:embed="rId1018"/>
        <a:stretch>
          <a:fillRect/>
        </a:stretch>
      </xdr:blipFill>
      <xdr:spPr>
        <a:prstGeom prst="rect">
          <a:avLst/>
        </a:prstGeom>
        <a:noFill/>
      </xdr:spPr>
    </xdr:pic>
    <xdr:clientData fLocksWithSheet="0"/>
  </xdr:oneCellAnchor>
  <xdr:oneCellAnchor>
    <xdr:from>
      <xdr:col>6</xdr:col>
      <xdr:colOff>38100</xdr:colOff>
      <xdr:row>1986</xdr:row>
      <xdr:rowOff>38100</xdr:rowOff>
    </xdr:from>
    <xdr:ext cx="361950" cy="266700"/>
    <xdr:pic>
      <xdr:nvPicPr>
        <xdr:cNvPr id="0" name="image1004.jpg"/>
        <xdr:cNvPicPr preferRelativeResize="0"/>
      </xdr:nvPicPr>
      <xdr:blipFill>
        <a:blip cstate="print" r:embed="rId1018"/>
        <a:stretch>
          <a:fillRect/>
        </a:stretch>
      </xdr:blipFill>
      <xdr:spPr>
        <a:prstGeom prst="rect">
          <a:avLst/>
        </a:prstGeom>
        <a:noFill/>
      </xdr:spPr>
    </xdr:pic>
    <xdr:clientData fLocksWithSheet="0"/>
  </xdr:oneCellAnchor>
  <xdr:oneCellAnchor>
    <xdr:from>
      <xdr:col>6</xdr:col>
      <xdr:colOff>38100</xdr:colOff>
      <xdr:row>1987</xdr:row>
      <xdr:rowOff>38100</xdr:rowOff>
    </xdr:from>
    <xdr:ext cx="323850" cy="371475"/>
    <xdr:pic>
      <xdr:nvPicPr>
        <xdr:cNvPr id="0" name="image1015.jpg"/>
        <xdr:cNvPicPr preferRelativeResize="0"/>
      </xdr:nvPicPr>
      <xdr:blipFill>
        <a:blip cstate="print" r:embed="rId1019"/>
        <a:stretch>
          <a:fillRect/>
        </a:stretch>
      </xdr:blipFill>
      <xdr:spPr>
        <a:prstGeom prst="rect">
          <a:avLst/>
        </a:prstGeom>
        <a:noFill/>
      </xdr:spPr>
    </xdr:pic>
    <xdr:clientData fLocksWithSheet="0"/>
  </xdr:oneCellAnchor>
  <xdr:oneCellAnchor>
    <xdr:from>
      <xdr:col>6</xdr:col>
      <xdr:colOff>38100</xdr:colOff>
      <xdr:row>1988</xdr:row>
      <xdr:rowOff>38100</xdr:rowOff>
    </xdr:from>
    <xdr:ext cx="323850" cy="371475"/>
    <xdr:pic>
      <xdr:nvPicPr>
        <xdr:cNvPr id="0" name="image1015.jpg"/>
        <xdr:cNvPicPr preferRelativeResize="0"/>
      </xdr:nvPicPr>
      <xdr:blipFill>
        <a:blip cstate="print" r:embed="rId1019"/>
        <a:stretch>
          <a:fillRect/>
        </a:stretch>
      </xdr:blipFill>
      <xdr:spPr>
        <a:prstGeom prst="rect">
          <a:avLst/>
        </a:prstGeom>
        <a:noFill/>
      </xdr:spPr>
    </xdr:pic>
    <xdr:clientData fLocksWithSheet="0"/>
  </xdr:oneCellAnchor>
  <xdr:oneCellAnchor>
    <xdr:from>
      <xdr:col>6</xdr:col>
      <xdr:colOff>38100</xdr:colOff>
      <xdr:row>1989</xdr:row>
      <xdr:rowOff>38100</xdr:rowOff>
    </xdr:from>
    <xdr:ext cx="323850" cy="371475"/>
    <xdr:pic>
      <xdr:nvPicPr>
        <xdr:cNvPr id="0" name="image1015.jpg"/>
        <xdr:cNvPicPr preferRelativeResize="0"/>
      </xdr:nvPicPr>
      <xdr:blipFill>
        <a:blip cstate="print" r:embed="rId1019"/>
        <a:stretch>
          <a:fillRect/>
        </a:stretch>
      </xdr:blipFill>
      <xdr:spPr>
        <a:prstGeom prst="rect">
          <a:avLst/>
        </a:prstGeom>
        <a:noFill/>
      </xdr:spPr>
    </xdr:pic>
    <xdr:clientData fLocksWithSheet="0"/>
  </xdr:oneCellAnchor>
  <xdr:oneCellAnchor>
    <xdr:from>
      <xdr:col>6</xdr:col>
      <xdr:colOff>38100</xdr:colOff>
      <xdr:row>1990</xdr:row>
      <xdr:rowOff>38100</xdr:rowOff>
    </xdr:from>
    <xdr:ext cx="419100" cy="314325"/>
    <xdr:pic>
      <xdr:nvPicPr>
        <xdr:cNvPr id="0" name="image1012.jpg"/>
        <xdr:cNvPicPr preferRelativeResize="0"/>
      </xdr:nvPicPr>
      <xdr:blipFill>
        <a:blip cstate="print" r:embed="rId1020"/>
        <a:stretch>
          <a:fillRect/>
        </a:stretch>
      </xdr:blipFill>
      <xdr:spPr>
        <a:prstGeom prst="rect">
          <a:avLst/>
        </a:prstGeom>
        <a:noFill/>
      </xdr:spPr>
    </xdr:pic>
    <xdr:clientData fLocksWithSheet="0"/>
  </xdr:oneCellAnchor>
  <xdr:oneCellAnchor>
    <xdr:from>
      <xdr:col>6</xdr:col>
      <xdr:colOff>38100</xdr:colOff>
      <xdr:row>1991</xdr:row>
      <xdr:rowOff>38100</xdr:rowOff>
    </xdr:from>
    <xdr:ext cx="485775" cy="266700"/>
    <xdr:pic>
      <xdr:nvPicPr>
        <xdr:cNvPr id="0" name="image1026.jpg"/>
        <xdr:cNvPicPr preferRelativeResize="0"/>
      </xdr:nvPicPr>
      <xdr:blipFill>
        <a:blip cstate="print" r:embed="rId1021"/>
        <a:stretch>
          <a:fillRect/>
        </a:stretch>
      </xdr:blipFill>
      <xdr:spPr>
        <a:prstGeom prst="rect">
          <a:avLst/>
        </a:prstGeom>
        <a:noFill/>
      </xdr:spPr>
    </xdr:pic>
    <xdr:clientData fLocksWithSheet="0"/>
  </xdr:oneCellAnchor>
  <xdr:oneCellAnchor>
    <xdr:from>
      <xdr:col>6</xdr:col>
      <xdr:colOff>38100</xdr:colOff>
      <xdr:row>1992</xdr:row>
      <xdr:rowOff>38100</xdr:rowOff>
    </xdr:from>
    <xdr:ext cx="285750" cy="285750"/>
    <xdr:pic>
      <xdr:nvPicPr>
        <xdr:cNvPr id="0" name="image1054.jpg"/>
        <xdr:cNvPicPr preferRelativeResize="0"/>
      </xdr:nvPicPr>
      <xdr:blipFill>
        <a:blip cstate="print" r:embed="rId1022"/>
        <a:stretch>
          <a:fillRect/>
        </a:stretch>
      </xdr:blipFill>
      <xdr:spPr>
        <a:prstGeom prst="rect">
          <a:avLst/>
        </a:prstGeom>
        <a:noFill/>
      </xdr:spPr>
    </xdr:pic>
    <xdr:clientData fLocksWithSheet="0"/>
  </xdr:oneCellAnchor>
  <xdr:oneCellAnchor>
    <xdr:from>
      <xdr:col>6</xdr:col>
      <xdr:colOff>38100</xdr:colOff>
      <xdr:row>1993</xdr:row>
      <xdr:rowOff>38100</xdr:rowOff>
    </xdr:from>
    <xdr:ext cx="438150" cy="266700"/>
    <xdr:pic>
      <xdr:nvPicPr>
        <xdr:cNvPr id="0" name="image1008.jpg"/>
        <xdr:cNvPicPr preferRelativeResize="0"/>
      </xdr:nvPicPr>
      <xdr:blipFill>
        <a:blip cstate="print" r:embed="rId1023"/>
        <a:stretch>
          <a:fillRect/>
        </a:stretch>
      </xdr:blipFill>
      <xdr:spPr>
        <a:prstGeom prst="rect">
          <a:avLst/>
        </a:prstGeom>
        <a:noFill/>
      </xdr:spPr>
    </xdr:pic>
    <xdr:clientData fLocksWithSheet="0"/>
  </xdr:oneCellAnchor>
  <xdr:oneCellAnchor>
    <xdr:from>
      <xdr:col>6</xdr:col>
      <xdr:colOff>38100</xdr:colOff>
      <xdr:row>1994</xdr:row>
      <xdr:rowOff>38100</xdr:rowOff>
    </xdr:from>
    <xdr:ext cx="371475" cy="333375"/>
    <xdr:pic>
      <xdr:nvPicPr>
        <xdr:cNvPr id="0" name="image1006.jpg"/>
        <xdr:cNvPicPr preferRelativeResize="0"/>
      </xdr:nvPicPr>
      <xdr:blipFill>
        <a:blip cstate="print" r:embed="rId1024"/>
        <a:stretch>
          <a:fillRect/>
        </a:stretch>
      </xdr:blipFill>
      <xdr:spPr>
        <a:prstGeom prst="rect">
          <a:avLst/>
        </a:prstGeom>
        <a:noFill/>
      </xdr:spPr>
    </xdr:pic>
    <xdr:clientData fLocksWithSheet="0"/>
  </xdr:oneCellAnchor>
  <xdr:oneCellAnchor>
    <xdr:from>
      <xdr:col>6</xdr:col>
      <xdr:colOff>38100</xdr:colOff>
      <xdr:row>1995</xdr:row>
      <xdr:rowOff>38100</xdr:rowOff>
    </xdr:from>
    <xdr:ext cx="504825" cy="514350"/>
    <xdr:pic>
      <xdr:nvPicPr>
        <xdr:cNvPr id="0" name="image1017.jpg"/>
        <xdr:cNvPicPr preferRelativeResize="0"/>
      </xdr:nvPicPr>
      <xdr:blipFill>
        <a:blip cstate="print" r:embed="rId1025"/>
        <a:stretch>
          <a:fillRect/>
        </a:stretch>
      </xdr:blipFill>
      <xdr:spPr>
        <a:prstGeom prst="rect">
          <a:avLst/>
        </a:prstGeom>
        <a:noFill/>
      </xdr:spPr>
    </xdr:pic>
    <xdr:clientData fLocksWithSheet="0"/>
  </xdr:oneCellAnchor>
  <xdr:oneCellAnchor>
    <xdr:from>
      <xdr:col>6</xdr:col>
      <xdr:colOff>38100</xdr:colOff>
      <xdr:row>1996</xdr:row>
      <xdr:rowOff>38100</xdr:rowOff>
    </xdr:from>
    <xdr:ext cx="504825" cy="514350"/>
    <xdr:pic>
      <xdr:nvPicPr>
        <xdr:cNvPr id="0" name="image1017.jpg"/>
        <xdr:cNvPicPr preferRelativeResize="0"/>
      </xdr:nvPicPr>
      <xdr:blipFill>
        <a:blip cstate="print" r:embed="rId1025"/>
        <a:stretch>
          <a:fillRect/>
        </a:stretch>
      </xdr:blipFill>
      <xdr:spPr>
        <a:prstGeom prst="rect">
          <a:avLst/>
        </a:prstGeom>
        <a:noFill/>
      </xdr:spPr>
    </xdr:pic>
    <xdr:clientData fLocksWithSheet="0"/>
  </xdr:oneCellAnchor>
  <xdr:oneCellAnchor>
    <xdr:from>
      <xdr:col>6</xdr:col>
      <xdr:colOff>38100</xdr:colOff>
      <xdr:row>1997</xdr:row>
      <xdr:rowOff>38100</xdr:rowOff>
    </xdr:from>
    <xdr:ext cx="590550" cy="514350"/>
    <xdr:pic>
      <xdr:nvPicPr>
        <xdr:cNvPr id="0" name="image1094.jpg"/>
        <xdr:cNvPicPr preferRelativeResize="0"/>
      </xdr:nvPicPr>
      <xdr:blipFill>
        <a:blip cstate="print" r:embed="rId1026"/>
        <a:stretch>
          <a:fillRect/>
        </a:stretch>
      </xdr:blipFill>
      <xdr:spPr>
        <a:prstGeom prst="rect">
          <a:avLst/>
        </a:prstGeom>
        <a:noFill/>
      </xdr:spPr>
    </xdr:pic>
    <xdr:clientData fLocksWithSheet="0"/>
  </xdr:oneCellAnchor>
  <xdr:oneCellAnchor>
    <xdr:from>
      <xdr:col>6</xdr:col>
      <xdr:colOff>38100</xdr:colOff>
      <xdr:row>1998</xdr:row>
      <xdr:rowOff>38100</xdr:rowOff>
    </xdr:from>
    <xdr:ext cx="609600" cy="514350"/>
    <xdr:pic>
      <xdr:nvPicPr>
        <xdr:cNvPr id="0" name="image1040.jpg"/>
        <xdr:cNvPicPr preferRelativeResize="0"/>
      </xdr:nvPicPr>
      <xdr:blipFill>
        <a:blip cstate="print" r:embed="rId1027"/>
        <a:stretch>
          <a:fillRect/>
        </a:stretch>
      </xdr:blipFill>
      <xdr:spPr>
        <a:prstGeom prst="rect">
          <a:avLst/>
        </a:prstGeom>
        <a:noFill/>
      </xdr:spPr>
    </xdr:pic>
    <xdr:clientData fLocksWithSheet="0"/>
  </xdr:oneCellAnchor>
  <xdr:oneCellAnchor>
    <xdr:from>
      <xdr:col>6</xdr:col>
      <xdr:colOff>38100</xdr:colOff>
      <xdr:row>1999</xdr:row>
      <xdr:rowOff>38100</xdr:rowOff>
    </xdr:from>
    <xdr:ext cx="609600" cy="514350"/>
    <xdr:pic>
      <xdr:nvPicPr>
        <xdr:cNvPr id="0" name="image1040.jpg"/>
        <xdr:cNvPicPr preferRelativeResize="0"/>
      </xdr:nvPicPr>
      <xdr:blipFill>
        <a:blip cstate="print" r:embed="rId1027"/>
        <a:stretch>
          <a:fillRect/>
        </a:stretch>
      </xdr:blipFill>
      <xdr:spPr>
        <a:prstGeom prst="rect">
          <a:avLst/>
        </a:prstGeom>
        <a:noFill/>
      </xdr:spPr>
    </xdr:pic>
    <xdr:clientData fLocksWithSheet="0"/>
  </xdr:oneCellAnchor>
  <xdr:oneCellAnchor>
    <xdr:from>
      <xdr:col>6</xdr:col>
      <xdr:colOff>38100</xdr:colOff>
      <xdr:row>2000</xdr:row>
      <xdr:rowOff>38100</xdr:rowOff>
    </xdr:from>
    <xdr:ext cx="647700" cy="495300"/>
    <xdr:pic>
      <xdr:nvPicPr>
        <xdr:cNvPr id="0" name="image1024.jpg"/>
        <xdr:cNvPicPr preferRelativeResize="0"/>
      </xdr:nvPicPr>
      <xdr:blipFill>
        <a:blip cstate="print" r:embed="rId1028"/>
        <a:stretch>
          <a:fillRect/>
        </a:stretch>
      </xdr:blipFill>
      <xdr:spPr>
        <a:prstGeom prst="rect">
          <a:avLst/>
        </a:prstGeom>
        <a:noFill/>
      </xdr:spPr>
    </xdr:pic>
    <xdr:clientData fLocksWithSheet="0"/>
  </xdr:oneCellAnchor>
  <xdr:oneCellAnchor>
    <xdr:from>
      <xdr:col>6</xdr:col>
      <xdr:colOff>38100</xdr:colOff>
      <xdr:row>2001</xdr:row>
      <xdr:rowOff>38100</xdr:rowOff>
    </xdr:from>
    <xdr:ext cx="495300" cy="514350"/>
    <xdr:pic>
      <xdr:nvPicPr>
        <xdr:cNvPr id="0" name="image1013.jpg"/>
        <xdr:cNvPicPr preferRelativeResize="0"/>
      </xdr:nvPicPr>
      <xdr:blipFill>
        <a:blip cstate="print" r:embed="rId1029"/>
        <a:stretch>
          <a:fillRect/>
        </a:stretch>
      </xdr:blipFill>
      <xdr:spPr>
        <a:prstGeom prst="rect">
          <a:avLst/>
        </a:prstGeom>
        <a:noFill/>
      </xdr:spPr>
    </xdr:pic>
    <xdr:clientData fLocksWithSheet="0"/>
  </xdr:oneCellAnchor>
  <xdr:oneCellAnchor>
    <xdr:from>
      <xdr:col>6</xdr:col>
      <xdr:colOff>38100</xdr:colOff>
      <xdr:row>2002</xdr:row>
      <xdr:rowOff>38100</xdr:rowOff>
    </xdr:from>
    <xdr:ext cx="285750" cy="438150"/>
    <xdr:pic>
      <xdr:nvPicPr>
        <xdr:cNvPr id="0" name="image1019.jpg"/>
        <xdr:cNvPicPr preferRelativeResize="0"/>
      </xdr:nvPicPr>
      <xdr:blipFill>
        <a:blip cstate="print" r:embed="rId1030"/>
        <a:stretch>
          <a:fillRect/>
        </a:stretch>
      </xdr:blipFill>
      <xdr:spPr>
        <a:prstGeom prst="rect">
          <a:avLst/>
        </a:prstGeom>
        <a:noFill/>
      </xdr:spPr>
    </xdr:pic>
    <xdr:clientData fLocksWithSheet="0"/>
  </xdr:oneCellAnchor>
  <xdr:oneCellAnchor>
    <xdr:from>
      <xdr:col>6</xdr:col>
      <xdr:colOff>38100</xdr:colOff>
      <xdr:row>2003</xdr:row>
      <xdr:rowOff>38100</xdr:rowOff>
    </xdr:from>
    <xdr:ext cx="371475" cy="361950"/>
    <xdr:pic>
      <xdr:nvPicPr>
        <xdr:cNvPr id="0" name="image1147.jpg"/>
        <xdr:cNvPicPr preferRelativeResize="0"/>
      </xdr:nvPicPr>
      <xdr:blipFill>
        <a:blip cstate="print" r:embed="rId1031"/>
        <a:stretch>
          <a:fillRect/>
        </a:stretch>
      </xdr:blipFill>
      <xdr:spPr>
        <a:prstGeom prst="rect">
          <a:avLst/>
        </a:prstGeom>
        <a:noFill/>
      </xdr:spPr>
    </xdr:pic>
    <xdr:clientData fLocksWithSheet="0"/>
  </xdr:oneCellAnchor>
  <xdr:oneCellAnchor>
    <xdr:from>
      <xdr:col>6</xdr:col>
      <xdr:colOff>38100</xdr:colOff>
      <xdr:row>2004</xdr:row>
      <xdr:rowOff>38100</xdr:rowOff>
    </xdr:from>
    <xdr:ext cx="371475" cy="361950"/>
    <xdr:pic>
      <xdr:nvPicPr>
        <xdr:cNvPr id="0" name="image1147.jpg"/>
        <xdr:cNvPicPr preferRelativeResize="0"/>
      </xdr:nvPicPr>
      <xdr:blipFill>
        <a:blip cstate="print" r:embed="rId1031"/>
        <a:stretch>
          <a:fillRect/>
        </a:stretch>
      </xdr:blipFill>
      <xdr:spPr>
        <a:prstGeom prst="rect">
          <a:avLst/>
        </a:prstGeom>
        <a:noFill/>
      </xdr:spPr>
    </xdr:pic>
    <xdr:clientData fLocksWithSheet="0"/>
  </xdr:oneCellAnchor>
  <xdr:oneCellAnchor>
    <xdr:from>
      <xdr:col>6</xdr:col>
      <xdr:colOff>38100</xdr:colOff>
      <xdr:row>2005</xdr:row>
      <xdr:rowOff>38100</xdr:rowOff>
    </xdr:from>
    <xdr:ext cx="371475" cy="361950"/>
    <xdr:pic>
      <xdr:nvPicPr>
        <xdr:cNvPr id="0" name="image1147.jpg"/>
        <xdr:cNvPicPr preferRelativeResize="0"/>
      </xdr:nvPicPr>
      <xdr:blipFill>
        <a:blip cstate="print" r:embed="rId1031"/>
        <a:stretch>
          <a:fillRect/>
        </a:stretch>
      </xdr:blipFill>
      <xdr:spPr>
        <a:prstGeom prst="rect">
          <a:avLst/>
        </a:prstGeom>
        <a:noFill/>
      </xdr:spPr>
    </xdr:pic>
    <xdr:clientData fLocksWithSheet="0"/>
  </xdr:oneCellAnchor>
  <xdr:oneCellAnchor>
    <xdr:from>
      <xdr:col>6</xdr:col>
      <xdr:colOff>38100</xdr:colOff>
      <xdr:row>2006</xdr:row>
      <xdr:rowOff>38100</xdr:rowOff>
    </xdr:from>
    <xdr:ext cx="495300" cy="361950"/>
    <xdr:pic>
      <xdr:nvPicPr>
        <xdr:cNvPr id="0" name="image1119.jpg"/>
        <xdr:cNvPicPr preferRelativeResize="0"/>
      </xdr:nvPicPr>
      <xdr:blipFill>
        <a:blip cstate="print" r:embed="rId1032"/>
        <a:stretch>
          <a:fillRect/>
        </a:stretch>
      </xdr:blipFill>
      <xdr:spPr>
        <a:prstGeom prst="rect">
          <a:avLst/>
        </a:prstGeom>
        <a:noFill/>
      </xdr:spPr>
    </xdr:pic>
    <xdr:clientData fLocksWithSheet="0"/>
  </xdr:oneCellAnchor>
  <xdr:oneCellAnchor>
    <xdr:from>
      <xdr:col>6</xdr:col>
      <xdr:colOff>38100</xdr:colOff>
      <xdr:row>2007</xdr:row>
      <xdr:rowOff>38100</xdr:rowOff>
    </xdr:from>
    <xdr:ext cx="542925" cy="361950"/>
    <xdr:pic>
      <xdr:nvPicPr>
        <xdr:cNvPr id="0" name="image1023.jpg"/>
        <xdr:cNvPicPr preferRelativeResize="0"/>
      </xdr:nvPicPr>
      <xdr:blipFill>
        <a:blip cstate="print" r:embed="rId1033"/>
        <a:stretch>
          <a:fillRect/>
        </a:stretch>
      </xdr:blipFill>
      <xdr:spPr>
        <a:prstGeom prst="rect">
          <a:avLst/>
        </a:prstGeom>
        <a:noFill/>
      </xdr:spPr>
    </xdr:pic>
    <xdr:clientData fLocksWithSheet="0"/>
  </xdr:oneCellAnchor>
  <xdr:oneCellAnchor>
    <xdr:from>
      <xdr:col>6</xdr:col>
      <xdr:colOff>38100</xdr:colOff>
      <xdr:row>2008</xdr:row>
      <xdr:rowOff>38100</xdr:rowOff>
    </xdr:from>
    <xdr:ext cx="542925" cy="361950"/>
    <xdr:pic>
      <xdr:nvPicPr>
        <xdr:cNvPr id="0" name="image1023.jpg"/>
        <xdr:cNvPicPr preferRelativeResize="0"/>
      </xdr:nvPicPr>
      <xdr:blipFill>
        <a:blip cstate="print" r:embed="rId1033"/>
        <a:stretch>
          <a:fillRect/>
        </a:stretch>
      </xdr:blipFill>
      <xdr:spPr>
        <a:prstGeom prst="rect">
          <a:avLst/>
        </a:prstGeom>
        <a:noFill/>
      </xdr:spPr>
    </xdr:pic>
    <xdr:clientData fLocksWithSheet="0"/>
  </xdr:oneCellAnchor>
  <xdr:oneCellAnchor>
    <xdr:from>
      <xdr:col>6</xdr:col>
      <xdr:colOff>38100</xdr:colOff>
      <xdr:row>2009</xdr:row>
      <xdr:rowOff>38100</xdr:rowOff>
    </xdr:from>
    <xdr:ext cx="542925" cy="361950"/>
    <xdr:pic>
      <xdr:nvPicPr>
        <xdr:cNvPr id="0" name="image1023.jpg"/>
        <xdr:cNvPicPr preferRelativeResize="0"/>
      </xdr:nvPicPr>
      <xdr:blipFill>
        <a:blip cstate="print" r:embed="rId1033"/>
        <a:stretch>
          <a:fillRect/>
        </a:stretch>
      </xdr:blipFill>
      <xdr:spPr>
        <a:prstGeom prst="rect">
          <a:avLst/>
        </a:prstGeom>
        <a:noFill/>
      </xdr:spPr>
    </xdr:pic>
    <xdr:clientData fLocksWithSheet="0"/>
  </xdr:oneCellAnchor>
  <xdr:oneCellAnchor>
    <xdr:from>
      <xdr:col>6</xdr:col>
      <xdr:colOff>38100</xdr:colOff>
      <xdr:row>2010</xdr:row>
      <xdr:rowOff>38100</xdr:rowOff>
    </xdr:from>
    <xdr:ext cx="495300" cy="514350"/>
    <xdr:pic>
      <xdr:nvPicPr>
        <xdr:cNvPr id="0" name="image1020.jpg"/>
        <xdr:cNvPicPr preferRelativeResize="0"/>
      </xdr:nvPicPr>
      <xdr:blipFill>
        <a:blip cstate="print" r:embed="rId1034"/>
        <a:stretch>
          <a:fillRect/>
        </a:stretch>
      </xdr:blipFill>
      <xdr:spPr>
        <a:prstGeom prst="rect">
          <a:avLst/>
        </a:prstGeom>
        <a:noFill/>
      </xdr:spPr>
    </xdr:pic>
    <xdr:clientData fLocksWithSheet="0"/>
  </xdr:oneCellAnchor>
  <xdr:oneCellAnchor>
    <xdr:from>
      <xdr:col>6</xdr:col>
      <xdr:colOff>38100</xdr:colOff>
      <xdr:row>2011</xdr:row>
      <xdr:rowOff>38100</xdr:rowOff>
    </xdr:from>
    <xdr:ext cx="495300" cy="514350"/>
    <xdr:pic>
      <xdr:nvPicPr>
        <xdr:cNvPr id="0" name="image1020.jpg"/>
        <xdr:cNvPicPr preferRelativeResize="0"/>
      </xdr:nvPicPr>
      <xdr:blipFill>
        <a:blip cstate="print" r:embed="rId1034"/>
        <a:stretch>
          <a:fillRect/>
        </a:stretch>
      </xdr:blipFill>
      <xdr:spPr>
        <a:prstGeom prst="rect">
          <a:avLst/>
        </a:prstGeom>
        <a:noFill/>
      </xdr:spPr>
    </xdr:pic>
    <xdr:clientData fLocksWithSheet="0"/>
  </xdr:oneCellAnchor>
  <xdr:oneCellAnchor>
    <xdr:from>
      <xdr:col>6</xdr:col>
      <xdr:colOff>38100</xdr:colOff>
      <xdr:row>2012</xdr:row>
      <xdr:rowOff>38100</xdr:rowOff>
    </xdr:from>
    <xdr:ext cx="466725" cy="514350"/>
    <xdr:pic>
      <xdr:nvPicPr>
        <xdr:cNvPr id="0" name="image1104.jpg"/>
        <xdr:cNvPicPr preferRelativeResize="0"/>
      </xdr:nvPicPr>
      <xdr:blipFill>
        <a:blip cstate="print" r:embed="rId1035"/>
        <a:stretch>
          <a:fillRect/>
        </a:stretch>
      </xdr:blipFill>
      <xdr:spPr>
        <a:prstGeom prst="rect">
          <a:avLst/>
        </a:prstGeom>
        <a:noFill/>
      </xdr:spPr>
    </xdr:pic>
    <xdr:clientData fLocksWithSheet="0"/>
  </xdr:oneCellAnchor>
  <xdr:oneCellAnchor>
    <xdr:from>
      <xdr:col>6</xdr:col>
      <xdr:colOff>38100</xdr:colOff>
      <xdr:row>2013</xdr:row>
      <xdr:rowOff>38100</xdr:rowOff>
    </xdr:from>
    <xdr:ext cx="514350" cy="514350"/>
    <xdr:pic>
      <xdr:nvPicPr>
        <xdr:cNvPr id="0" name="image1018.jpg"/>
        <xdr:cNvPicPr preferRelativeResize="0"/>
      </xdr:nvPicPr>
      <xdr:blipFill>
        <a:blip cstate="print" r:embed="rId1036"/>
        <a:stretch>
          <a:fillRect/>
        </a:stretch>
      </xdr:blipFill>
      <xdr:spPr>
        <a:prstGeom prst="rect">
          <a:avLst/>
        </a:prstGeom>
        <a:noFill/>
      </xdr:spPr>
    </xdr:pic>
    <xdr:clientData fLocksWithSheet="0"/>
  </xdr:oneCellAnchor>
  <xdr:oneCellAnchor>
    <xdr:from>
      <xdr:col>6</xdr:col>
      <xdr:colOff>38100</xdr:colOff>
      <xdr:row>2014</xdr:row>
      <xdr:rowOff>38100</xdr:rowOff>
    </xdr:from>
    <xdr:ext cx="514350" cy="514350"/>
    <xdr:pic>
      <xdr:nvPicPr>
        <xdr:cNvPr id="0" name="image1018.jpg"/>
        <xdr:cNvPicPr preferRelativeResize="0"/>
      </xdr:nvPicPr>
      <xdr:blipFill>
        <a:blip cstate="print" r:embed="rId1036"/>
        <a:stretch>
          <a:fillRect/>
        </a:stretch>
      </xdr:blipFill>
      <xdr:spPr>
        <a:prstGeom prst="rect">
          <a:avLst/>
        </a:prstGeom>
        <a:noFill/>
      </xdr:spPr>
    </xdr:pic>
    <xdr:clientData fLocksWithSheet="0"/>
  </xdr:oneCellAnchor>
  <xdr:oneCellAnchor>
    <xdr:from>
      <xdr:col>6</xdr:col>
      <xdr:colOff>38100</xdr:colOff>
      <xdr:row>2015</xdr:row>
      <xdr:rowOff>38100</xdr:rowOff>
    </xdr:from>
    <xdr:ext cx="390525" cy="514350"/>
    <xdr:pic>
      <xdr:nvPicPr>
        <xdr:cNvPr id="0" name="image1035.jpg"/>
        <xdr:cNvPicPr preferRelativeResize="0"/>
      </xdr:nvPicPr>
      <xdr:blipFill>
        <a:blip cstate="print" r:embed="rId1037"/>
        <a:stretch>
          <a:fillRect/>
        </a:stretch>
      </xdr:blipFill>
      <xdr:spPr>
        <a:prstGeom prst="rect">
          <a:avLst/>
        </a:prstGeom>
        <a:noFill/>
      </xdr:spPr>
    </xdr:pic>
    <xdr:clientData fLocksWithSheet="0"/>
  </xdr:oneCellAnchor>
  <xdr:oneCellAnchor>
    <xdr:from>
      <xdr:col>6</xdr:col>
      <xdr:colOff>38100</xdr:colOff>
      <xdr:row>2016</xdr:row>
      <xdr:rowOff>38100</xdr:rowOff>
    </xdr:from>
    <xdr:ext cx="390525" cy="514350"/>
    <xdr:pic>
      <xdr:nvPicPr>
        <xdr:cNvPr id="0" name="image1035.jpg"/>
        <xdr:cNvPicPr preferRelativeResize="0"/>
      </xdr:nvPicPr>
      <xdr:blipFill>
        <a:blip cstate="print" r:embed="rId1037"/>
        <a:stretch>
          <a:fillRect/>
        </a:stretch>
      </xdr:blipFill>
      <xdr:spPr>
        <a:prstGeom prst="rect">
          <a:avLst/>
        </a:prstGeom>
        <a:noFill/>
      </xdr:spPr>
    </xdr:pic>
    <xdr:clientData fLocksWithSheet="0"/>
  </xdr:oneCellAnchor>
  <xdr:oneCellAnchor>
    <xdr:from>
      <xdr:col>6</xdr:col>
      <xdr:colOff>38100</xdr:colOff>
      <xdr:row>2017</xdr:row>
      <xdr:rowOff>38100</xdr:rowOff>
    </xdr:from>
    <xdr:ext cx="390525" cy="514350"/>
    <xdr:pic>
      <xdr:nvPicPr>
        <xdr:cNvPr id="0" name="image1035.jpg"/>
        <xdr:cNvPicPr preferRelativeResize="0"/>
      </xdr:nvPicPr>
      <xdr:blipFill>
        <a:blip cstate="print" r:embed="rId1037"/>
        <a:stretch>
          <a:fillRect/>
        </a:stretch>
      </xdr:blipFill>
      <xdr:spPr>
        <a:prstGeom prst="rect">
          <a:avLst/>
        </a:prstGeom>
        <a:noFill/>
      </xdr:spPr>
    </xdr:pic>
    <xdr:clientData fLocksWithSheet="0"/>
  </xdr:oneCellAnchor>
  <xdr:oneCellAnchor>
    <xdr:from>
      <xdr:col>6</xdr:col>
      <xdr:colOff>38100</xdr:colOff>
      <xdr:row>2018</xdr:row>
      <xdr:rowOff>38100</xdr:rowOff>
    </xdr:from>
    <xdr:ext cx="323850" cy="514350"/>
    <xdr:pic>
      <xdr:nvPicPr>
        <xdr:cNvPr id="0" name="image1021.jpg"/>
        <xdr:cNvPicPr preferRelativeResize="0"/>
      </xdr:nvPicPr>
      <xdr:blipFill>
        <a:blip cstate="print" r:embed="rId1038"/>
        <a:stretch>
          <a:fillRect/>
        </a:stretch>
      </xdr:blipFill>
      <xdr:spPr>
        <a:prstGeom prst="rect">
          <a:avLst/>
        </a:prstGeom>
        <a:noFill/>
      </xdr:spPr>
    </xdr:pic>
    <xdr:clientData fLocksWithSheet="0"/>
  </xdr:oneCellAnchor>
  <xdr:oneCellAnchor>
    <xdr:from>
      <xdr:col>6</xdr:col>
      <xdr:colOff>38100</xdr:colOff>
      <xdr:row>2019</xdr:row>
      <xdr:rowOff>38100</xdr:rowOff>
    </xdr:from>
    <xdr:ext cx="323850" cy="514350"/>
    <xdr:pic>
      <xdr:nvPicPr>
        <xdr:cNvPr id="0" name="image1021.jpg"/>
        <xdr:cNvPicPr preferRelativeResize="0"/>
      </xdr:nvPicPr>
      <xdr:blipFill>
        <a:blip cstate="print" r:embed="rId1038"/>
        <a:stretch>
          <a:fillRect/>
        </a:stretch>
      </xdr:blipFill>
      <xdr:spPr>
        <a:prstGeom prst="rect">
          <a:avLst/>
        </a:prstGeom>
        <a:noFill/>
      </xdr:spPr>
    </xdr:pic>
    <xdr:clientData fLocksWithSheet="0"/>
  </xdr:oneCellAnchor>
  <xdr:oneCellAnchor>
    <xdr:from>
      <xdr:col>6</xdr:col>
      <xdr:colOff>38100</xdr:colOff>
      <xdr:row>2020</xdr:row>
      <xdr:rowOff>38100</xdr:rowOff>
    </xdr:from>
    <xdr:ext cx="323850" cy="514350"/>
    <xdr:pic>
      <xdr:nvPicPr>
        <xdr:cNvPr id="0" name="image1021.jpg"/>
        <xdr:cNvPicPr preferRelativeResize="0"/>
      </xdr:nvPicPr>
      <xdr:blipFill>
        <a:blip cstate="print" r:embed="rId1038"/>
        <a:stretch>
          <a:fillRect/>
        </a:stretch>
      </xdr:blipFill>
      <xdr:spPr>
        <a:prstGeom prst="rect">
          <a:avLst/>
        </a:prstGeom>
        <a:noFill/>
      </xdr:spPr>
    </xdr:pic>
    <xdr:clientData fLocksWithSheet="0"/>
  </xdr:oneCellAnchor>
  <xdr:oneCellAnchor>
    <xdr:from>
      <xdr:col>6</xdr:col>
      <xdr:colOff>38100</xdr:colOff>
      <xdr:row>2021</xdr:row>
      <xdr:rowOff>38100</xdr:rowOff>
    </xdr:from>
    <xdr:ext cx="390525" cy="514350"/>
    <xdr:pic>
      <xdr:nvPicPr>
        <xdr:cNvPr id="0" name="image1035.jpg"/>
        <xdr:cNvPicPr preferRelativeResize="0"/>
      </xdr:nvPicPr>
      <xdr:blipFill>
        <a:blip cstate="print" r:embed="rId1037"/>
        <a:stretch>
          <a:fillRect/>
        </a:stretch>
      </xdr:blipFill>
      <xdr:spPr>
        <a:prstGeom prst="rect">
          <a:avLst/>
        </a:prstGeom>
        <a:noFill/>
      </xdr:spPr>
    </xdr:pic>
    <xdr:clientData fLocksWithSheet="0"/>
  </xdr:oneCellAnchor>
  <xdr:oneCellAnchor>
    <xdr:from>
      <xdr:col>6</xdr:col>
      <xdr:colOff>38100</xdr:colOff>
      <xdr:row>2022</xdr:row>
      <xdr:rowOff>38100</xdr:rowOff>
    </xdr:from>
    <xdr:ext cx="390525" cy="514350"/>
    <xdr:pic>
      <xdr:nvPicPr>
        <xdr:cNvPr id="0" name="image1035.jpg"/>
        <xdr:cNvPicPr preferRelativeResize="0"/>
      </xdr:nvPicPr>
      <xdr:blipFill>
        <a:blip cstate="print" r:embed="rId1037"/>
        <a:stretch>
          <a:fillRect/>
        </a:stretch>
      </xdr:blipFill>
      <xdr:spPr>
        <a:prstGeom prst="rect">
          <a:avLst/>
        </a:prstGeom>
        <a:noFill/>
      </xdr:spPr>
    </xdr:pic>
    <xdr:clientData fLocksWithSheet="0"/>
  </xdr:oneCellAnchor>
  <xdr:oneCellAnchor>
    <xdr:from>
      <xdr:col>6</xdr:col>
      <xdr:colOff>38100</xdr:colOff>
      <xdr:row>2023</xdr:row>
      <xdr:rowOff>38100</xdr:rowOff>
    </xdr:from>
    <xdr:ext cx="323850" cy="514350"/>
    <xdr:pic>
      <xdr:nvPicPr>
        <xdr:cNvPr id="0" name="image1021.jpg"/>
        <xdr:cNvPicPr preferRelativeResize="0"/>
      </xdr:nvPicPr>
      <xdr:blipFill>
        <a:blip cstate="print" r:embed="rId1038"/>
        <a:stretch>
          <a:fillRect/>
        </a:stretch>
      </xdr:blipFill>
      <xdr:spPr>
        <a:prstGeom prst="rect">
          <a:avLst/>
        </a:prstGeom>
        <a:noFill/>
      </xdr:spPr>
    </xdr:pic>
    <xdr:clientData fLocksWithSheet="0"/>
  </xdr:oneCellAnchor>
  <xdr:oneCellAnchor>
    <xdr:from>
      <xdr:col>6</xdr:col>
      <xdr:colOff>38100</xdr:colOff>
      <xdr:row>2024</xdr:row>
      <xdr:rowOff>38100</xdr:rowOff>
    </xdr:from>
    <xdr:ext cx="323850" cy="514350"/>
    <xdr:pic>
      <xdr:nvPicPr>
        <xdr:cNvPr id="0" name="image1021.jpg"/>
        <xdr:cNvPicPr preferRelativeResize="0"/>
      </xdr:nvPicPr>
      <xdr:blipFill>
        <a:blip cstate="print" r:embed="rId1038"/>
        <a:stretch>
          <a:fillRect/>
        </a:stretch>
      </xdr:blipFill>
      <xdr:spPr>
        <a:prstGeom prst="rect">
          <a:avLst/>
        </a:prstGeom>
        <a:noFill/>
      </xdr:spPr>
    </xdr:pic>
    <xdr:clientData fLocksWithSheet="0"/>
  </xdr:oneCellAnchor>
  <xdr:oneCellAnchor>
    <xdr:from>
      <xdr:col>6</xdr:col>
      <xdr:colOff>38100</xdr:colOff>
      <xdr:row>2025</xdr:row>
      <xdr:rowOff>38100</xdr:rowOff>
    </xdr:from>
    <xdr:ext cx="390525" cy="514350"/>
    <xdr:pic>
      <xdr:nvPicPr>
        <xdr:cNvPr id="0" name="image1035.jpg"/>
        <xdr:cNvPicPr preferRelativeResize="0"/>
      </xdr:nvPicPr>
      <xdr:blipFill>
        <a:blip cstate="print" r:embed="rId1037"/>
        <a:stretch>
          <a:fillRect/>
        </a:stretch>
      </xdr:blipFill>
      <xdr:spPr>
        <a:prstGeom prst="rect">
          <a:avLst/>
        </a:prstGeom>
        <a:noFill/>
      </xdr:spPr>
    </xdr:pic>
    <xdr:clientData fLocksWithSheet="0"/>
  </xdr:oneCellAnchor>
  <xdr:oneCellAnchor>
    <xdr:from>
      <xdr:col>6</xdr:col>
      <xdr:colOff>38100</xdr:colOff>
      <xdr:row>2026</xdr:row>
      <xdr:rowOff>38100</xdr:rowOff>
    </xdr:from>
    <xdr:ext cx="390525" cy="514350"/>
    <xdr:pic>
      <xdr:nvPicPr>
        <xdr:cNvPr id="0" name="image1035.jpg"/>
        <xdr:cNvPicPr preferRelativeResize="0"/>
      </xdr:nvPicPr>
      <xdr:blipFill>
        <a:blip cstate="print" r:embed="rId1037"/>
        <a:stretch>
          <a:fillRect/>
        </a:stretch>
      </xdr:blipFill>
      <xdr:spPr>
        <a:prstGeom prst="rect">
          <a:avLst/>
        </a:prstGeom>
        <a:noFill/>
      </xdr:spPr>
    </xdr:pic>
    <xdr:clientData fLocksWithSheet="0"/>
  </xdr:oneCellAnchor>
  <xdr:oneCellAnchor>
    <xdr:from>
      <xdr:col>6</xdr:col>
      <xdr:colOff>38100</xdr:colOff>
      <xdr:row>2027</xdr:row>
      <xdr:rowOff>38100</xdr:rowOff>
    </xdr:from>
    <xdr:ext cx="323850" cy="514350"/>
    <xdr:pic>
      <xdr:nvPicPr>
        <xdr:cNvPr id="0" name="image1021.jpg"/>
        <xdr:cNvPicPr preferRelativeResize="0"/>
      </xdr:nvPicPr>
      <xdr:blipFill>
        <a:blip cstate="print" r:embed="rId1038"/>
        <a:stretch>
          <a:fillRect/>
        </a:stretch>
      </xdr:blipFill>
      <xdr:spPr>
        <a:prstGeom prst="rect">
          <a:avLst/>
        </a:prstGeom>
        <a:noFill/>
      </xdr:spPr>
    </xdr:pic>
    <xdr:clientData fLocksWithSheet="0"/>
  </xdr:oneCellAnchor>
  <xdr:oneCellAnchor>
    <xdr:from>
      <xdr:col>6</xdr:col>
      <xdr:colOff>38100</xdr:colOff>
      <xdr:row>2028</xdr:row>
      <xdr:rowOff>38100</xdr:rowOff>
    </xdr:from>
    <xdr:ext cx="323850" cy="514350"/>
    <xdr:pic>
      <xdr:nvPicPr>
        <xdr:cNvPr id="0" name="image1021.jpg"/>
        <xdr:cNvPicPr preferRelativeResize="0"/>
      </xdr:nvPicPr>
      <xdr:blipFill>
        <a:blip cstate="print" r:embed="rId1038"/>
        <a:stretch>
          <a:fillRect/>
        </a:stretch>
      </xdr:blipFill>
      <xdr:spPr>
        <a:prstGeom prst="rect">
          <a:avLst/>
        </a:prstGeom>
        <a:noFill/>
      </xdr:spPr>
    </xdr:pic>
    <xdr:clientData fLocksWithSheet="0"/>
  </xdr:oneCellAnchor>
  <xdr:oneCellAnchor>
    <xdr:from>
      <xdr:col>6</xdr:col>
      <xdr:colOff>38100</xdr:colOff>
      <xdr:row>2029</xdr:row>
      <xdr:rowOff>38100</xdr:rowOff>
    </xdr:from>
    <xdr:ext cx="295275" cy="514350"/>
    <xdr:pic>
      <xdr:nvPicPr>
        <xdr:cNvPr id="0" name="image1022.jpg"/>
        <xdr:cNvPicPr preferRelativeResize="0"/>
      </xdr:nvPicPr>
      <xdr:blipFill>
        <a:blip cstate="print" r:embed="rId1039"/>
        <a:stretch>
          <a:fillRect/>
        </a:stretch>
      </xdr:blipFill>
      <xdr:spPr>
        <a:prstGeom prst="rect">
          <a:avLst/>
        </a:prstGeom>
        <a:noFill/>
      </xdr:spPr>
    </xdr:pic>
    <xdr:clientData fLocksWithSheet="0"/>
  </xdr:oneCellAnchor>
  <xdr:oneCellAnchor>
    <xdr:from>
      <xdr:col>6</xdr:col>
      <xdr:colOff>38100</xdr:colOff>
      <xdr:row>2030</xdr:row>
      <xdr:rowOff>38100</xdr:rowOff>
    </xdr:from>
    <xdr:ext cx="333375" cy="514350"/>
    <xdr:pic>
      <xdr:nvPicPr>
        <xdr:cNvPr id="0" name="image1029.jpg"/>
        <xdr:cNvPicPr preferRelativeResize="0"/>
      </xdr:nvPicPr>
      <xdr:blipFill>
        <a:blip cstate="print" r:embed="rId1040"/>
        <a:stretch>
          <a:fillRect/>
        </a:stretch>
      </xdr:blipFill>
      <xdr:spPr>
        <a:prstGeom prst="rect">
          <a:avLst/>
        </a:prstGeom>
        <a:noFill/>
      </xdr:spPr>
    </xdr:pic>
    <xdr:clientData fLocksWithSheet="0"/>
  </xdr:oneCellAnchor>
  <xdr:oneCellAnchor>
    <xdr:from>
      <xdr:col>6</xdr:col>
      <xdr:colOff>38100</xdr:colOff>
      <xdr:row>2031</xdr:row>
      <xdr:rowOff>38100</xdr:rowOff>
    </xdr:from>
    <xdr:ext cx="295275" cy="514350"/>
    <xdr:pic>
      <xdr:nvPicPr>
        <xdr:cNvPr id="0" name="image1022.jpg"/>
        <xdr:cNvPicPr preferRelativeResize="0"/>
      </xdr:nvPicPr>
      <xdr:blipFill>
        <a:blip cstate="print" r:embed="rId1039"/>
        <a:stretch>
          <a:fillRect/>
        </a:stretch>
      </xdr:blipFill>
      <xdr:spPr>
        <a:prstGeom prst="rect">
          <a:avLst/>
        </a:prstGeom>
        <a:noFill/>
      </xdr:spPr>
    </xdr:pic>
    <xdr:clientData fLocksWithSheet="0"/>
  </xdr:oneCellAnchor>
  <xdr:oneCellAnchor>
    <xdr:from>
      <xdr:col>6</xdr:col>
      <xdr:colOff>38100</xdr:colOff>
      <xdr:row>2032</xdr:row>
      <xdr:rowOff>38100</xdr:rowOff>
    </xdr:from>
    <xdr:ext cx="333375" cy="514350"/>
    <xdr:pic>
      <xdr:nvPicPr>
        <xdr:cNvPr id="0" name="image1029.jpg"/>
        <xdr:cNvPicPr preferRelativeResize="0"/>
      </xdr:nvPicPr>
      <xdr:blipFill>
        <a:blip cstate="print" r:embed="rId1040"/>
        <a:stretch>
          <a:fillRect/>
        </a:stretch>
      </xdr:blipFill>
      <xdr:spPr>
        <a:prstGeom prst="rect">
          <a:avLst/>
        </a:prstGeom>
        <a:noFill/>
      </xdr:spPr>
    </xdr:pic>
    <xdr:clientData fLocksWithSheet="0"/>
  </xdr:oneCellAnchor>
  <xdr:oneCellAnchor>
    <xdr:from>
      <xdr:col>6</xdr:col>
      <xdr:colOff>38100</xdr:colOff>
      <xdr:row>2033</xdr:row>
      <xdr:rowOff>38100</xdr:rowOff>
    </xdr:from>
    <xdr:ext cx="295275" cy="514350"/>
    <xdr:pic>
      <xdr:nvPicPr>
        <xdr:cNvPr id="0" name="image1022.jpg"/>
        <xdr:cNvPicPr preferRelativeResize="0"/>
      </xdr:nvPicPr>
      <xdr:blipFill>
        <a:blip cstate="print" r:embed="rId1039"/>
        <a:stretch>
          <a:fillRect/>
        </a:stretch>
      </xdr:blipFill>
      <xdr:spPr>
        <a:prstGeom prst="rect">
          <a:avLst/>
        </a:prstGeom>
        <a:noFill/>
      </xdr:spPr>
    </xdr:pic>
    <xdr:clientData fLocksWithSheet="0"/>
  </xdr:oneCellAnchor>
  <xdr:oneCellAnchor>
    <xdr:from>
      <xdr:col>6</xdr:col>
      <xdr:colOff>38100</xdr:colOff>
      <xdr:row>2034</xdr:row>
      <xdr:rowOff>38100</xdr:rowOff>
    </xdr:from>
    <xdr:ext cx="647700" cy="409575"/>
    <xdr:pic>
      <xdr:nvPicPr>
        <xdr:cNvPr id="0" name="image1064.jpg"/>
        <xdr:cNvPicPr preferRelativeResize="0"/>
      </xdr:nvPicPr>
      <xdr:blipFill>
        <a:blip cstate="print" r:embed="rId1041"/>
        <a:stretch>
          <a:fillRect/>
        </a:stretch>
      </xdr:blipFill>
      <xdr:spPr>
        <a:prstGeom prst="rect">
          <a:avLst/>
        </a:prstGeom>
        <a:noFill/>
      </xdr:spPr>
    </xdr:pic>
    <xdr:clientData fLocksWithSheet="0"/>
  </xdr:oneCellAnchor>
  <xdr:oneCellAnchor>
    <xdr:from>
      <xdr:col>6</xdr:col>
      <xdr:colOff>38100</xdr:colOff>
      <xdr:row>2035</xdr:row>
      <xdr:rowOff>38100</xdr:rowOff>
    </xdr:from>
    <xdr:ext cx="647700" cy="409575"/>
    <xdr:pic>
      <xdr:nvPicPr>
        <xdr:cNvPr id="0" name="image1064.jpg"/>
        <xdr:cNvPicPr preferRelativeResize="0"/>
      </xdr:nvPicPr>
      <xdr:blipFill>
        <a:blip cstate="print" r:embed="rId1041"/>
        <a:stretch>
          <a:fillRect/>
        </a:stretch>
      </xdr:blipFill>
      <xdr:spPr>
        <a:prstGeom prst="rect">
          <a:avLst/>
        </a:prstGeom>
        <a:noFill/>
      </xdr:spPr>
    </xdr:pic>
    <xdr:clientData fLocksWithSheet="0"/>
  </xdr:oneCellAnchor>
  <xdr:oneCellAnchor>
    <xdr:from>
      <xdr:col>6</xdr:col>
      <xdr:colOff>38100</xdr:colOff>
      <xdr:row>2036</xdr:row>
      <xdr:rowOff>38100</xdr:rowOff>
    </xdr:from>
    <xdr:ext cx="295275" cy="514350"/>
    <xdr:pic>
      <xdr:nvPicPr>
        <xdr:cNvPr id="0" name="image1041.jpg"/>
        <xdr:cNvPicPr preferRelativeResize="0"/>
      </xdr:nvPicPr>
      <xdr:blipFill>
        <a:blip cstate="print" r:embed="rId1042"/>
        <a:stretch>
          <a:fillRect/>
        </a:stretch>
      </xdr:blipFill>
      <xdr:spPr>
        <a:prstGeom prst="rect">
          <a:avLst/>
        </a:prstGeom>
        <a:noFill/>
      </xdr:spPr>
    </xdr:pic>
    <xdr:clientData fLocksWithSheet="0"/>
  </xdr:oneCellAnchor>
  <xdr:oneCellAnchor>
    <xdr:from>
      <xdr:col>6</xdr:col>
      <xdr:colOff>38100</xdr:colOff>
      <xdr:row>2037</xdr:row>
      <xdr:rowOff>38100</xdr:rowOff>
    </xdr:from>
    <xdr:ext cx="438150" cy="514350"/>
    <xdr:pic>
      <xdr:nvPicPr>
        <xdr:cNvPr id="0" name="image1034.jpg"/>
        <xdr:cNvPicPr preferRelativeResize="0"/>
      </xdr:nvPicPr>
      <xdr:blipFill>
        <a:blip cstate="print" r:embed="rId1043"/>
        <a:stretch>
          <a:fillRect/>
        </a:stretch>
      </xdr:blipFill>
      <xdr:spPr>
        <a:prstGeom prst="rect">
          <a:avLst/>
        </a:prstGeom>
        <a:noFill/>
      </xdr:spPr>
    </xdr:pic>
    <xdr:clientData fLocksWithSheet="0"/>
  </xdr:oneCellAnchor>
  <xdr:oneCellAnchor>
    <xdr:from>
      <xdr:col>6</xdr:col>
      <xdr:colOff>38100</xdr:colOff>
      <xdr:row>2038</xdr:row>
      <xdr:rowOff>38100</xdr:rowOff>
    </xdr:from>
    <xdr:ext cx="342900" cy="514350"/>
    <xdr:pic>
      <xdr:nvPicPr>
        <xdr:cNvPr id="0" name="image1033.jpg"/>
        <xdr:cNvPicPr preferRelativeResize="0"/>
      </xdr:nvPicPr>
      <xdr:blipFill>
        <a:blip cstate="print" r:embed="rId1044"/>
        <a:stretch>
          <a:fillRect/>
        </a:stretch>
      </xdr:blipFill>
      <xdr:spPr>
        <a:prstGeom prst="rect">
          <a:avLst/>
        </a:prstGeom>
        <a:noFill/>
      </xdr:spPr>
    </xdr:pic>
    <xdr:clientData fLocksWithSheet="0"/>
  </xdr:oneCellAnchor>
  <xdr:oneCellAnchor>
    <xdr:from>
      <xdr:col>6</xdr:col>
      <xdr:colOff>38100</xdr:colOff>
      <xdr:row>2039</xdr:row>
      <xdr:rowOff>38100</xdr:rowOff>
    </xdr:from>
    <xdr:ext cx="647700" cy="504825"/>
    <xdr:pic>
      <xdr:nvPicPr>
        <xdr:cNvPr id="0" name="image1028.jpg"/>
        <xdr:cNvPicPr preferRelativeResize="0"/>
      </xdr:nvPicPr>
      <xdr:blipFill>
        <a:blip cstate="print" r:embed="rId1045"/>
        <a:stretch>
          <a:fillRect/>
        </a:stretch>
      </xdr:blipFill>
      <xdr:spPr>
        <a:prstGeom prst="rect">
          <a:avLst/>
        </a:prstGeom>
        <a:noFill/>
      </xdr:spPr>
    </xdr:pic>
    <xdr:clientData fLocksWithSheet="0"/>
  </xdr:oneCellAnchor>
  <xdr:oneCellAnchor>
    <xdr:from>
      <xdr:col>6</xdr:col>
      <xdr:colOff>38100</xdr:colOff>
      <xdr:row>2040</xdr:row>
      <xdr:rowOff>38100</xdr:rowOff>
    </xdr:from>
    <xdr:ext cx="447675" cy="514350"/>
    <xdr:pic>
      <xdr:nvPicPr>
        <xdr:cNvPr id="0" name="image1025.jpg"/>
        <xdr:cNvPicPr preferRelativeResize="0"/>
      </xdr:nvPicPr>
      <xdr:blipFill>
        <a:blip cstate="print" r:embed="rId1046"/>
        <a:stretch>
          <a:fillRect/>
        </a:stretch>
      </xdr:blipFill>
      <xdr:spPr>
        <a:prstGeom prst="rect">
          <a:avLst/>
        </a:prstGeom>
        <a:noFill/>
      </xdr:spPr>
    </xdr:pic>
    <xdr:clientData fLocksWithSheet="0"/>
  </xdr:oneCellAnchor>
  <xdr:oneCellAnchor>
    <xdr:from>
      <xdr:col>6</xdr:col>
      <xdr:colOff>38100</xdr:colOff>
      <xdr:row>2041</xdr:row>
      <xdr:rowOff>38100</xdr:rowOff>
    </xdr:from>
    <xdr:ext cx="304800" cy="514350"/>
    <xdr:pic>
      <xdr:nvPicPr>
        <xdr:cNvPr id="0" name="image1051.jpg"/>
        <xdr:cNvPicPr preferRelativeResize="0"/>
      </xdr:nvPicPr>
      <xdr:blipFill>
        <a:blip cstate="print" r:embed="rId1047"/>
        <a:stretch>
          <a:fillRect/>
        </a:stretch>
      </xdr:blipFill>
      <xdr:spPr>
        <a:prstGeom prst="rect">
          <a:avLst/>
        </a:prstGeom>
        <a:noFill/>
      </xdr:spPr>
    </xdr:pic>
    <xdr:clientData fLocksWithSheet="0"/>
  </xdr:oneCellAnchor>
  <xdr:oneCellAnchor>
    <xdr:from>
      <xdr:col>6</xdr:col>
      <xdr:colOff>38100</xdr:colOff>
      <xdr:row>2042</xdr:row>
      <xdr:rowOff>38100</xdr:rowOff>
    </xdr:from>
    <xdr:ext cx="352425" cy="514350"/>
    <xdr:pic>
      <xdr:nvPicPr>
        <xdr:cNvPr id="0" name="image1049.jpg"/>
        <xdr:cNvPicPr preferRelativeResize="0"/>
      </xdr:nvPicPr>
      <xdr:blipFill>
        <a:blip cstate="print" r:embed="rId1048"/>
        <a:stretch>
          <a:fillRect/>
        </a:stretch>
      </xdr:blipFill>
      <xdr:spPr>
        <a:prstGeom prst="rect">
          <a:avLst/>
        </a:prstGeom>
        <a:noFill/>
      </xdr:spPr>
    </xdr:pic>
    <xdr:clientData fLocksWithSheet="0"/>
  </xdr:oneCellAnchor>
  <xdr:oneCellAnchor>
    <xdr:from>
      <xdr:col>6</xdr:col>
      <xdr:colOff>38100</xdr:colOff>
      <xdr:row>2043</xdr:row>
      <xdr:rowOff>38100</xdr:rowOff>
    </xdr:from>
    <xdr:ext cx="295275" cy="514350"/>
    <xdr:pic>
      <xdr:nvPicPr>
        <xdr:cNvPr id="0" name="image1044.jpg"/>
        <xdr:cNvPicPr preferRelativeResize="0"/>
      </xdr:nvPicPr>
      <xdr:blipFill>
        <a:blip cstate="print" r:embed="rId1049"/>
        <a:stretch>
          <a:fillRect/>
        </a:stretch>
      </xdr:blipFill>
      <xdr:spPr>
        <a:prstGeom prst="rect">
          <a:avLst/>
        </a:prstGeom>
        <a:noFill/>
      </xdr:spPr>
    </xdr:pic>
    <xdr:clientData fLocksWithSheet="0"/>
  </xdr:oneCellAnchor>
  <xdr:oneCellAnchor>
    <xdr:from>
      <xdr:col>6</xdr:col>
      <xdr:colOff>38100</xdr:colOff>
      <xdr:row>2044</xdr:row>
      <xdr:rowOff>38100</xdr:rowOff>
    </xdr:from>
    <xdr:ext cx="647700" cy="495300"/>
    <xdr:pic>
      <xdr:nvPicPr>
        <xdr:cNvPr id="0" name="image1037.jpg"/>
        <xdr:cNvPicPr preferRelativeResize="0"/>
      </xdr:nvPicPr>
      <xdr:blipFill>
        <a:blip cstate="print" r:embed="rId1050"/>
        <a:stretch>
          <a:fillRect/>
        </a:stretch>
      </xdr:blipFill>
      <xdr:spPr>
        <a:prstGeom prst="rect">
          <a:avLst/>
        </a:prstGeom>
        <a:noFill/>
      </xdr:spPr>
    </xdr:pic>
    <xdr:clientData fLocksWithSheet="0"/>
  </xdr:oneCellAnchor>
  <xdr:oneCellAnchor>
    <xdr:from>
      <xdr:col>6</xdr:col>
      <xdr:colOff>38100</xdr:colOff>
      <xdr:row>2045</xdr:row>
      <xdr:rowOff>38100</xdr:rowOff>
    </xdr:from>
    <xdr:ext cx="647700" cy="314325"/>
    <xdr:pic>
      <xdr:nvPicPr>
        <xdr:cNvPr id="0" name="image1192.jpg"/>
        <xdr:cNvPicPr preferRelativeResize="0"/>
      </xdr:nvPicPr>
      <xdr:blipFill>
        <a:blip cstate="print" r:embed="rId1051"/>
        <a:stretch>
          <a:fillRect/>
        </a:stretch>
      </xdr:blipFill>
      <xdr:spPr>
        <a:prstGeom prst="rect">
          <a:avLst/>
        </a:prstGeom>
        <a:noFill/>
      </xdr:spPr>
    </xdr:pic>
    <xdr:clientData fLocksWithSheet="0"/>
  </xdr:oneCellAnchor>
  <xdr:oneCellAnchor>
    <xdr:from>
      <xdr:col>6</xdr:col>
      <xdr:colOff>38100</xdr:colOff>
      <xdr:row>2046</xdr:row>
      <xdr:rowOff>38100</xdr:rowOff>
    </xdr:from>
    <xdr:ext cx="533400" cy="514350"/>
    <xdr:pic>
      <xdr:nvPicPr>
        <xdr:cNvPr id="0" name="image1075.jpg"/>
        <xdr:cNvPicPr preferRelativeResize="0"/>
      </xdr:nvPicPr>
      <xdr:blipFill>
        <a:blip cstate="print" r:embed="rId1052"/>
        <a:stretch>
          <a:fillRect/>
        </a:stretch>
      </xdr:blipFill>
      <xdr:spPr>
        <a:prstGeom prst="rect">
          <a:avLst/>
        </a:prstGeom>
        <a:noFill/>
      </xdr:spPr>
    </xdr:pic>
    <xdr:clientData fLocksWithSheet="0"/>
  </xdr:oneCellAnchor>
  <xdr:oneCellAnchor>
    <xdr:from>
      <xdr:col>6</xdr:col>
      <xdr:colOff>38100</xdr:colOff>
      <xdr:row>2047</xdr:row>
      <xdr:rowOff>38100</xdr:rowOff>
    </xdr:from>
    <xdr:ext cx="342900" cy="514350"/>
    <xdr:pic>
      <xdr:nvPicPr>
        <xdr:cNvPr id="0" name="image1079.jpg"/>
        <xdr:cNvPicPr preferRelativeResize="0"/>
      </xdr:nvPicPr>
      <xdr:blipFill>
        <a:blip cstate="print" r:embed="rId1053"/>
        <a:stretch>
          <a:fillRect/>
        </a:stretch>
      </xdr:blipFill>
      <xdr:spPr>
        <a:prstGeom prst="rect">
          <a:avLst/>
        </a:prstGeom>
        <a:noFill/>
      </xdr:spPr>
    </xdr:pic>
    <xdr:clientData fLocksWithSheet="0"/>
  </xdr:oneCellAnchor>
  <xdr:oneCellAnchor>
    <xdr:from>
      <xdr:col>6</xdr:col>
      <xdr:colOff>38100</xdr:colOff>
      <xdr:row>2048</xdr:row>
      <xdr:rowOff>38100</xdr:rowOff>
    </xdr:from>
    <xdr:ext cx="447675" cy="514350"/>
    <xdr:pic>
      <xdr:nvPicPr>
        <xdr:cNvPr id="0" name="image1057.jpg"/>
        <xdr:cNvPicPr preferRelativeResize="0"/>
      </xdr:nvPicPr>
      <xdr:blipFill>
        <a:blip cstate="print" r:embed="rId1054"/>
        <a:stretch>
          <a:fillRect/>
        </a:stretch>
      </xdr:blipFill>
      <xdr:spPr>
        <a:prstGeom prst="rect">
          <a:avLst/>
        </a:prstGeom>
        <a:noFill/>
      </xdr:spPr>
    </xdr:pic>
    <xdr:clientData fLocksWithSheet="0"/>
  </xdr:oneCellAnchor>
  <xdr:oneCellAnchor>
    <xdr:from>
      <xdr:col>6</xdr:col>
      <xdr:colOff>38100</xdr:colOff>
      <xdr:row>2049</xdr:row>
      <xdr:rowOff>38100</xdr:rowOff>
    </xdr:from>
    <xdr:ext cx="381000" cy="514350"/>
    <xdr:pic>
      <xdr:nvPicPr>
        <xdr:cNvPr id="0" name="image1068.jpg"/>
        <xdr:cNvPicPr preferRelativeResize="0"/>
      </xdr:nvPicPr>
      <xdr:blipFill>
        <a:blip cstate="print" r:embed="rId1055"/>
        <a:stretch>
          <a:fillRect/>
        </a:stretch>
      </xdr:blipFill>
      <xdr:spPr>
        <a:prstGeom prst="rect">
          <a:avLst/>
        </a:prstGeom>
        <a:noFill/>
      </xdr:spPr>
    </xdr:pic>
    <xdr:clientData fLocksWithSheet="0"/>
  </xdr:oneCellAnchor>
  <xdr:oneCellAnchor>
    <xdr:from>
      <xdr:col>6</xdr:col>
      <xdr:colOff>38100</xdr:colOff>
      <xdr:row>2050</xdr:row>
      <xdr:rowOff>38100</xdr:rowOff>
    </xdr:from>
    <xdr:ext cx="314325" cy="514350"/>
    <xdr:pic>
      <xdr:nvPicPr>
        <xdr:cNvPr id="0" name="image1055.jpg"/>
        <xdr:cNvPicPr preferRelativeResize="0"/>
      </xdr:nvPicPr>
      <xdr:blipFill>
        <a:blip cstate="print" r:embed="rId1056"/>
        <a:stretch>
          <a:fillRect/>
        </a:stretch>
      </xdr:blipFill>
      <xdr:spPr>
        <a:prstGeom prst="rect">
          <a:avLst/>
        </a:prstGeom>
        <a:noFill/>
      </xdr:spPr>
    </xdr:pic>
    <xdr:clientData fLocksWithSheet="0"/>
  </xdr:oneCellAnchor>
  <xdr:oneCellAnchor>
    <xdr:from>
      <xdr:col>6</xdr:col>
      <xdr:colOff>38100</xdr:colOff>
      <xdr:row>2051</xdr:row>
      <xdr:rowOff>38100</xdr:rowOff>
    </xdr:from>
    <xdr:ext cx="447675" cy="514350"/>
    <xdr:pic>
      <xdr:nvPicPr>
        <xdr:cNvPr id="0" name="image1047.jpg"/>
        <xdr:cNvPicPr preferRelativeResize="0"/>
      </xdr:nvPicPr>
      <xdr:blipFill>
        <a:blip cstate="print" r:embed="rId1057"/>
        <a:stretch>
          <a:fillRect/>
        </a:stretch>
      </xdr:blipFill>
      <xdr:spPr>
        <a:prstGeom prst="rect">
          <a:avLst/>
        </a:prstGeom>
        <a:noFill/>
      </xdr:spPr>
    </xdr:pic>
    <xdr:clientData fLocksWithSheet="0"/>
  </xdr:oneCellAnchor>
  <xdr:oneCellAnchor>
    <xdr:from>
      <xdr:col>6</xdr:col>
      <xdr:colOff>38100</xdr:colOff>
      <xdr:row>2052</xdr:row>
      <xdr:rowOff>38100</xdr:rowOff>
    </xdr:from>
    <xdr:ext cx="228600" cy="514350"/>
    <xdr:pic>
      <xdr:nvPicPr>
        <xdr:cNvPr id="0" name="image1101.jpg"/>
        <xdr:cNvPicPr preferRelativeResize="0"/>
      </xdr:nvPicPr>
      <xdr:blipFill>
        <a:blip cstate="print" r:embed="rId1058"/>
        <a:stretch>
          <a:fillRect/>
        </a:stretch>
      </xdr:blipFill>
      <xdr:spPr>
        <a:prstGeom prst="rect">
          <a:avLst/>
        </a:prstGeom>
        <a:noFill/>
      </xdr:spPr>
    </xdr:pic>
    <xdr:clientData fLocksWithSheet="0"/>
  </xdr:oneCellAnchor>
  <xdr:oneCellAnchor>
    <xdr:from>
      <xdr:col>6</xdr:col>
      <xdr:colOff>38100</xdr:colOff>
      <xdr:row>2053</xdr:row>
      <xdr:rowOff>38100</xdr:rowOff>
    </xdr:from>
    <xdr:ext cx="419100" cy="514350"/>
    <xdr:pic>
      <xdr:nvPicPr>
        <xdr:cNvPr id="0" name="image1036.jpg"/>
        <xdr:cNvPicPr preferRelativeResize="0"/>
      </xdr:nvPicPr>
      <xdr:blipFill>
        <a:blip cstate="print" r:embed="rId1059"/>
        <a:stretch>
          <a:fillRect/>
        </a:stretch>
      </xdr:blipFill>
      <xdr:spPr>
        <a:prstGeom prst="rect">
          <a:avLst/>
        </a:prstGeom>
        <a:noFill/>
      </xdr:spPr>
    </xdr:pic>
    <xdr:clientData fLocksWithSheet="0"/>
  </xdr:oneCellAnchor>
  <xdr:oneCellAnchor>
    <xdr:from>
      <xdr:col>6</xdr:col>
      <xdr:colOff>38100</xdr:colOff>
      <xdr:row>2054</xdr:row>
      <xdr:rowOff>38100</xdr:rowOff>
    </xdr:from>
    <xdr:ext cx="419100" cy="514350"/>
    <xdr:pic>
      <xdr:nvPicPr>
        <xdr:cNvPr id="0" name="image1036.jpg"/>
        <xdr:cNvPicPr preferRelativeResize="0"/>
      </xdr:nvPicPr>
      <xdr:blipFill>
        <a:blip cstate="print" r:embed="rId1059"/>
        <a:stretch>
          <a:fillRect/>
        </a:stretch>
      </xdr:blipFill>
      <xdr:spPr>
        <a:prstGeom prst="rect">
          <a:avLst/>
        </a:prstGeom>
        <a:noFill/>
      </xdr:spPr>
    </xdr:pic>
    <xdr:clientData fLocksWithSheet="0"/>
  </xdr:oneCellAnchor>
  <xdr:oneCellAnchor>
    <xdr:from>
      <xdr:col>6</xdr:col>
      <xdr:colOff>38100</xdr:colOff>
      <xdr:row>2055</xdr:row>
      <xdr:rowOff>38100</xdr:rowOff>
    </xdr:from>
    <xdr:ext cx="381000" cy="514350"/>
    <xdr:pic>
      <xdr:nvPicPr>
        <xdr:cNvPr id="0" name="image1058.jpg"/>
        <xdr:cNvPicPr preferRelativeResize="0"/>
      </xdr:nvPicPr>
      <xdr:blipFill>
        <a:blip cstate="print" r:embed="rId1060"/>
        <a:stretch>
          <a:fillRect/>
        </a:stretch>
      </xdr:blipFill>
      <xdr:spPr>
        <a:prstGeom prst="rect">
          <a:avLst/>
        </a:prstGeom>
        <a:noFill/>
      </xdr:spPr>
    </xdr:pic>
    <xdr:clientData fLocksWithSheet="0"/>
  </xdr:oneCellAnchor>
  <xdr:oneCellAnchor>
    <xdr:from>
      <xdr:col>6</xdr:col>
      <xdr:colOff>38100</xdr:colOff>
      <xdr:row>2056</xdr:row>
      <xdr:rowOff>38100</xdr:rowOff>
    </xdr:from>
    <xdr:ext cx="266700" cy="514350"/>
    <xdr:pic>
      <xdr:nvPicPr>
        <xdr:cNvPr id="0" name="image1063.jpg"/>
        <xdr:cNvPicPr preferRelativeResize="0"/>
      </xdr:nvPicPr>
      <xdr:blipFill>
        <a:blip cstate="print" r:embed="rId1061"/>
        <a:stretch>
          <a:fillRect/>
        </a:stretch>
      </xdr:blipFill>
      <xdr:spPr>
        <a:prstGeom prst="rect">
          <a:avLst/>
        </a:prstGeom>
        <a:noFill/>
      </xdr:spPr>
    </xdr:pic>
    <xdr:clientData fLocksWithSheet="0"/>
  </xdr:oneCellAnchor>
  <xdr:oneCellAnchor>
    <xdr:from>
      <xdr:col>6</xdr:col>
      <xdr:colOff>38100</xdr:colOff>
      <xdr:row>2057</xdr:row>
      <xdr:rowOff>38100</xdr:rowOff>
    </xdr:from>
    <xdr:ext cx="390525" cy="514350"/>
    <xdr:pic>
      <xdr:nvPicPr>
        <xdr:cNvPr id="0" name="image1074.jpg"/>
        <xdr:cNvPicPr preferRelativeResize="0"/>
      </xdr:nvPicPr>
      <xdr:blipFill>
        <a:blip cstate="print" r:embed="rId1062"/>
        <a:stretch>
          <a:fillRect/>
        </a:stretch>
      </xdr:blipFill>
      <xdr:spPr>
        <a:prstGeom prst="rect">
          <a:avLst/>
        </a:prstGeom>
        <a:noFill/>
      </xdr:spPr>
    </xdr:pic>
    <xdr:clientData fLocksWithSheet="0"/>
  </xdr:oneCellAnchor>
  <xdr:oneCellAnchor>
    <xdr:from>
      <xdr:col>6</xdr:col>
      <xdr:colOff>38100</xdr:colOff>
      <xdr:row>2058</xdr:row>
      <xdr:rowOff>38100</xdr:rowOff>
    </xdr:from>
    <xdr:ext cx="285750" cy="514350"/>
    <xdr:pic>
      <xdr:nvPicPr>
        <xdr:cNvPr id="0" name="image1039.jpg"/>
        <xdr:cNvPicPr preferRelativeResize="0"/>
      </xdr:nvPicPr>
      <xdr:blipFill>
        <a:blip cstate="print" r:embed="rId1063"/>
        <a:stretch>
          <a:fillRect/>
        </a:stretch>
      </xdr:blipFill>
      <xdr:spPr>
        <a:prstGeom prst="rect">
          <a:avLst/>
        </a:prstGeom>
        <a:noFill/>
      </xdr:spPr>
    </xdr:pic>
    <xdr:clientData fLocksWithSheet="0"/>
  </xdr:oneCellAnchor>
  <xdr:oneCellAnchor>
    <xdr:from>
      <xdr:col>6</xdr:col>
      <xdr:colOff>38100</xdr:colOff>
      <xdr:row>2059</xdr:row>
      <xdr:rowOff>38100</xdr:rowOff>
    </xdr:from>
    <xdr:ext cx="390525" cy="514350"/>
    <xdr:pic>
      <xdr:nvPicPr>
        <xdr:cNvPr id="0" name="image1184.jpg"/>
        <xdr:cNvPicPr preferRelativeResize="0"/>
      </xdr:nvPicPr>
      <xdr:blipFill>
        <a:blip cstate="print" r:embed="rId1064"/>
        <a:stretch>
          <a:fillRect/>
        </a:stretch>
      </xdr:blipFill>
      <xdr:spPr>
        <a:prstGeom prst="rect">
          <a:avLst/>
        </a:prstGeom>
        <a:noFill/>
      </xdr:spPr>
    </xdr:pic>
    <xdr:clientData fLocksWithSheet="0"/>
  </xdr:oneCellAnchor>
  <xdr:oneCellAnchor>
    <xdr:from>
      <xdr:col>6</xdr:col>
      <xdr:colOff>38100</xdr:colOff>
      <xdr:row>2060</xdr:row>
      <xdr:rowOff>38100</xdr:rowOff>
    </xdr:from>
    <xdr:ext cx="352425" cy="514350"/>
    <xdr:pic>
      <xdr:nvPicPr>
        <xdr:cNvPr id="0" name="image1080.jpg"/>
        <xdr:cNvPicPr preferRelativeResize="0"/>
      </xdr:nvPicPr>
      <xdr:blipFill>
        <a:blip cstate="print" r:embed="rId1065"/>
        <a:stretch>
          <a:fillRect/>
        </a:stretch>
      </xdr:blipFill>
      <xdr:spPr>
        <a:prstGeom prst="rect">
          <a:avLst/>
        </a:prstGeom>
        <a:noFill/>
      </xdr:spPr>
    </xdr:pic>
    <xdr:clientData fLocksWithSheet="0"/>
  </xdr:oneCellAnchor>
  <xdr:oneCellAnchor>
    <xdr:from>
      <xdr:col>6</xdr:col>
      <xdr:colOff>38100</xdr:colOff>
      <xdr:row>2061</xdr:row>
      <xdr:rowOff>38100</xdr:rowOff>
    </xdr:from>
    <xdr:ext cx="381000" cy="514350"/>
    <xdr:pic>
      <xdr:nvPicPr>
        <xdr:cNvPr id="0" name="image1042.jpg"/>
        <xdr:cNvPicPr preferRelativeResize="0"/>
      </xdr:nvPicPr>
      <xdr:blipFill>
        <a:blip cstate="print" r:embed="rId1066"/>
        <a:stretch>
          <a:fillRect/>
        </a:stretch>
      </xdr:blipFill>
      <xdr:spPr>
        <a:prstGeom prst="rect">
          <a:avLst/>
        </a:prstGeom>
        <a:noFill/>
      </xdr:spPr>
    </xdr:pic>
    <xdr:clientData fLocksWithSheet="0"/>
  </xdr:oneCellAnchor>
  <xdr:oneCellAnchor>
    <xdr:from>
      <xdr:col>6</xdr:col>
      <xdr:colOff>38100</xdr:colOff>
      <xdr:row>2062</xdr:row>
      <xdr:rowOff>38100</xdr:rowOff>
    </xdr:from>
    <xdr:ext cx="381000" cy="514350"/>
    <xdr:pic>
      <xdr:nvPicPr>
        <xdr:cNvPr id="0" name="image1042.jpg"/>
        <xdr:cNvPicPr preferRelativeResize="0"/>
      </xdr:nvPicPr>
      <xdr:blipFill>
        <a:blip cstate="print" r:embed="rId1066"/>
        <a:stretch>
          <a:fillRect/>
        </a:stretch>
      </xdr:blipFill>
      <xdr:spPr>
        <a:prstGeom prst="rect">
          <a:avLst/>
        </a:prstGeom>
        <a:noFill/>
      </xdr:spPr>
    </xdr:pic>
    <xdr:clientData fLocksWithSheet="0"/>
  </xdr:oneCellAnchor>
  <xdr:oneCellAnchor>
    <xdr:from>
      <xdr:col>6</xdr:col>
      <xdr:colOff>38100</xdr:colOff>
      <xdr:row>2063</xdr:row>
      <xdr:rowOff>38100</xdr:rowOff>
    </xdr:from>
    <xdr:ext cx="428625" cy="514350"/>
    <xdr:pic>
      <xdr:nvPicPr>
        <xdr:cNvPr id="0" name="image1059.jpg"/>
        <xdr:cNvPicPr preferRelativeResize="0"/>
      </xdr:nvPicPr>
      <xdr:blipFill>
        <a:blip cstate="print" r:embed="rId1067"/>
        <a:stretch>
          <a:fillRect/>
        </a:stretch>
      </xdr:blipFill>
      <xdr:spPr>
        <a:prstGeom prst="rect">
          <a:avLst/>
        </a:prstGeom>
        <a:noFill/>
      </xdr:spPr>
    </xdr:pic>
    <xdr:clientData fLocksWithSheet="0"/>
  </xdr:oneCellAnchor>
  <xdr:oneCellAnchor>
    <xdr:from>
      <xdr:col>6</xdr:col>
      <xdr:colOff>38100</xdr:colOff>
      <xdr:row>2064</xdr:row>
      <xdr:rowOff>38100</xdr:rowOff>
    </xdr:from>
    <xdr:ext cx="400050" cy="371475"/>
    <xdr:pic>
      <xdr:nvPicPr>
        <xdr:cNvPr id="0" name="image1095.jpg"/>
        <xdr:cNvPicPr preferRelativeResize="0"/>
      </xdr:nvPicPr>
      <xdr:blipFill>
        <a:blip cstate="print" r:embed="rId1068"/>
        <a:stretch>
          <a:fillRect/>
        </a:stretch>
      </xdr:blipFill>
      <xdr:spPr>
        <a:prstGeom prst="rect">
          <a:avLst/>
        </a:prstGeom>
        <a:noFill/>
      </xdr:spPr>
    </xdr:pic>
    <xdr:clientData fLocksWithSheet="0"/>
  </xdr:oneCellAnchor>
  <xdr:oneCellAnchor>
    <xdr:from>
      <xdr:col>6</xdr:col>
      <xdr:colOff>38100</xdr:colOff>
      <xdr:row>2065</xdr:row>
      <xdr:rowOff>38100</xdr:rowOff>
    </xdr:from>
    <xdr:ext cx="590550" cy="514350"/>
    <xdr:pic>
      <xdr:nvPicPr>
        <xdr:cNvPr id="0" name="image1100.jpg"/>
        <xdr:cNvPicPr preferRelativeResize="0"/>
      </xdr:nvPicPr>
      <xdr:blipFill>
        <a:blip cstate="print" r:embed="rId1069"/>
        <a:stretch>
          <a:fillRect/>
        </a:stretch>
      </xdr:blipFill>
      <xdr:spPr>
        <a:prstGeom prst="rect">
          <a:avLst/>
        </a:prstGeom>
        <a:noFill/>
      </xdr:spPr>
    </xdr:pic>
    <xdr:clientData fLocksWithSheet="0"/>
  </xdr:oneCellAnchor>
  <xdr:oneCellAnchor>
    <xdr:from>
      <xdr:col>6</xdr:col>
      <xdr:colOff>38100</xdr:colOff>
      <xdr:row>2066</xdr:row>
      <xdr:rowOff>38100</xdr:rowOff>
    </xdr:from>
    <xdr:ext cx="323850" cy="514350"/>
    <xdr:pic>
      <xdr:nvPicPr>
        <xdr:cNvPr id="0" name="image1046.jpg"/>
        <xdr:cNvPicPr preferRelativeResize="0"/>
      </xdr:nvPicPr>
      <xdr:blipFill>
        <a:blip cstate="print" r:embed="rId1070"/>
        <a:stretch>
          <a:fillRect/>
        </a:stretch>
      </xdr:blipFill>
      <xdr:spPr>
        <a:prstGeom prst="rect">
          <a:avLst/>
        </a:prstGeom>
        <a:noFill/>
      </xdr:spPr>
    </xdr:pic>
    <xdr:clientData fLocksWithSheet="0"/>
  </xdr:oneCellAnchor>
  <xdr:oneCellAnchor>
    <xdr:from>
      <xdr:col>6</xdr:col>
      <xdr:colOff>38100</xdr:colOff>
      <xdr:row>2067</xdr:row>
      <xdr:rowOff>38100</xdr:rowOff>
    </xdr:from>
    <xdr:ext cx="342900" cy="514350"/>
    <xdr:pic>
      <xdr:nvPicPr>
        <xdr:cNvPr id="0" name="image1043.jpg"/>
        <xdr:cNvPicPr preferRelativeResize="0"/>
      </xdr:nvPicPr>
      <xdr:blipFill>
        <a:blip cstate="print" r:embed="rId1071"/>
        <a:stretch>
          <a:fillRect/>
        </a:stretch>
      </xdr:blipFill>
      <xdr:spPr>
        <a:prstGeom prst="rect">
          <a:avLst/>
        </a:prstGeom>
        <a:noFill/>
      </xdr:spPr>
    </xdr:pic>
    <xdr:clientData fLocksWithSheet="0"/>
  </xdr:oneCellAnchor>
  <xdr:oneCellAnchor>
    <xdr:from>
      <xdr:col>6</xdr:col>
      <xdr:colOff>38100</xdr:colOff>
      <xdr:row>2068</xdr:row>
      <xdr:rowOff>38100</xdr:rowOff>
    </xdr:from>
    <xdr:ext cx="485775" cy="295275"/>
    <xdr:pic>
      <xdr:nvPicPr>
        <xdr:cNvPr id="0" name="image1086.jpg"/>
        <xdr:cNvPicPr preferRelativeResize="0"/>
      </xdr:nvPicPr>
      <xdr:blipFill>
        <a:blip cstate="print" r:embed="rId1072"/>
        <a:stretch>
          <a:fillRect/>
        </a:stretch>
      </xdr:blipFill>
      <xdr:spPr>
        <a:prstGeom prst="rect">
          <a:avLst/>
        </a:prstGeom>
        <a:noFill/>
      </xdr:spPr>
    </xdr:pic>
    <xdr:clientData fLocksWithSheet="0"/>
  </xdr:oneCellAnchor>
  <xdr:oneCellAnchor>
    <xdr:from>
      <xdr:col>6</xdr:col>
      <xdr:colOff>38100</xdr:colOff>
      <xdr:row>2069</xdr:row>
      <xdr:rowOff>38100</xdr:rowOff>
    </xdr:from>
    <xdr:ext cx="485775" cy="447675"/>
    <xdr:pic>
      <xdr:nvPicPr>
        <xdr:cNvPr id="0" name="image1045.jpg"/>
        <xdr:cNvPicPr preferRelativeResize="0"/>
      </xdr:nvPicPr>
      <xdr:blipFill>
        <a:blip cstate="print" r:embed="rId1073"/>
        <a:stretch>
          <a:fillRect/>
        </a:stretch>
      </xdr:blipFill>
      <xdr:spPr>
        <a:prstGeom prst="rect">
          <a:avLst/>
        </a:prstGeom>
        <a:noFill/>
      </xdr:spPr>
    </xdr:pic>
    <xdr:clientData fLocksWithSheet="0"/>
  </xdr:oneCellAnchor>
  <xdr:oneCellAnchor>
    <xdr:from>
      <xdr:col>6</xdr:col>
      <xdr:colOff>38100</xdr:colOff>
      <xdr:row>2070</xdr:row>
      <xdr:rowOff>38100</xdr:rowOff>
    </xdr:from>
    <xdr:ext cx="409575" cy="447675"/>
    <xdr:pic>
      <xdr:nvPicPr>
        <xdr:cNvPr id="0" name="image1048.jpg"/>
        <xdr:cNvPicPr preferRelativeResize="0"/>
      </xdr:nvPicPr>
      <xdr:blipFill>
        <a:blip cstate="print" r:embed="rId1074"/>
        <a:stretch>
          <a:fillRect/>
        </a:stretch>
      </xdr:blipFill>
      <xdr:spPr>
        <a:prstGeom prst="rect">
          <a:avLst/>
        </a:prstGeom>
        <a:noFill/>
      </xdr:spPr>
    </xdr:pic>
    <xdr:clientData fLocksWithSheet="0"/>
  </xdr:oneCellAnchor>
  <xdr:oneCellAnchor>
    <xdr:from>
      <xdr:col>6</xdr:col>
      <xdr:colOff>38100</xdr:colOff>
      <xdr:row>2071</xdr:row>
      <xdr:rowOff>38100</xdr:rowOff>
    </xdr:from>
    <xdr:ext cx="409575" cy="447675"/>
    <xdr:pic>
      <xdr:nvPicPr>
        <xdr:cNvPr id="0" name="image1048.jpg"/>
        <xdr:cNvPicPr preferRelativeResize="0"/>
      </xdr:nvPicPr>
      <xdr:blipFill>
        <a:blip cstate="print" r:embed="rId1074"/>
        <a:stretch>
          <a:fillRect/>
        </a:stretch>
      </xdr:blipFill>
      <xdr:spPr>
        <a:prstGeom prst="rect">
          <a:avLst/>
        </a:prstGeom>
        <a:noFill/>
      </xdr:spPr>
    </xdr:pic>
    <xdr:clientData fLocksWithSheet="0"/>
  </xdr:oneCellAnchor>
  <xdr:oneCellAnchor>
    <xdr:from>
      <xdr:col>6</xdr:col>
      <xdr:colOff>38100</xdr:colOff>
      <xdr:row>2072</xdr:row>
      <xdr:rowOff>38100</xdr:rowOff>
    </xdr:from>
    <xdr:ext cx="409575" cy="447675"/>
    <xdr:pic>
      <xdr:nvPicPr>
        <xdr:cNvPr id="0" name="image1048.jpg"/>
        <xdr:cNvPicPr preferRelativeResize="0"/>
      </xdr:nvPicPr>
      <xdr:blipFill>
        <a:blip cstate="print" r:embed="rId1074"/>
        <a:stretch>
          <a:fillRect/>
        </a:stretch>
      </xdr:blipFill>
      <xdr:spPr>
        <a:prstGeom prst="rect">
          <a:avLst/>
        </a:prstGeom>
        <a:noFill/>
      </xdr:spPr>
    </xdr:pic>
    <xdr:clientData fLocksWithSheet="0"/>
  </xdr:oneCellAnchor>
  <xdr:oneCellAnchor>
    <xdr:from>
      <xdr:col>6</xdr:col>
      <xdr:colOff>38100</xdr:colOff>
      <xdr:row>2073</xdr:row>
      <xdr:rowOff>38100</xdr:rowOff>
    </xdr:from>
    <xdr:ext cx="409575" cy="447675"/>
    <xdr:pic>
      <xdr:nvPicPr>
        <xdr:cNvPr id="0" name="image1048.jpg"/>
        <xdr:cNvPicPr preferRelativeResize="0"/>
      </xdr:nvPicPr>
      <xdr:blipFill>
        <a:blip cstate="print" r:embed="rId1074"/>
        <a:stretch>
          <a:fillRect/>
        </a:stretch>
      </xdr:blipFill>
      <xdr:spPr>
        <a:prstGeom prst="rect">
          <a:avLst/>
        </a:prstGeom>
        <a:noFill/>
      </xdr:spPr>
    </xdr:pic>
    <xdr:clientData fLocksWithSheet="0"/>
  </xdr:oneCellAnchor>
  <xdr:oneCellAnchor>
    <xdr:from>
      <xdr:col>6</xdr:col>
      <xdr:colOff>38100</xdr:colOff>
      <xdr:row>2074</xdr:row>
      <xdr:rowOff>38100</xdr:rowOff>
    </xdr:from>
    <xdr:ext cx="381000" cy="476250"/>
    <xdr:pic>
      <xdr:nvPicPr>
        <xdr:cNvPr id="0" name="image1093.jpg"/>
        <xdr:cNvPicPr preferRelativeResize="0"/>
      </xdr:nvPicPr>
      <xdr:blipFill>
        <a:blip cstate="print" r:embed="rId1075"/>
        <a:stretch>
          <a:fillRect/>
        </a:stretch>
      </xdr:blipFill>
      <xdr:spPr>
        <a:prstGeom prst="rect">
          <a:avLst/>
        </a:prstGeom>
        <a:noFill/>
      </xdr:spPr>
    </xdr:pic>
    <xdr:clientData fLocksWithSheet="0"/>
  </xdr:oneCellAnchor>
  <xdr:oneCellAnchor>
    <xdr:from>
      <xdr:col>6</xdr:col>
      <xdr:colOff>38100</xdr:colOff>
      <xdr:row>2075</xdr:row>
      <xdr:rowOff>38100</xdr:rowOff>
    </xdr:from>
    <xdr:ext cx="542925" cy="514350"/>
    <xdr:pic>
      <xdr:nvPicPr>
        <xdr:cNvPr id="0" name="image1081.jpg"/>
        <xdr:cNvPicPr preferRelativeResize="0"/>
      </xdr:nvPicPr>
      <xdr:blipFill>
        <a:blip cstate="print" r:embed="rId1076"/>
        <a:stretch>
          <a:fillRect/>
        </a:stretch>
      </xdr:blipFill>
      <xdr:spPr>
        <a:prstGeom prst="rect">
          <a:avLst/>
        </a:prstGeom>
        <a:noFill/>
      </xdr:spPr>
    </xdr:pic>
    <xdr:clientData fLocksWithSheet="0"/>
  </xdr:oneCellAnchor>
  <xdr:oneCellAnchor>
    <xdr:from>
      <xdr:col>6</xdr:col>
      <xdr:colOff>38100</xdr:colOff>
      <xdr:row>2076</xdr:row>
      <xdr:rowOff>38100</xdr:rowOff>
    </xdr:from>
    <xdr:ext cx="276225" cy="438150"/>
    <xdr:pic>
      <xdr:nvPicPr>
        <xdr:cNvPr id="0" name="image1070.jpg"/>
        <xdr:cNvPicPr preferRelativeResize="0"/>
      </xdr:nvPicPr>
      <xdr:blipFill>
        <a:blip cstate="print" r:embed="rId1077"/>
        <a:stretch>
          <a:fillRect/>
        </a:stretch>
      </xdr:blipFill>
      <xdr:spPr>
        <a:prstGeom prst="rect">
          <a:avLst/>
        </a:prstGeom>
        <a:noFill/>
      </xdr:spPr>
    </xdr:pic>
    <xdr:clientData fLocksWithSheet="0"/>
  </xdr:oneCellAnchor>
  <xdr:oneCellAnchor>
    <xdr:from>
      <xdr:col>6</xdr:col>
      <xdr:colOff>38100</xdr:colOff>
      <xdr:row>2077</xdr:row>
      <xdr:rowOff>38100</xdr:rowOff>
    </xdr:from>
    <xdr:ext cx="419100" cy="485775"/>
    <xdr:pic>
      <xdr:nvPicPr>
        <xdr:cNvPr id="0" name="image1118.jpg"/>
        <xdr:cNvPicPr preferRelativeResize="0"/>
      </xdr:nvPicPr>
      <xdr:blipFill>
        <a:blip cstate="print" r:embed="rId1078"/>
        <a:stretch>
          <a:fillRect/>
        </a:stretch>
      </xdr:blipFill>
      <xdr:spPr>
        <a:prstGeom prst="rect">
          <a:avLst/>
        </a:prstGeom>
        <a:noFill/>
      </xdr:spPr>
    </xdr:pic>
    <xdr:clientData fLocksWithSheet="0"/>
  </xdr:oneCellAnchor>
  <xdr:oneCellAnchor>
    <xdr:from>
      <xdr:col>6</xdr:col>
      <xdr:colOff>38100</xdr:colOff>
      <xdr:row>2078</xdr:row>
      <xdr:rowOff>38100</xdr:rowOff>
    </xdr:from>
    <xdr:ext cx="371475" cy="361950"/>
    <xdr:pic>
      <xdr:nvPicPr>
        <xdr:cNvPr id="0" name="image1050.jpg"/>
        <xdr:cNvPicPr preferRelativeResize="0"/>
      </xdr:nvPicPr>
      <xdr:blipFill>
        <a:blip cstate="print" r:embed="rId1079"/>
        <a:stretch>
          <a:fillRect/>
        </a:stretch>
      </xdr:blipFill>
      <xdr:spPr>
        <a:prstGeom prst="rect">
          <a:avLst/>
        </a:prstGeom>
        <a:noFill/>
      </xdr:spPr>
    </xdr:pic>
    <xdr:clientData fLocksWithSheet="0"/>
  </xdr:oneCellAnchor>
  <xdr:oneCellAnchor>
    <xdr:from>
      <xdr:col>6</xdr:col>
      <xdr:colOff>38100</xdr:colOff>
      <xdr:row>2079</xdr:row>
      <xdr:rowOff>38100</xdr:rowOff>
    </xdr:from>
    <xdr:ext cx="514350" cy="514350"/>
    <xdr:pic>
      <xdr:nvPicPr>
        <xdr:cNvPr id="0" name="image1060.jpg"/>
        <xdr:cNvPicPr preferRelativeResize="0"/>
      </xdr:nvPicPr>
      <xdr:blipFill>
        <a:blip cstate="print" r:embed="rId1080"/>
        <a:stretch>
          <a:fillRect/>
        </a:stretch>
      </xdr:blipFill>
      <xdr:spPr>
        <a:prstGeom prst="rect">
          <a:avLst/>
        </a:prstGeom>
        <a:noFill/>
      </xdr:spPr>
    </xdr:pic>
    <xdr:clientData fLocksWithSheet="0"/>
  </xdr:oneCellAnchor>
  <xdr:oneCellAnchor>
    <xdr:from>
      <xdr:col>6</xdr:col>
      <xdr:colOff>38100</xdr:colOff>
      <xdr:row>2080</xdr:row>
      <xdr:rowOff>38100</xdr:rowOff>
    </xdr:from>
    <xdr:ext cx="600075" cy="409575"/>
    <xdr:pic>
      <xdr:nvPicPr>
        <xdr:cNvPr id="0" name="image1052.jpg"/>
        <xdr:cNvPicPr preferRelativeResize="0"/>
      </xdr:nvPicPr>
      <xdr:blipFill>
        <a:blip cstate="print" r:embed="rId1081"/>
        <a:stretch>
          <a:fillRect/>
        </a:stretch>
      </xdr:blipFill>
      <xdr:spPr>
        <a:prstGeom prst="rect">
          <a:avLst/>
        </a:prstGeom>
        <a:noFill/>
      </xdr:spPr>
    </xdr:pic>
    <xdr:clientData fLocksWithSheet="0"/>
  </xdr:oneCellAnchor>
  <xdr:oneCellAnchor>
    <xdr:from>
      <xdr:col>6</xdr:col>
      <xdr:colOff>38100</xdr:colOff>
      <xdr:row>2081</xdr:row>
      <xdr:rowOff>38100</xdr:rowOff>
    </xdr:from>
    <xdr:ext cx="542925" cy="428625"/>
    <xdr:pic>
      <xdr:nvPicPr>
        <xdr:cNvPr id="0" name="image1146.jpg"/>
        <xdr:cNvPicPr preferRelativeResize="0"/>
      </xdr:nvPicPr>
      <xdr:blipFill>
        <a:blip cstate="print" r:embed="rId1082"/>
        <a:stretch>
          <a:fillRect/>
        </a:stretch>
      </xdr:blipFill>
      <xdr:spPr>
        <a:prstGeom prst="rect">
          <a:avLst/>
        </a:prstGeom>
        <a:noFill/>
      </xdr:spPr>
    </xdr:pic>
    <xdr:clientData fLocksWithSheet="0"/>
  </xdr:oneCellAnchor>
  <xdr:oneCellAnchor>
    <xdr:from>
      <xdr:col>6</xdr:col>
      <xdr:colOff>38100</xdr:colOff>
      <xdr:row>2082</xdr:row>
      <xdr:rowOff>38100</xdr:rowOff>
    </xdr:from>
    <xdr:ext cx="361950" cy="476250"/>
    <xdr:pic>
      <xdr:nvPicPr>
        <xdr:cNvPr id="0" name="image1056.jpg"/>
        <xdr:cNvPicPr preferRelativeResize="0"/>
      </xdr:nvPicPr>
      <xdr:blipFill>
        <a:blip cstate="print" r:embed="rId1083"/>
        <a:stretch>
          <a:fillRect/>
        </a:stretch>
      </xdr:blipFill>
      <xdr:spPr>
        <a:prstGeom prst="rect">
          <a:avLst/>
        </a:prstGeom>
        <a:noFill/>
      </xdr:spPr>
    </xdr:pic>
    <xdr:clientData fLocksWithSheet="0"/>
  </xdr:oneCellAnchor>
  <xdr:oneCellAnchor>
    <xdr:from>
      <xdr:col>6</xdr:col>
      <xdr:colOff>38100</xdr:colOff>
      <xdr:row>2083</xdr:row>
      <xdr:rowOff>38100</xdr:rowOff>
    </xdr:from>
    <xdr:ext cx="371475" cy="457200"/>
    <xdr:pic>
      <xdr:nvPicPr>
        <xdr:cNvPr id="0" name="image1065.jpg"/>
        <xdr:cNvPicPr preferRelativeResize="0"/>
      </xdr:nvPicPr>
      <xdr:blipFill>
        <a:blip cstate="print" r:embed="rId1084"/>
        <a:stretch>
          <a:fillRect/>
        </a:stretch>
      </xdr:blipFill>
      <xdr:spPr>
        <a:prstGeom prst="rect">
          <a:avLst/>
        </a:prstGeom>
        <a:noFill/>
      </xdr:spPr>
    </xdr:pic>
    <xdr:clientData fLocksWithSheet="0"/>
  </xdr:oneCellAnchor>
  <xdr:oneCellAnchor>
    <xdr:from>
      <xdr:col>6</xdr:col>
      <xdr:colOff>38100</xdr:colOff>
      <xdr:row>2084</xdr:row>
      <xdr:rowOff>38100</xdr:rowOff>
    </xdr:from>
    <xdr:ext cx="323850" cy="447675"/>
    <xdr:pic>
      <xdr:nvPicPr>
        <xdr:cNvPr id="0" name="image1137.jpg"/>
        <xdr:cNvPicPr preferRelativeResize="0"/>
      </xdr:nvPicPr>
      <xdr:blipFill>
        <a:blip cstate="print" r:embed="rId1085"/>
        <a:stretch>
          <a:fillRect/>
        </a:stretch>
      </xdr:blipFill>
      <xdr:spPr>
        <a:prstGeom prst="rect">
          <a:avLst/>
        </a:prstGeom>
        <a:noFill/>
      </xdr:spPr>
    </xdr:pic>
    <xdr:clientData fLocksWithSheet="0"/>
  </xdr:oneCellAnchor>
  <xdr:oneCellAnchor>
    <xdr:from>
      <xdr:col>6</xdr:col>
      <xdr:colOff>38100</xdr:colOff>
      <xdr:row>2085</xdr:row>
      <xdr:rowOff>38100</xdr:rowOff>
    </xdr:from>
    <xdr:ext cx="504825" cy="409575"/>
    <xdr:pic>
      <xdr:nvPicPr>
        <xdr:cNvPr id="0" name="image1053.jpg"/>
        <xdr:cNvPicPr preferRelativeResize="0"/>
      </xdr:nvPicPr>
      <xdr:blipFill>
        <a:blip cstate="print" r:embed="rId1086"/>
        <a:stretch>
          <a:fillRect/>
        </a:stretch>
      </xdr:blipFill>
      <xdr:spPr>
        <a:prstGeom prst="rect">
          <a:avLst/>
        </a:prstGeom>
        <a:noFill/>
      </xdr:spPr>
    </xdr:pic>
    <xdr:clientData fLocksWithSheet="0"/>
  </xdr:oneCellAnchor>
  <xdr:oneCellAnchor>
    <xdr:from>
      <xdr:col>6</xdr:col>
      <xdr:colOff>38100</xdr:colOff>
      <xdr:row>2086</xdr:row>
      <xdr:rowOff>38100</xdr:rowOff>
    </xdr:from>
    <xdr:ext cx="476250" cy="457200"/>
    <xdr:pic>
      <xdr:nvPicPr>
        <xdr:cNvPr id="0" name="image1062.jpg"/>
        <xdr:cNvPicPr preferRelativeResize="0"/>
      </xdr:nvPicPr>
      <xdr:blipFill>
        <a:blip cstate="print" r:embed="rId1087"/>
        <a:stretch>
          <a:fillRect/>
        </a:stretch>
      </xdr:blipFill>
      <xdr:spPr>
        <a:prstGeom prst="rect">
          <a:avLst/>
        </a:prstGeom>
        <a:noFill/>
      </xdr:spPr>
    </xdr:pic>
    <xdr:clientData fLocksWithSheet="0"/>
  </xdr:oneCellAnchor>
  <xdr:oneCellAnchor>
    <xdr:from>
      <xdr:col>6</xdr:col>
      <xdr:colOff>38100</xdr:colOff>
      <xdr:row>2087</xdr:row>
      <xdr:rowOff>38100</xdr:rowOff>
    </xdr:from>
    <xdr:ext cx="447675" cy="419100"/>
    <xdr:pic>
      <xdr:nvPicPr>
        <xdr:cNvPr id="0" name="image1099.jpg"/>
        <xdr:cNvPicPr preferRelativeResize="0"/>
      </xdr:nvPicPr>
      <xdr:blipFill>
        <a:blip cstate="print" r:embed="rId1088"/>
        <a:stretch>
          <a:fillRect/>
        </a:stretch>
      </xdr:blipFill>
      <xdr:spPr>
        <a:prstGeom prst="rect">
          <a:avLst/>
        </a:prstGeom>
        <a:noFill/>
      </xdr:spPr>
    </xdr:pic>
    <xdr:clientData fLocksWithSheet="0"/>
  </xdr:oneCellAnchor>
  <xdr:oneCellAnchor>
    <xdr:from>
      <xdr:col>6</xdr:col>
      <xdr:colOff>38100</xdr:colOff>
      <xdr:row>2088</xdr:row>
      <xdr:rowOff>38100</xdr:rowOff>
    </xdr:from>
    <xdr:ext cx="419100" cy="438150"/>
    <xdr:pic>
      <xdr:nvPicPr>
        <xdr:cNvPr id="0" name="image1082.jpg"/>
        <xdr:cNvPicPr preferRelativeResize="0"/>
      </xdr:nvPicPr>
      <xdr:blipFill>
        <a:blip cstate="print" r:embed="rId1089"/>
        <a:stretch>
          <a:fillRect/>
        </a:stretch>
      </xdr:blipFill>
      <xdr:spPr>
        <a:prstGeom prst="rect">
          <a:avLst/>
        </a:prstGeom>
        <a:noFill/>
      </xdr:spPr>
    </xdr:pic>
    <xdr:clientData fLocksWithSheet="0"/>
  </xdr:oneCellAnchor>
  <xdr:oneCellAnchor>
    <xdr:from>
      <xdr:col>6</xdr:col>
      <xdr:colOff>38100</xdr:colOff>
      <xdr:row>2089</xdr:row>
      <xdr:rowOff>38100</xdr:rowOff>
    </xdr:from>
    <xdr:ext cx="323850" cy="514350"/>
    <xdr:pic>
      <xdr:nvPicPr>
        <xdr:cNvPr id="0" name="image1097.jpg"/>
        <xdr:cNvPicPr preferRelativeResize="0"/>
      </xdr:nvPicPr>
      <xdr:blipFill>
        <a:blip cstate="print" r:embed="rId1090"/>
        <a:stretch>
          <a:fillRect/>
        </a:stretch>
      </xdr:blipFill>
      <xdr:spPr>
        <a:prstGeom prst="rect">
          <a:avLst/>
        </a:prstGeom>
        <a:noFill/>
      </xdr:spPr>
    </xdr:pic>
    <xdr:clientData fLocksWithSheet="0"/>
  </xdr:oneCellAnchor>
  <xdr:oneCellAnchor>
    <xdr:from>
      <xdr:col>6</xdr:col>
      <xdr:colOff>38100</xdr:colOff>
      <xdr:row>2090</xdr:row>
      <xdr:rowOff>38100</xdr:rowOff>
    </xdr:from>
    <xdr:ext cx="514350" cy="514350"/>
    <xdr:pic>
      <xdr:nvPicPr>
        <xdr:cNvPr id="0" name="image1061.jpg"/>
        <xdr:cNvPicPr preferRelativeResize="0"/>
      </xdr:nvPicPr>
      <xdr:blipFill>
        <a:blip cstate="print" r:embed="rId1091"/>
        <a:stretch>
          <a:fillRect/>
        </a:stretch>
      </xdr:blipFill>
      <xdr:spPr>
        <a:prstGeom prst="rect">
          <a:avLst/>
        </a:prstGeom>
        <a:noFill/>
      </xdr:spPr>
    </xdr:pic>
    <xdr:clientData fLocksWithSheet="0"/>
  </xdr:oneCellAnchor>
  <xdr:oneCellAnchor>
    <xdr:from>
      <xdr:col>6</xdr:col>
      <xdr:colOff>38100</xdr:colOff>
      <xdr:row>2091</xdr:row>
      <xdr:rowOff>38100</xdr:rowOff>
    </xdr:from>
    <xdr:ext cx="514350" cy="514350"/>
    <xdr:pic>
      <xdr:nvPicPr>
        <xdr:cNvPr id="0" name="image1092.jpg"/>
        <xdr:cNvPicPr preferRelativeResize="0"/>
      </xdr:nvPicPr>
      <xdr:blipFill>
        <a:blip cstate="print" r:embed="rId1092"/>
        <a:stretch>
          <a:fillRect/>
        </a:stretch>
      </xdr:blipFill>
      <xdr:spPr>
        <a:prstGeom prst="rect">
          <a:avLst/>
        </a:prstGeom>
        <a:noFill/>
      </xdr:spPr>
    </xdr:pic>
    <xdr:clientData fLocksWithSheet="0"/>
  </xdr:oneCellAnchor>
  <xdr:oneCellAnchor>
    <xdr:from>
      <xdr:col>6</xdr:col>
      <xdr:colOff>38100</xdr:colOff>
      <xdr:row>2092</xdr:row>
      <xdr:rowOff>38100</xdr:rowOff>
    </xdr:from>
    <xdr:ext cx="590550" cy="514350"/>
    <xdr:pic>
      <xdr:nvPicPr>
        <xdr:cNvPr id="0" name="image1072.jpg"/>
        <xdr:cNvPicPr preferRelativeResize="0"/>
      </xdr:nvPicPr>
      <xdr:blipFill>
        <a:blip cstate="print" r:embed="rId1093"/>
        <a:stretch>
          <a:fillRect/>
        </a:stretch>
      </xdr:blipFill>
      <xdr:spPr>
        <a:prstGeom prst="rect">
          <a:avLst/>
        </a:prstGeom>
        <a:noFill/>
      </xdr:spPr>
    </xdr:pic>
    <xdr:clientData fLocksWithSheet="0"/>
  </xdr:oneCellAnchor>
  <xdr:oneCellAnchor>
    <xdr:from>
      <xdr:col>6</xdr:col>
      <xdr:colOff>38100</xdr:colOff>
      <xdr:row>2093</xdr:row>
      <xdr:rowOff>38100</xdr:rowOff>
    </xdr:from>
    <xdr:ext cx="552450" cy="514350"/>
    <xdr:pic>
      <xdr:nvPicPr>
        <xdr:cNvPr id="0" name="image1069.jpg"/>
        <xdr:cNvPicPr preferRelativeResize="0"/>
      </xdr:nvPicPr>
      <xdr:blipFill>
        <a:blip cstate="print" r:embed="rId1094"/>
        <a:stretch>
          <a:fillRect/>
        </a:stretch>
      </xdr:blipFill>
      <xdr:spPr>
        <a:prstGeom prst="rect">
          <a:avLst/>
        </a:prstGeom>
        <a:noFill/>
      </xdr:spPr>
    </xdr:pic>
    <xdr:clientData fLocksWithSheet="0"/>
  </xdr:oneCellAnchor>
  <xdr:oneCellAnchor>
    <xdr:from>
      <xdr:col>6</xdr:col>
      <xdr:colOff>38100</xdr:colOff>
      <xdr:row>2094</xdr:row>
      <xdr:rowOff>38100</xdr:rowOff>
    </xdr:from>
    <xdr:ext cx="647700" cy="352425"/>
    <xdr:pic>
      <xdr:nvPicPr>
        <xdr:cNvPr id="0" name="image1076.jpg"/>
        <xdr:cNvPicPr preferRelativeResize="0"/>
      </xdr:nvPicPr>
      <xdr:blipFill>
        <a:blip cstate="print" r:embed="rId1095"/>
        <a:stretch>
          <a:fillRect/>
        </a:stretch>
      </xdr:blipFill>
      <xdr:spPr>
        <a:prstGeom prst="rect">
          <a:avLst/>
        </a:prstGeom>
        <a:noFill/>
      </xdr:spPr>
    </xdr:pic>
    <xdr:clientData fLocksWithSheet="0"/>
  </xdr:oneCellAnchor>
  <xdr:oneCellAnchor>
    <xdr:from>
      <xdr:col>6</xdr:col>
      <xdr:colOff>38100</xdr:colOff>
      <xdr:row>2095</xdr:row>
      <xdr:rowOff>38100</xdr:rowOff>
    </xdr:from>
    <xdr:ext cx="514350" cy="514350"/>
    <xdr:pic>
      <xdr:nvPicPr>
        <xdr:cNvPr id="0" name="image1067.jpg"/>
        <xdr:cNvPicPr preferRelativeResize="0"/>
      </xdr:nvPicPr>
      <xdr:blipFill>
        <a:blip cstate="print" r:embed="rId1096"/>
        <a:stretch>
          <a:fillRect/>
        </a:stretch>
      </xdr:blipFill>
      <xdr:spPr>
        <a:prstGeom prst="rect">
          <a:avLst/>
        </a:prstGeom>
        <a:noFill/>
      </xdr:spPr>
    </xdr:pic>
    <xdr:clientData fLocksWithSheet="0"/>
  </xdr:oneCellAnchor>
  <xdr:oneCellAnchor>
    <xdr:from>
      <xdr:col>6</xdr:col>
      <xdr:colOff>38100</xdr:colOff>
      <xdr:row>2096</xdr:row>
      <xdr:rowOff>38100</xdr:rowOff>
    </xdr:from>
    <xdr:ext cx="514350" cy="514350"/>
    <xdr:pic>
      <xdr:nvPicPr>
        <xdr:cNvPr id="0" name="image1084.jpg"/>
        <xdr:cNvPicPr preferRelativeResize="0"/>
      </xdr:nvPicPr>
      <xdr:blipFill>
        <a:blip cstate="print" r:embed="rId1097"/>
        <a:stretch>
          <a:fillRect/>
        </a:stretch>
      </xdr:blipFill>
      <xdr:spPr>
        <a:prstGeom prst="rect">
          <a:avLst/>
        </a:prstGeom>
        <a:noFill/>
      </xdr:spPr>
    </xdr:pic>
    <xdr:clientData fLocksWithSheet="0"/>
  </xdr:oneCellAnchor>
  <xdr:oneCellAnchor>
    <xdr:from>
      <xdr:col>6</xdr:col>
      <xdr:colOff>38100</xdr:colOff>
      <xdr:row>2097</xdr:row>
      <xdr:rowOff>38100</xdr:rowOff>
    </xdr:from>
    <xdr:ext cx="514350" cy="514350"/>
    <xdr:pic>
      <xdr:nvPicPr>
        <xdr:cNvPr id="0" name="image1066.jpg"/>
        <xdr:cNvPicPr preferRelativeResize="0"/>
      </xdr:nvPicPr>
      <xdr:blipFill>
        <a:blip cstate="print" r:embed="rId1098"/>
        <a:stretch>
          <a:fillRect/>
        </a:stretch>
      </xdr:blipFill>
      <xdr:spPr>
        <a:prstGeom prst="rect">
          <a:avLst/>
        </a:prstGeom>
        <a:noFill/>
      </xdr:spPr>
    </xdr:pic>
    <xdr:clientData fLocksWithSheet="0"/>
  </xdr:oneCellAnchor>
  <xdr:oneCellAnchor>
    <xdr:from>
      <xdr:col>6</xdr:col>
      <xdr:colOff>38100</xdr:colOff>
      <xdr:row>2098</xdr:row>
      <xdr:rowOff>38100</xdr:rowOff>
    </xdr:from>
    <xdr:ext cx="514350" cy="514350"/>
    <xdr:pic>
      <xdr:nvPicPr>
        <xdr:cNvPr id="0" name="image1071.jpg"/>
        <xdr:cNvPicPr preferRelativeResize="0"/>
      </xdr:nvPicPr>
      <xdr:blipFill>
        <a:blip cstate="print" r:embed="rId1099"/>
        <a:stretch>
          <a:fillRect/>
        </a:stretch>
      </xdr:blipFill>
      <xdr:spPr>
        <a:prstGeom prst="rect">
          <a:avLst/>
        </a:prstGeom>
        <a:noFill/>
      </xdr:spPr>
    </xdr:pic>
    <xdr:clientData fLocksWithSheet="0"/>
  </xdr:oneCellAnchor>
  <xdr:oneCellAnchor>
    <xdr:from>
      <xdr:col>6</xdr:col>
      <xdr:colOff>38100</xdr:colOff>
      <xdr:row>2099</xdr:row>
      <xdr:rowOff>38100</xdr:rowOff>
    </xdr:from>
    <xdr:ext cx="514350" cy="514350"/>
    <xdr:pic>
      <xdr:nvPicPr>
        <xdr:cNvPr id="0" name="image1125.jpg"/>
        <xdr:cNvPicPr preferRelativeResize="0"/>
      </xdr:nvPicPr>
      <xdr:blipFill>
        <a:blip cstate="print" r:embed="rId1100"/>
        <a:stretch>
          <a:fillRect/>
        </a:stretch>
      </xdr:blipFill>
      <xdr:spPr>
        <a:prstGeom prst="rect">
          <a:avLst/>
        </a:prstGeom>
        <a:noFill/>
      </xdr:spPr>
    </xdr:pic>
    <xdr:clientData fLocksWithSheet="0"/>
  </xdr:oneCellAnchor>
  <xdr:oneCellAnchor>
    <xdr:from>
      <xdr:col>6</xdr:col>
      <xdr:colOff>38100</xdr:colOff>
      <xdr:row>2100</xdr:row>
      <xdr:rowOff>38100</xdr:rowOff>
    </xdr:from>
    <xdr:ext cx="514350" cy="514350"/>
    <xdr:pic>
      <xdr:nvPicPr>
        <xdr:cNvPr id="0" name="image1089.jpg"/>
        <xdr:cNvPicPr preferRelativeResize="0"/>
      </xdr:nvPicPr>
      <xdr:blipFill>
        <a:blip cstate="print" r:embed="rId1101"/>
        <a:stretch>
          <a:fillRect/>
        </a:stretch>
      </xdr:blipFill>
      <xdr:spPr>
        <a:prstGeom prst="rect">
          <a:avLst/>
        </a:prstGeom>
        <a:noFill/>
      </xdr:spPr>
    </xdr:pic>
    <xdr:clientData fLocksWithSheet="0"/>
  </xdr:oneCellAnchor>
  <xdr:oneCellAnchor>
    <xdr:from>
      <xdr:col>6</xdr:col>
      <xdr:colOff>38100</xdr:colOff>
      <xdr:row>2101</xdr:row>
      <xdr:rowOff>38100</xdr:rowOff>
    </xdr:from>
    <xdr:ext cx="647700" cy="438150"/>
    <xdr:pic>
      <xdr:nvPicPr>
        <xdr:cNvPr id="0" name="image1078.jpg"/>
        <xdr:cNvPicPr preferRelativeResize="0"/>
      </xdr:nvPicPr>
      <xdr:blipFill>
        <a:blip cstate="print" r:embed="rId1102"/>
        <a:stretch>
          <a:fillRect/>
        </a:stretch>
      </xdr:blipFill>
      <xdr:spPr>
        <a:prstGeom prst="rect">
          <a:avLst/>
        </a:prstGeom>
        <a:noFill/>
      </xdr:spPr>
    </xdr:pic>
    <xdr:clientData fLocksWithSheet="0"/>
  </xdr:oneCellAnchor>
  <xdr:oneCellAnchor>
    <xdr:from>
      <xdr:col>6</xdr:col>
      <xdr:colOff>38100</xdr:colOff>
      <xdr:row>2102</xdr:row>
      <xdr:rowOff>38100</xdr:rowOff>
    </xdr:from>
    <xdr:ext cx="590550" cy="514350"/>
    <xdr:pic>
      <xdr:nvPicPr>
        <xdr:cNvPr id="0" name="image1073.jpg"/>
        <xdr:cNvPicPr preferRelativeResize="0"/>
      </xdr:nvPicPr>
      <xdr:blipFill>
        <a:blip cstate="print" r:embed="rId1103"/>
        <a:stretch>
          <a:fillRect/>
        </a:stretch>
      </xdr:blipFill>
      <xdr:spPr>
        <a:prstGeom prst="rect">
          <a:avLst/>
        </a:prstGeom>
        <a:noFill/>
      </xdr:spPr>
    </xdr:pic>
    <xdr:clientData fLocksWithSheet="0"/>
  </xdr:oneCellAnchor>
  <xdr:oneCellAnchor>
    <xdr:from>
      <xdr:col>6</xdr:col>
      <xdr:colOff>38100</xdr:colOff>
      <xdr:row>2103</xdr:row>
      <xdr:rowOff>38100</xdr:rowOff>
    </xdr:from>
    <xdr:ext cx="514350" cy="514350"/>
    <xdr:pic>
      <xdr:nvPicPr>
        <xdr:cNvPr id="0" name="image1098.jpg"/>
        <xdr:cNvPicPr preferRelativeResize="0"/>
      </xdr:nvPicPr>
      <xdr:blipFill>
        <a:blip cstate="print" r:embed="rId1104"/>
        <a:stretch>
          <a:fillRect/>
        </a:stretch>
      </xdr:blipFill>
      <xdr:spPr>
        <a:prstGeom prst="rect">
          <a:avLst/>
        </a:prstGeom>
        <a:noFill/>
      </xdr:spPr>
    </xdr:pic>
    <xdr:clientData fLocksWithSheet="0"/>
  </xdr:oneCellAnchor>
  <xdr:oneCellAnchor>
    <xdr:from>
      <xdr:col>6</xdr:col>
      <xdr:colOff>38100</xdr:colOff>
      <xdr:row>2104</xdr:row>
      <xdr:rowOff>38100</xdr:rowOff>
    </xdr:from>
    <xdr:ext cx="523875" cy="514350"/>
    <xdr:pic>
      <xdr:nvPicPr>
        <xdr:cNvPr id="0" name="image1151.jpg"/>
        <xdr:cNvPicPr preferRelativeResize="0"/>
      </xdr:nvPicPr>
      <xdr:blipFill>
        <a:blip cstate="print" r:embed="rId1105"/>
        <a:stretch>
          <a:fillRect/>
        </a:stretch>
      </xdr:blipFill>
      <xdr:spPr>
        <a:prstGeom prst="rect">
          <a:avLst/>
        </a:prstGeom>
        <a:noFill/>
      </xdr:spPr>
    </xdr:pic>
    <xdr:clientData fLocksWithSheet="0"/>
  </xdr:oneCellAnchor>
  <xdr:oneCellAnchor>
    <xdr:from>
      <xdr:col>6</xdr:col>
      <xdr:colOff>38100</xdr:colOff>
      <xdr:row>2105</xdr:row>
      <xdr:rowOff>38100</xdr:rowOff>
    </xdr:from>
    <xdr:ext cx="600075" cy="514350"/>
    <xdr:pic>
      <xdr:nvPicPr>
        <xdr:cNvPr id="0" name="image1105.jpg"/>
        <xdr:cNvPicPr preferRelativeResize="0"/>
      </xdr:nvPicPr>
      <xdr:blipFill>
        <a:blip cstate="print" r:embed="rId1106"/>
        <a:stretch>
          <a:fillRect/>
        </a:stretch>
      </xdr:blipFill>
      <xdr:spPr>
        <a:prstGeom prst="rect">
          <a:avLst/>
        </a:prstGeom>
        <a:noFill/>
      </xdr:spPr>
    </xdr:pic>
    <xdr:clientData fLocksWithSheet="0"/>
  </xdr:oneCellAnchor>
  <xdr:oneCellAnchor>
    <xdr:from>
      <xdr:col>6</xdr:col>
      <xdr:colOff>38100</xdr:colOff>
      <xdr:row>2106</xdr:row>
      <xdr:rowOff>38100</xdr:rowOff>
    </xdr:from>
    <xdr:ext cx="581025" cy="514350"/>
    <xdr:pic>
      <xdr:nvPicPr>
        <xdr:cNvPr id="0" name="image1088.jpg"/>
        <xdr:cNvPicPr preferRelativeResize="0"/>
      </xdr:nvPicPr>
      <xdr:blipFill>
        <a:blip cstate="print" r:embed="rId1107"/>
        <a:stretch>
          <a:fillRect/>
        </a:stretch>
      </xdr:blipFill>
      <xdr:spPr>
        <a:prstGeom prst="rect">
          <a:avLst/>
        </a:prstGeom>
        <a:noFill/>
      </xdr:spPr>
    </xdr:pic>
    <xdr:clientData fLocksWithSheet="0"/>
  </xdr:oneCellAnchor>
  <xdr:oneCellAnchor>
    <xdr:from>
      <xdr:col>6</xdr:col>
      <xdr:colOff>38100</xdr:colOff>
      <xdr:row>2107</xdr:row>
      <xdr:rowOff>38100</xdr:rowOff>
    </xdr:from>
    <xdr:ext cx="609600" cy="514350"/>
    <xdr:pic>
      <xdr:nvPicPr>
        <xdr:cNvPr id="0" name="image1109.jpg"/>
        <xdr:cNvPicPr preferRelativeResize="0"/>
      </xdr:nvPicPr>
      <xdr:blipFill>
        <a:blip cstate="print" r:embed="rId1108"/>
        <a:stretch>
          <a:fillRect/>
        </a:stretch>
      </xdr:blipFill>
      <xdr:spPr>
        <a:prstGeom prst="rect">
          <a:avLst/>
        </a:prstGeom>
        <a:noFill/>
      </xdr:spPr>
    </xdr:pic>
    <xdr:clientData fLocksWithSheet="0"/>
  </xdr:oneCellAnchor>
  <xdr:oneCellAnchor>
    <xdr:from>
      <xdr:col>6</xdr:col>
      <xdr:colOff>38100</xdr:colOff>
      <xdr:row>2108</xdr:row>
      <xdr:rowOff>38100</xdr:rowOff>
    </xdr:from>
    <xdr:ext cx="638175" cy="514350"/>
    <xdr:pic>
      <xdr:nvPicPr>
        <xdr:cNvPr id="0" name="image1077.jpg"/>
        <xdr:cNvPicPr preferRelativeResize="0"/>
      </xdr:nvPicPr>
      <xdr:blipFill>
        <a:blip cstate="print" r:embed="rId1109"/>
        <a:stretch>
          <a:fillRect/>
        </a:stretch>
      </xdr:blipFill>
      <xdr:spPr>
        <a:prstGeom prst="rect">
          <a:avLst/>
        </a:prstGeom>
        <a:noFill/>
      </xdr:spPr>
    </xdr:pic>
    <xdr:clientData fLocksWithSheet="0"/>
  </xdr:oneCellAnchor>
  <xdr:oneCellAnchor>
    <xdr:from>
      <xdr:col>6</xdr:col>
      <xdr:colOff>38100</xdr:colOff>
      <xdr:row>2109</xdr:row>
      <xdr:rowOff>38100</xdr:rowOff>
    </xdr:from>
    <xdr:ext cx="485775" cy="514350"/>
    <xdr:pic>
      <xdr:nvPicPr>
        <xdr:cNvPr id="0" name="image1091.jpg"/>
        <xdr:cNvPicPr preferRelativeResize="0"/>
      </xdr:nvPicPr>
      <xdr:blipFill>
        <a:blip cstate="print" r:embed="rId1110"/>
        <a:stretch>
          <a:fillRect/>
        </a:stretch>
      </xdr:blipFill>
      <xdr:spPr>
        <a:prstGeom prst="rect">
          <a:avLst/>
        </a:prstGeom>
        <a:noFill/>
      </xdr:spPr>
    </xdr:pic>
    <xdr:clientData fLocksWithSheet="0"/>
  </xdr:oneCellAnchor>
  <xdr:oneCellAnchor>
    <xdr:from>
      <xdr:col>6</xdr:col>
      <xdr:colOff>38100</xdr:colOff>
      <xdr:row>2110</xdr:row>
      <xdr:rowOff>38100</xdr:rowOff>
    </xdr:from>
    <xdr:ext cx="533400" cy="514350"/>
    <xdr:pic>
      <xdr:nvPicPr>
        <xdr:cNvPr id="0" name="image1112.jpg"/>
        <xdr:cNvPicPr preferRelativeResize="0"/>
      </xdr:nvPicPr>
      <xdr:blipFill>
        <a:blip cstate="print" r:embed="rId1111"/>
        <a:stretch>
          <a:fillRect/>
        </a:stretch>
      </xdr:blipFill>
      <xdr:spPr>
        <a:prstGeom prst="rect">
          <a:avLst/>
        </a:prstGeom>
        <a:noFill/>
      </xdr:spPr>
    </xdr:pic>
    <xdr:clientData fLocksWithSheet="0"/>
  </xdr:oneCellAnchor>
  <xdr:oneCellAnchor>
    <xdr:from>
      <xdr:col>6</xdr:col>
      <xdr:colOff>38100</xdr:colOff>
      <xdr:row>2111</xdr:row>
      <xdr:rowOff>38100</xdr:rowOff>
    </xdr:from>
    <xdr:ext cx="542925" cy="514350"/>
    <xdr:pic>
      <xdr:nvPicPr>
        <xdr:cNvPr id="0" name="image1229.jpg"/>
        <xdr:cNvPicPr preferRelativeResize="0"/>
      </xdr:nvPicPr>
      <xdr:blipFill>
        <a:blip cstate="print" r:embed="rId1112"/>
        <a:stretch>
          <a:fillRect/>
        </a:stretch>
      </xdr:blipFill>
      <xdr:spPr>
        <a:prstGeom prst="rect">
          <a:avLst/>
        </a:prstGeom>
        <a:noFill/>
      </xdr:spPr>
    </xdr:pic>
    <xdr:clientData fLocksWithSheet="0"/>
  </xdr:oneCellAnchor>
  <xdr:oneCellAnchor>
    <xdr:from>
      <xdr:col>6</xdr:col>
      <xdr:colOff>38100</xdr:colOff>
      <xdr:row>2112</xdr:row>
      <xdr:rowOff>38100</xdr:rowOff>
    </xdr:from>
    <xdr:ext cx="542925" cy="304800"/>
    <xdr:pic>
      <xdr:nvPicPr>
        <xdr:cNvPr id="0" name="image1120.jpg"/>
        <xdr:cNvPicPr preferRelativeResize="0"/>
      </xdr:nvPicPr>
      <xdr:blipFill>
        <a:blip cstate="print" r:embed="rId1113"/>
        <a:stretch>
          <a:fillRect/>
        </a:stretch>
      </xdr:blipFill>
      <xdr:spPr>
        <a:prstGeom prst="rect">
          <a:avLst/>
        </a:prstGeom>
        <a:noFill/>
      </xdr:spPr>
    </xdr:pic>
    <xdr:clientData fLocksWithSheet="0"/>
  </xdr:oneCellAnchor>
  <xdr:oneCellAnchor>
    <xdr:from>
      <xdr:col>6</xdr:col>
      <xdr:colOff>38100</xdr:colOff>
      <xdr:row>2113</xdr:row>
      <xdr:rowOff>38100</xdr:rowOff>
    </xdr:from>
    <xdr:ext cx="447675" cy="381000"/>
    <xdr:pic>
      <xdr:nvPicPr>
        <xdr:cNvPr id="0" name="image1083.jpg"/>
        <xdr:cNvPicPr preferRelativeResize="0"/>
      </xdr:nvPicPr>
      <xdr:blipFill>
        <a:blip cstate="print" r:embed="rId1114"/>
        <a:stretch>
          <a:fillRect/>
        </a:stretch>
      </xdr:blipFill>
      <xdr:spPr>
        <a:prstGeom prst="rect">
          <a:avLst/>
        </a:prstGeom>
        <a:noFill/>
      </xdr:spPr>
    </xdr:pic>
    <xdr:clientData fLocksWithSheet="0"/>
  </xdr:oneCellAnchor>
  <xdr:oneCellAnchor>
    <xdr:from>
      <xdr:col>6</xdr:col>
      <xdr:colOff>38100</xdr:colOff>
      <xdr:row>2114</xdr:row>
      <xdr:rowOff>38100</xdr:rowOff>
    </xdr:from>
    <xdr:ext cx="495300" cy="333375"/>
    <xdr:pic>
      <xdr:nvPicPr>
        <xdr:cNvPr id="0" name="image1085.jpg"/>
        <xdr:cNvPicPr preferRelativeResize="0"/>
      </xdr:nvPicPr>
      <xdr:blipFill>
        <a:blip cstate="print" r:embed="rId1115"/>
        <a:stretch>
          <a:fillRect/>
        </a:stretch>
      </xdr:blipFill>
      <xdr:spPr>
        <a:prstGeom prst="rect">
          <a:avLst/>
        </a:prstGeom>
        <a:noFill/>
      </xdr:spPr>
    </xdr:pic>
    <xdr:clientData fLocksWithSheet="0"/>
  </xdr:oneCellAnchor>
  <xdr:oneCellAnchor>
    <xdr:from>
      <xdr:col>6</xdr:col>
      <xdr:colOff>38100</xdr:colOff>
      <xdr:row>2115</xdr:row>
      <xdr:rowOff>38100</xdr:rowOff>
    </xdr:from>
    <xdr:ext cx="495300" cy="333375"/>
    <xdr:pic>
      <xdr:nvPicPr>
        <xdr:cNvPr id="0" name="image1085.jpg"/>
        <xdr:cNvPicPr preferRelativeResize="0"/>
      </xdr:nvPicPr>
      <xdr:blipFill>
        <a:blip cstate="print" r:embed="rId1115"/>
        <a:stretch>
          <a:fillRect/>
        </a:stretch>
      </xdr:blipFill>
      <xdr:spPr>
        <a:prstGeom prst="rect">
          <a:avLst/>
        </a:prstGeom>
        <a:noFill/>
      </xdr:spPr>
    </xdr:pic>
    <xdr:clientData fLocksWithSheet="0"/>
  </xdr:oneCellAnchor>
  <xdr:oneCellAnchor>
    <xdr:from>
      <xdr:col>6</xdr:col>
      <xdr:colOff>38100</xdr:colOff>
      <xdr:row>2116</xdr:row>
      <xdr:rowOff>38100</xdr:rowOff>
    </xdr:from>
    <xdr:ext cx="647700" cy="381000"/>
    <xdr:pic>
      <xdr:nvPicPr>
        <xdr:cNvPr id="0" name="image1238.jpg"/>
        <xdr:cNvPicPr preferRelativeResize="0"/>
      </xdr:nvPicPr>
      <xdr:blipFill>
        <a:blip cstate="print" r:embed="rId1116"/>
        <a:stretch>
          <a:fillRect/>
        </a:stretch>
      </xdr:blipFill>
      <xdr:spPr>
        <a:prstGeom prst="rect">
          <a:avLst/>
        </a:prstGeom>
        <a:noFill/>
      </xdr:spPr>
    </xdr:pic>
    <xdr:clientData fLocksWithSheet="0"/>
  </xdr:oneCellAnchor>
  <xdr:oneCellAnchor>
    <xdr:from>
      <xdr:col>6</xdr:col>
      <xdr:colOff>38100</xdr:colOff>
      <xdr:row>2117</xdr:row>
      <xdr:rowOff>38100</xdr:rowOff>
    </xdr:from>
    <xdr:ext cx="647700" cy="390525"/>
    <xdr:pic>
      <xdr:nvPicPr>
        <xdr:cNvPr id="0" name="image1102.jpg"/>
        <xdr:cNvPicPr preferRelativeResize="0"/>
      </xdr:nvPicPr>
      <xdr:blipFill>
        <a:blip cstate="print" r:embed="rId1117"/>
        <a:stretch>
          <a:fillRect/>
        </a:stretch>
      </xdr:blipFill>
      <xdr:spPr>
        <a:prstGeom prst="rect">
          <a:avLst/>
        </a:prstGeom>
        <a:noFill/>
      </xdr:spPr>
    </xdr:pic>
    <xdr:clientData fLocksWithSheet="0"/>
  </xdr:oneCellAnchor>
  <xdr:oneCellAnchor>
    <xdr:from>
      <xdr:col>6</xdr:col>
      <xdr:colOff>38100</xdr:colOff>
      <xdr:row>2118</xdr:row>
      <xdr:rowOff>38100</xdr:rowOff>
    </xdr:from>
    <xdr:ext cx="628650" cy="514350"/>
    <xdr:pic>
      <xdr:nvPicPr>
        <xdr:cNvPr id="0" name="image1210.jpg"/>
        <xdr:cNvPicPr preferRelativeResize="0"/>
      </xdr:nvPicPr>
      <xdr:blipFill>
        <a:blip cstate="print" r:embed="rId1118"/>
        <a:stretch>
          <a:fillRect/>
        </a:stretch>
      </xdr:blipFill>
      <xdr:spPr>
        <a:prstGeom prst="rect">
          <a:avLst/>
        </a:prstGeom>
        <a:noFill/>
      </xdr:spPr>
    </xdr:pic>
    <xdr:clientData fLocksWithSheet="0"/>
  </xdr:oneCellAnchor>
  <xdr:oneCellAnchor>
    <xdr:from>
      <xdr:col>6</xdr:col>
      <xdr:colOff>38100</xdr:colOff>
      <xdr:row>2119</xdr:row>
      <xdr:rowOff>38100</xdr:rowOff>
    </xdr:from>
    <xdr:ext cx="542925" cy="314325"/>
    <xdr:pic>
      <xdr:nvPicPr>
        <xdr:cNvPr id="0" name="image1158.jpg"/>
        <xdr:cNvPicPr preferRelativeResize="0"/>
      </xdr:nvPicPr>
      <xdr:blipFill>
        <a:blip cstate="print" r:embed="rId1119"/>
        <a:stretch>
          <a:fillRect/>
        </a:stretch>
      </xdr:blipFill>
      <xdr:spPr>
        <a:prstGeom prst="rect">
          <a:avLst/>
        </a:prstGeom>
        <a:noFill/>
      </xdr:spPr>
    </xdr:pic>
    <xdr:clientData fLocksWithSheet="0"/>
  </xdr:oneCellAnchor>
  <xdr:oneCellAnchor>
    <xdr:from>
      <xdr:col>6</xdr:col>
      <xdr:colOff>38100</xdr:colOff>
      <xdr:row>2120</xdr:row>
      <xdr:rowOff>38100</xdr:rowOff>
    </xdr:from>
    <xdr:ext cx="495300" cy="314325"/>
    <xdr:pic>
      <xdr:nvPicPr>
        <xdr:cNvPr id="0" name="image1159.jpg"/>
        <xdr:cNvPicPr preferRelativeResize="0"/>
      </xdr:nvPicPr>
      <xdr:blipFill>
        <a:blip cstate="print" r:embed="rId1120"/>
        <a:stretch>
          <a:fillRect/>
        </a:stretch>
      </xdr:blipFill>
      <xdr:spPr>
        <a:prstGeom prst="rect">
          <a:avLst/>
        </a:prstGeom>
        <a:noFill/>
      </xdr:spPr>
    </xdr:pic>
    <xdr:clientData fLocksWithSheet="0"/>
  </xdr:oneCellAnchor>
  <xdr:oneCellAnchor>
    <xdr:from>
      <xdr:col>6</xdr:col>
      <xdr:colOff>38100</xdr:colOff>
      <xdr:row>2121</xdr:row>
      <xdr:rowOff>38100</xdr:rowOff>
    </xdr:from>
    <xdr:ext cx="390525" cy="381000"/>
    <xdr:pic>
      <xdr:nvPicPr>
        <xdr:cNvPr id="0" name="image1090.jpg"/>
        <xdr:cNvPicPr preferRelativeResize="0"/>
      </xdr:nvPicPr>
      <xdr:blipFill>
        <a:blip cstate="print" r:embed="rId1121"/>
        <a:stretch>
          <a:fillRect/>
        </a:stretch>
      </xdr:blipFill>
      <xdr:spPr>
        <a:prstGeom prst="rect">
          <a:avLst/>
        </a:prstGeom>
        <a:noFill/>
      </xdr:spPr>
    </xdr:pic>
    <xdr:clientData fLocksWithSheet="0"/>
  </xdr:oneCellAnchor>
  <xdr:oneCellAnchor>
    <xdr:from>
      <xdr:col>6</xdr:col>
      <xdr:colOff>38100</xdr:colOff>
      <xdr:row>2122</xdr:row>
      <xdr:rowOff>38100</xdr:rowOff>
    </xdr:from>
    <xdr:ext cx="390525" cy="381000"/>
    <xdr:pic>
      <xdr:nvPicPr>
        <xdr:cNvPr id="0" name="image1090.jpg"/>
        <xdr:cNvPicPr preferRelativeResize="0"/>
      </xdr:nvPicPr>
      <xdr:blipFill>
        <a:blip cstate="print" r:embed="rId1121"/>
        <a:stretch>
          <a:fillRect/>
        </a:stretch>
      </xdr:blipFill>
      <xdr:spPr>
        <a:prstGeom prst="rect">
          <a:avLst/>
        </a:prstGeom>
        <a:noFill/>
      </xdr:spPr>
    </xdr:pic>
    <xdr:clientData fLocksWithSheet="0"/>
  </xdr:oneCellAnchor>
  <xdr:oneCellAnchor>
    <xdr:from>
      <xdr:col>6</xdr:col>
      <xdr:colOff>38100</xdr:colOff>
      <xdr:row>2123</xdr:row>
      <xdr:rowOff>38100</xdr:rowOff>
    </xdr:from>
    <xdr:ext cx="561975" cy="390525"/>
    <xdr:pic>
      <xdr:nvPicPr>
        <xdr:cNvPr id="0" name="image1140.jpg"/>
        <xdr:cNvPicPr preferRelativeResize="0"/>
      </xdr:nvPicPr>
      <xdr:blipFill>
        <a:blip cstate="print" r:embed="rId1122"/>
        <a:stretch>
          <a:fillRect/>
        </a:stretch>
      </xdr:blipFill>
      <xdr:spPr>
        <a:prstGeom prst="rect">
          <a:avLst/>
        </a:prstGeom>
        <a:noFill/>
      </xdr:spPr>
    </xdr:pic>
    <xdr:clientData fLocksWithSheet="0"/>
  </xdr:oneCellAnchor>
  <xdr:oneCellAnchor>
    <xdr:from>
      <xdr:col>6</xdr:col>
      <xdr:colOff>38100</xdr:colOff>
      <xdr:row>2124</xdr:row>
      <xdr:rowOff>38100</xdr:rowOff>
    </xdr:from>
    <xdr:ext cx="561975" cy="390525"/>
    <xdr:pic>
      <xdr:nvPicPr>
        <xdr:cNvPr id="0" name="image1140.jpg"/>
        <xdr:cNvPicPr preferRelativeResize="0"/>
      </xdr:nvPicPr>
      <xdr:blipFill>
        <a:blip cstate="print" r:embed="rId1122"/>
        <a:stretch>
          <a:fillRect/>
        </a:stretch>
      </xdr:blipFill>
      <xdr:spPr>
        <a:prstGeom prst="rect">
          <a:avLst/>
        </a:prstGeom>
        <a:noFill/>
      </xdr:spPr>
    </xdr:pic>
    <xdr:clientData fLocksWithSheet="0"/>
  </xdr:oneCellAnchor>
  <xdr:oneCellAnchor>
    <xdr:from>
      <xdr:col>6</xdr:col>
      <xdr:colOff>38100</xdr:colOff>
      <xdr:row>2125</xdr:row>
      <xdr:rowOff>38100</xdr:rowOff>
    </xdr:from>
    <xdr:ext cx="561975" cy="390525"/>
    <xdr:pic>
      <xdr:nvPicPr>
        <xdr:cNvPr id="0" name="image1140.jpg"/>
        <xdr:cNvPicPr preferRelativeResize="0"/>
      </xdr:nvPicPr>
      <xdr:blipFill>
        <a:blip cstate="print" r:embed="rId1122"/>
        <a:stretch>
          <a:fillRect/>
        </a:stretch>
      </xdr:blipFill>
      <xdr:spPr>
        <a:prstGeom prst="rect">
          <a:avLst/>
        </a:prstGeom>
        <a:noFill/>
      </xdr:spPr>
    </xdr:pic>
    <xdr:clientData fLocksWithSheet="0"/>
  </xdr:oneCellAnchor>
  <xdr:oneCellAnchor>
    <xdr:from>
      <xdr:col>6</xdr:col>
      <xdr:colOff>38100</xdr:colOff>
      <xdr:row>2126</xdr:row>
      <xdr:rowOff>38100</xdr:rowOff>
    </xdr:from>
    <xdr:ext cx="476250" cy="504825"/>
    <xdr:pic>
      <xdr:nvPicPr>
        <xdr:cNvPr id="0" name="image1096.jpg"/>
        <xdr:cNvPicPr preferRelativeResize="0"/>
      </xdr:nvPicPr>
      <xdr:blipFill>
        <a:blip cstate="print" r:embed="rId1123"/>
        <a:stretch>
          <a:fillRect/>
        </a:stretch>
      </xdr:blipFill>
      <xdr:spPr>
        <a:prstGeom prst="rect">
          <a:avLst/>
        </a:prstGeom>
        <a:noFill/>
      </xdr:spPr>
    </xdr:pic>
    <xdr:clientData fLocksWithSheet="0"/>
  </xdr:oneCellAnchor>
  <xdr:oneCellAnchor>
    <xdr:from>
      <xdr:col>6</xdr:col>
      <xdr:colOff>38100</xdr:colOff>
      <xdr:row>2127</xdr:row>
      <xdr:rowOff>38100</xdr:rowOff>
    </xdr:from>
    <xdr:ext cx="476250" cy="504825"/>
    <xdr:pic>
      <xdr:nvPicPr>
        <xdr:cNvPr id="0" name="image1096.jpg"/>
        <xdr:cNvPicPr preferRelativeResize="0"/>
      </xdr:nvPicPr>
      <xdr:blipFill>
        <a:blip cstate="print" r:embed="rId1123"/>
        <a:stretch>
          <a:fillRect/>
        </a:stretch>
      </xdr:blipFill>
      <xdr:spPr>
        <a:prstGeom prst="rect">
          <a:avLst/>
        </a:prstGeom>
        <a:noFill/>
      </xdr:spPr>
    </xdr:pic>
    <xdr:clientData fLocksWithSheet="0"/>
  </xdr:oneCellAnchor>
  <xdr:oneCellAnchor>
    <xdr:from>
      <xdr:col>6</xdr:col>
      <xdr:colOff>38100</xdr:colOff>
      <xdr:row>2128</xdr:row>
      <xdr:rowOff>38100</xdr:rowOff>
    </xdr:from>
    <xdr:ext cx="476250" cy="504825"/>
    <xdr:pic>
      <xdr:nvPicPr>
        <xdr:cNvPr id="0" name="image1096.jpg"/>
        <xdr:cNvPicPr preferRelativeResize="0"/>
      </xdr:nvPicPr>
      <xdr:blipFill>
        <a:blip cstate="print" r:embed="rId1123"/>
        <a:stretch>
          <a:fillRect/>
        </a:stretch>
      </xdr:blipFill>
      <xdr:spPr>
        <a:prstGeom prst="rect">
          <a:avLst/>
        </a:prstGeom>
        <a:noFill/>
      </xdr:spPr>
    </xdr:pic>
    <xdr:clientData fLocksWithSheet="0"/>
  </xdr:oneCellAnchor>
  <xdr:oneCellAnchor>
    <xdr:from>
      <xdr:col>6</xdr:col>
      <xdr:colOff>38100</xdr:colOff>
      <xdr:row>2129</xdr:row>
      <xdr:rowOff>38100</xdr:rowOff>
    </xdr:from>
    <xdr:ext cx="476250" cy="504825"/>
    <xdr:pic>
      <xdr:nvPicPr>
        <xdr:cNvPr id="0" name="image1096.jpg"/>
        <xdr:cNvPicPr preferRelativeResize="0"/>
      </xdr:nvPicPr>
      <xdr:blipFill>
        <a:blip cstate="print" r:embed="rId1123"/>
        <a:stretch>
          <a:fillRect/>
        </a:stretch>
      </xdr:blipFill>
      <xdr:spPr>
        <a:prstGeom prst="rect">
          <a:avLst/>
        </a:prstGeom>
        <a:noFill/>
      </xdr:spPr>
    </xdr:pic>
    <xdr:clientData fLocksWithSheet="0"/>
  </xdr:oneCellAnchor>
  <xdr:oneCellAnchor>
    <xdr:from>
      <xdr:col>6</xdr:col>
      <xdr:colOff>38100</xdr:colOff>
      <xdr:row>2130</xdr:row>
      <xdr:rowOff>38100</xdr:rowOff>
    </xdr:from>
    <xdr:ext cx="323850" cy="342900"/>
    <xdr:pic>
      <xdr:nvPicPr>
        <xdr:cNvPr id="0" name="image1107.jpg"/>
        <xdr:cNvPicPr preferRelativeResize="0"/>
      </xdr:nvPicPr>
      <xdr:blipFill>
        <a:blip cstate="print" r:embed="rId1124"/>
        <a:stretch>
          <a:fillRect/>
        </a:stretch>
      </xdr:blipFill>
      <xdr:spPr>
        <a:prstGeom prst="rect">
          <a:avLst/>
        </a:prstGeom>
        <a:noFill/>
      </xdr:spPr>
    </xdr:pic>
    <xdr:clientData fLocksWithSheet="0"/>
  </xdr:oneCellAnchor>
  <xdr:oneCellAnchor>
    <xdr:from>
      <xdr:col>6</xdr:col>
      <xdr:colOff>38100</xdr:colOff>
      <xdr:row>2131</xdr:row>
      <xdr:rowOff>38100</xdr:rowOff>
    </xdr:from>
    <xdr:ext cx="323850" cy="476250"/>
    <xdr:pic>
      <xdr:nvPicPr>
        <xdr:cNvPr id="0" name="image1106.jpg"/>
        <xdr:cNvPicPr preferRelativeResize="0"/>
      </xdr:nvPicPr>
      <xdr:blipFill>
        <a:blip cstate="print" r:embed="rId1125"/>
        <a:stretch>
          <a:fillRect/>
        </a:stretch>
      </xdr:blipFill>
      <xdr:spPr>
        <a:prstGeom prst="rect">
          <a:avLst/>
        </a:prstGeom>
        <a:noFill/>
      </xdr:spPr>
    </xdr:pic>
    <xdr:clientData fLocksWithSheet="0"/>
  </xdr:oneCellAnchor>
  <xdr:oneCellAnchor>
    <xdr:from>
      <xdr:col>6</xdr:col>
      <xdr:colOff>38100</xdr:colOff>
      <xdr:row>2132</xdr:row>
      <xdr:rowOff>38100</xdr:rowOff>
    </xdr:from>
    <xdr:ext cx="323850" cy="476250"/>
    <xdr:pic>
      <xdr:nvPicPr>
        <xdr:cNvPr id="0" name="image1106.jpg"/>
        <xdr:cNvPicPr preferRelativeResize="0"/>
      </xdr:nvPicPr>
      <xdr:blipFill>
        <a:blip cstate="print" r:embed="rId1125"/>
        <a:stretch>
          <a:fillRect/>
        </a:stretch>
      </xdr:blipFill>
      <xdr:spPr>
        <a:prstGeom prst="rect">
          <a:avLst/>
        </a:prstGeom>
        <a:noFill/>
      </xdr:spPr>
    </xdr:pic>
    <xdr:clientData fLocksWithSheet="0"/>
  </xdr:oneCellAnchor>
  <xdr:oneCellAnchor>
    <xdr:from>
      <xdr:col>6</xdr:col>
      <xdr:colOff>38100</xdr:colOff>
      <xdr:row>2133</xdr:row>
      <xdr:rowOff>38100</xdr:rowOff>
    </xdr:from>
    <xdr:ext cx="400050" cy="409575"/>
    <xdr:pic>
      <xdr:nvPicPr>
        <xdr:cNvPr id="0" name="image1108.jpg"/>
        <xdr:cNvPicPr preferRelativeResize="0"/>
      </xdr:nvPicPr>
      <xdr:blipFill>
        <a:blip cstate="print" r:embed="rId1126"/>
        <a:stretch>
          <a:fillRect/>
        </a:stretch>
      </xdr:blipFill>
      <xdr:spPr>
        <a:prstGeom prst="rect">
          <a:avLst/>
        </a:prstGeom>
        <a:noFill/>
      </xdr:spPr>
    </xdr:pic>
    <xdr:clientData fLocksWithSheet="0"/>
  </xdr:oneCellAnchor>
  <xdr:oneCellAnchor>
    <xdr:from>
      <xdr:col>6</xdr:col>
      <xdr:colOff>38100</xdr:colOff>
      <xdr:row>2134</xdr:row>
      <xdr:rowOff>38100</xdr:rowOff>
    </xdr:from>
    <xdr:ext cx="400050" cy="409575"/>
    <xdr:pic>
      <xdr:nvPicPr>
        <xdr:cNvPr id="0" name="image1108.jpg"/>
        <xdr:cNvPicPr preferRelativeResize="0"/>
      </xdr:nvPicPr>
      <xdr:blipFill>
        <a:blip cstate="print" r:embed="rId1126"/>
        <a:stretch>
          <a:fillRect/>
        </a:stretch>
      </xdr:blipFill>
      <xdr:spPr>
        <a:prstGeom prst="rect">
          <a:avLst/>
        </a:prstGeom>
        <a:noFill/>
      </xdr:spPr>
    </xdr:pic>
    <xdr:clientData fLocksWithSheet="0"/>
  </xdr:oneCellAnchor>
  <xdr:oneCellAnchor>
    <xdr:from>
      <xdr:col>6</xdr:col>
      <xdr:colOff>38100</xdr:colOff>
      <xdr:row>2135</xdr:row>
      <xdr:rowOff>38100</xdr:rowOff>
    </xdr:from>
    <xdr:ext cx="400050" cy="409575"/>
    <xdr:pic>
      <xdr:nvPicPr>
        <xdr:cNvPr id="0" name="image1108.jpg"/>
        <xdr:cNvPicPr preferRelativeResize="0"/>
      </xdr:nvPicPr>
      <xdr:blipFill>
        <a:blip cstate="print" r:embed="rId1126"/>
        <a:stretch>
          <a:fillRect/>
        </a:stretch>
      </xdr:blipFill>
      <xdr:spPr>
        <a:prstGeom prst="rect">
          <a:avLst/>
        </a:prstGeom>
        <a:noFill/>
      </xdr:spPr>
    </xdr:pic>
    <xdr:clientData fLocksWithSheet="0"/>
  </xdr:oneCellAnchor>
  <xdr:oneCellAnchor>
    <xdr:from>
      <xdr:col>6</xdr:col>
      <xdr:colOff>38100</xdr:colOff>
      <xdr:row>2136</xdr:row>
      <xdr:rowOff>38100</xdr:rowOff>
    </xdr:from>
    <xdr:ext cx="400050" cy="409575"/>
    <xdr:pic>
      <xdr:nvPicPr>
        <xdr:cNvPr id="0" name="image1108.jpg"/>
        <xdr:cNvPicPr preferRelativeResize="0"/>
      </xdr:nvPicPr>
      <xdr:blipFill>
        <a:blip cstate="print" r:embed="rId1126"/>
        <a:stretch>
          <a:fillRect/>
        </a:stretch>
      </xdr:blipFill>
      <xdr:spPr>
        <a:prstGeom prst="rect">
          <a:avLst/>
        </a:prstGeom>
        <a:noFill/>
      </xdr:spPr>
    </xdr:pic>
    <xdr:clientData fLocksWithSheet="0"/>
  </xdr:oneCellAnchor>
  <xdr:oneCellAnchor>
    <xdr:from>
      <xdr:col>6</xdr:col>
      <xdr:colOff>38100</xdr:colOff>
      <xdr:row>2137</xdr:row>
      <xdr:rowOff>38100</xdr:rowOff>
    </xdr:from>
    <xdr:ext cx="323850" cy="476250"/>
    <xdr:pic>
      <xdr:nvPicPr>
        <xdr:cNvPr id="0" name="image1106.jpg"/>
        <xdr:cNvPicPr preferRelativeResize="0"/>
      </xdr:nvPicPr>
      <xdr:blipFill>
        <a:blip cstate="print" r:embed="rId1125"/>
        <a:stretch>
          <a:fillRect/>
        </a:stretch>
      </xdr:blipFill>
      <xdr:spPr>
        <a:prstGeom prst="rect">
          <a:avLst/>
        </a:prstGeom>
        <a:noFill/>
      </xdr:spPr>
    </xdr:pic>
    <xdr:clientData fLocksWithSheet="0"/>
  </xdr:oneCellAnchor>
  <xdr:oneCellAnchor>
    <xdr:from>
      <xdr:col>6</xdr:col>
      <xdr:colOff>38100</xdr:colOff>
      <xdr:row>2138</xdr:row>
      <xdr:rowOff>38100</xdr:rowOff>
    </xdr:from>
    <xdr:ext cx="352425" cy="514350"/>
    <xdr:pic>
      <xdr:nvPicPr>
        <xdr:cNvPr id="0" name="image1227.jpg"/>
        <xdr:cNvPicPr preferRelativeResize="0"/>
      </xdr:nvPicPr>
      <xdr:blipFill>
        <a:blip cstate="print" r:embed="rId1127"/>
        <a:stretch>
          <a:fillRect/>
        </a:stretch>
      </xdr:blipFill>
      <xdr:spPr>
        <a:prstGeom prst="rect">
          <a:avLst/>
        </a:prstGeom>
        <a:noFill/>
      </xdr:spPr>
    </xdr:pic>
    <xdr:clientData fLocksWithSheet="0"/>
  </xdr:oneCellAnchor>
  <xdr:oneCellAnchor>
    <xdr:from>
      <xdr:col>6</xdr:col>
      <xdr:colOff>38100</xdr:colOff>
      <xdr:row>2139</xdr:row>
      <xdr:rowOff>38100</xdr:rowOff>
    </xdr:from>
    <xdr:ext cx="647700" cy="419100"/>
    <xdr:pic>
      <xdr:nvPicPr>
        <xdr:cNvPr id="0" name="image1149.jpg"/>
        <xdr:cNvPicPr preferRelativeResize="0"/>
      </xdr:nvPicPr>
      <xdr:blipFill>
        <a:blip cstate="print" r:embed="rId1128"/>
        <a:stretch>
          <a:fillRect/>
        </a:stretch>
      </xdr:blipFill>
      <xdr:spPr>
        <a:prstGeom prst="rect">
          <a:avLst/>
        </a:prstGeom>
        <a:noFill/>
      </xdr:spPr>
    </xdr:pic>
    <xdr:clientData fLocksWithSheet="0"/>
  </xdr:oneCellAnchor>
  <xdr:oneCellAnchor>
    <xdr:from>
      <xdr:col>6</xdr:col>
      <xdr:colOff>38100</xdr:colOff>
      <xdr:row>2140</xdr:row>
      <xdr:rowOff>38100</xdr:rowOff>
    </xdr:from>
    <xdr:ext cx="514350" cy="314325"/>
    <xdr:pic>
      <xdr:nvPicPr>
        <xdr:cNvPr id="0" name="image1103.jpg"/>
        <xdr:cNvPicPr preferRelativeResize="0"/>
      </xdr:nvPicPr>
      <xdr:blipFill>
        <a:blip cstate="print" r:embed="rId1129"/>
        <a:stretch>
          <a:fillRect/>
        </a:stretch>
      </xdr:blipFill>
      <xdr:spPr>
        <a:prstGeom prst="rect">
          <a:avLst/>
        </a:prstGeom>
        <a:noFill/>
      </xdr:spPr>
    </xdr:pic>
    <xdr:clientData fLocksWithSheet="0"/>
  </xdr:oneCellAnchor>
  <xdr:oneCellAnchor>
    <xdr:from>
      <xdr:col>6</xdr:col>
      <xdr:colOff>38100</xdr:colOff>
      <xdr:row>2141</xdr:row>
      <xdr:rowOff>38100</xdr:rowOff>
    </xdr:from>
    <xdr:ext cx="514350" cy="514350"/>
    <xdr:pic>
      <xdr:nvPicPr>
        <xdr:cNvPr id="0" name="image1113.jpg"/>
        <xdr:cNvPicPr preferRelativeResize="0"/>
      </xdr:nvPicPr>
      <xdr:blipFill>
        <a:blip cstate="print" r:embed="rId1130"/>
        <a:stretch>
          <a:fillRect/>
        </a:stretch>
      </xdr:blipFill>
      <xdr:spPr>
        <a:prstGeom prst="rect">
          <a:avLst/>
        </a:prstGeom>
        <a:noFill/>
      </xdr:spPr>
    </xdr:pic>
    <xdr:clientData fLocksWithSheet="0"/>
  </xdr:oneCellAnchor>
  <xdr:oneCellAnchor>
    <xdr:from>
      <xdr:col>6</xdr:col>
      <xdr:colOff>38100</xdr:colOff>
      <xdr:row>2142</xdr:row>
      <xdr:rowOff>38100</xdr:rowOff>
    </xdr:from>
    <xdr:ext cx="390525" cy="514350"/>
    <xdr:pic>
      <xdr:nvPicPr>
        <xdr:cNvPr id="0" name="image1160.jpg"/>
        <xdr:cNvPicPr preferRelativeResize="0"/>
      </xdr:nvPicPr>
      <xdr:blipFill>
        <a:blip cstate="print" r:embed="rId1131"/>
        <a:stretch>
          <a:fillRect/>
        </a:stretch>
      </xdr:blipFill>
      <xdr:spPr>
        <a:prstGeom prst="rect">
          <a:avLst/>
        </a:prstGeom>
        <a:noFill/>
      </xdr:spPr>
    </xdr:pic>
    <xdr:clientData fLocksWithSheet="0"/>
  </xdr:oneCellAnchor>
  <xdr:oneCellAnchor>
    <xdr:from>
      <xdr:col>6</xdr:col>
      <xdr:colOff>38100</xdr:colOff>
      <xdr:row>2143</xdr:row>
      <xdr:rowOff>38100</xdr:rowOff>
    </xdr:from>
    <xdr:ext cx="390525" cy="514350"/>
    <xdr:pic>
      <xdr:nvPicPr>
        <xdr:cNvPr id="0" name="image1160.jpg"/>
        <xdr:cNvPicPr preferRelativeResize="0"/>
      </xdr:nvPicPr>
      <xdr:blipFill>
        <a:blip cstate="print" r:embed="rId1131"/>
        <a:stretch>
          <a:fillRect/>
        </a:stretch>
      </xdr:blipFill>
      <xdr:spPr>
        <a:prstGeom prst="rect">
          <a:avLst/>
        </a:prstGeom>
        <a:noFill/>
      </xdr:spPr>
    </xdr:pic>
    <xdr:clientData fLocksWithSheet="0"/>
  </xdr:oneCellAnchor>
  <xdr:oneCellAnchor>
    <xdr:from>
      <xdr:col>6</xdr:col>
      <xdr:colOff>38100</xdr:colOff>
      <xdr:row>2144</xdr:row>
      <xdr:rowOff>38100</xdr:rowOff>
    </xdr:from>
    <xdr:ext cx="390525" cy="514350"/>
    <xdr:pic>
      <xdr:nvPicPr>
        <xdr:cNvPr id="0" name="image1160.jpg"/>
        <xdr:cNvPicPr preferRelativeResize="0"/>
      </xdr:nvPicPr>
      <xdr:blipFill>
        <a:blip cstate="print" r:embed="rId1131"/>
        <a:stretch>
          <a:fillRect/>
        </a:stretch>
      </xdr:blipFill>
      <xdr:spPr>
        <a:prstGeom prst="rect">
          <a:avLst/>
        </a:prstGeom>
        <a:noFill/>
      </xdr:spPr>
    </xdr:pic>
    <xdr:clientData fLocksWithSheet="0"/>
  </xdr:oneCellAnchor>
  <xdr:oneCellAnchor>
    <xdr:from>
      <xdr:col>6</xdr:col>
      <xdr:colOff>38100</xdr:colOff>
      <xdr:row>2145</xdr:row>
      <xdr:rowOff>38100</xdr:rowOff>
    </xdr:from>
    <xdr:ext cx="647700" cy="295275"/>
    <xdr:pic>
      <xdr:nvPicPr>
        <xdr:cNvPr id="0" name="image1170.jpg"/>
        <xdr:cNvPicPr preferRelativeResize="0"/>
      </xdr:nvPicPr>
      <xdr:blipFill>
        <a:blip cstate="print" r:embed="rId1132"/>
        <a:stretch>
          <a:fillRect/>
        </a:stretch>
      </xdr:blipFill>
      <xdr:spPr>
        <a:prstGeom prst="rect">
          <a:avLst/>
        </a:prstGeom>
        <a:noFill/>
      </xdr:spPr>
    </xdr:pic>
    <xdr:clientData fLocksWithSheet="0"/>
  </xdr:oneCellAnchor>
  <xdr:oneCellAnchor>
    <xdr:from>
      <xdr:col>6</xdr:col>
      <xdr:colOff>38100</xdr:colOff>
      <xdr:row>2146</xdr:row>
      <xdr:rowOff>38100</xdr:rowOff>
    </xdr:from>
    <xdr:ext cx="447675" cy="342900"/>
    <xdr:pic>
      <xdr:nvPicPr>
        <xdr:cNvPr id="0" name="image1110.jpg"/>
        <xdr:cNvPicPr preferRelativeResize="0"/>
      </xdr:nvPicPr>
      <xdr:blipFill>
        <a:blip cstate="print" r:embed="rId1133"/>
        <a:stretch>
          <a:fillRect/>
        </a:stretch>
      </xdr:blipFill>
      <xdr:spPr>
        <a:prstGeom prst="rect">
          <a:avLst/>
        </a:prstGeom>
        <a:noFill/>
      </xdr:spPr>
    </xdr:pic>
    <xdr:clientData fLocksWithSheet="0"/>
  </xdr:oneCellAnchor>
  <xdr:oneCellAnchor>
    <xdr:from>
      <xdr:col>6</xdr:col>
      <xdr:colOff>38100</xdr:colOff>
      <xdr:row>2147</xdr:row>
      <xdr:rowOff>38100</xdr:rowOff>
    </xdr:from>
    <xdr:ext cx="419100" cy="466725"/>
    <xdr:pic>
      <xdr:nvPicPr>
        <xdr:cNvPr id="0" name="image1114.jpg"/>
        <xdr:cNvPicPr preferRelativeResize="0"/>
      </xdr:nvPicPr>
      <xdr:blipFill>
        <a:blip cstate="print" r:embed="rId1134"/>
        <a:stretch>
          <a:fillRect/>
        </a:stretch>
      </xdr:blipFill>
      <xdr:spPr>
        <a:prstGeom prst="rect">
          <a:avLst/>
        </a:prstGeom>
        <a:noFill/>
      </xdr:spPr>
    </xdr:pic>
    <xdr:clientData fLocksWithSheet="0"/>
  </xdr:oneCellAnchor>
  <xdr:oneCellAnchor>
    <xdr:from>
      <xdr:col>6</xdr:col>
      <xdr:colOff>38100</xdr:colOff>
      <xdr:row>2148</xdr:row>
      <xdr:rowOff>38100</xdr:rowOff>
    </xdr:from>
    <xdr:ext cx="619125" cy="514350"/>
    <xdr:pic>
      <xdr:nvPicPr>
        <xdr:cNvPr id="0" name="image1111.jpg"/>
        <xdr:cNvPicPr preferRelativeResize="0"/>
      </xdr:nvPicPr>
      <xdr:blipFill>
        <a:blip cstate="print" r:embed="rId1135"/>
        <a:stretch>
          <a:fillRect/>
        </a:stretch>
      </xdr:blipFill>
      <xdr:spPr>
        <a:prstGeom prst="rect">
          <a:avLst/>
        </a:prstGeom>
        <a:noFill/>
      </xdr:spPr>
    </xdr:pic>
    <xdr:clientData fLocksWithSheet="0"/>
  </xdr:oneCellAnchor>
  <xdr:oneCellAnchor>
    <xdr:from>
      <xdr:col>6</xdr:col>
      <xdr:colOff>38100</xdr:colOff>
      <xdr:row>2149</xdr:row>
      <xdr:rowOff>38100</xdr:rowOff>
    </xdr:from>
    <xdr:ext cx="400050" cy="514350"/>
    <xdr:pic>
      <xdr:nvPicPr>
        <xdr:cNvPr id="0" name="image1116.jpg"/>
        <xdr:cNvPicPr preferRelativeResize="0"/>
      </xdr:nvPicPr>
      <xdr:blipFill>
        <a:blip cstate="print" r:embed="rId1136"/>
        <a:stretch>
          <a:fillRect/>
        </a:stretch>
      </xdr:blipFill>
      <xdr:spPr>
        <a:prstGeom prst="rect">
          <a:avLst/>
        </a:prstGeom>
        <a:noFill/>
      </xdr:spPr>
    </xdr:pic>
    <xdr:clientData fLocksWithSheet="0"/>
  </xdr:oneCellAnchor>
  <xdr:oneCellAnchor>
    <xdr:from>
      <xdr:col>6</xdr:col>
      <xdr:colOff>38100</xdr:colOff>
      <xdr:row>2150</xdr:row>
      <xdr:rowOff>38100</xdr:rowOff>
    </xdr:from>
    <xdr:ext cx="438150" cy="333375"/>
    <xdr:pic>
      <xdr:nvPicPr>
        <xdr:cNvPr id="0" name="image1115.jpg"/>
        <xdr:cNvPicPr preferRelativeResize="0"/>
      </xdr:nvPicPr>
      <xdr:blipFill>
        <a:blip cstate="print" r:embed="rId1137"/>
        <a:stretch>
          <a:fillRect/>
        </a:stretch>
      </xdr:blipFill>
      <xdr:spPr>
        <a:prstGeom prst="rect">
          <a:avLst/>
        </a:prstGeom>
        <a:noFill/>
      </xdr:spPr>
    </xdr:pic>
    <xdr:clientData fLocksWithSheet="0"/>
  </xdr:oneCellAnchor>
  <xdr:oneCellAnchor>
    <xdr:from>
      <xdr:col>6</xdr:col>
      <xdr:colOff>38100</xdr:colOff>
      <xdr:row>2151</xdr:row>
      <xdr:rowOff>38100</xdr:rowOff>
    </xdr:from>
    <xdr:ext cx="647700" cy="438150"/>
    <xdr:pic>
      <xdr:nvPicPr>
        <xdr:cNvPr id="0" name="image1136.jpg"/>
        <xdr:cNvPicPr preferRelativeResize="0"/>
      </xdr:nvPicPr>
      <xdr:blipFill>
        <a:blip cstate="print" r:embed="rId1138"/>
        <a:stretch>
          <a:fillRect/>
        </a:stretch>
      </xdr:blipFill>
      <xdr:spPr>
        <a:prstGeom prst="rect">
          <a:avLst/>
        </a:prstGeom>
        <a:noFill/>
      </xdr:spPr>
    </xdr:pic>
    <xdr:clientData fLocksWithSheet="0"/>
  </xdr:oneCellAnchor>
  <xdr:oneCellAnchor>
    <xdr:from>
      <xdr:col>6</xdr:col>
      <xdr:colOff>38100</xdr:colOff>
      <xdr:row>2152</xdr:row>
      <xdr:rowOff>38100</xdr:rowOff>
    </xdr:from>
    <xdr:ext cx="466725" cy="447675"/>
    <xdr:pic>
      <xdr:nvPicPr>
        <xdr:cNvPr id="0" name="image1129.jpg"/>
        <xdr:cNvPicPr preferRelativeResize="0"/>
      </xdr:nvPicPr>
      <xdr:blipFill>
        <a:blip cstate="print" r:embed="rId1139"/>
        <a:stretch>
          <a:fillRect/>
        </a:stretch>
      </xdr:blipFill>
      <xdr:spPr>
        <a:prstGeom prst="rect">
          <a:avLst/>
        </a:prstGeom>
        <a:noFill/>
      </xdr:spPr>
    </xdr:pic>
    <xdr:clientData fLocksWithSheet="0"/>
  </xdr:oneCellAnchor>
  <xdr:oneCellAnchor>
    <xdr:from>
      <xdr:col>6</xdr:col>
      <xdr:colOff>38100</xdr:colOff>
      <xdr:row>2153</xdr:row>
      <xdr:rowOff>38100</xdr:rowOff>
    </xdr:from>
    <xdr:ext cx="466725" cy="438150"/>
    <xdr:pic>
      <xdr:nvPicPr>
        <xdr:cNvPr id="0" name="image1126.jpg"/>
        <xdr:cNvPicPr preferRelativeResize="0"/>
      </xdr:nvPicPr>
      <xdr:blipFill>
        <a:blip cstate="print" r:embed="rId1140"/>
        <a:stretch>
          <a:fillRect/>
        </a:stretch>
      </xdr:blipFill>
      <xdr:spPr>
        <a:prstGeom prst="rect">
          <a:avLst/>
        </a:prstGeom>
        <a:noFill/>
      </xdr:spPr>
    </xdr:pic>
    <xdr:clientData fLocksWithSheet="0"/>
  </xdr:oneCellAnchor>
  <xdr:oneCellAnchor>
    <xdr:from>
      <xdr:col>6</xdr:col>
      <xdr:colOff>38100</xdr:colOff>
      <xdr:row>2154</xdr:row>
      <xdr:rowOff>38100</xdr:rowOff>
    </xdr:from>
    <xdr:ext cx="647700" cy="419100"/>
    <xdr:pic>
      <xdr:nvPicPr>
        <xdr:cNvPr id="0" name="image1149.jpg"/>
        <xdr:cNvPicPr preferRelativeResize="0"/>
      </xdr:nvPicPr>
      <xdr:blipFill>
        <a:blip cstate="print" r:embed="rId1128"/>
        <a:stretch>
          <a:fillRect/>
        </a:stretch>
      </xdr:blipFill>
      <xdr:spPr>
        <a:prstGeom prst="rect">
          <a:avLst/>
        </a:prstGeom>
        <a:noFill/>
      </xdr:spPr>
    </xdr:pic>
    <xdr:clientData fLocksWithSheet="0"/>
  </xdr:oneCellAnchor>
  <xdr:oneCellAnchor>
    <xdr:from>
      <xdr:col>6</xdr:col>
      <xdr:colOff>38100</xdr:colOff>
      <xdr:row>2155</xdr:row>
      <xdr:rowOff>38100</xdr:rowOff>
    </xdr:from>
    <xdr:ext cx="647700" cy="419100"/>
    <xdr:pic>
      <xdr:nvPicPr>
        <xdr:cNvPr id="0" name="image1117.jpg"/>
        <xdr:cNvPicPr preferRelativeResize="0"/>
      </xdr:nvPicPr>
      <xdr:blipFill>
        <a:blip cstate="print" r:embed="rId1141"/>
        <a:stretch>
          <a:fillRect/>
        </a:stretch>
      </xdr:blipFill>
      <xdr:spPr>
        <a:prstGeom prst="rect">
          <a:avLst/>
        </a:prstGeom>
        <a:noFill/>
      </xdr:spPr>
    </xdr:pic>
    <xdr:clientData fLocksWithSheet="0"/>
  </xdr:oneCellAnchor>
  <xdr:oneCellAnchor>
    <xdr:from>
      <xdr:col>6</xdr:col>
      <xdr:colOff>38100</xdr:colOff>
      <xdr:row>2156</xdr:row>
      <xdr:rowOff>38100</xdr:rowOff>
    </xdr:from>
    <xdr:ext cx="438150" cy="333375"/>
    <xdr:pic>
      <xdr:nvPicPr>
        <xdr:cNvPr id="0" name="image1115.jpg"/>
        <xdr:cNvPicPr preferRelativeResize="0"/>
      </xdr:nvPicPr>
      <xdr:blipFill>
        <a:blip cstate="print" r:embed="rId1137"/>
        <a:stretch>
          <a:fillRect/>
        </a:stretch>
      </xdr:blipFill>
      <xdr:spPr>
        <a:prstGeom prst="rect">
          <a:avLst/>
        </a:prstGeom>
        <a:noFill/>
      </xdr:spPr>
    </xdr:pic>
    <xdr:clientData fLocksWithSheet="0"/>
  </xdr:oneCellAnchor>
  <xdr:oneCellAnchor>
    <xdr:from>
      <xdr:col>6</xdr:col>
      <xdr:colOff>38100</xdr:colOff>
      <xdr:row>2157</xdr:row>
      <xdr:rowOff>38100</xdr:rowOff>
    </xdr:from>
    <xdr:ext cx="447675" cy="428625"/>
    <xdr:pic>
      <xdr:nvPicPr>
        <xdr:cNvPr id="0" name="image1148.jpg"/>
        <xdr:cNvPicPr preferRelativeResize="0"/>
      </xdr:nvPicPr>
      <xdr:blipFill>
        <a:blip cstate="print" r:embed="rId1142"/>
        <a:stretch>
          <a:fillRect/>
        </a:stretch>
      </xdr:blipFill>
      <xdr:spPr>
        <a:prstGeom prst="rect">
          <a:avLst/>
        </a:prstGeom>
        <a:noFill/>
      </xdr:spPr>
    </xdr:pic>
    <xdr:clientData fLocksWithSheet="0"/>
  </xdr:oneCellAnchor>
  <xdr:oneCellAnchor>
    <xdr:from>
      <xdr:col>6</xdr:col>
      <xdr:colOff>38100</xdr:colOff>
      <xdr:row>2158</xdr:row>
      <xdr:rowOff>38100</xdr:rowOff>
    </xdr:from>
    <xdr:ext cx="485775" cy="381000"/>
    <xdr:pic>
      <xdr:nvPicPr>
        <xdr:cNvPr id="0" name="image1123.jpg"/>
        <xdr:cNvPicPr preferRelativeResize="0"/>
      </xdr:nvPicPr>
      <xdr:blipFill>
        <a:blip cstate="print" r:embed="rId1143"/>
        <a:stretch>
          <a:fillRect/>
        </a:stretch>
      </xdr:blipFill>
      <xdr:spPr>
        <a:prstGeom prst="rect">
          <a:avLst/>
        </a:prstGeom>
        <a:noFill/>
      </xdr:spPr>
    </xdr:pic>
    <xdr:clientData fLocksWithSheet="0"/>
  </xdr:oneCellAnchor>
  <xdr:oneCellAnchor>
    <xdr:from>
      <xdr:col>6</xdr:col>
      <xdr:colOff>38100</xdr:colOff>
      <xdr:row>2159</xdr:row>
      <xdr:rowOff>38100</xdr:rowOff>
    </xdr:from>
    <xdr:ext cx="476250" cy="514350"/>
    <xdr:pic>
      <xdr:nvPicPr>
        <xdr:cNvPr id="0" name="image1131.jpg"/>
        <xdr:cNvPicPr preferRelativeResize="0"/>
      </xdr:nvPicPr>
      <xdr:blipFill>
        <a:blip cstate="print" r:embed="rId1144"/>
        <a:stretch>
          <a:fillRect/>
        </a:stretch>
      </xdr:blipFill>
      <xdr:spPr>
        <a:prstGeom prst="rect">
          <a:avLst/>
        </a:prstGeom>
        <a:noFill/>
      </xdr:spPr>
    </xdr:pic>
    <xdr:clientData fLocksWithSheet="0"/>
  </xdr:oneCellAnchor>
  <xdr:oneCellAnchor>
    <xdr:from>
      <xdr:col>6</xdr:col>
      <xdr:colOff>38100</xdr:colOff>
      <xdr:row>2160</xdr:row>
      <xdr:rowOff>38100</xdr:rowOff>
    </xdr:from>
    <xdr:ext cx="476250" cy="514350"/>
    <xdr:pic>
      <xdr:nvPicPr>
        <xdr:cNvPr id="0" name="image1131.jpg"/>
        <xdr:cNvPicPr preferRelativeResize="0"/>
      </xdr:nvPicPr>
      <xdr:blipFill>
        <a:blip cstate="print" r:embed="rId1144"/>
        <a:stretch>
          <a:fillRect/>
        </a:stretch>
      </xdr:blipFill>
      <xdr:spPr>
        <a:prstGeom prst="rect">
          <a:avLst/>
        </a:prstGeom>
        <a:noFill/>
      </xdr:spPr>
    </xdr:pic>
    <xdr:clientData fLocksWithSheet="0"/>
  </xdr:oneCellAnchor>
  <xdr:oneCellAnchor>
    <xdr:from>
      <xdr:col>6</xdr:col>
      <xdr:colOff>38100</xdr:colOff>
      <xdr:row>2161</xdr:row>
      <xdr:rowOff>38100</xdr:rowOff>
    </xdr:from>
    <xdr:ext cx="400050" cy="514350"/>
    <xdr:pic>
      <xdr:nvPicPr>
        <xdr:cNvPr id="0" name="image1116.jpg"/>
        <xdr:cNvPicPr preferRelativeResize="0"/>
      </xdr:nvPicPr>
      <xdr:blipFill>
        <a:blip cstate="print" r:embed="rId1136"/>
        <a:stretch>
          <a:fillRect/>
        </a:stretch>
      </xdr:blipFill>
      <xdr:spPr>
        <a:prstGeom prst="rect">
          <a:avLst/>
        </a:prstGeom>
        <a:noFill/>
      </xdr:spPr>
    </xdr:pic>
    <xdr:clientData fLocksWithSheet="0"/>
  </xdr:oneCellAnchor>
  <xdr:oneCellAnchor>
    <xdr:from>
      <xdr:col>6</xdr:col>
      <xdr:colOff>38100</xdr:colOff>
      <xdr:row>2162</xdr:row>
      <xdr:rowOff>38100</xdr:rowOff>
    </xdr:from>
    <xdr:ext cx="447675" cy="428625"/>
    <xdr:pic>
      <xdr:nvPicPr>
        <xdr:cNvPr id="0" name="image1148.jpg"/>
        <xdr:cNvPicPr preferRelativeResize="0"/>
      </xdr:nvPicPr>
      <xdr:blipFill>
        <a:blip cstate="print" r:embed="rId1142"/>
        <a:stretch>
          <a:fillRect/>
        </a:stretch>
      </xdr:blipFill>
      <xdr:spPr>
        <a:prstGeom prst="rect">
          <a:avLst/>
        </a:prstGeom>
        <a:noFill/>
      </xdr:spPr>
    </xdr:pic>
    <xdr:clientData fLocksWithSheet="0"/>
  </xdr:oneCellAnchor>
  <xdr:oneCellAnchor>
    <xdr:from>
      <xdr:col>6</xdr:col>
      <xdr:colOff>38100</xdr:colOff>
      <xdr:row>2163</xdr:row>
      <xdr:rowOff>38100</xdr:rowOff>
    </xdr:from>
    <xdr:ext cx="447675" cy="428625"/>
    <xdr:pic>
      <xdr:nvPicPr>
        <xdr:cNvPr id="0" name="image1148.jpg"/>
        <xdr:cNvPicPr preferRelativeResize="0"/>
      </xdr:nvPicPr>
      <xdr:blipFill>
        <a:blip cstate="print" r:embed="rId1142"/>
        <a:stretch>
          <a:fillRect/>
        </a:stretch>
      </xdr:blipFill>
      <xdr:spPr>
        <a:prstGeom prst="rect">
          <a:avLst/>
        </a:prstGeom>
        <a:noFill/>
      </xdr:spPr>
    </xdr:pic>
    <xdr:clientData fLocksWithSheet="0"/>
  </xdr:oneCellAnchor>
  <xdr:oneCellAnchor>
    <xdr:from>
      <xdr:col>6</xdr:col>
      <xdr:colOff>38100</xdr:colOff>
      <xdr:row>2164</xdr:row>
      <xdr:rowOff>38100</xdr:rowOff>
    </xdr:from>
    <xdr:ext cx="476250" cy="514350"/>
    <xdr:pic>
      <xdr:nvPicPr>
        <xdr:cNvPr id="0" name="image1131.jpg"/>
        <xdr:cNvPicPr preferRelativeResize="0"/>
      </xdr:nvPicPr>
      <xdr:blipFill>
        <a:blip cstate="print" r:embed="rId1144"/>
        <a:stretch>
          <a:fillRect/>
        </a:stretch>
      </xdr:blipFill>
      <xdr:spPr>
        <a:prstGeom prst="rect">
          <a:avLst/>
        </a:prstGeom>
        <a:noFill/>
      </xdr:spPr>
    </xdr:pic>
    <xdr:clientData fLocksWithSheet="0"/>
  </xdr:oneCellAnchor>
  <xdr:oneCellAnchor>
    <xdr:from>
      <xdr:col>6</xdr:col>
      <xdr:colOff>38100</xdr:colOff>
      <xdr:row>2165</xdr:row>
      <xdr:rowOff>38100</xdr:rowOff>
    </xdr:from>
    <xdr:ext cx="447675" cy="428625"/>
    <xdr:pic>
      <xdr:nvPicPr>
        <xdr:cNvPr id="0" name="image1148.jpg"/>
        <xdr:cNvPicPr preferRelativeResize="0"/>
      </xdr:nvPicPr>
      <xdr:blipFill>
        <a:blip cstate="print" r:embed="rId1142"/>
        <a:stretch>
          <a:fillRect/>
        </a:stretch>
      </xdr:blipFill>
      <xdr:spPr>
        <a:prstGeom prst="rect">
          <a:avLst/>
        </a:prstGeom>
        <a:noFill/>
      </xdr:spPr>
    </xdr:pic>
    <xdr:clientData fLocksWithSheet="0"/>
  </xdr:oneCellAnchor>
  <xdr:oneCellAnchor>
    <xdr:from>
      <xdr:col>6</xdr:col>
      <xdr:colOff>38100</xdr:colOff>
      <xdr:row>2166</xdr:row>
      <xdr:rowOff>38100</xdr:rowOff>
    </xdr:from>
    <xdr:ext cx="419100" cy="447675"/>
    <xdr:pic>
      <xdr:nvPicPr>
        <xdr:cNvPr id="0" name="image1128.jpg"/>
        <xdr:cNvPicPr preferRelativeResize="0"/>
      </xdr:nvPicPr>
      <xdr:blipFill>
        <a:blip cstate="print" r:embed="rId1145"/>
        <a:stretch>
          <a:fillRect/>
        </a:stretch>
      </xdr:blipFill>
      <xdr:spPr>
        <a:prstGeom prst="rect">
          <a:avLst/>
        </a:prstGeom>
        <a:noFill/>
      </xdr:spPr>
    </xdr:pic>
    <xdr:clientData fLocksWithSheet="0"/>
  </xdr:oneCellAnchor>
  <xdr:oneCellAnchor>
    <xdr:from>
      <xdr:col>6</xdr:col>
      <xdr:colOff>38100</xdr:colOff>
      <xdr:row>2167</xdr:row>
      <xdr:rowOff>38100</xdr:rowOff>
    </xdr:from>
    <xdr:ext cx="400050" cy="485775"/>
    <xdr:pic>
      <xdr:nvPicPr>
        <xdr:cNvPr id="0" name="image1134.jpg"/>
        <xdr:cNvPicPr preferRelativeResize="0"/>
      </xdr:nvPicPr>
      <xdr:blipFill>
        <a:blip cstate="print" r:embed="rId1146"/>
        <a:stretch>
          <a:fillRect/>
        </a:stretch>
      </xdr:blipFill>
      <xdr:spPr>
        <a:prstGeom prst="rect">
          <a:avLst/>
        </a:prstGeom>
        <a:noFill/>
      </xdr:spPr>
    </xdr:pic>
    <xdr:clientData fLocksWithSheet="0"/>
  </xdr:oneCellAnchor>
  <xdr:oneCellAnchor>
    <xdr:from>
      <xdr:col>6</xdr:col>
      <xdr:colOff>38100</xdr:colOff>
      <xdr:row>2168</xdr:row>
      <xdr:rowOff>38100</xdr:rowOff>
    </xdr:from>
    <xdr:ext cx="514350" cy="514350"/>
    <xdr:pic>
      <xdr:nvPicPr>
        <xdr:cNvPr id="0" name="image1124.jpg"/>
        <xdr:cNvPicPr preferRelativeResize="0"/>
      </xdr:nvPicPr>
      <xdr:blipFill>
        <a:blip cstate="print" r:embed="rId1147"/>
        <a:stretch>
          <a:fillRect/>
        </a:stretch>
      </xdr:blipFill>
      <xdr:spPr>
        <a:prstGeom prst="rect">
          <a:avLst/>
        </a:prstGeom>
        <a:noFill/>
      </xdr:spPr>
    </xdr:pic>
    <xdr:clientData fLocksWithSheet="0"/>
  </xdr:oneCellAnchor>
  <xdr:oneCellAnchor>
    <xdr:from>
      <xdr:col>6</xdr:col>
      <xdr:colOff>38100</xdr:colOff>
      <xdr:row>2169</xdr:row>
      <xdr:rowOff>38100</xdr:rowOff>
    </xdr:from>
    <xdr:ext cx="647700" cy="419100"/>
    <xdr:pic>
      <xdr:nvPicPr>
        <xdr:cNvPr id="0" name="image1122.jpg"/>
        <xdr:cNvPicPr preferRelativeResize="0"/>
      </xdr:nvPicPr>
      <xdr:blipFill>
        <a:blip cstate="print" r:embed="rId1148"/>
        <a:stretch>
          <a:fillRect/>
        </a:stretch>
      </xdr:blipFill>
      <xdr:spPr>
        <a:prstGeom prst="rect">
          <a:avLst/>
        </a:prstGeom>
        <a:noFill/>
      </xdr:spPr>
    </xdr:pic>
    <xdr:clientData fLocksWithSheet="0"/>
  </xdr:oneCellAnchor>
  <xdr:oneCellAnchor>
    <xdr:from>
      <xdr:col>6</xdr:col>
      <xdr:colOff>38100</xdr:colOff>
      <xdr:row>2170</xdr:row>
      <xdr:rowOff>38100</xdr:rowOff>
    </xdr:from>
    <xdr:ext cx="609600" cy="514350"/>
    <xdr:pic>
      <xdr:nvPicPr>
        <xdr:cNvPr id="0" name="image1132.jpg"/>
        <xdr:cNvPicPr preferRelativeResize="0"/>
      </xdr:nvPicPr>
      <xdr:blipFill>
        <a:blip cstate="print" r:embed="rId1149"/>
        <a:stretch>
          <a:fillRect/>
        </a:stretch>
      </xdr:blipFill>
      <xdr:spPr>
        <a:prstGeom prst="rect">
          <a:avLst/>
        </a:prstGeom>
        <a:noFill/>
      </xdr:spPr>
    </xdr:pic>
    <xdr:clientData fLocksWithSheet="0"/>
  </xdr:oneCellAnchor>
  <xdr:oneCellAnchor>
    <xdr:from>
      <xdr:col>6</xdr:col>
      <xdr:colOff>38100</xdr:colOff>
      <xdr:row>2171</xdr:row>
      <xdr:rowOff>38100</xdr:rowOff>
    </xdr:from>
    <xdr:ext cx="523875" cy="514350"/>
    <xdr:pic>
      <xdr:nvPicPr>
        <xdr:cNvPr id="0" name="image1127.jpg"/>
        <xdr:cNvPicPr preferRelativeResize="0"/>
      </xdr:nvPicPr>
      <xdr:blipFill>
        <a:blip cstate="print" r:embed="rId1150"/>
        <a:stretch>
          <a:fillRect/>
        </a:stretch>
      </xdr:blipFill>
      <xdr:spPr>
        <a:prstGeom prst="rect">
          <a:avLst/>
        </a:prstGeom>
        <a:noFill/>
      </xdr:spPr>
    </xdr:pic>
    <xdr:clientData fLocksWithSheet="0"/>
  </xdr:oneCellAnchor>
  <xdr:oneCellAnchor>
    <xdr:from>
      <xdr:col>6</xdr:col>
      <xdr:colOff>38100</xdr:colOff>
      <xdr:row>2174</xdr:row>
      <xdr:rowOff>38100</xdr:rowOff>
    </xdr:from>
    <xdr:ext cx="209550" cy="514350"/>
    <xdr:pic>
      <xdr:nvPicPr>
        <xdr:cNvPr id="0" name="image1157.jpg"/>
        <xdr:cNvPicPr preferRelativeResize="0"/>
      </xdr:nvPicPr>
      <xdr:blipFill>
        <a:blip cstate="print" r:embed="rId1151"/>
        <a:stretch>
          <a:fillRect/>
        </a:stretch>
      </xdr:blipFill>
      <xdr:spPr>
        <a:prstGeom prst="rect">
          <a:avLst/>
        </a:prstGeom>
        <a:noFill/>
      </xdr:spPr>
    </xdr:pic>
    <xdr:clientData fLocksWithSheet="0"/>
  </xdr:oneCellAnchor>
  <xdr:oneCellAnchor>
    <xdr:from>
      <xdr:col>6</xdr:col>
      <xdr:colOff>38100</xdr:colOff>
      <xdr:row>2175</xdr:row>
      <xdr:rowOff>38100</xdr:rowOff>
    </xdr:from>
    <xdr:ext cx="438150" cy="447675"/>
    <xdr:pic>
      <xdr:nvPicPr>
        <xdr:cNvPr id="0" name="image1121.jpg"/>
        <xdr:cNvPicPr preferRelativeResize="0"/>
      </xdr:nvPicPr>
      <xdr:blipFill>
        <a:blip cstate="print" r:embed="rId1152"/>
        <a:stretch>
          <a:fillRect/>
        </a:stretch>
      </xdr:blipFill>
      <xdr:spPr>
        <a:prstGeom prst="rect">
          <a:avLst/>
        </a:prstGeom>
        <a:noFill/>
      </xdr:spPr>
    </xdr:pic>
    <xdr:clientData fLocksWithSheet="0"/>
  </xdr:oneCellAnchor>
  <xdr:oneCellAnchor>
    <xdr:from>
      <xdr:col>6</xdr:col>
      <xdr:colOff>38100</xdr:colOff>
      <xdr:row>2176</xdr:row>
      <xdr:rowOff>38100</xdr:rowOff>
    </xdr:from>
    <xdr:ext cx="466725" cy="295275"/>
    <xdr:pic>
      <xdr:nvPicPr>
        <xdr:cNvPr id="0" name="image1154.jpg"/>
        <xdr:cNvPicPr preferRelativeResize="0"/>
      </xdr:nvPicPr>
      <xdr:blipFill>
        <a:blip cstate="print" r:embed="rId1153"/>
        <a:stretch>
          <a:fillRect/>
        </a:stretch>
      </xdr:blipFill>
      <xdr:spPr>
        <a:prstGeom prst="rect">
          <a:avLst/>
        </a:prstGeom>
        <a:noFill/>
      </xdr:spPr>
    </xdr:pic>
    <xdr:clientData fLocksWithSheet="0"/>
  </xdr:oneCellAnchor>
  <xdr:oneCellAnchor>
    <xdr:from>
      <xdr:col>6</xdr:col>
      <xdr:colOff>38100</xdr:colOff>
      <xdr:row>2177</xdr:row>
      <xdr:rowOff>38100</xdr:rowOff>
    </xdr:from>
    <xdr:ext cx="457200" cy="361950"/>
    <xdr:pic>
      <xdr:nvPicPr>
        <xdr:cNvPr id="0" name="image1178.jpg"/>
        <xdr:cNvPicPr preferRelativeResize="0"/>
      </xdr:nvPicPr>
      <xdr:blipFill>
        <a:blip cstate="print" r:embed="rId1154"/>
        <a:stretch>
          <a:fillRect/>
        </a:stretch>
      </xdr:blipFill>
      <xdr:spPr>
        <a:prstGeom prst="rect">
          <a:avLst/>
        </a:prstGeom>
        <a:noFill/>
      </xdr:spPr>
    </xdr:pic>
    <xdr:clientData fLocksWithSheet="0"/>
  </xdr:oneCellAnchor>
  <xdr:oneCellAnchor>
    <xdr:from>
      <xdr:col>6</xdr:col>
      <xdr:colOff>38100</xdr:colOff>
      <xdr:row>2178</xdr:row>
      <xdr:rowOff>38100</xdr:rowOff>
    </xdr:from>
    <xdr:ext cx="457200" cy="361950"/>
    <xdr:pic>
      <xdr:nvPicPr>
        <xdr:cNvPr id="0" name="image1178.jpg"/>
        <xdr:cNvPicPr preferRelativeResize="0"/>
      </xdr:nvPicPr>
      <xdr:blipFill>
        <a:blip cstate="print" r:embed="rId1154"/>
        <a:stretch>
          <a:fillRect/>
        </a:stretch>
      </xdr:blipFill>
      <xdr:spPr>
        <a:prstGeom prst="rect">
          <a:avLst/>
        </a:prstGeom>
        <a:noFill/>
      </xdr:spPr>
    </xdr:pic>
    <xdr:clientData fLocksWithSheet="0"/>
  </xdr:oneCellAnchor>
  <xdr:oneCellAnchor>
    <xdr:from>
      <xdr:col>6</xdr:col>
      <xdr:colOff>38100</xdr:colOff>
      <xdr:row>2179</xdr:row>
      <xdr:rowOff>38100</xdr:rowOff>
    </xdr:from>
    <xdr:ext cx="457200" cy="361950"/>
    <xdr:pic>
      <xdr:nvPicPr>
        <xdr:cNvPr id="0" name="image1178.jpg"/>
        <xdr:cNvPicPr preferRelativeResize="0"/>
      </xdr:nvPicPr>
      <xdr:blipFill>
        <a:blip cstate="print" r:embed="rId1154"/>
        <a:stretch>
          <a:fillRect/>
        </a:stretch>
      </xdr:blipFill>
      <xdr:spPr>
        <a:prstGeom prst="rect">
          <a:avLst/>
        </a:prstGeom>
        <a:noFill/>
      </xdr:spPr>
    </xdr:pic>
    <xdr:clientData fLocksWithSheet="0"/>
  </xdr:oneCellAnchor>
  <xdr:oneCellAnchor>
    <xdr:from>
      <xdr:col>6</xdr:col>
      <xdr:colOff>38100</xdr:colOff>
      <xdr:row>2180</xdr:row>
      <xdr:rowOff>38100</xdr:rowOff>
    </xdr:from>
    <xdr:ext cx="514350" cy="514350"/>
    <xdr:pic>
      <xdr:nvPicPr>
        <xdr:cNvPr id="0" name="image1166.jpg"/>
        <xdr:cNvPicPr preferRelativeResize="0"/>
      </xdr:nvPicPr>
      <xdr:blipFill>
        <a:blip cstate="print" r:embed="rId1155"/>
        <a:stretch>
          <a:fillRect/>
        </a:stretch>
      </xdr:blipFill>
      <xdr:spPr>
        <a:prstGeom prst="rect">
          <a:avLst/>
        </a:prstGeom>
        <a:noFill/>
      </xdr:spPr>
    </xdr:pic>
    <xdr:clientData fLocksWithSheet="0"/>
  </xdr:oneCellAnchor>
  <xdr:oneCellAnchor>
    <xdr:from>
      <xdr:col>6</xdr:col>
      <xdr:colOff>38100</xdr:colOff>
      <xdr:row>2181</xdr:row>
      <xdr:rowOff>38100</xdr:rowOff>
    </xdr:from>
    <xdr:ext cx="400050" cy="409575"/>
    <xdr:pic>
      <xdr:nvPicPr>
        <xdr:cNvPr id="0" name="image1130.jpg"/>
        <xdr:cNvPicPr preferRelativeResize="0"/>
      </xdr:nvPicPr>
      <xdr:blipFill>
        <a:blip cstate="print" r:embed="rId1156"/>
        <a:stretch>
          <a:fillRect/>
        </a:stretch>
      </xdr:blipFill>
      <xdr:spPr>
        <a:prstGeom prst="rect">
          <a:avLst/>
        </a:prstGeom>
        <a:noFill/>
      </xdr:spPr>
    </xdr:pic>
    <xdr:clientData fLocksWithSheet="0"/>
  </xdr:oneCellAnchor>
  <xdr:oneCellAnchor>
    <xdr:from>
      <xdr:col>6</xdr:col>
      <xdr:colOff>38100</xdr:colOff>
      <xdr:row>2182</xdr:row>
      <xdr:rowOff>38100</xdr:rowOff>
    </xdr:from>
    <xdr:ext cx="428625" cy="333375"/>
    <xdr:pic>
      <xdr:nvPicPr>
        <xdr:cNvPr id="0" name="image1133.jpg"/>
        <xdr:cNvPicPr preferRelativeResize="0"/>
      </xdr:nvPicPr>
      <xdr:blipFill>
        <a:blip cstate="print" r:embed="rId1157"/>
        <a:stretch>
          <a:fillRect/>
        </a:stretch>
      </xdr:blipFill>
      <xdr:spPr>
        <a:prstGeom prst="rect">
          <a:avLst/>
        </a:prstGeom>
        <a:noFill/>
      </xdr:spPr>
    </xdr:pic>
    <xdr:clientData fLocksWithSheet="0"/>
  </xdr:oneCellAnchor>
  <xdr:oneCellAnchor>
    <xdr:from>
      <xdr:col>6</xdr:col>
      <xdr:colOff>38100</xdr:colOff>
      <xdr:row>2183</xdr:row>
      <xdr:rowOff>38100</xdr:rowOff>
    </xdr:from>
    <xdr:ext cx="485775" cy="400050"/>
    <xdr:pic>
      <xdr:nvPicPr>
        <xdr:cNvPr id="0" name="image1143.jpg"/>
        <xdr:cNvPicPr preferRelativeResize="0"/>
      </xdr:nvPicPr>
      <xdr:blipFill>
        <a:blip cstate="print" r:embed="rId1158"/>
        <a:stretch>
          <a:fillRect/>
        </a:stretch>
      </xdr:blipFill>
      <xdr:spPr>
        <a:prstGeom prst="rect">
          <a:avLst/>
        </a:prstGeom>
        <a:noFill/>
      </xdr:spPr>
    </xdr:pic>
    <xdr:clientData fLocksWithSheet="0"/>
  </xdr:oneCellAnchor>
  <xdr:oneCellAnchor>
    <xdr:from>
      <xdr:col>6</xdr:col>
      <xdr:colOff>38100</xdr:colOff>
      <xdr:row>2184</xdr:row>
      <xdr:rowOff>38100</xdr:rowOff>
    </xdr:from>
    <xdr:ext cx="438150" cy="371475"/>
    <xdr:pic>
      <xdr:nvPicPr>
        <xdr:cNvPr id="0" name="image1171.jpg"/>
        <xdr:cNvPicPr preferRelativeResize="0"/>
      </xdr:nvPicPr>
      <xdr:blipFill>
        <a:blip cstate="print" r:embed="rId1159"/>
        <a:stretch>
          <a:fillRect/>
        </a:stretch>
      </xdr:blipFill>
      <xdr:spPr>
        <a:prstGeom prst="rect">
          <a:avLst/>
        </a:prstGeom>
        <a:noFill/>
      </xdr:spPr>
    </xdr:pic>
    <xdr:clientData fLocksWithSheet="0"/>
  </xdr:oneCellAnchor>
  <xdr:oneCellAnchor>
    <xdr:from>
      <xdr:col>6</xdr:col>
      <xdr:colOff>38100</xdr:colOff>
      <xdr:row>2185</xdr:row>
      <xdr:rowOff>38100</xdr:rowOff>
    </xdr:from>
    <xdr:ext cx="438150" cy="371475"/>
    <xdr:pic>
      <xdr:nvPicPr>
        <xdr:cNvPr id="0" name="image1171.jpg"/>
        <xdr:cNvPicPr preferRelativeResize="0"/>
      </xdr:nvPicPr>
      <xdr:blipFill>
        <a:blip cstate="print" r:embed="rId1159"/>
        <a:stretch>
          <a:fillRect/>
        </a:stretch>
      </xdr:blipFill>
      <xdr:spPr>
        <a:prstGeom prst="rect">
          <a:avLst/>
        </a:prstGeom>
        <a:noFill/>
      </xdr:spPr>
    </xdr:pic>
    <xdr:clientData fLocksWithSheet="0"/>
  </xdr:oneCellAnchor>
  <xdr:oneCellAnchor>
    <xdr:from>
      <xdr:col>6</xdr:col>
      <xdr:colOff>38100</xdr:colOff>
      <xdr:row>2186</xdr:row>
      <xdr:rowOff>38100</xdr:rowOff>
    </xdr:from>
    <xdr:ext cx="647700" cy="485775"/>
    <xdr:pic>
      <xdr:nvPicPr>
        <xdr:cNvPr id="0" name="image1135.jpg"/>
        <xdr:cNvPicPr preferRelativeResize="0"/>
      </xdr:nvPicPr>
      <xdr:blipFill>
        <a:blip cstate="print" r:embed="rId1160"/>
        <a:stretch>
          <a:fillRect/>
        </a:stretch>
      </xdr:blipFill>
      <xdr:spPr>
        <a:prstGeom prst="rect">
          <a:avLst/>
        </a:prstGeom>
        <a:noFill/>
      </xdr:spPr>
    </xdr:pic>
    <xdr:clientData fLocksWithSheet="0"/>
  </xdr:oneCellAnchor>
  <xdr:oneCellAnchor>
    <xdr:from>
      <xdr:col>6</xdr:col>
      <xdr:colOff>38100</xdr:colOff>
      <xdr:row>2187</xdr:row>
      <xdr:rowOff>38100</xdr:rowOff>
    </xdr:from>
    <xdr:ext cx="419100" cy="514350"/>
    <xdr:pic>
      <xdr:nvPicPr>
        <xdr:cNvPr id="0" name="image1138.jpg"/>
        <xdr:cNvPicPr preferRelativeResize="0"/>
      </xdr:nvPicPr>
      <xdr:blipFill>
        <a:blip cstate="print" r:embed="rId1161"/>
        <a:stretch>
          <a:fillRect/>
        </a:stretch>
      </xdr:blipFill>
      <xdr:spPr>
        <a:prstGeom prst="rect">
          <a:avLst/>
        </a:prstGeom>
        <a:noFill/>
      </xdr:spPr>
    </xdr:pic>
    <xdr:clientData fLocksWithSheet="0"/>
  </xdr:oneCellAnchor>
  <xdr:oneCellAnchor>
    <xdr:from>
      <xdr:col>6</xdr:col>
      <xdr:colOff>38100</xdr:colOff>
      <xdr:row>2188</xdr:row>
      <xdr:rowOff>38100</xdr:rowOff>
    </xdr:from>
    <xdr:ext cx="419100" cy="514350"/>
    <xdr:pic>
      <xdr:nvPicPr>
        <xdr:cNvPr id="0" name="image1138.jpg"/>
        <xdr:cNvPicPr preferRelativeResize="0"/>
      </xdr:nvPicPr>
      <xdr:blipFill>
        <a:blip cstate="print" r:embed="rId1161"/>
        <a:stretch>
          <a:fillRect/>
        </a:stretch>
      </xdr:blipFill>
      <xdr:spPr>
        <a:prstGeom prst="rect">
          <a:avLst/>
        </a:prstGeom>
        <a:noFill/>
      </xdr:spPr>
    </xdr:pic>
    <xdr:clientData fLocksWithSheet="0"/>
  </xdr:oneCellAnchor>
  <xdr:oneCellAnchor>
    <xdr:from>
      <xdr:col>6</xdr:col>
      <xdr:colOff>38100</xdr:colOff>
      <xdr:row>2189</xdr:row>
      <xdr:rowOff>38100</xdr:rowOff>
    </xdr:from>
    <xdr:ext cx="209550" cy="514350"/>
    <xdr:pic>
      <xdr:nvPicPr>
        <xdr:cNvPr id="0" name="image1156.jpg"/>
        <xdr:cNvPicPr preferRelativeResize="0"/>
      </xdr:nvPicPr>
      <xdr:blipFill>
        <a:blip cstate="print" r:embed="rId1162"/>
        <a:stretch>
          <a:fillRect/>
        </a:stretch>
      </xdr:blipFill>
      <xdr:spPr>
        <a:prstGeom prst="rect">
          <a:avLst/>
        </a:prstGeom>
        <a:noFill/>
      </xdr:spPr>
    </xdr:pic>
    <xdr:clientData fLocksWithSheet="0"/>
  </xdr:oneCellAnchor>
  <xdr:oneCellAnchor>
    <xdr:from>
      <xdr:col>6</xdr:col>
      <xdr:colOff>38100</xdr:colOff>
      <xdr:row>2190</xdr:row>
      <xdr:rowOff>38100</xdr:rowOff>
    </xdr:from>
    <xdr:ext cx="514350" cy="514350"/>
    <xdr:pic>
      <xdr:nvPicPr>
        <xdr:cNvPr id="0" name="image1139.jpg"/>
        <xdr:cNvPicPr preferRelativeResize="0"/>
      </xdr:nvPicPr>
      <xdr:blipFill>
        <a:blip cstate="print" r:embed="rId1163"/>
        <a:stretch>
          <a:fillRect/>
        </a:stretch>
      </xdr:blipFill>
      <xdr:spPr>
        <a:prstGeom prst="rect">
          <a:avLst/>
        </a:prstGeom>
        <a:noFill/>
      </xdr:spPr>
    </xdr:pic>
    <xdr:clientData fLocksWithSheet="0"/>
  </xdr:oneCellAnchor>
  <xdr:oneCellAnchor>
    <xdr:from>
      <xdr:col>6</xdr:col>
      <xdr:colOff>38100</xdr:colOff>
      <xdr:row>2191</xdr:row>
      <xdr:rowOff>38100</xdr:rowOff>
    </xdr:from>
    <xdr:ext cx="514350" cy="514350"/>
    <xdr:pic>
      <xdr:nvPicPr>
        <xdr:cNvPr id="0" name="image1141.jpg"/>
        <xdr:cNvPicPr preferRelativeResize="0"/>
      </xdr:nvPicPr>
      <xdr:blipFill>
        <a:blip cstate="print" r:embed="rId1164"/>
        <a:stretch>
          <a:fillRect/>
        </a:stretch>
      </xdr:blipFill>
      <xdr:spPr>
        <a:prstGeom prst="rect">
          <a:avLst/>
        </a:prstGeom>
        <a:noFill/>
      </xdr:spPr>
    </xdr:pic>
    <xdr:clientData fLocksWithSheet="0"/>
  </xdr:oneCellAnchor>
  <xdr:oneCellAnchor>
    <xdr:from>
      <xdr:col>6</xdr:col>
      <xdr:colOff>38100</xdr:colOff>
      <xdr:row>2192</xdr:row>
      <xdr:rowOff>38100</xdr:rowOff>
    </xdr:from>
    <xdr:ext cx="647700" cy="381000"/>
    <xdr:pic>
      <xdr:nvPicPr>
        <xdr:cNvPr id="0" name="image1190.jpg"/>
        <xdr:cNvPicPr preferRelativeResize="0"/>
      </xdr:nvPicPr>
      <xdr:blipFill>
        <a:blip cstate="print" r:embed="rId1165"/>
        <a:stretch>
          <a:fillRect/>
        </a:stretch>
      </xdr:blipFill>
      <xdr:spPr>
        <a:prstGeom prst="rect">
          <a:avLst/>
        </a:prstGeom>
        <a:noFill/>
      </xdr:spPr>
    </xdr:pic>
    <xdr:clientData fLocksWithSheet="0"/>
  </xdr:oneCellAnchor>
  <xdr:oneCellAnchor>
    <xdr:from>
      <xdr:col>6</xdr:col>
      <xdr:colOff>38100</xdr:colOff>
      <xdr:row>2193</xdr:row>
      <xdr:rowOff>38100</xdr:rowOff>
    </xdr:from>
    <xdr:ext cx="514350" cy="514350"/>
    <xdr:pic>
      <xdr:nvPicPr>
        <xdr:cNvPr id="0" name="image1155.jpg"/>
        <xdr:cNvPicPr preferRelativeResize="0"/>
      </xdr:nvPicPr>
      <xdr:blipFill>
        <a:blip cstate="print" r:embed="rId1166"/>
        <a:stretch>
          <a:fillRect/>
        </a:stretch>
      </xdr:blipFill>
      <xdr:spPr>
        <a:prstGeom prst="rect">
          <a:avLst/>
        </a:prstGeom>
        <a:noFill/>
      </xdr:spPr>
    </xdr:pic>
    <xdr:clientData fLocksWithSheet="0"/>
  </xdr:oneCellAnchor>
  <xdr:oneCellAnchor>
    <xdr:from>
      <xdr:col>6</xdr:col>
      <xdr:colOff>38100</xdr:colOff>
      <xdr:row>2194</xdr:row>
      <xdr:rowOff>38100</xdr:rowOff>
    </xdr:from>
    <xdr:ext cx="514350" cy="514350"/>
    <xdr:pic>
      <xdr:nvPicPr>
        <xdr:cNvPr id="0" name="image1145.jpg"/>
        <xdr:cNvPicPr preferRelativeResize="0"/>
      </xdr:nvPicPr>
      <xdr:blipFill>
        <a:blip cstate="print" r:embed="rId1167"/>
        <a:stretch>
          <a:fillRect/>
        </a:stretch>
      </xdr:blipFill>
      <xdr:spPr>
        <a:prstGeom prst="rect">
          <a:avLst/>
        </a:prstGeom>
        <a:noFill/>
      </xdr:spPr>
    </xdr:pic>
    <xdr:clientData fLocksWithSheet="0"/>
  </xdr:oneCellAnchor>
  <xdr:oneCellAnchor>
    <xdr:from>
      <xdr:col>6</xdr:col>
      <xdr:colOff>38100</xdr:colOff>
      <xdr:row>2195</xdr:row>
      <xdr:rowOff>38100</xdr:rowOff>
    </xdr:from>
    <xdr:ext cx="514350" cy="514350"/>
    <xdr:pic>
      <xdr:nvPicPr>
        <xdr:cNvPr id="0" name="image1164.jpg"/>
        <xdr:cNvPicPr preferRelativeResize="0"/>
      </xdr:nvPicPr>
      <xdr:blipFill>
        <a:blip cstate="print" r:embed="rId1168"/>
        <a:stretch>
          <a:fillRect/>
        </a:stretch>
      </xdr:blipFill>
      <xdr:spPr>
        <a:prstGeom prst="rect">
          <a:avLst/>
        </a:prstGeom>
        <a:noFill/>
      </xdr:spPr>
    </xdr:pic>
    <xdr:clientData fLocksWithSheet="0"/>
  </xdr:oneCellAnchor>
  <xdr:oneCellAnchor>
    <xdr:from>
      <xdr:col>6</xdr:col>
      <xdr:colOff>38100</xdr:colOff>
      <xdr:row>2196</xdr:row>
      <xdr:rowOff>38100</xdr:rowOff>
    </xdr:from>
    <xdr:ext cx="228600" cy="438150"/>
    <xdr:pic>
      <xdr:nvPicPr>
        <xdr:cNvPr id="0" name="image1142.jpg"/>
        <xdr:cNvPicPr preferRelativeResize="0"/>
      </xdr:nvPicPr>
      <xdr:blipFill>
        <a:blip cstate="print" r:embed="rId1169"/>
        <a:stretch>
          <a:fillRect/>
        </a:stretch>
      </xdr:blipFill>
      <xdr:spPr>
        <a:prstGeom prst="rect">
          <a:avLst/>
        </a:prstGeom>
        <a:noFill/>
      </xdr:spPr>
    </xdr:pic>
    <xdr:clientData fLocksWithSheet="0"/>
  </xdr:oneCellAnchor>
  <xdr:oneCellAnchor>
    <xdr:from>
      <xdr:col>6</xdr:col>
      <xdr:colOff>38100</xdr:colOff>
      <xdr:row>2197</xdr:row>
      <xdr:rowOff>38100</xdr:rowOff>
    </xdr:from>
    <xdr:ext cx="581025" cy="514350"/>
    <xdr:pic>
      <xdr:nvPicPr>
        <xdr:cNvPr id="0" name="image1144.jpg"/>
        <xdr:cNvPicPr preferRelativeResize="0"/>
      </xdr:nvPicPr>
      <xdr:blipFill>
        <a:blip cstate="print" r:embed="rId1170"/>
        <a:stretch>
          <a:fillRect/>
        </a:stretch>
      </xdr:blipFill>
      <xdr:spPr>
        <a:prstGeom prst="rect">
          <a:avLst/>
        </a:prstGeom>
        <a:noFill/>
      </xdr:spPr>
    </xdr:pic>
    <xdr:clientData fLocksWithSheet="0"/>
  </xdr:oneCellAnchor>
  <xdr:oneCellAnchor>
    <xdr:from>
      <xdr:col>6</xdr:col>
      <xdr:colOff>38100</xdr:colOff>
      <xdr:row>2198</xdr:row>
      <xdr:rowOff>38100</xdr:rowOff>
    </xdr:from>
    <xdr:ext cx="581025" cy="514350"/>
    <xdr:pic>
      <xdr:nvPicPr>
        <xdr:cNvPr id="0" name="image1144.jpg"/>
        <xdr:cNvPicPr preferRelativeResize="0"/>
      </xdr:nvPicPr>
      <xdr:blipFill>
        <a:blip cstate="print" r:embed="rId1170"/>
        <a:stretch>
          <a:fillRect/>
        </a:stretch>
      </xdr:blipFill>
      <xdr:spPr>
        <a:prstGeom prst="rect">
          <a:avLst/>
        </a:prstGeom>
        <a:noFill/>
      </xdr:spPr>
    </xdr:pic>
    <xdr:clientData fLocksWithSheet="0"/>
  </xdr:oneCellAnchor>
  <xdr:oneCellAnchor>
    <xdr:from>
      <xdr:col>6</xdr:col>
      <xdr:colOff>38100</xdr:colOff>
      <xdr:row>2199</xdr:row>
      <xdr:rowOff>38100</xdr:rowOff>
    </xdr:from>
    <xdr:ext cx="647700" cy="342900"/>
    <xdr:pic>
      <xdr:nvPicPr>
        <xdr:cNvPr id="0" name="image1172.jpg"/>
        <xdr:cNvPicPr preferRelativeResize="0"/>
      </xdr:nvPicPr>
      <xdr:blipFill>
        <a:blip cstate="print" r:embed="rId1171"/>
        <a:stretch>
          <a:fillRect/>
        </a:stretch>
      </xdr:blipFill>
      <xdr:spPr>
        <a:prstGeom prst="rect">
          <a:avLst/>
        </a:prstGeom>
        <a:noFill/>
      </xdr:spPr>
    </xdr:pic>
    <xdr:clientData fLocksWithSheet="0"/>
  </xdr:oneCellAnchor>
  <xdr:oneCellAnchor>
    <xdr:from>
      <xdr:col>6</xdr:col>
      <xdr:colOff>38100</xdr:colOff>
      <xdr:row>2200</xdr:row>
      <xdr:rowOff>38100</xdr:rowOff>
    </xdr:from>
    <xdr:ext cx="400050" cy="409575"/>
    <xdr:pic>
      <xdr:nvPicPr>
        <xdr:cNvPr id="0" name="image1176.jpg"/>
        <xdr:cNvPicPr preferRelativeResize="0"/>
      </xdr:nvPicPr>
      <xdr:blipFill>
        <a:blip cstate="print" r:embed="rId1172"/>
        <a:stretch>
          <a:fillRect/>
        </a:stretch>
      </xdr:blipFill>
      <xdr:spPr>
        <a:prstGeom prst="rect">
          <a:avLst/>
        </a:prstGeom>
        <a:noFill/>
      </xdr:spPr>
    </xdr:pic>
    <xdr:clientData fLocksWithSheet="0"/>
  </xdr:oneCellAnchor>
  <xdr:oneCellAnchor>
    <xdr:from>
      <xdr:col>6</xdr:col>
      <xdr:colOff>38100</xdr:colOff>
      <xdr:row>2201</xdr:row>
      <xdr:rowOff>38100</xdr:rowOff>
    </xdr:from>
    <xdr:ext cx="400050" cy="409575"/>
    <xdr:pic>
      <xdr:nvPicPr>
        <xdr:cNvPr id="0" name="image1176.jpg"/>
        <xdr:cNvPicPr preferRelativeResize="0"/>
      </xdr:nvPicPr>
      <xdr:blipFill>
        <a:blip cstate="print" r:embed="rId1172"/>
        <a:stretch>
          <a:fillRect/>
        </a:stretch>
      </xdr:blipFill>
      <xdr:spPr>
        <a:prstGeom prst="rect">
          <a:avLst/>
        </a:prstGeom>
        <a:noFill/>
      </xdr:spPr>
    </xdr:pic>
    <xdr:clientData fLocksWithSheet="0"/>
  </xdr:oneCellAnchor>
  <xdr:oneCellAnchor>
    <xdr:from>
      <xdr:col>6</xdr:col>
      <xdr:colOff>38100</xdr:colOff>
      <xdr:row>2202</xdr:row>
      <xdr:rowOff>38100</xdr:rowOff>
    </xdr:from>
    <xdr:ext cx="619125" cy="457200"/>
    <xdr:pic>
      <xdr:nvPicPr>
        <xdr:cNvPr id="0" name="image1167.jpg"/>
        <xdr:cNvPicPr preferRelativeResize="0"/>
      </xdr:nvPicPr>
      <xdr:blipFill>
        <a:blip cstate="print" r:embed="rId1173"/>
        <a:stretch>
          <a:fillRect/>
        </a:stretch>
      </xdr:blipFill>
      <xdr:spPr>
        <a:prstGeom prst="rect">
          <a:avLst/>
        </a:prstGeom>
        <a:noFill/>
      </xdr:spPr>
    </xdr:pic>
    <xdr:clientData fLocksWithSheet="0"/>
  </xdr:oneCellAnchor>
  <xdr:oneCellAnchor>
    <xdr:from>
      <xdr:col>6</xdr:col>
      <xdr:colOff>38100</xdr:colOff>
      <xdr:row>2203</xdr:row>
      <xdr:rowOff>38100</xdr:rowOff>
    </xdr:from>
    <xdr:ext cx="523875" cy="514350"/>
    <xdr:pic>
      <xdr:nvPicPr>
        <xdr:cNvPr id="0" name="image1150.jpg"/>
        <xdr:cNvPicPr preferRelativeResize="0"/>
      </xdr:nvPicPr>
      <xdr:blipFill>
        <a:blip cstate="print" r:embed="rId1174"/>
        <a:stretch>
          <a:fillRect/>
        </a:stretch>
      </xdr:blipFill>
      <xdr:spPr>
        <a:prstGeom prst="rect">
          <a:avLst/>
        </a:prstGeom>
        <a:noFill/>
      </xdr:spPr>
    </xdr:pic>
    <xdr:clientData fLocksWithSheet="0"/>
  </xdr:oneCellAnchor>
  <xdr:oneCellAnchor>
    <xdr:from>
      <xdr:col>6</xdr:col>
      <xdr:colOff>38100</xdr:colOff>
      <xdr:row>2204</xdr:row>
      <xdr:rowOff>38100</xdr:rowOff>
    </xdr:from>
    <xdr:ext cx="647700" cy="409575"/>
    <xdr:pic>
      <xdr:nvPicPr>
        <xdr:cNvPr id="0" name="image1219.jpg"/>
        <xdr:cNvPicPr preferRelativeResize="0"/>
      </xdr:nvPicPr>
      <xdr:blipFill>
        <a:blip cstate="print" r:embed="rId1175"/>
        <a:stretch>
          <a:fillRect/>
        </a:stretch>
      </xdr:blipFill>
      <xdr:spPr>
        <a:prstGeom prst="rect">
          <a:avLst/>
        </a:prstGeom>
        <a:noFill/>
      </xdr:spPr>
    </xdr:pic>
    <xdr:clientData fLocksWithSheet="0"/>
  </xdr:oneCellAnchor>
  <xdr:oneCellAnchor>
    <xdr:from>
      <xdr:col>6</xdr:col>
      <xdr:colOff>38100</xdr:colOff>
      <xdr:row>2205</xdr:row>
      <xdr:rowOff>38100</xdr:rowOff>
    </xdr:from>
    <xdr:ext cx="400050" cy="514350"/>
    <xdr:pic>
      <xdr:nvPicPr>
        <xdr:cNvPr id="0" name="image1212.jpg"/>
        <xdr:cNvPicPr preferRelativeResize="0"/>
      </xdr:nvPicPr>
      <xdr:blipFill>
        <a:blip cstate="print" r:embed="rId1176"/>
        <a:stretch>
          <a:fillRect/>
        </a:stretch>
      </xdr:blipFill>
      <xdr:spPr>
        <a:prstGeom prst="rect">
          <a:avLst/>
        </a:prstGeom>
        <a:noFill/>
      </xdr:spPr>
    </xdr:pic>
    <xdr:clientData fLocksWithSheet="0"/>
  </xdr:oneCellAnchor>
  <xdr:oneCellAnchor>
    <xdr:from>
      <xdr:col>6</xdr:col>
      <xdr:colOff>38100</xdr:colOff>
      <xdr:row>2206</xdr:row>
      <xdr:rowOff>38100</xdr:rowOff>
    </xdr:from>
    <xdr:ext cx="400050" cy="514350"/>
    <xdr:pic>
      <xdr:nvPicPr>
        <xdr:cNvPr id="0" name="image1152.jpg"/>
        <xdr:cNvPicPr preferRelativeResize="0"/>
      </xdr:nvPicPr>
      <xdr:blipFill>
        <a:blip cstate="print" r:embed="rId1177"/>
        <a:stretch>
          <a:fillRect/>
        </a:stretch>
      </xdr:blipFill>
      <xdr:spPr>
        <a:prstGeom prst="rect">
          <a:avLst/>
        </a:prstGeom>
        <a:noFill/>
      </xdr:spPr>
    </xdr:pic>
    <xdr:clientData fLocksWithSheet="0"/>
  </xdr:oneCellAnchor>
  <xdr:oneCellAnchor>
    <xdr:from>
      <xdr:col>6</xdr:col>
      <xdr:colOff>38100</xdr:colOff>
      <xdr:row>2207</xdr:row>
      <xdr:rowOff>38100</xdr:rowOff>
    </xdr:from>
    <xdr:ext cx="647700" cy="381000"/>
    <xdr:pic>
      <xdr:nvPicPr>
        <xdr:cNvPr id="0" name="image1153.jpg"/>
        <xdr:cNvPicPr preferRelativeResize="0"/>
      </xdr:nvPicPr>
      <xdr:blipFill>
        <a:blip cstate="print" r:embed="rId1178"/>
        <a:stretch>
          <a:fillRect/>
        </a:stretch>
      </xdr:blipFill>
      <xdr:spPr>
        <a:prstGeom prst="rect">
          <a:avLst/>
        </a:prstGeom>
        <a:noFill/>
      </xdr:spPr>
    </xdr:pic>
    <xdr:clientData fLocksWithSheet="0"/>
  </xdr:oneCellAnchor>
  <xdr:oneCellAnchor>
    <xdr:from>
      <xdr:col>6</xdr:col>
      <xdr:colOff>38100</xdr:colOff>
      <xdr:row>2208</xdr:row>
      <xdr:rowOff>38100</xdr:rowOff>
    </xdr:from>
    <xdr:ext cx="571500" cy="381000"/>
    <xdr:pic>
      <xdr:nvPicPr>
        <xdr:cNvPr id="0" name="image1213.jpg"/>
        <xdr:cNvPicPr preferRelativeResize="0"/>
      </xdr:nvPicPr>
      <xdr:blipFill>
        <a:blip cstate="print" r:embed="rId1179"/>
        <a:stretch>
          <a:fillRect/>
        </a:stretch>
      </xdr:blipFill>
      <xdr:spPr>
        <a:prstGeom prst="rect">
          <a:avLst/>
        </a:prstGeom>
        <a:noFill/>
      </xdr:spPr>
    </xdr:pic>
    <xdr:clientData fLocksWithSheet="0"/>
  </xdr:oneCellAnchor>
  <xdr:oneCellAnchor>
    <xdr:from>
      <xdr:col>6</xdr:col>
      <xdr:colOff>38100</xdr:colOff>
      <xdr:row>2209</xdr:row>
      <xdr:rowOff>38100</xdr:rowOff>
    </xdr:from>
    <xdr:ext cx="428625" cy="333375"/>
    <xdr:pic>
      <xdr:nvPicPr>
        <xdr:cNvPr id="0" name="image1133.jpg"/>
        <xdr:cNvPicPr preferRelativeResize="0"/>
      </xdr:nvPicPr>
      <xdr:blipFill>
        <a:blip cstate="print" r:embed="rId1157"/>
        <a:stretch>
          <a:fillRect/>
        </a:stretch>
      </xdr:blipFill>
      <xdr:spPr>
        <a:prstGeom prst="rect">
          <a:avLst/>
        </a:prstGeom>
        <a:noFill/>
      </xdr:spPr>
    </xdr:pic>
    <xdr:clientData fLocksWithSheet="0"/>
  </xdr:oneCellAnchor>
  <xdr:oneCellAnchor>
    <xdr:from>
      <xdr:col>6</xdr:col>
      <xdr:colOff>38100</xdr:colOff>
      <xdr:row>2210</xdr:row>
      <xdr:rowOff>38100</xdr:rowOff>
    </xdr:from>
    <xdr:ext cx="514350" cy="514350"/>
    <xdr:pic>
      <xdr:nvPicPr>
        <xdr:cNvPr id="0" name="image1224.jpg"/>
        <xdr:cNvPicPr preferRelativeResize="0"/>
      </xdr:nvPicPr>
      <xdr:blipFill>
        <a:blip cstate="print" r:embed="rId1180"/>
        <a:stretch>
          <a:fillRect/>
        </a:stretch>
      </xdr:blipFill>
      <xdr:spPr>
        <a:prstGeom prst="rect">
          <a:avLst/>
        </a:prstGeom>
        <a:noFill/>
      </xdr:spPr>
    </xdr:pic>
    <xdr:clientData fLocksWithSheet="0"/>
  </xdr:oneCellAnchor>
  <xdr:oneCellAnchor>
    <xdr:from>
      <xdr:col>6</xdr:col>
      <xdr:colOff>38100</xdr:colOff>
      <xdr:row>2211</xdr:row>
      <xdr:rowOff>38100</xdr:rowOff>
    </xdr:from>
    <xdr:ext cx="428625" cy="333375"/>
    <xdr:pic>
      <xdr:nvPicPr>
        <xdr:cNvPr id="0" name="image1133.jpg"/>
        <xdr:cNvPicPr preferRelativeResize="0"/>
      </xdr:nvPicPr>
      <xdr:blipFill>
        <a:blip cstate="print" r:embed="rId1157"/>
        <a:stretch>
          <a:fillRect/>
        </a:stretch>
      </xdr:blipFill>
      <xdr:spPr>
        <a:prstGeom prst="rect">
          <a:avLst/>
        </a:prstGeom>
        <a:noFill/>
      </xdr:spPr>
    </xdr:pic>
    <xdr:clientData fLocksWithSheet="0"/>
  </xdr:oneCellAnchor>
  <xdr:oneCellAnchor>
    <xdr:from>
      <xdr:col>6</xdr:col>
      <xdr:colOff>38100</xdr:colOff>
      <xdr:row>2212</xdr:row>
      <xdr:rowOff>38100</xdr:rowOff>
    </xdr:from>
    <xdr:ext cx="314325" cy="352425"/>
    <xdr:pic>
      <xdr:nvPicPr>
        <xdr:cNvPr id="0" name="image1165.jpg"/>
        <xdr:cNvPicPr preferRelativeResize="0"/>
      </xdr:nvPicPr>
      <xdr:blipFill>
        <a:blip cstate="print" r:embed="rId1181"/>
        <a:stretch>
          <a:fillRect/>
        </a:stretch>
      </xdr:blipFill>
      <xdr:spPr>
        <a:prstGeom prst="rect">
          <a:avLst/>
        </a:prstGeom>
        <a:noFill/>
      </xdr:spPr>
    </xdr:pic>
    <xdr:clientData fLocksWithSheet="0"/>
  </xdr:oneCellAnchor>
  <xdr:oneCellAnchor>
    <xdr:from>
      <xdr:col>6</xdr:col>
      <xdr:colOff>38100</xdr:colOff>
      <xdr:row>2213</xdr:row>
      <xdr:rowOff>38100</xdr:rowOff>
    </xdr:from>
    <xdr:ext cx="381000" cy="428625"/>
    <xdr:pic>
      <xdr:nvPicPr>
        <xdr:cNvPr id="0" name="image1173.jpg"/>
        <xdr:cNvPicPr preferRelativeResize="0"/>
      </xdr:nvPicPr>
      <xdr:blipFill>
        <a:blip cstate="print" r:embed="rId1182"/>
        <a:stretch>
          <a:fillRect/>
        </a:stretch>
      </xdr:blipFill>
      <xdr:spPr>
        <a:prstGeom prst="rect">
          <a:avLst/>
        </a:prstGeom>
        <a:noFill/>
      </xdr:spPr>
    </xdr:pic>
    <xdr:clientData fLocksWithSheet="0"/>
  </xdr:oneCellAnchor>
  <xdr:oneCellAnchor>
    <xdr:from>
      <xdr:col>6</xdr:col>
      <xdr:colOff>38100</xdr:colOff>
      <xdr:row>2214</xdr:row>
      <xdr:rowOff>38100</xdr:rowOff>
    </xdr:from>
    <xdr:ext cx="647700" cy="495300"/>
    <xdr:pic>
      <xdr:nvPicPr>
        <xdr:cNvPr id="0" name="image1161.jpg"/>
        <xdr:cNvPicPr preferRelativeResize="0"/>
      </xdr:nvPicPr>
      <xdr:blipFill>
        <a:blip cstate="print" r:embed="rId1183"/>
        <a:stretch>
          <a:fillRect/>
        </a:stretch>
      </xdr:blipFill>
      <xdr:spPr>
        <a:prstGeom prst="rect">
          <a:avLst/>
        </a:prstGeom>
        <a:noFill/>
      </xdr:spPr>
    </xdr:pic>
    <xdr:clientData fLocksWithSheet="0"/>
  </xdr:oneCellAnchor>
  <xdr:oneCellAnchor>
    <xdr:from>
      <xdr:col>6</xdr:col>
      <xdr:colOff>38100</xdr:colOff>
      <xdr:row>2215</xdr:row>
      <xdr:rowOff>38100</xdr:rowOff>
    </xdr:from>
    <xdr:ext cx="409575" cy="371475"/>
    <xdr:pic>
      <xdr:nvPicPr>
        <xdr:cNvPr id="0" name="image1205.jpg"/>
        <xdr:cNvPicPr preferRelativeResize="0"/>
      </xdr:nvPicPr>
      <xdr:blipFill>
        <a:blip cstate="print" r:embed="rId1184"/>
        <a:stretch>
          <a:fillRect/>
        </a:stretch>
      </xdr:blipFill>
      <xdr:spPr>
        <a:prstGeom prst="rect">
          <a:avLst/>
        </a:prstGeom>
        <a:noFill/>
      </xdr:spPr>
    </xdr:pic>
    <xdr:clientData fLocksWithSheet="0"/>
  </xdr:oneCellAnchor>
  <xdr:oneCellAnchor>
    <xdr:from>
      <xdr:col>6</xdr:col>
      <xdr:colOff>38100</xdr:colOff>
      <xdr:row>2216</xdr:row>
      <xdr:rowOff>38100</xdr:rowOff>
    </xdr:from>
    <xdr:ext cx="647700" cy="495300"/>
    <xdr:pic>
      <xdr:nvPicPr>
        <xdr:cNvPr id="0" name="image220.jpg"/>
        <xdr:cNvPicPr preferRelativeResize="0"/>
      </xdr:nvPicPr>
      <xdr:blipFill>
        <a:blip cstate="print" r:embed="rId211"/>
        <a:stretch>
          <a:fillRect/>
        </a:stretch>
      </xdr:blipFill>
      <xdr:spPr>
        <a:prstGeom prst="rect">
          <a:avLst/>
        </a:prstGeom>
        <a:noFill/>
      </xdr:spPr>
    </xdr:pic>
    <xdr:clientData fLocksWithSheet="0"/>
  </xdr:oneCellAnchor>
  <xdr:oneCellAnchor>
    <xdr:from>
      <xdr:col>6</xdr:col>
      <xdr:colOff>38100</xdr:colOff>
      <xdr:row>2217</xdr:row>
      <xdr:rowOff>38100</xdr:rowOff>
    </xdr:from>
    <xdr:ext cx="342900" cy="447675"/>
    <xdr:pic>
      <xdr:nvPicPr>
        <xdr:cNvPr id="0" name="image1222.jpg"/>
        <xdr:cNvPicPr preferRelativeResize="0"/>
      </xdr:nvPicPr>
      <xdr:blipFill>
        <a:blip cstate="print" r:embed="rId1185"/>
        <a:stretch>
          <a:fillRect/>
        </a:stretch>
      </xdr:blipFill>
      <xdr:spPr>
        <a:prstGeom prst="rect">
          <a:avLst/>
        </a:prstGeom>
        <a:noFill/>
      </xdr:spPr>
    </xdr:pic>
    <xdr:clientData fLocksWithSheet="0"/>
  </xdr:oneCellAnchor>
  <xdr:oneCellAnchor>
    <xdr:from>
      <xdr:col>6</xdr:col>
      <xdr:colOff>38100</xdr:colOff>
      <xdr:row>2218</xdr:row>
      <xdr:rowOff>38100</xdr:rowOff>
    </xdr:from>
    <xdr:ext cx="514350" cy="514350"/>
    <xdr:pic>
      <xdr:nvPicPr>
        <xdr:cNvPr id="0" name="image1179.jpg"/>
        <xdr:cNvPicPr preferRelativeResize="0"/>
      </xdr:nvPicPr>
      <xdr:blipFill>
        <a:blip cstate="print" r:embed="rId1186"/>
        <a:stretch>
          <a:fillRect/>
        </a:stretch>
      </xdr:blipFill>
      <xdr:spPr>
        <a:prstGeom prst="rect">
          <a:avLst/>
        </a:prstGeom>
        <a:noFill/>
      </xdr:spPr>
    </xdr:pic>
    <xdr:clientData fLocksWithSheet="0"/>
  </xdr:oneCellAnchor>
  <xdr:oneCellAnchor>
    <xdr:from>
      <xdr:col>6</xdr:col>
      <xdr:colOff>38100</xdr:colOff>
      <xdr:row>2219</xdr:row>
      <xdr:rowOff>38100</xdr:rowOff>
    </xdr:from>
    <xdr:ext cx="371475" cy="400050"/>
    <xdr:pic>
      <xdr:nvPicPr>
        <xdr:cNvPr id="0" name="image1175.jpg"/>
        <xdr:cNvPicPr preferRelativeResize="0"/>
      </xdr:nvPicPr>
      <xdr:blipFill>
        <a:blip cstate="print" r:embed="rId1187"/>
        <a:stretch>
          <a:fillRect/>
        </a:stretch>
      </xdr:blipFill>
      <xdr:spPr>
        <a:prstGeom prst="rect">
          <a:avLst/>
        </a:prstGeom>
        <a:noFill/>
      </xdr:spPr>
    </xdr:pic>
    <xdr:clientData fLocksWithSheet="0"/>
  </xdr:oneCellAnchor>
  <xdr:oneCellAnchor>
    <xdr:from>
      <xdr:col>6</xdr:col>
      <xdr:colOff>38100</xdr:colOff>
      <xdr:row>2220</xdr:row>
      <xdr:rowOff>38100</xdr:rowOff>
    </xdr:from>
    <xdr:ext cx="514350" cy="514350"/>
    <xdr:pic>
      <xdr:nvPicPr>
        <xdr:cNvPr id="0" name="image1185.jpg"/>
        <xdr:cNvPicPr preferRelativeResize="0"/>
      </xdr:nvPicPr>
      <xdr:blipFill>
        <a:blip cstate="print" r:embed="rId1188"/>
        <a:stretch>
          <a:fillRect/>
        </a:stretch>
      </xdr:blipFill>
      <xdr:spPr>
        <a:prstGeom prst="rect">
          <a:avLst/>
        </a:prstGeom>
        <a:noFill/>
      </xdr:spPr>
    </xdr:pic>
    <xdr:clientData fLocksWithSheet="0"/>
  </xdr:oneCellAnchor>
  <xdr:oneCellAnchor>
    <xdr:from>
      <xdr:col>6</xdr:col>
      <xdr:colOff>38100</xdr:colOff>
      <xdr:row>2221</xdr:row>
      <xdr:rowOff>38100</xdr:rowOff>
    </xdr:from>
    <xdr:ext cx="647700" cy="495300"/>
    <xdr:pic>
      <xdr:nvPicPr>
        <xdr:cNvPr id="0" name="image160.jpg"/>
        <xdr:cNvPicPr preferRelativeResize="0"/>
      </xdr:nvPicPr>
      <xdr:blipFill>
        <a:blip cstate="print" r:embed="rId179"/>
        <a:stretch>
          <a:fillRect/>
        </a:stretch>
      </xdr:blipFill>
      <xdr:spPr>
        <a:prstGeom prst="rect">
          <a:avLst/>
        </a:prstGeom>
        <a:noFill/>
      </xdr:spPr>
    </xdr:pic>
    <xdr:clientData fLocksWithSheet="0"/>
  </xdr:oneCellAnchor>
  <xdr:oneCellAnchor>
    <xdr:from>
      <xdr:col>6</xdr:col>
      <xdr:colOff>38100</xdr:colOff>
      <xdr:row>2222</xdr:row>
      <xdr:rowOff>38100</xdr:rowOff>
    </xdr:from>
    <xdr:ext cx="514350" cy="514350"/>
    <xdr:pic>
      <xdr:nvPicPr>
        <xdr:cNvPr id="0" name="image1177.jpg"/>
        <xdr:cNvPicPr preferRelativeResize="0"/>
      </xdr:nvPicPr>
      <xdr:blipFill>
        <a:blip cstate="print" r:embed="rId1189"/>
        <a:stretch>
          <a:fillRect/>
        </a:stretch>
      </xdr:blipFill>
      <xdr:spPr>
        <a:prstGeom prst="rect">
          <a:avLst/>
        </a:prstGeom>
        <a:noFill/>
      </xdr:spPr>
    </xdr:pic>
    <xdr:clientData fLocksWithSheet="0"/>
  </xdr:oneCellAnchor>
  <xdr:oneCellAnchor>
    <xdr:from>
      <xdr:col>6</xdr:col>
      <xdr:colOff>38100</xdr:colOff>
      <xdr:row>2223</xdr:row>
      <xdr:rowOff>38100</xdr:rowOff>
    </xdr:from>
    <xdr:ext cx="647700" cy="495300"/>
    <xdr:pic>
      <xdr:nvPicPr>
        <xdr:cNvPr id="0" name="image1163.jpg"/>
        <xdr:cNvPicPr preferRelativeResize="0"/>
      </xdr:nvPicPr>
      <xdr:blipFill>
        <a:blip cstate="print" r:embed="rId1190"/>
        <a:stretch>
          <a:fillRect/>
        </a:stretch>
      </xdr:blipFill>
      <xdr:spPr>
        <a:prstGeom prst="rect">
          <a:avLst/>
        </a:prstGeom>
        <a:noFill/>
      </xdr:spPr>
    </xdr:pic>
    <xdr:clientData fLocksWithSheet="0"/>
  </xdr:oneCellAnchor>
  <xdr:oneCellAnchor>
    <xdr:from>
      <xdr:col>6</xdr:col>
      <xdr:colOff>38100</xdr:colOff>
      <xdr:row>2224</xdr:row>
      <xdr:rowOff>38100</xdr:rowOff>
    </xdr:from>
    <xdr:ext cx="514350" cy="514350"/>
    <xdr:pic>
      <xdr:nvPicPr>
        <xdr:cNvPr id="0" name="image1168.jpg"/>
        <xdr:cNvPicPr preferRelativeResize="0"/>
      </xdr:nvPicPr>
      <xdr:blipFill>
        <a:blip cstate="print" r:embed="rId1191"/>
        <a:stretch>
          <a:fillRect/>
        </a:stretch>
      </xdr:blipFill>
      <xdr:spPr>
        <a:prstGeom prst="rect">
          <a:avLst/>
        </a:prstGeom>
        <a:noFill/>
      </xdr:spPr>
    </xdr:pic>
    <xdr:clientData fLocksWithSheet="0"/>
  </xdr:oneCellAnchor>
  <xdr:oneCellAnchor>
    <xdr:from>
      <xdr:col>6</xdr:col>
      <xdr:colOff>38100</xdr:colOff>
      <xdr:row>2225</xdr:row>
      <xdr:rowOff>38100</xdr:rowOff>
    </xdr:from>
    <xdr:ext cx="438150" cy="438150"/>
    <xdr:pic>
      <xdr:nvPicPr>
        <xdr:cNvPr id="0" name="image1183.jpg"/>
        <xdr:cNvPicPr preferRelativeResize="0"/>
      </xdr:nvPicPr>
      <xdr:blipFill>
        <a:blip cstate="print" r:embed="rId1192"/>
        <a:stretch>
          <a:fillRect/>
        </a:stretch>
      </xdr:blipFill>
      <xdr:spPr>
        <a:prstGeom prst="rect">
          <a:avLst/>
        </a:prstGeom>
        <a:noFill/>
      </xdr:spPr>
    </xdr:pic>
    <xdr:clientData fLocksWithSheet="0"/>
  </xdr:oneCellAnchor>
  <xdr:oneCellAnchor>
    <xdr:from>
      <xdr:col>6</xdr:col>
      <xdr:colOff>38100</xdr:colOff>
      <xdr:row>2226</xdr:row>
      <xdr:rowOff>38100</xdr:rowOff>
    </xdr:from>
    <xdr:ext cx="638175" cy="514350"/>
    <xdr:pic>
      <xdr:nvPicPr>
        <xdr:cNvPr id="0" name="image1188.jpg"/>
        <xdr:cNvPicPr preferRelativeResize="0"/>
      </xdr:nvPicPr>
      <xdr:blipFill>
        <a:blip cstate="print" r:embed="rId1193"/>
        <a:stretch>
          <a:fillRect/>
        </a:stretch>
      </xdr:blipFill>
      <xdr:spPr>
        <a:prstGeom prst="rect">
          <a:avLst/>
        </a:prstGeom>
        <a:noFill/>
      </xdr:spPr>
    </xdr:pic>
    <xdr:clientData fLocksWithSheet="0"/>
  </xdr:oneCellAnchor>
  <xdr:oneCellAnchor>
    <xdr:from>
      <xdr:col>6</xdr:col>
      <xdr:colOff>38100</xdr:colOff>
      <xdr:row>2227</xdr:row>
      <xdr:rowOff>38100</xdr:rowOff>
    </xdr:from>
    <xdr:ext cx="514350" cy="514350"/>
    <xdr:pic>
      <xdr:nvPicPr>
        <xdr:cNvPr id="0" name="image1196.jpg"/>
        <xdr:cNvPicPr preferRelativeResize="0"/>
      </xdr:nvPicPr>
      <xdr:blipFill>
        <a:blip cstate="print" r:embed="rId1194"/>
        <a:stretch>
          <a:fillRect/>
        </a:stretch>
      </xdr:blipFill>
      <xdr:spPr>
        <a:prstGeom prst="rect">
          <a:avLst/>
        </a:prstGeom>
        <a:noFill/>
      </xdr:spPr>
    </xdr:pic>
    <xdr:clientData fLocksWithSheet="0"/>
  </xdr:oneCellAnchor>
  <xdr:oneCellAnchor>
    <xdr:from>
      <xdr:col>6</xdr:col>
      <xdr:colOff>38100</xdr:colOff>
      <xdr:row>2228</xdr:row>
      <xdr:rowOff>38100</xdr:rowOff>
    </xdr:from>
    <xdr:ext cx="514350" cy="514350"/>
    <xdr:pic>
      <xdr:nvPicPr>
        <xdr:cNvPr id="0" name="image1196.jpg"/>
        <xdr:cNvPicPr preferRelativeResize="0"/>
      </xdr:nvPicPr>
      <xdr:blipFill>
        <a:blip cstate="print" r:embed="rId1194"/>
        <a:stretch>
          <a:fillRect/>
        </a:stretch>
      </xdr:blipFill>
      <xdr:spPr>
        <a:prstGeom prst="rect">
          <a:avLst/>
        </a:prstGeom>
        <a:noFill/>
      </xdr:spPr>
    </xdr:pic>
    <xdr:clientData fLocksWithSheet="0"/>
  </xdr:oneCellAnchor>
  <xdr:oneCellAnchor>
    <xdr:from>
      <xdr:col>6</xdr:col>
      <xdr:colOff>38100</xdr:colOff>
      <xdr:row>2229</xdr:row>
      <xdr:rowOff>38100</xdr:rowOff>
    </xdr:from>
    <xdr:ext cx="647700" cy="485775"/>
    <xdr:pic>
      <xdr:nvPicPr>
        <xdr:cNvPr id="0" name="image1231.jpg"/>
        <xdr:cNvPicPr preferRelativeResize="0"/>
      </xdr:nvPicPr>
      <xdr:blipFill>
        <a:blip cstate="print" r:embed="rId1195"/>
        <a:stretch>
          <a:fillRect/>
        </a:stretch>
      </xdr:blipFill>
      <xdr:spPr>
        <a:prstGeom prst="rect">
          <a:avLst/>
        </a:prstGeom>
        <a:noFill/>
      </xdr:spPr>
    </xdr:pic>
    <xdr:clientData fLocksWithSheet="0"/>
  </xdr:oneCellAnchor>
  <xdr:oneCellAnchor>
    <xdr:from>
      <xdr:col>6</xdr:col>
      <xdr:colOff>38100</xdr:colOff>
      <xdr:row>2230</xdr:row>
      <xdr:rowOff>38100</xdr:rowOff>
    </xdr:from>
    <xdr:ext cx="514350" cy="514350"/>
    <xdr:pic>
      <xdr:nvPicPr>
        <xdr:cNvPr id="0" name="image1220.jpg"/>
        <xdr:cNvPicPr preferRelativeResize="0"/>
      </xdr:nvPicPr>
      <xdr:blipFill>
        <a:blip cstate="print" r:embed="rId1196"/>
        <a:stretch>
          <a:fillRect/>
        </a:stretch>
      </xdr:blipFill>
      <xdr:spPr>
        <a:prstGeom prst="rect">
          <a:avLst/>
        </a:prstGeom>
        <a:noFill/>
      </xdr:spPr>
    </xdr:pic>
    <xdr:clientData fLocksWithSheet="0"/>
  </xdr:oneCellAnchor>
  <xdr:oneCellAnchor>
    <xdr:from>
      <xdr:col>6</xdr:col>
      <xdr:colOff>38100</xdr:colOff>
      <xdr:row>2231</xdr:row>
      <xdr:rowOff>38100</xdr:rowOff>
    </xdr:from>
    <xdr:ext cx="485775" cy="438150"/>
    <xdr:pic>
      <xdr:nvPicPr>
        <xdr:cNvPr id="0" name="image1181.jpg"/>
        <xdr:cNvPicPr preferRelativeResize="0"/>
      </xdr:nvPicPr>
      <xdr:blipFill>
        <a:blip cstate="print" r:embed="rId1197"/>
        <a:stretch>
          <a:fillRect/>
        </a:stretch>
      </xdr:blipFill>
      <xdr:spPr>
        <a:prstGeom prst="rect">
          <a:avLst/>
        </a:prstGeom>
        <a:noFill/>
      </xdr:spPr>
    </xdr:pic>
    <xdr:clientData fLocksWithSheet="0"/>
  </xdr:oneCellAnchor>
  <xdr:oneCellAnchor>
    <xdr:from>
      <xdr:col>6</xdr:col>
      <xdr:colOff>38100</xdr:colOff>
      <xdr:row>2232</xdr:row>
      <xdr:rowOff>38100</xdr:rowOff>
    </xdr:from>
    <xdr:ext cx="485775" cy="438150"/>
    <xdr:pic>
      <xdr:nvPicPr>
        <xdr:cNvPr id="0" name="image1181.jpg"/>
        <xdr:cNvPicPr preferRelativeResize="0"/>
      </xdr:nvPicPr>
      <xdr:blipFill>
        <a:blip cstate="print" r:embed="rId1197"/>
        <a:stretch>
          <a:fillRect/>
        </a:stretch>
      </xdr:blipFill>
      <xdr:spPr>
        <a:prstGeom prst="rect">
          <a:avLst/>
        </a:prstGeom>
        <a:noFill/>
      </xdr:spPr>
    </xdr:pic>
    <xdr:clientData fLocksWithSheet="0"/>
  </xdr:oneCellAnchor>
  <xdr:oneCellAnchor>
    <xdr:from>
      <xdr:col>6</xdr:col>
      <xdr:colOff>38100</xdr:colOff>
      <xdr:row>2233</xdr:row>
      <xdr:rowOff>38100</xdr:rowOff>
    </xdr:from>
    <xdr:ext cx="333375" cy="514350"/>
    <xdr:pic>
      <xdr:nvPicPr>
        <xdr:cNvPr id="0" name="image1169.jpg"/>
        <xdr:cNvPicPr preferRelativeResize="0"/>
      </xdr:nvPicPr>
      <xdr:blipFill>
        <a:blip cstate="print" r:embed="rId1198"/>
        <a:stretch>
          <a:fillRect/>
        </a:stretch>
      </xdr:blipFill>
      <xdr:spPr>
        <a:prstGeom prst="rect">
          <a:avLst/>
        </a:prstGeom>
        <a:noFill/>
      </xdr:spPr>
    </xdr:pic>
    <xdr:clientData fLocksWithSheet="0"/>
  </xdr:oneCellAnchor>
  <xdr:oneCellAnchor>
    <xdr:from>
      <xdr:col>6</xdr:col>
      <xdr:colOff>38100</xdr:colOff>
      <xdr:row>2234</xdr:row>
      <xdr:rowOff>38100</xdr:rowOff>
    </xdr:from>
    <xdr:ext cx="314325" cy="352425"/>
    <xdr:pic>
      <xdr:nvPicPr>
        <xdr:cNvPr id="0" name="image1165.jpg"/>
        <xdr:cNvPicPr preferRelativeResize="0"/>
      </xdr:nvPicPr>
      <xdr:blipFill>
        <a:blip cstate="print" r:embed="rId1181"/>
        <a:stretch>
          <a:fillRect/>
        </a:stretch>
      </xdr:blipFill>
      <xdr:spPr>
        <a:prstGeom prst="rect">
          <a:avLst/>
        </a:prstGeom>
        <a:noFill/>
      </xdr:spPr>
    </xdr:pic>
    <xdr:clientData fLocksWithSheet="0"/>
  </xdr:oneCellAnchor>
  <xdr:oneCellAnchor>
    <xdr:from>
      <xdr:col>6</xdr:col>
      <xdr:colOff>38100</xdr:colOff>
      <xdr:row>2235</xdr:row>
      <xdr:rowOff>38100</xdr:rowOff>
    </xdr:from>
    <xdr:ext cx="314325" cy="352425"/>
    <xdr:pic>
      <xdr:nvPicPr>
        <xdr:cNvPr id="0" name="image1165.jpg"/>
        <xdr:cNvPicPr preferRelativeResize="0"/>
      </xdr:nvPicPr>
      <xdr:blipFill>
        <a:blip cstate="print" r:embed="rId1181"/>
        <a:stretch>
          <a:fillRect/>
        </a:stretch>
      </xdr:blipFill>
      <xdr:spPr>
        <a:prstGeom prst="rect">
          <a:avLst/>
        </a:prstGeom>
        <a:noFill/>
      </xdr:spPr>
    </xdr:pic>
    <xdr:clientData fLocksWithSheet="0"/>
  </xdr:oneCellAnchor>
  <xdr:oneCellAnchor>
    <xdr:from>
      <xdr:col>6</xdr:col>
      <xdr:colOff>38100</xdr:colOff>
      <xdr:row>2236</xdr:row>
      <xdr:rowOff>38100</xdr:rowOff>
    </xdr:from>
    <xdr:ext cx="514350" cy="514350"/>
    <xdr:pic>
      <xdr:nvPicPr>
        <xdr:cNvPr id="0" name="image1177.jpg"/>
        <xdr:cNvPicPr preferRelativeResize="0"/>
      </xdr:nvPicPr>
      <xdr:blipFill>
        <a:blip cstate="print" r:embed="rId1189"/>
        <a:stretch>
          <a:fillRect/>
        </a:stretch>
      </xdr:blipFill>
      <xdr:spPr>
        <a:prstGeom prst="rect">
          <a:avLst/>
        </a:prstGeom>
        <a:noFill/>
      </xdr:spPr>
    </xdr:pic>
    <xdr:clientData fLocksWithSheet="0"/>
  </xdr:oneCellAnchor>
  <xdr:oneCellAnchor>
    <xdr:from>
      <xdr:col>6</xdr:col>
      <xdr:colOff>38100</xdr:colOff>
      <xdr:row>2237</xdr:row>
      <xdr:rowOff>38100</xdr:rowOff>
    </xdr:from>
    <xdr:ext cx="647700" cy="495300"/>
    <xdr:pic>
      <xdr:nvPicPr>
        <xdr:cNvPr id="0" name="image1186.jpg"/>
        <xdr:cNvPicPr preferRelativeResize="0"/>
      </xdr:nvPicPr>
      <xdr:blipFill>
        <a:blip cstate="print" r:embed="rId1199"/>
        <a:stretch>
          <a:fillRect/>
        </a:stretch>
      </xdr:blipFill>
      <xdr:spPr>
        <a:prstGeom prst="rect">
          <a:avLst/>
        </a:prstGeom>
        <a:noFill/>
      </xdr:spPr>
    </xdr:pic>
    <xdr:clientData fLocksWithSheet="0"/>
  </xdr:oneCellAnchor>
  <xdr:oneCellAnchor>
    <xdr:from>
      <xdr:col>6</xdr:col>
      <xdr:colOff>38100</xdr:colOff>
      <xdr:row>2238</xdr:row>
      <xdr:rowOff>38100</xdr:rowOff>
    </xdr:from>
    <xdr:ext cx="647700" cy="495300"/>
    <xdr:pic>
      <xdr:nvPicPr>
        <xdr:cNvPr id="0" name="image1161.jpg"/>
        <xdr:cNvPicPr preferRelativeResize="0"/>
      </xdr:nvPicPr>
      <xdr:blipFill>
        <a:blip cstate="print" r:embed="rId1183"/>
        <a:stretch>
          <a:fillRect/>
        </a:stretch>
      </xdr:blipFill>
      <xdr:spPr>
        <a:prstGeom prst="rect">
          <a:avLst/>
        </a:prstGeom>
        <a:noFill/>
      </xdr:spPr>
    </xdr:pic>
    <xdr:clientData fLocksWithSheet="0"/>
  </xdr:oneCellAnchor>
  <xdr:oneCellAnchor>
    <xdr:from>
      <xdr:col>6</xdr:col>
      <xdr:colOff>38100</xdr:colOff>
      <xdr:row>2239</xdr:row>
      <xdr:rowOff>38100</xdr:rowOff>
    </xdr:from>
    <xdr:ext cx="561975" cy="514350"/>
    <xdr:pic>
      <xdr:nvPicPr>
        <xdr:cNvPr id="0" name="image1223.jpg"/>
        <xdr:cNvPicPr preferRelativeResize="0"/>
      </xdr:nvPicPr>
      <xdr:blipFill>
        <a:blip cstate="print" r:embed="rId1200"/>
        <a:stretch>
          <a:fillRect/>
        </a:stretch>
      </xdr:blipFill>
      <xdr:spPr>
        <a:prstGeom prst="rect">
          <a:avLst/>
        </a:prstGeom>
        <a:noFill/>
      </xdr:spPr>
    </xdr:pic>
    <xdr:clientData fLocksWithSheet="0"/>
  </xdr:oneCellAnchor>
  <xdr:oneCellAnchor>
    <xdr:from>
      <xdr:col>6</xdr:col>
      <xdr:colOff>38100</xdr:colOff>
      <xdr:row>2240</xdr:row>
      <xdr:rowOff>38100</xdr:rowOff>
    </xdr:from>
    <xdr:ext cx="323850" cy="457200"/>
    <xdr:pic>
      <xdr:nvPicPr>
        <xdr:cNvPr id="0" name="image1194.jpg"/>
        <xdr:cNvPicPr preferRelativeResize="0"/>
      </xdr:nvPicPr>
      <xdr:blipFill>
        <a:blip cstate="print" r:embed="rId1201"/>
        <a:stretch>
          <a:fillRect/>
        </a:stretch>
      </xdr:blipFill>
      <xdr:spPr>
        <a:prstGeom prst="rect">
          <a:avLst/>
        </a:prstGeom>
        <a:noFill/>
      </xdr:spPr>
    </xdr:pic>
    <xdr:clientData fLocksWithSheet="0"/>
  </xdr:oneCellAnchor>
  <xdr:oneCellAnchor>
    <xdr:from>
      <xdr:col>6</xdr:col>
      <xdr:colOff>38100</xdr:colOff>
      <xdr:row>2241</xdr:row>
      <xdr:rowOff>38100</xdr:rowOff>
    </xdr:from>
    <xdr:ext cx="514350" cy="514350"/>
    <xdr:pic>
      <xdr:nvPicPr>
        <xdr:cNvPr id="0" name="image1185.jpg"/>
        <xdr:cNvPicPr preferRelativeResize="0"/>
      </xdr:nvPicPr>
      <xdr:blipFill>
        <a:blip cstate="print" r:embed="rId1188"/>
        <a:stretch>
          <a:fillRect/>
        </a:stretch>
      </xdr:blipFill>
      <xdr:spPr>
        <a:prstGeom prst="rect">
          <a:avLst/>
        </a:prstGeom>
        <a:noFill/>
      </xdr:spPr>
    </xdr:pic>
    <xdr:clientData fLocksWithSheet="0"/>
  </xdr:oneCellAnchor>
  <xdr:oneCellAnchor>
    <xdr:from>
      <xdr:col>6</xdr:col>
      <xdr:colOff>38100</xdr:colOff>
      <xdr:row>2242</xdr:row>
      <xdr:rowOff>38100</xdr:rowOff>
    </xdr:from>
    <xdr:ext cx="438150" cy="438150"/>
    <xdr:pic>
      <xdr:nvPicPr>
        <xdr:cNvPr id="0" name="image1183.jpg"/>
        <xdr:cNvPicPr preferRelativeResize="0"/>
      </xdr:nvPicPr>
      <xdr:blipFill>
        <a:blip cstate="print" r:embed="rId1192"/>
        <a:stretch>
          <a:fillRect/>
        </a:stretch>
      </xdr:blipFill>
      <xdr:spPr>
        <a:prstGeom prst="rect">
          <a:avLst/>
        </a:prstGeom>
        <a:noFill/>
      </xdr:spPr>
    </xdr:pic>
    <xdr:clientData fLocksWithSheet="0"/>
  </xdr:oneCellAnchor>
  <xdr:oneCellAnchor>
    <xdr:from>
      <xdr:col>6</xdr:col>
      <xdr:colOff>38100</xdr:colOff>
      <xdr:row>2243</xdr:row>
      <xdr:rowOff>38100</xdr:rowOff>
    </xdr:from>
    <xdr:ext cx="638175" cy="514350"/>
    <xdr:pic>
      <xdr:nvPicPr>
        <xdr:cNvPr id="0" name="image1188.jpg"/>
        <xdr:cNvPicPr preferRelativeResize="0"/>
      </xdr:nvPicPr>
      <xdr:blipFill>
        <a:blip cstate="print" r:embed="rId1193"/>
        <a:stretch>
          <a:fillRect/>
        </a:stretch>
      </xdr:blipFill>
      <xdr:spPr>
        <a:prstGeom prst="rect">
          <a:avLst/>
        </a:prstGeom>
        <a:noFill/>
      </xdr:spPr>
    </xdr:pic>
    <xdr:clientData fLocksWithSheet="0"/>
  </xdr:oneCellAnchor>
  <xdr:oneCellAnchor>
    <xdr:from>
      <xdr:col>6</xdr:col>
      <xdr:colOff>38100</xdr:colOff>
      <xdr:row>2244</xdr:row>
      <xdr:rowOff>38100</xdr:rowOff>
    </xdr:from>
    <xdr:ext cx="466725" cy="514350"/>
    <xdr:pic>
      <xdr:nvPicPr>
        <xdr:cNvPr id="0" name="image1174.jpg"/>
        <xdr:cNvPicPr preferRelativeResize="0"/>
      </xdr:nvPicPr>
      <xdr:blipFill>
        <a:blip cstate="print" r:embed="rId1202"/>
        <a:stretch>
          <a:fillRect/>
        </a:stretch>
      </xdr:blipFill>
      <xdr:spPr>
        <a:prstGeom prst="rect">
          <a:avLst/>
        </a:prstGeom>
        <a:noFill/>
      </xdr:spPr>
    </xdr:pic>
    <xdr:clientData fLocksWithSheet="0"/>
  </xdr:oneCellAnchor>
  <xdr:oneCellAnchor>
    <xdr:from>
      <xdr:col>6</xdr:col>
      <xdr:colOff>38100</xdr:colOff>
      <xdr:row>2245</xdr:row>
      <xdr:rowOff>38100</xdr:rowOff>
    </xdr:from>
    <xdr:ext cx="647700" cy="457200"/>
    <xdr:pic>
      <xdr:nvPicPr>
        <xdr:cNvPr id="0" name="image1214.jpg"/>
        <xdr:cNvPicPr preferRelativeResize="0"/>
      </xdr:nvPicPr>
      <xdr:blipFill>
        <a:blip cstate="print" r:embed="rId1203"/>
        <a:stretch>
          <a:fillRect/>
        </a:stretch>
      </xdr:blipFill>
      <xdr:spPr>
        <a:prstGeom prst="rect">
          <a:avLst/>
        </a:prstGeom>
        <a:noFill/>
      </xdr:spPr>
    </xdr:pic>
    <xdr:clientData fLocksWithSheet="0"/>
  </xdr:oneCellAnchor>
  <xdr:oneCellAnchor>
    <xdr:from>
      <xdr:col>6</xdr:col>
      <xdr:colOff>38100</xdr:colOff>
      <xdr:row>2246</xdr:row>
      <xdr:rowOff>38100</xdr:rowOff>
    </xdr:from>
    <xdr:ext cx="333375" cy="514350"/>
    <xdr:pic>
      <xdr:nvPicPr>
        <xdr:cNvPr id="0" name="image1208.jpg"/>
        <xdr:cNvPicPr preferRelativeResize="0"/>
      </xdr:nvPicPr>
      <xdr:blipFill>
        <a:blip cstate="print" r:embed="rId1204"/>
        <a:stretch>
          <a:fillRect/>
        </a:stretch>
      </xdr:blipFill>
      <xdr:spPr>
        <a:prstGeom prst="rect">
          <a:avLst/>
        </a:prstGeom>
        <a:noFill/>
      </xdr:spPr>
    </xdr:pic>
    <xdr:clientData fLocksWithSheet="0"/>
  </xdr:oneCellAnchor>
  <xdr:oneCellAnchor>
    <xdr:from>
      <xdr:col>6</xdr:col>
      <xdr:colOff>38100</xdr:colOff>
      <xdr:row>2247</xdr:row>
      <xdr:rowOff>38100</xdr:rowOff>
    </xdr:from>
    <xdr:ext cx="352425" cy="514350"/>
    <xdr:pic>
      <xdr:nvPicPr>
        <xdr:cNvPr id="0" name="image1180.jpg"/>
        <xdr:cNvPicPr preferRelativeResize="0"/>
      </xdr:nvPicPr>
      <xdr:blipFill>
        <a:blip cstate="print" r:embed="rId1205"/>
        <a:stretch>
          <a:fillRect/>
        </a:stretch>
      </xdr:blipFill>
      <xdr:spPr>
        <a:prstGeom prst="rect">
          <a:avLst/>
        </a:prstGeom>
        <a:noFill/>
      </xdr:spPr>
    </xdr:pic>
    <xdr:clientData fLocksWithSheet="0"/>
  </xdr:oneCellAnchor>
  <xdr:oneCellAnchor>
    <xdr:from>
      <xdr:col>6</xdr:col>
      <xdr:colOff>38100</xdr:colOff>
      <xdr:row>2248</xdr:row>
      <xdr:rowOff>38100</xdr:rowOff>
    </xdr:from>
    <xdr:ext cx="352425" cy="514350"/>
    <xdr:pic>
      <xdr:nvPicPr>
        <xdr:cNvPr id="0" name="image1236.jpg"/>
        <xdr:cNvPicPr preferRelativeResize="0"/>
      </xdr:nvPicPr>
      <xdr:blipFill>
        <a:blip cstate="print" r:embed="rId1206"/>
        <a:stretch>
          <a:fillRect/>
        </a:stretch>
      </xdr:blipFill>
      <xdr:spPr>
        <a:prstGeom prst="rect">
          <a:avLst/>
        </a:prstGeom>
        <a:noFill/>
      </xdr:spPr>
    </xdr:pic>
    <xdr:clientData fLocksWithSheet="0"/>
  </xdr:oneCellAnchor>
  <xdr:oneCellAnchor>
    <xdr:from>
      <xdr:col>6</xdr:col>
      <xdr:colOff>38100</xdr:colOff>
      <xdr:row>2249</xdr:row>
      <xdr:rowOff>38100</xdr:rowOff>
    </xdr:from>
    <xdr:ext cx="485775" cy="514350"/>
    <xdr:pic>
      <xdr:nvPicPr>
        <xdr:cNvPr id="0" name="image1228.jpg"/>
        <xdr:cNvPicPr preferRelativeResize="0"/>
      </xdr:nvPicPr>
      <xdr:blipFill>
        <a:blip cstate="print" r:embed="rId1207"/>
        <a:stretch>
          <a:fillRect/>
        </a:stretch>
      </xdr:blipFill>
      <xdr:spPr>
        <a:prstGeom prst="rect">
          <a:avLst/>
        </a:prstGeom>
        <a:noFill/>
      </xdr:spPr>
    </xdr:pic>
    <xdr:clientData fLocksWithSheet="0"/>
  </xdr:oneCellAnchor>
  <xdr:oneCellAnchor>
    <xdr:from>
      <xdr:col>6</xdr:col>
      <xdr:colOff>38100</xdr:colOff>
      <xdr:row>2250</xdr:row>
      <xdr:rowOff>38100</xdr:rowOff>
    </xdr:from>
    <xdr:ext cx="371475" cy="514350"/>
    <xdr:pic>
      <xdr:nvPicPr>
        <xdr:cNvPr id="0" name="image1182.jpg"/>
        <xdr:cNvPicPr preferRelativeResize="0"/>
      </xdr:nvPicPr>
      <xdr:blipFill>
        <a:blip cstate="print" r:embed="rId1208"/>
        <a:stretch>
          <a:fillRect/>
        </a:stretch>
      </xdr:blipFill>
      <xdr:spPr>
        <a:prstGeom prst="rect">
          <a:avLst/>
        </a:prstGeom>
        <a:noFill/>
      </xdr:spPr>
    </xdr:pic>
    <xdr:clientData fLocksWithSheet="0"/>
  </xdr:oneCellAnchor>
  <xdr:oneCellAnchor>
    <xdr:from>
      <xdr:col>6</xdr:col>
      <xdr:colOff>38100</xdr:colOff>
      <xdr:row>2251</xdr:row>
      <xdr:rowOff>38100</xdr:rowOff>
    </xdr:from>
    <xdr:ext cx="333375" cy="514350"/>
    <xdr:pic>
      <xdr:nvPicPr>
        <xdr:cNvPr id="0" name="image1191.jpg"/>
        <xdr:cNvPicPr preferRelativeResize="0"/>
      </xdr:nvPicPr>
      <xdr:blipFill>
        <a:blip cstate="print" r:embed="rId1209"/>
        <a:stretch>
          <a:fillRect/>
        </a:stretch>
      </xdr:blipFill>
      <xdr:spPr>
        <a:prstGeom prst="rect">
          <a:avLst/>
        </a:prstGeom>
        <a:noFill/>
      </xdr:spPr>
    </xdr:pic>
    <xdr:clientData fLocksWithSheet="0"/>
  </xdr:oneCellAnchor>
  <xdr:oneCellAnchor>
    <xdr:from>
      <xdr:col>6</xdr:col>
      <xdr:colOff>38100</xdr:colOff>
      <xdr:row>2252</xdr:row>
      <xdr:rowOff>38100</xdr:rowOff>
    </xdr:from>
    <xdr:ext cx="523875" cy="514350"/>
    <xdr:pic>
      <xdr:nvPicPr>
        <xdr:cNvPr id="0" name="image1221.jpg"/>
        <xdr:cNvPicPr preferRelativeResize="0"/>
      </xdr:nvPicPr>
      <xdr:blipFill>
        <a:blip cstate="print" r:embed="rId1210"/>
        <a:stretch>
          <a:fillRect/>
        </a:stretch>
      </xdr:blipFill>
      <xdr:spPr>
        <a:prstGeom prst="rect">
          <a:avLst/>
        </a:prstGeom>
        <a:noFill/>
      </xdr:spPr>
    </xdr:pic>
    <xdr:clientData fLocksWithSheet="0"/>
  </xdr:oneCellAnchor>
  <xdr:oneCellAnchor>
    <xdr:from>
      <xdr:col>6</xdr:col>
      <xdr:colOff>38100</xdr:colOff>
      <xdr:row>2253</xdr:row>
      <xdr:rowOff>38100</xdr:rowOff>
    </xdr:from>
    <xdr:ext cx="523875" cy="342900"/>
    <xdr:pic>
      <xdr:nvPicPr>
        <xdr:cNvPr id="0" name="image1187.jpg"/>
        <xdr:cNvPicPr preferRelativeResize="0"/>
      </xdr:nvPicPr>
      <xdr:blipFill>
        <a:blip cstate="print" r:embed="rId1211"/>
        <a:stretch>
          <a:fillRect/>
        </a:stretch>
      </xdr:blipFill>
      <xdr:spPr>
        <a:prstGeom prst="rect">
          <a:avLst/>
        </a:prstGeom>
        <a:noFill/>
      </xdr:spPr>
    </xdr:pic>
    <xdr:clientData fLocksWithSheet="0"/>
  </xdr:oneCellAnchor>
  <xdr:oneCellAnchor>
    <xdr:from>
      <xdr:col>6</xdr:col>
      <xdr:colOff>38100</xdr:colOff>
      <xdr:row>2254</xdr:row>
      <xdr:rowOff>38100</xdr:rowOff>
    </xdr:from>
    <xdr:ext cx="514350" cy="514350"/>
    <xdr:pic>
      <xdr:nvPicPr>
        <xdr:cNvPr id="0" name="image1218.jpg"/>
        <xdr:cNvPicPr preferRelativeResize="0"/>
      </xdr:nvPicPr>
      <xdr:blipFill>
        <a:blip cstate="print" r:embed="rId1212"/>
        <a:stretch>
          <a:fillRect/>
        </a:stretch>
      </xdr:blipFill>
      <xdr:spPr>
        <a:prstGeom prst="rect">
          <a:avLst/>
        </a:prstGeom>
        <a:noFill/>
      </xdr:spPr>
    </xdr:pic>
    <xdr:clientData fLocksWithSheet="0"/>
  </xdr:oneCellAnchor>
  <xdr:oneCellAnchor>
    <xdr:from>
      <xdr:col>6</xdr:col>
      <xdr:colOff>38100</xdr:colOff>
      <xdr:row>2255</xdr:row>
      <xdr:rowOff>38100</xdr:rowOff>
    </xdr:from>
    <xdr:ext cx="428625" cy="447675"/>
    <xdr:pic>
      <xdr:nvPicPr>
        <xdr:cNvPr id="0" name="image1206.jpg"/>
        <xdr:cNvPicPr preferRelativeResize="0"/>
      </xdr:nvPicPr>
      <xdr:blipFill>
        <a:blip cstate="print" r:embed="rId1213"/>
        <a:stretch>
          <a:fillRect/>
        </a:stretch>
      </xdr:blipFill>
      <xdr:spPr>
        <a:prstGeom prst="rect">
          <a:avLst/>
        </a:prstGeom>
        <a:noFill/>
      </xdr:spPr>
    </xdr:pic>
    <xdr:clientData fLocksWithSheet="0"/>
  </xdr:oneCellAnchor>
  <xdr:oneCellAnchor>
    <xdr:from>
      <xdr:col>6</xdr:col>
      <xdr:colOff>38100</xdr:colOff>
      <xdr:row>2256</xdr:row>
      <xdr:rowOff>38100</xdr:rowOff>
    </xdr:from>
    <xdr:ext cx="466725" cy="323850"/>
    <xdr:pic>
      <xdr:nvPicPr>
        <xdr:cNvPr id="0" name="image1199.jpg"/>
        <xdr:cNvPicPr preferRelativeResize="0"/>
      </xdr:nvPicPr>
      <xdr:blipFill>
        <a:blip cstate="print" r:embed="rId1214"/>
        <a:stretch>
          <a:fillRect/>
        </a:stretch>
      </xdr:blipFill>
      <xdr:spPr>
        <a:prstGeom prst="rect">
          <a:avLst/>
        </a:prstGeom>
        <a:noFill/>
      </xdr:spPr>
    </xdr:pic>
    <xdr:clientData fLocksWithSheet="0"/>
  </xdr:oneCellAnchor>
  <xdr:oneCellAnchor>
    <xdr:from>
      <xdr:col>6</xdr:col>
      <xdr:colOff>38100</xdr:colOff>
      <xdr:row>2257</xdr:row>
      <xdr:rowOff>38100</xdr:rowOff>
    </xdr:from>
    <xdr:ext cx="419100" cy="381000"/>
    <xdr:pic>
      <xdr:nvPicPr>
        <xdr:cNvPr id="0" name="image1195.jpg"/>
        <xdr:cNvPicPr preferRelativeResize="0"/>
      </xdr:nvPicPr>
      <xdr:blipFill>
        <a:blip cstate="print" r:embed="rId1215"/>
        <a:stretch>
          <a:fillRect/>
        </a:stretch>
      </xdr:blipFill>
      <xdr:spPr>
        <a:prstGeom prst="rect">
          <a:avLst/>
        </a:prstGeom>
        <a:noFill/>
      </xdr:spPr>
    </xdr:pic>
    <xdr:clientData fLocksWithSheet="0"/>
  </xdr:oneCellAnchor>
  <xdr:oneCellAnchor>
    <xdr:from>
      <xdr:col>6</xdr:col>
      <xdr:colOff>38100</xdr:colOff>
      <xdr:row>2258</xdr:row>
      <xdr:rowOff>38100</xdr:rowOff>
    </xdr:from>
    <xdr:ext cx="514350" cy="514350"/>
    <xdr:pic>
      <xdr:nvPicPr>
        <xdr:cNvPr id="0" name="image1209.jpg"/>
        <xdr:cNvPicPr preferRelativeResize="0"/>
      </xdr:nvPicPr>
      <xdr:blipFill>
        <a:blip cstate="print" r:embed="rId1216"/>
        <a:stretch>
          <a:fillRect/>
        </a:stretch>
      </xdr:blipFill>
      <xdr:spPr>
        <a:prstGeom prst="rect">
          <a:avLst/>
        </a:prstGeom>
        <a:noFill/>
      </xdr:spPr>
    </xdr:pic>
    <xdr:clientData fLocksWithSheet="0"/>
  </xdr:oneCellAnchor>
  <xdr:oneCellAnchor>
    <xdr:from>
      <xdr:col>6</xdr:col>
      <xdr:colOff>38100</xdr:colOff>
      <xdr:row>2259</xdr:row>
      <xdr:rowOff>38100</xdr:rowOff>
    </xdr:from>
    <xdr:ext cx="428625" cy="371475"/>
    <xdr:pic>
      <xdr:nvPicPr>
        <xdr:cNvPr id="0" name="image1217.jpg"/>
        <xdr:cNvPicPr preferRelativeResize="0"/>
      </xdr:nvPicPr>
      <xdr:blipFill>
        <a:blip cstate="print" r:embed="rId1217"/>
        <a:stretch>
          <a:fillRect/>
        </a:stretch>
      </xdr:blipFill>
      <xdr:spPr>
        <a:prstGeom prst="rect">
          <a:avLst/>
        </a:prstGeom>
        <a:noFill/>
      </xdr:spPr>
    </xdr:pic>
    <xdr:clientData fLocksWithSheet="0"/>
  </xdr:oneCellAnchor>
  <xdr:oneCellAnchor>
    <xdr:from>
      <xdr:col>6</xdr:col>
      <xdr:colOff>38100</xdr:colOff>
      <xdr:row>2260</xdr:row>
      <xdr:rowOff>38100</xdr:rowOff>
    </xdr:from>
    <xdr:ext cx="428625" cy="371475"/>
    <xdr:pic>
      <xdr:nvPicPr>
        <xdr:cNvPr id="0" name="image1217.jpg"/>
        <xdr:cNvPicPr preferRelativeResize="0"/>
      </xdr:nvPicPr>
      <xdr:blipFill>
        <a:blip cstate="print" r:embed="rId1217"/>
        <a:stretch>
          <a:fillRect/>
        </a:stretch>
      </xdr:blipFill>
      <xdr:spPr>
        <a:prstGeom prst="rect">
          <a:avLst/>
        </a:prstGeom>
        <a:noFill/>
      </xdr:spPr>
    </xdr:pic>
    <xdr:clientData fLocksWithSheet="0"/>
  </xdr:oneCellAnchor>
  <xdr:oneCellAnchor>
    <xdr:from>
      <xdr:col>6</xdr:col>
      <xdr:colOff>38100</xdr:colOff>
      <xdr:row>2261</xdr:row>
      <xdr:rowOff>38100</xdr:rowOff>
    </xdr:from>
    <xdr:ext cx="600075" cy="514350"/>
    <xdr:pic>
      <xdr:nvPicPr>
        <xdr:cNvPr id="0" name="image1193.jpg"/>
        <xdr:cNvPicPr preferRelativeResize="0"/>
      </xdr:nvPicPr>
      <xdr:blipFill>
        <a:blip cstate="print" r:embed="rId1218"/>
        <a:stretch>
          <a:fillRect/>
        </a:stretch>
      </xdr:blipFill>
      <xdr:spPr>
        <a:prstGeom prst="rect">
          <a:avLst/>
        </a:prstGeom>
        <a:noFill/>
      </xdr:spPr>
    </xdr:pic>
    <xdr:clientData fLocksWithSheet="0"/>
  </xdr:oneCellAnchor>
  <xdr:oneCellAnchor>
    <xdr:from>
      <xdr:col>6</xdr:col>
      <xdr:colOff>38100</xdr:colOff>
      <xdr:row>2262</xdr:row>
      <xdr:rowOff>38100</xdr:rowOff>
    </xdr:from>
    <xdr:ext cx="342900" cy="419100"/>
    <xdr:pic>
      <xdr:nvPicPr>
        <xdr:cNvPr id="0" name="image1189.jpg"/>
        <xdr:cNvPicPr preferRelativeResize="0"/>
      </xdr:nvPicPr>
      <xdr:blipFill>
        <a:blip cstate="print" r:embed="rId1219"/>
        <a:stretch>
          <a:fillRect/>
        </a:stretch>
      </xdr:blipFill>
      <xdr:spPr>
        <a:prstGeom prst="rect">
          <a:avLst/>
        </a:prstGeom>
        <a:noFill/>
      </xdr:spPr>
    </xdr:pic>
    <xdr:clientData fLocksWithSheet="0"/>
  </xdr:oneCellAnchor>
  <xdr:oneCellAnchor>
    <xdr:from>
      <xdr:col>6</xdr:col>
      <xdr:colOff>38100</xdr:colOff>
      <xdr:row>2263</xdr:row>
      <xdr:rowOff>38100</xdr:rowOff>
    </xdr:from>
    <xdr:ext cx="514350" cy="514350"/>
    <xdr:pic>
      <xdr:nvPicPr>
        <xdr:cNvPr id="0" name="image1237.jpg"/>
        <xdr:cNvPicPr preferRelativeResize="0"/>
      </xdr:nvPicPr>
      <xdr:blipFill>
        <a:blip cstate="print" r:embed="rId1220"/>
        <a:stretch>
          <a:fillRect/>
        </a:stretch>
      </xdr:blipFill>
      <xdr:spPr>
        <a:prstGeom prst="rect">
          <a:avLst/>
        </a:prstGeom>
        <a:noFill/>
      </xdr:spPr>
    </xdr:pic>
    <xdr:clientData fLocksWithSheet="0"/>
  </xdr:oneCellAnchor>
  <xdr:oneCellAnchor>
    <xdr:from>
      <xdr:col>6</xdr:col>
      <xdr:colOff>38100</xdr:colOff>
      <xdr:row>2264</xdr:row>
      <xdr:rowOff>38100</xdr:rowOff>
    </xdr:from>
    <xdr:ext cx="514350" cy="514350"/>
    <xdr:pic>
      <xdr:nvPicPr>
        <xdr:cNvPr id="0" name="image1211.jpg"/>
        <xdr:cNvPicPr preferRelativeResize="0"/>
      </xdr:nvPicPr>
      <xdr:blipFill>
        <a:blip cstate="print" r:embed="rId1221"/>
        <a:stretch>
          <a:fillRect/>
        </a:stretch>
      </xdr:blipFill>
      <xdr:spPr>
        <a:prstGeom prst="rect">
          <a:avLst/>
        </a:prstGeom>
        <a:noFill/>
      </xdr:spPr>
    </xdr:pic>
    <xdr:clientData fLocksWithSheet="0"/>
  </xdr:oneCellAnchor>
  <xdr:oneCellAnchor>
    <xdr:from>
      <xdr:col>6</xdr:col>
      <xdr:colOff>38100</xdr:colOff>
      <xdr:row>2265</xdr:row>
      <xdr:rowOff>38100</xdr:rowOff>
    </xdr:from>
    <xdr:ext cx="400050" cy="409575"/>
    <xdr:pic>
      <xdr:nvPicPr>
        <xdr:cNvPr id="0" name="image1197.jpg"/>
        <xdr:cNvPicPr preferRelativeResize="0"/>
      </xdr:nvPicPr>
      <xdr:blipFill>
        <a:blip cstate="print" r:embed="rId1222"/>
        <a:stretch>
          <a:fillRect/>
        </a:stretch>
      </xdr:blipFill>
      <xdr:spPr>
        <a:prstGeom prst="rect">
          <a:avLst/>
        </a:prstGeom>
        <a:noFill/>
      </xdr:spPr>
    </xdr:pic>
    <xdr:clientData fLocksWithSheet="0"/>
  </xdr:oneCellAnchor>
  <xdr:oneCellAnchor>
    <xdr:from>
      <xdr:col>6</xdr:col>
      <xdr:colOff>38100</xdr:colOff>
      <xdr:row>2266</xdr:row>
      <xdr:rowOff>38100</xdr:rowOff>
    </xdr:from>
    <xdr:ext cx="485775" cy="361950"/>
    <xdr:pic>
      <xdr:nvPicPr>
        <xdr:cNvPr id="0" name="image1233.jpg"/>
        <xdr:cNvPicPr preferRelativeResize="0"/>
      </xdr:nvPicPr>
      <xdr:blipFill>
        <a:blip cstate="print" r:embed="rId1223"/>
        <a:stretch>
          <a:fillRect/>
        </a:stretch>
      </xdr:blipFill>
      <xdr:spPr>
        <a:prstGeom prst="rect">
          <a:avLst/>
        </a:prstGeom>
        <a:noFill/>
      </xdr:spPr>
    </xdr:pic>
    <xdr:clientData fLocksWithSheet="0"/>
  </xdr:oneCellAnchor>
  <xdr:oneCellAnchor>
    <xdr:from>
      <xdr:col>6</xdr:col>
      <xdr:colOff>38100</xdr:colOff>
      <xdr:row>2267</xdr:row>
      <xdr:rowOff>38100</xdr:rowOff>
    </xdr:from>
    <xdr:ext cx="514350" cy="514350"/>
    <xdr:pic>
      <xdr:nvPicPr>
        <xdr:cNvPr id="0" name="image1237.jpg"/>
        <xdr:cNvPicPr preferRelativeResize="0"/>
      </xdr:nvPicPr>
      <xdr:blipFill>
        <a:blip cstate="print" r:embed="rId1220"/>
        <a:stretch>
          <a:fillRect/>
        </a:stretch>
      </xdr:blipFill>
      <xdr:spPr>
        <a:prstGeom prst="rect">
          <a:avLst/>
        </a:prstGeom>
        <a:noFill/>
      </xdr:spPr>
    </xdr:pic>
    <xdr:clientData fLocksWithSheet="0"/>
  </xdr:oneCellAnchor>
  <xdr:oneCellAnchor>
    <xdr:from>
      <xdr:col>6</xdr:col>
      <xdr:colOff>38100</xdr:colOff>
      <xdr:row>2268</xdr:row>
      <xdr:rowOff>38100</xdr:rowOff>
    </xdr:from>
    <xdr:ext cx="352425" cy="361950"/>
    <xdr:pic>
      <xdr:nvPicPr>
        <xdr:cNvPr id="0" name="image1216.jpg"/>
        <xdr:cNvPicPr preferRelativeResize="0"/>
      </xdr:nvPicPr>
      <xdr:blipFill>
        <a:blip cstate="print" r:embed="rId1224"/>
        <a:stretch>
          <a:fillRect/>
        </a:stretch>
      </xdr:blipFill>
      <xdr:spPr>
        <a:prstGeom prst="rect">
          <a:avLst/>
        </a:prstGeom>
        <a:noFill/>
      </xdr:spPr>
    </xdr:pic>
    <xdr:clientData fLocksWithSheet="0"/>
  </xdr:oneCellAnchor>
  <xdr:oneCellAnchor>
    <xdr:from>
      <xdr:col>6</xdr:col>
      <xdr:colOff>38100</xdr:colOff>
      <xdr:row>2269</xdr:row>
      <xdr:rowOff>38100</xdr:rowOff>
    </xdr:from>
    <xdr:ext cx="352425" cy="361950"/>
    <xdr:pic>
      <xdr:nvPicPr>
        <xdr:cNvPr id="0" name="image1216.jpg"/>
        <xdr:cNvPicPr preferRelativeResize="0"/>
      </xdr:nvPicPr>
      <xdr:blipFill>
        <a:blip cstate="print" r:embed="rId1224"/>
        <a:stretch>
          <a:fillRect/>
        </a:stretch>
      </xdr:blipFill>
      <xdr:spPr>
        <a:prstGeom prst="rect">
          <a:avLst/>
        </a:prstGeom>
        <a:noFill/>
      </xdr:spPr>
    </xdr:pic>
    <xdr:clientData fLocksWithSheet="0"/>
  </xdr:oneCellAnchor>
  <xdr:oneCellAnchor>
    <xdr:from>
      <xdr:col>6</xdr:col>
      <xdr:colOff>38100</xdr:colOff>
      <xdr:row>2270</xdr:row>
      <xdr:rowOff>38100</xdr:rowOff>
    </xdr:from>
    <xdr:ext cx="485775" cy="361950"/>
    <xdr:pic>
      <xdr:nvPicPr>
        <xdr:cNvPr id="0" name="image1233.jpg"/>
        <xdr:cNvPicPr preferRelativeResize="0"/>
      </xdr:nvPicPr>
      <xdr:blipFill>
        <a:blip cstate="print" r:embed="rId1223"/>
        <a:stretch>
          <a:fillRect/>
        </a:stretch>
      </xdr:blipFill>
      <xdr:spPr>
        <a:prstGeom prst="rect">
          <a:avLst/>
        </a:prstGeom>
        <a:noFill/>
      </xdr:spPr>
    </xdr:pic>
    <xdr:clientData fLocksWithSheet="0"/>
  </xdr:oneCellAnchor>
  <xdr:oneCellAnchor>
    <xdr:from>
      <xdr:col>6</xdr:col>
      <xdr:colOff>38100</xdr:colOff>
      <xdr:row>2271</xdr:row>
      <xdr:rowOff>38100</xdr:rowOff>
    </xdr:from>
    <xdr:ext cx="352425" cy="361950"/>
    <xdr:pic>
      <xdr:nvPicPr>
        <xdr:cNvPr id="0" name="image1216.jpg"/>
        <xdr:cNvPicPr preferRelativeResize="0"/>
      </xdr:nvPicPr>
      <xdr:blipFill>
        <a:blip cstate="print" r:embed="rId1224"/>
        <a:stretch>
          <a:fillRect/>
        </a:stretch>
      </xdr:blipFill>
      <xdr:spPr>
        <a:prstGeom prst="rect">
          <a:avLst/>
        </a:prstGeom>
        <a:noFill/>
      </xdr:spPr>
    </xdr:pic>
    <xdr:clientData fLocksWithSheet="0"/>
  </xdr:oneCellAnchor>
  <xdr:oneCellAnchor>
    <xdr:from>
      <xdr:col>6</xdr:col>
      <xdr:colOff>38100</xdr:colOff>
      <xdr:row>2272</xdr:row>
      <xdr:rowOff>38100</xdr:rowOff>
    </xdr:from>
    <xdr:ext cx="342900" cy="390525"/>
    <xdr:pic>
      <xdr:nvPicPr>
        <xdr:cNvPr id="0" name="image1198.jpg"/>
        <xdr:cNvPicPr preferRelativeResize="0"/>
      </xdr:nvPicPr>
      <xdr:blipFill>
        <a:blip cstate="print" r:embed="rId1225"/>
        <a:stretch>
          <a:fillRect/>
        </a:stretch>
      </xdr:blipFill>
      <xdr:spPr>
        <a:prstGeom prst="rect">
          <a:avLst/>
        </a:prstGeom>
        <a:noFill/>
      </xdr:spPr>
    </xdr:pic>
    <xdr:clientData fLocksWithSheet="0"/>
  </xdr:oneCellAnchor>
  <xdr:oneCellAnchor>
    <xdr:from>
      <xdr:col>6</xdr:col>
      <xdr:colOff>38100</xdr:colOff>
      <xdr:row>2273</xdr:row>
      <xdr:rowOff>38100</xdr:rowOff>
    </xdr:from>
    <xdr:ext cx="371475" cy="323850"/>
    <xdr:pic>
      <xdr:nvPicPr>
        <xdr:cNvPr id="0" name="image1225.jpg"/>
        <xdr:cNvPicPr preferRelativeResize="0"/>
      </xdr:nvPicPr>
      <xdr:blipFill>
        <a:blip cstate="print" r:embed="rId1226"/>
        <a:stretch>
          <a:fillRect/>
        </a:stretch>
      </xdr:blipFill>
      <xdr:spPr>
        <a:prstGeom prst="rect">
          <a:avLst/>
        </a:prstGeom>
        <a:noFill/>
      </xdr:spPr>
    </xdr:pic>
    <xdr:clientData fLocksWithSheet="0"/>
  </xdr:oneCellAnchor>
  <xdr:oneCellAnchor>
    <xdr:from>
      <xdr:col>6</xdr:col>
      <xdr:colOff>38100</xdr:colOff>
      <xdr:row>2274</xdr:row>
      <xdr:rowOff>38100</xdr:rowOff>
    </xdr:from>
    <xdr:ext cx="342900" cy="381000"/>
    <xdr:pic>
      <xdr:nvPicPr>
        <xdr:cNvPr id="0" name="image994.jpg"/>
        <xdr:cNvPicPr preferRelativeResize="0"/>
      </xdr:nvPicPr>
      <xdr:blipFill>
        <a:blip cstate="print" r:embed="rId1004"/>
        <a:stretch>
          <a:fillRect/>
        </a:stretch>
      </xdr:blipFill>
      <xdr:spPr>
        <a:prstGeom prst="rect">
          <a:avLst/>
        </a:prstGeom>
        <a:noFill/>
      </xdr:spPr>
    </xdr:pic>
    <xdr:clientData fLocksWithSheet="0"/>
  </xdr:oneCellAnchor>
  <xdr:oneCellAnchor>
    <xdr:from>
      <xdr:col>6</xdr:col>
      <xdr:colOff>38100</xdr:colOff>
      <xdr:row>2275</xdr:row>
      <xdr:rowOff>38100</xdr:rowOff>
    </xdr:from>
    <xdr:ext cx="342900" cy="381000"/>
    <xdr:pic>
      <xdr:nvPicPr>
        <xdr:cNvPr id="0" name="image994.jpg"/>
        <xdr:cNvPicPr preferRelativeResize="0"/>
      </xdr:nvPicPr>
      <xdr:blipFill>
        <a:blip cstate="print" r:embed="rId1004"/>
        <a:stretch>
          <a:fillRect/>
        </a:stretch>
      </xdr:blipFill>
      <xdr:spPr>
        <a:prstGeom prst="rect">
          <a:avLst/>
        </a:prstGeom>
        <a:noFill/>
      </xdr:spPr>
    </xdr:pic>
    <xdr:clientData fLocksWithSheet="0"/>
  </xdr:oneCellAnchor>
  <xdr:oneCellAnchor>
    <xdr:from>
      <xdr:col>6</xdr:col>
      <xdr:colOff>38100</xdr:colOff>
      <xdr:row>2276</xdr:row>
      <xdr:rowOff>38100</xdr:rowOff>
    </xdr:from>
    <xdr:ext cx="342900" cy="381000"/>
    <xdr:pic>
      <xdr:nvPicPr>
        <xdr:cNvPr id="0" name="image994.jpg"/>
        <xdr:cNvPicPr preferRelativeResize="0"/>
      </xdr:nvPicPr>
      <xdr:blipFill>
        <a:blip cstate="print" r:embed="rId1004"/>
        <a:stretch>
          <a:fillRect/>
        </a:stretch>
      </xdr:blipFill>
      <xdr:spPr>
        <a:prstGeom prst="rect">
          <a:avLst/>
        </a:prstGeom>
        <a:noFill/>
      </xdr:spPr>
    </xdr:pic>
    <xdr:clientData fLocksWithSheet="0"/>
  </xdr:oneCellAnchor>
  <xdr:oneCellAnchor>
    <xdr:from>
      <xdr:col>6</xdr:col>
      <xdr:colOff>38100</xdr:colOff>
      <xdr:row>2277</xdr:row>
      <xdr:rowOff>38100</xdr:rowOff>
    </xdr:from>
    <xdr:ext cx="342900" cy="381000"/>
    <xdr:pic>
      <xdr:nvPicPr>
        <xdr:cNvPr id="0" name="image994.jpg"/>
        <xdr:cNvPicPr preferRelativeResize="0"/>
      </xdr:nvPicPr>
      <xdr:blipFill>
        <a:blip cstate="print" r:embed="rId1004"/>
        <a:stretch>
          <a:fillRect/>
        </a:stretch>
      </xdr:blipFill>
      <xdr:spPr>
        <a:prstGeom prst="rect">
          <a:avLst/>
        </a:prstGeom>
        <a:noFill/>
      </xdr:spPr>
    </xdr:pic>
    <xdr:clientData fLocksWithSheet="0"/>
  </xdr:oneCellAnchor>
  <xdr:oneCellAnchor>
    <xdr:from>
      <xdr:col>6</xdr:col>
      <xdr:colOff>38100</xdr:colOff>
      <xdr:row>2278</xdr:row>
      <xdr:rowOff>38100</xdr:rowOff>
    </xdr:from>
    <xdr:ext cx="285750" cy="247650"/>
    <xdr:pic>
      <xdr:nvPicPr>
        <xdr:cNvPr id="0" name="image1207.jpg"/>
        <xdr:cNvPicPr preferRelativeResize="0"/>
      </xdr:nvPicPr>
      <xdr:blipFill>
        <a:blip cstate="print" r:embed="rId1227"/>
        <a:stretch>
          <a:fillRect/>
        </a:stretch>
      </xdr:blipFill>
      <xdr:spPr>
        <a:prstGeom prst="rect">
          <a:avLst/>
        </a:prstGeom>
        <a:noFill/>
      </xdr:spPr>
    </xdr:pic>
    <xdr:clientData fLocksWithSheet="0"/>
  </xdr:oneCellAnchor>
  <xdr:oneCellAnchor>
    <xdr:from>
      <xdr:col>6</xdr:col>
      <xdr:colOff>38100</xdr:colOff>
      <xdr:row>2279</xdr:row>
      <xdr:rowOff>38100</xdr:rowOff>
    </xdr:from>
    <xdr:ext cx="333375" cy="438150"/>
    <xdr:pic>
      <xdr:nvPicPr>
        <xdr:cNvPr id="0" name="image1203.jpg"/>
        <xdr:cNvPicPr preferRelativeResize="0"/>
      </xdr:nvPicPr>
      <xdr:blipFill>
        <a:blip cstate="print" r:embed="rId1228"/>
        <a:stretch>
          <a:fillRect/>
        </a:stretch>
      </xdr:blipFill>
      <xdr:spPr>
        <a:prstGeom prst="rect">
          <a:avLst/>
        </a:prstGeom>
        <a:noFill/>
      </xdr:spPr>
    </xdr:pic>
    <xdr:clientData fLocksWithSheet="0"/>
  </xdr:oneCellAnchor>
  <xdr:oneCellAnchor>
    <xdr:from>
      <xdr:col>6</xdr:col>
      <xdr:colOff>38100</xdr:colOff>
      <xdr:row>2280</xdr:row>
      <xdr:rowOff>38100</xdr:rowOff>
    </xdr:from>
    <xdr:ext cx="447675" cy="304800"/>
    <xdr:pic>
      <xdr:nvPicPr>
        <xdr:cNvPr id="0" name="image1200.jpg"/>
        <xdr:cNvPicPr preferRelativeResize="0"/>
      </xdr:nvPicPr>
      <xdr:blipFill>
        <a:blip cstate="print" r:embed="rId1229"/>
        <a:stretch>
          <a:fillRect/>
        </a:stretch>
      </xdr:blipFill>
      <xdr:spPr>
        <a:prstGeom prst="rect">
          <a:avLst/>
        </a:prstGeom>
        <a:noFill/>
      </xdr:spPr>
    </xdr:pic>
    <xdr:clientData fLocksWithSheet="0"/>
  </xdr:oneCellAnchor>
  <xdr:oneCellAnchor>
    <xdr:from>
      <xdr:col>6</xdr:col>
      <xdr:colOff>38100</xdr:colOff>
      <xdr:row>2281</xdr:row>
      <xdr:rowOff>38100</xdr:rowOff>
    </xdr:from>
    <xdr:ext cx="409575" cy="485775"/>
    <xdr:pic>
      <xdr:nvPicPr>
        <xdr:cNvPr id="0" name="image1204.jpg"/>
        <xdr:cNvPicPr preferRelativeResize="0"/>
      </xdr:nvPicPr>
      <xdr:blipFill>
        <a:blip cstate="print" r:embed="rId1230"/>
        <a:stretch>
          <a:fillRect/>
        </a:stretch>
      </xdr:blipFill>
      <xdr:spPr>
        <a:prstGeom prst="rect">
          <a:avLst/>
        </a:prstGeom>
        <a:noFill/>
      </xdr:spPr>
    </xdr:pic>
    <xdr:clientData fLocksWithSheet="0"/>
  </xdr:oneCellAnchor>
  <xdr:oneCellAnchor>
    <xdr:from>
      <xdr:col>6</xdr:col>
      <xdr:colOff>38100</xdr:colOff>
      <xdr:row>2282</xdr:row>
      <xdr:rowOff>38100</xdr:rowOff>
    </xdr:from>
    <xdr:ext cx="390525" cy="390525"/>
    <xdr:pic>
      <xdr:nvPicPr>
        <xdr:cNvPr id="0" name="image1234.jpg"/>
        <xdr:cNvPicPr preferRelativeResize="0"/>
      </xdr:nvPicPr>
      <xdr:blipFill>
        <a:blip cstate="print" r:embed="rId1231"/>
        <a:stretch>
          <a:fillRect/>
        </a:stretch>
      </xdr:blipFill>
      <xdr:spPr>
        <a:prstGeom prst="rect">
          <a:avLst/>
        </a:prstGeom>
        <a:noFill/>
      </xdr:spPr>
    </xdr:pic>
    <xdr:clientData fLocksWithSheet="0"/>
  </xdr:oneCellAnchor>
  <xdr:oneCellAnchor>
    <xdr:from>
      <xdr:col>6</xdr:col>
      <xdr:colOff>38100</xdr:colOff>
      <xdr:row>2283</xdr:row>
      <xdr:rowOff>38100</xdr:rowOff>
    </xdr:from>
    <xdr:ext cx="381000" cy="400050"/>
    <xdr:pic>
      <xdr:nvPicPr>
        <xdr:cNvPr id="0" name="image1232.jpg"/>
        <xdr:cNvPicPr preferRelativeResize="0"/>
      </xdr:nvPicPr>
      <xdr:blipFill>
        <a:blip cstate="print" r:embed="rId1232"/>
        <a:stretch>
          <a:fillRect/>
        </a:stretch>
      </xdr:blipFill>
      <xdr:spPr>
        <a:prstGeom prst="rect">
          <a:avLst/>
        </a:prstGeom>
        <a:noFill/>
      </xdr:spPr>
    </xdr:pic>
    <xdr:clientData fLocksWithSheet="0"/>
  </xdr:oneCellAnchor>
  <xdr:oneCellAnchor>
    <xdr:from>
      <xdr:col>6</xdr:col>
      <xdr:colOff>38100</xdr:colOff>
      <xdr:row>2284</xdr:row>
      <xdr:rowOff>38100</xdr:rowOff>
    </xdr:from>
    <xdr:ext cx="371475" cy="323850"/>
    <xdr:pic>
      <xdr:nvPicPr>
        <xdr:cNvPr id="0" name="image1225.jpg"/>
        <xdr:cNvPicPr preferRelativeResize="0"/>
      </xdr:nvPicPr>
      <xdr:blipFill>
        <a:blip cstate="print" r:embed="rId1226"/>
        <a:stretch>
          <a:fillRect/>
        </a:stretch>
      </xdr:blipFill>
      <xdr:spPr>
        <a:prstGeom prst="rect">
          <a:avLst/>
        </a:prstGeom>
        <a:noFill/>
      </xdr:spPr>
    </xdr:pic>
    <xdr:clientData fLocksWithSheet="0"/>
  </xdr:oneCellAnchor>
  <xdr:oneCellAnchor>
    <xdr:from>
      <xdr:col>6</xdr:col>
      <xdr:colOff>38100</xdr:colOff>
      <xdr:row>2285</xdr:row>
      <xdr:rowOff>38100</xdr:rowOff>
    </xdr:from>
    <xdr:ext cx="514350" cy="438150"/>
    <xdr:pic>
      <xdr:nvPicPr>
        <xdr:cNvPr id="0" name="image1202.jpg"/>
        <xdr:cNvPicPr preferRelativeResize="0"/>
      </xdr:nvPicPr>
      <xdr:blipFill>
        <a:blip cstate="print" r:embed="rId1233"/>
        <a:stretch>
          <a:fillRect/>
        </a:stretch>
      </xdr:blipFill>
      <xdr:spPr>
        <a:prstGeom prst="rect">
          <a:avLst/>
        </a:prstGeom>
        <a:noFill/>
      </xdr:spPr>
    </xdr:pic>
    <xdr:clientData fLocksWithSheet="0"/>
  </xdr:oneCellAnchor>
  <xdr:oneCellAnchor>
    <xdr:from>
      <xdr:col>6</xdr:col>
      <xdr:colOff>38100</xdr:colOff>
      <xdr:row>2286</xdr:row>
      <xdr:rowOff>38100</xdr:rowOff>
    </xdr:from>
    <xdr:ext cx="514350" cy="438150"/>
    <xdr:pic>
      <xdr:nvPicPr>
        <xdr:cNvPr id="0" name="image1202.jpg"/>
        <xdr:cNvPicPr preferRelativeResize="0"/>
      </xdr:nvPicPr>
      <xdr:blipFill>
        <a:blip cstate="print" r:embed="rId1233"/>
        <a:stretch>
          <a:fillRect/>
        </a:stretch>
      </xdr:blipFill>
      <xdr:spPr>
        <a:prstGeom prst="rect">
          <a:avLst/>
        </a:prstGeom>
        <a:noFill/>
      </xdr:spPr>
    </xdr:pic>
    <xdr:clientData fLocksWithSheet="0"/>
  </xdr:oneCellAnchor>
  <xdr:oneCellAnchor>
    <xdr:from>
      <xdr:col>6</xdr:col>
      <xdr:colOff>38100</xdr:colOff>
      <xdr:row>2287</xdr:row>
      <xdr:rowOff>38100</xdr:rowOff>
    </xdr:from>
    <xdr:ext cx="514350" cy="438150"/>
    <xdr:pic>
      <xdr:nvPicPr>
        <xdr:cNvPr id="0" name="image1202.jpg"/>
        <xdr:cNvPicPr preferRelativeResize="0"/>
      </xdr:nvPicPr>
      <xdr:blipFill>
        <a:blip cstate="print" r:embed="rId1233"/>
        <a:stretch>
          <a:fillRect/>
        </a:stretch>
      </xdr:blipFill>
      <xdr:spPr>
        <a:prstGeom prst="rect">
          <a:avLst/>
        </a:prstGeom>
        <a:noFill/>
      </xdr:spPr>
    </xdr:pic>
    <xdr:clientData fLocksWithSheet="0"/>
  </xdr:oneCellAnchor>
  <xdr:oneCellAnchor>
    <xdr:from>
      <xdr:col>6</xdr:col>
      <xdr:colOff>38100</xdr:colOff>
      <xdr:row>2288</xdr:row>
      <xdr:rowOff>38100</xdr:rowOff>
    </xdr:from>
    <xdr:ext cx="561975" cy="457200"/>
    <xdr:pic>
      <xdr:nvPicPr>
        <xdr:cNvPr id="0" name="image1201.jpg"/>
        <xdr:cNvPicPr preferRelativeResize="0"/>
      </xdr:nvPicPr>
      <xdr:blipFill>
        <a:blip cstate="print" r:embed="rId1234"/>
        <a:stretch>
          <a:fillRect/>
        </a:stretch>
      </xdr:blipFill>
      <xdr:spPr>
        <a:prstGeom prst="rect">
          <a:avLst/>
        </a:prstGeom>
        <a:noFill/>
      </xdr:spPr>
    </xdr:pic>
    <xdr:clientData fLocksWithSheet="0"/>
  </xdr:oneCellAnchor>
  <xdr:oneCellAnchor>
    <xdr:from>
      <xdr:col>6</xdr:col>
      <xdr:colOff>38100</xdr:colOff>
      <xdr:row>2289</xdr:row>
      <xdr:rowOff>38100</xdr:rowOff>
    </xdr:from>
    <xdr:ext cx="561975" cy="457200"/>
    <xdr:pic>
      <xdr:nvPicPr>
        <xdr:cNvPr id="0" name="image1201.jpg"/>
        <xdr:cNvPicPr preferRelativeResize="0"/>
      </xdr:nvPicPr>
      <xdr:blipFill>
        <a:blip cstate="print" r:embed="rId1234"/>
        <a:stretch>
          <a:fillRect/>
        </a:stretch>
      </xdr:blipFill>
      <xdr:spPr>
        <a:prstGeom prst="rect">
          <a:avLst/>
        </a:prstGeom>
        <a:noFill/>
      </xdr:spPr>
    </xdr:pic>
    <xdr:clientData fLocksWithSheet="0"/>
  </xdr:oneCellAnchor>
  <xdr:oneCellAnchor>
    <xdr:from>
      <xdr:col>6</xdr:col>
      <xdr:colOff>38100</xdr:colOff>
      <xdr:row>2290</xdr:row>
      <xdr:rowOff>38100</xdr:rowOff>
    </xdr:from>
    <xdr:ext cx="561975" cy="457200"/>
    <xdr:pic>
      <xdr:nvPicPr>
        <xdr:cNvPr id="0" name="image1201.jpg"/>
        <xdr:cNvPicPr preferRelativeResize="0"/>
      </xdr:nvPicPr>
      <xdr:blipFill>
        <a:blip cstate="print" r:embed="rId1234"/>
        <a:stretch>
          <a:fillRect/>
        </a:stretch>
      </xdr:blipFill>
      <xdr:spPr>
        <a:prstGeom prst="rect">
          <a:avLst/>
        </a:prstGeom>
        <a:noFill/>
      </xdr:spPr>
    </xdr:pic>
    <xdr:clientData fLocksWithSheet="0"/>
  </xdr:oneCellAnchor>
  <xdr:oneCellAnchor>
    <xdr:from>
      <xdr:col>6</xdr:col>
      <xdr:colOff>38100</xdr:colOff>
      <xdr:row>2291</xdr:row>
      <xdr:rowOff>38100</xdr:rowOff>
    </xdr:from>
    <xdr:ext cx="523875" cy="428625"/>
    <xdr:pic>
      <xdr:nvPicPr>
        <xdr:cNvPr id="0" name="image1230.jpg"/>
        <xdr:cNvPicPr preferRelativeResize="0"/>
      </xdr:nvPicPr>
      <xdr:blipFill>
        <a:blip cstate="print" r:embed="rId1235"/>
        <a:stretch>
          <a:fillRect/>
        </a:stretch>
      </xdr:blipFill>
      <xdr:spPr>
        <a:prstGeom prst="rect">
          <a:avLst/>
        </a:prstGeom>
        <a:noFill/>
      </xdr:spPr>
    </xdr:pic>
    <xdr:clientData fLocksWithSheet="0"/>
  </xdr:oneCellAnchor>
  <xdr:oneCellAnchor>
    <xdr:from>
      <xdr:col>6</xdr:col>
      <xdr:colOff>38100</xdr:colOff>
      <xdr:row>2292</xdr:row>
      <xdr:rowOff>38100</xdr:rowOff>
    </xdr:from>
    <xdr:ext cx="523875" cy="428625"/>
    <xdr:pic>
      <xdr:nvPicPr>
        <xdr:cNvPr id="0" name="image1230.jpg"/>
        <xdr:cNvPicPr preferRelativeResize="0"/>
      </xdr:nvPicPr>
      <xdr:blipFill>
        <a:blip cstate="print" r:embed="rId1235"/>
        <a:stretch>
          <a:fillRect/>
        </a:stretch>
      </xdr:blipFill>
      <xdr:spPr>
        <a:prstGeom prst="rect">
          <a:avLst/>
        </a:prstGeom>
        <a:noFill/>
      </xdr:spPr>
    </xdr:pic>
    <xdr:clientData fLocksWithSheet="0"/>
  </xdr:oneCellAnchor>
  <xdr:oneCellAnchor>
    <xdr:from>
      <xdr:col>6</xdr:col>
      <xdr:colOff>38100</xdr:colOff>
      <xdr:row>2293</xdr:row>
      <xdr:rowOff>38100</xdr:rowOff>
    </xdr:from>
    <xdr:ext cx="523875" cy="428625"/>
    <xdr:pic>
      <xdr:nvPicPr>
        <xdr:cNvPr id="0" name="image1230.jpg"/>
        <xdr:cNvPicPr preferRelativeResize="0"/>
      </xdr:nvPicPr>
      <xdr:blipFill>
        <a:blip cstate="print" r:embed="rId1235"/>
        <a:stretch>
          <a:fillRect/>
        </a:stretch>
      </xdr:blipFill>
      <xdr:spPr>
        <a:prstGeom prst="rect">
          <a:avLst/>
        </a:prstGeom>
        <a:noFill/>
      </xdr:spPr>
    </xdr:pic>
    <xdr:clientData fLocksWithSheet="0"/>
  </xdr:oneCellAnchor>
  <xdr:oneCellAnchor>
    <xdr:from>
      <xdr:col>6</xdr:col>
      <xdr:colOff>38100</xdr:colOff>
      <xdr:row>2294</xdr:row>
      <xdr:rowOff>38100</xdr:rowOff>
    </xdr:from>
    <xdr:ext cx="476250" cy="514350"/>
    <xdr:pic>
      <xdr:nvPicPr>
        <xdr:cNvPr id="0" name="image1215.jpg"/>
        <xdr:cNvPicPr preferRelativeResize="0"/>
      </xdr:nvPicPr>
      <xdr:blipFill>
        <a:blip cstate="print" r:embed="rId1236"/>
        <a:stretch>
          <a:fillRect/>
        </a:stretch>
      </xdr:blipFill>
      <xdr:spPr>
        <a:prstGeom prst="rect">
          <a:avLst/>
        </a:prstGeom>
        <a:noFill/>
      </xdr:spPr>
    </xdr:pic>
    <xdr:clientData fLocksWithSheet="0"/>
  </xdr:oneCellAnchor>
  <xdr:oneCellAnchor>
    <xdr:from>
      <xdr:col>6</xdr:col>
      <xdr:colOff>38100</xdr:colOff>
      <xdr:row>2295</xdr:row>
      <xdr:rowOff>38100</xdr:rowOff>
    </xdr:from>
    <xdr:ext cx="647700" cy="333375"/>
    <xdr:pic>
      <xdr:nvPicPr>
        <xdr:cNvPr id="0" name="image1235.jpg"/>
        <xdr:cNvPicPr preferRelativeResize="0"/>
      </xdr:nvPicPr>
      <xdr:blipFill>
        <a:blip cstate="print" r:embed="rId1237"/>
        <a:stretch>
          <a:fillRect/>
        </a:stretch>
      </xdr:blipFill>
      <xdr:spPr>
        <a:prstGeom prst="rect">
          <a:avLst/>
        </a:prstGeom>
        <a:noFill/>
      </xdr:spPr>
    </xdr:pic>
    <xdr:clientData fLocksWithSheet="0"/>
  </xdr:oneCellAnchor>
  <xdr:oneCellAnchor>
    <xdr:from>
      <xdr:col>6</xdr:col>
      <xdr:colOff>38100</xdr:colOff>
      <xdr:row>2296</xdr:row>
      <xdr:rowOff>38100</xdr:rowOff>
    </xdr:from>
    <xdr:ext cx="647700" cy="361950"/>
    <xdr:pic>
      <xdr:nvPicPr>
        <xdr:cNvPr id="0" name="image1226.jpg"/>
        <xdr:cNvPicPr preferRelativeResize="0"/>
      </xdr:nvPicPr>
      <xdr:blipFill>
        <a:blip cstate="print" r:embed="rId123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30.0"/>
    <col customWidth="1" min="3" max="3" width="62.0"/>
    <col customWidth="1" min="4" max="4" width="16.0"/>
    <col customWidth="1" min="5" max="5" width="26.0"/>
    <col customWidth="1" min="6" max="6" width="36.0"/>
    <col customWidth="1" min="7" max="7" width="12.0"/>
    <col customWidth="1" min="8" max="8" width="15.0"/>
    <col customWidth="1" min="9" max="9" width="10.0"/>
    <col customWidth="1" min="10" max="13" width="18.0"/>
  </cols>
  <sheetData>
    <row r="1">
      <c r="A1" s="1" t="str">
        <f>IFERROR(__xludf.DUMMYFUNCTION("IMPORTRANGE(""https://docs.google.com/spreadsheets/d/1bdDmB5kHDx79EovhQZw8PAPQabgdTHU81uSs9UalCk4/edit"",""CRM_PROGRAMADOR!A1:F5000"")"),"Codigo interno (SKU)")</f>
        <v>Codigo interno (SKU)</v>
      </c>
      <c r="B1" s="1" t="str">
        <f>IFERROR(__xludf.DUMMYFUNCTION("""COMPUTED_VALUE"""),"Descripcion corta")</f>
        <v>Descripcion corta</v>
      </c>
      <c r="C1" s="1" t="str">
        <f>IFERROR(__xludf.DUMMYFUNCTION("""COMPUTED_VALUE"""),"Descripcion larga")</f>
        <v>Descripcion larga</v>
      </c>
      <c r="D1" s="1" t="str">
        <f>IFERROR(__xludf.DUMMYFUNCTION("""COMPUTED_VALUE"""),"Marca")</f>
        <v>Marca</v>
      </c>
      <c r="E1" s="1" t="str">
        <f>IFERROR(__xludf.DUMMYFUNCTION("""COMPUTED_VALUE"""),"Modelo / N° de parte del fabricante")</f>
        <v>Modelo / N° de parte del fabricante</v>
      </c>
      <c r="F1" s="1" t="str">
        <f>IFERROR(__xludf.DUMMYFUNCTION("""COMPUTED_VALUE"""),"Categoria/Rubro")</f>
        <v>Categoria/Rubro</v>
      </c>
      <c r="G1" s="2" t="s">
        <v>0</v>
      </c>
      <c r="H1" s="1" t="str">
        <f>IFERROR(__xludf.DUMMYFUNCTION("IMPORTRANGE(""https://docs.google.com/spreadsheets/d/1bdDmB5kHDx79EovhQZw8PAPQabgdTHU81uSs9UalCk4/edit"",""CRM_PROGRAMADOR!H1:M5000"")"),"Costo (USD)")</f>
        <v>Costo (USD)</v>
      </c>
      <c r="I1" s="1" t="str">
        <f>IFERROR(__xludf.DUMMYFUNCTION("""COMPUTED_VALUE"""),"IVA (%)")</f>
        <v>IVA (%)</v>
      </c>
      <c r="J1" s="1" t="str">
        <f>IFERROR(__xludf.DUMMYFUNCTION("""COMPUTED_VALUE"""),"Precio Gremio (USD)")</f>
        <v>Precio Gremio (USD)</v>
      </c>
      <c r="K1" s="1" t="str">
        <f>IFERROR(__xludf.DUMMYFUNCTION("""COMPUTED_VALUE"""),"Precio Publico (USD)")</f>
        <v>Precio Publico (USD)</v>
      </c>
      <c r="L1" s="1" t="str">
        <f>IFERROR(__xludf.DUMMYFUNCTION("""COMPUTED_VALUE"""),"Proveedor")</f>
        <v>Proveedor</v>
      </c>
      <c r="M1" s="1" t="str">
        <f>IFERROR(__xludf.DUMMYFUNCTION("""COMPUTED_VALUE"""),"Disponibilidad/Stock")</f>
        <v>Disponibilidad/Stock</v>
      </c>
    </row>
    <row r="2" ht="48.0" customHeight="1">
      <c r="A2" s="3" t="str">
        <f>IFERROR(__xludf.DUMMYFUNCTION("""COMPUTED_VALUE"""),"EZAX3000")</f>
        <v>EZAX3000</v>
      </c>
      <c r="B2" s="4" t="str">
        <f>IFERROR(__xludf.DUMMYFUNCTION("""COMPUTED_VALUE"""),"ROUTER WIFI 6 MESH 3000MBPS")</f>
        <v>ROUTER WIFI 6 MESH 3000MBPS</v>
      </c>
      <c r="C2" s="4" t="str">
        <f>IFERROR(__xludf.DUMMYFUNCTION("""COMPUTED_VALUE"""),"Router Wi-Fi 6 Mesh 3000mbps Doble Banda Gigabit")</f>
        <v>Router Wi-Fi 6 Mesh 3000mbps Doble Banda Gigabit</v>
      </c>
      <c r="D2" s="4" t="str">
        <f>IFERROR(__xludf.DUMMYFUNCTION("""COMPUTED_VALUE"""),"EZVIZ")</f>
        <v>EZVIZ</v>
      </c>
      <c r="E2" s="4" t="str">
        <f>IFERROR(__xludf.DUMMYFUNCTION("""COMPUTED_VALUE"""),"EZAX3000")</f>
        <v>EZAX3000</v>
      </c>
      <c r="F2" s="4" t="str">
        <f>IFERROR(__xludf.DUMMYFUNCTION("""COMPUTED_VALUE"""),"CONECTIVIDAD &gt; ROUTERS / MODEMS")</f>
        <v>CONECTIVIDAD &gt; ROUTERS / MODEMS</v>
      </c>
      <c r="G2" s="5"/>
      <c r="H2" s="6">
        <f>IFERROR(__xludf.DUMMYFUNCTION("""COMPUTED_VALUE"""),63.83)</f>
        <v>63.83</v>
      </c>
      <c r="I2" s="7">
        <f>IFERROR(__xludf.DUMMYFUNCTION("""COMPUTED_VALUE"""),21.0)</f>
        <v>21</v>
      </c>
      <c r="J2" s="6">
        <f>IFERROR(__xludf.DUMMYFUNCTION("""COMPUTED_VALUE"""),76.6)</f>
        <v>76.6</v>
      </c>
      <c r="K2" s="6">
        <f>IFERROR(__xludf.DUMMYFUNCTION("""COMPUTED_VALUE"""),89.36)</f>
        <v>89.36</v>
      </c>
      <c r="L2" s="3"/>
      <c r="M2" s="3"/>
    </row>
    <row r="3" ht="48.0" customHeight="1">
      <c r="A3" s="3" t="str">
        <f>IFERROR(__xludf.DUMMYFUNCTION("""COMPUTED_VALUE"""),"EZCS-X5S(4W)")</f>
        <v>EZCS-X5S(4W)</v>
      </c>
      <c r="B3" s="4" t="str">
        <f>IFERROR(__xludf.DUMMYFUNCTION("""COMPUTED_VALUE"""),"NVR WIFI 4 CANALES")</f>
        <v>NVR WIFI 4 CANALES</v>
      </c>
      <c r="C3" s="4" t="str">
        <f>IFERROR(__xludf.DUMMYFUNCTION("""COMPUTED_VALUE"""),"NVR inalámbrico con salida HDMI y VGA cuenta con tecnología de compresión de vídeo avanzada y es compatible con hasta 4 cámaras wifi de 5 megapíxeles.")</f>
        <v>NVR inalámbrico con salida HDMI y VGA cuenta con tecnología de compresión de vídeo avanzada y es compatible con hasta 4 cámaras wifi de 5 megapíxeles.</v>
      </c>
      <c r="D3" s="4" t="str">
        <f>IFERROR(__xludf.DUMMYFUNCTION("""COMPUTED_VALUE"""),"EZVIZ")</f>
        <v>EZVIZ</v>
      </c>
      <c r="E3" s="4" t="str">
        <f>IFERROR(__xludf.DUMMYFUNCTION("""COMPUTED_VALUE"""),"EZCS-X5S(4W)")</f>
        <v>EZCS-X5S(4W)</v>
      </c>
      <c r="F3" s="4" t="str">
        <f>IFERROR(__xludf.DUMMYFUNCTION("""COMPUTED_VALUE"""),"CCTV &gt; GRABADORES NVR")</f>
        <v>CCTV &gt; GRABADORES NVR</v>
      </c>
      <c r="G3" s="5"/>
      <c r="H3" s="6">
        <f>IFERROR(__xludf.DUMMYFUNCTION("""COMPUTED_VALUE"""),102.67)</f>
        <v>102.67</v>
      </c>
      <c r="I3" s="7">
        <f>IFERROR(__xludf.DUMMYFUNCTION("""COMPUTED_VALUE"""),21.0)</f>
        <v>21</v>
      </c>
      <c r="J3" s="6">
        <f>IFERROR(__xludf.DUMMYFUNCTION("""COMPUTED_VALUE"""),123.2)</f>
        <v>123.2</v>
      </c>
      <c r="K3" s="6">
        <f>IFERROR(__xludf.DUMMYFUNCTION("""COMPUTED_VALUE"""),143.74)</f>
        <v>143.74</v>
      </c>
      <c r="L3" s="3"/>
      <c r="M3" s="3"/>
    </row>
    <row r="4" ht="48.0" customHeight="1">
      <c r="A4" s="3" t="str">
        <f>IFERROR(__xludf.DUMMYFUNCTION("""COMPUTED_VALUE"""),"EZCS-X5S(8W)")</f>
        <v>EZCS-X5S(8W)</v>
      </c>
      <c r="B4" s="4" t="str">
        <f>IFERROR(__xludf.DUMMYFUNCTION("""COMPUTED_VALUE"""),"NVR WIFI 8 CANALES")</f>
        <v>NVR WIFI 8 CANALES</v>
      </c>
      <c r="C4" s="4" t="str">
        <f>IFERROR(__xludf.DUMMYFUNCTION("""COMPUTED_VALUE"""),"NVR inalámbrico con salida HDMI y VGA cuenta con tecnología de compresión de vídeo avanzada y es compatible con hasta 8 cámaras wifi de 5 megapíxeles.")</f>
        <v>NVR inalámbrico con salida HDMI y VGA cuenta con tecnología de compresión de vídeo avanzada y es compatible con hasta 8 cámaras wifi de 5 megapíxeles.</v>
      </c>
      <c r="D4" s="4" t="str">
        <f>IFERROR(__xludf.DUMMYFUNCTION("""COMPUTED_VALUE"""),"EZVIZ")</f>
        <v>EZVIZ</v>
      </c>
      <c r="E4" s="4" t="str">
        <f>IFERROR(__xludf.DUMMYFUNCTION("""COMPUTED_VALUE"""),"EZCS-X5S(8W)")</f>
        <v>EZCS-X5S(8W)</v>
      </c>
      <c r="F4" s="4" t="str">
        <f>IFERROR(__xludf.DUMMYFUNCTION("""COMPUTED_VALUE"""),"CCTV &gt; GRABADORES NVR")</f>
        <v>CCTV &gt; GRABADORES NVR</v>
      </c>
      <c r="G4" s="5"/>
      <c r="H4" s="6">
        <f>IFERROR(__xludf.DUMMYFUNCTION("""COMPUTED_VALUE"""),116.83)</f>
        <v>116.83</v>
      </c>
      <c r="I4" s="7">
        <f>IFERROR(__xludf.DUMMYFUNCTION("""COMPUTED_VALUE"""),21.0)</f>
        <v>21</v>
      </c>
      <c r="J4" s="6">
        <f>IFERROR(__xludf.DUMMYFUNCTION("""COMPUTED_VALUE"""),140.2)</f>
        <v>140.2</v>
      </c>
      <c r="K4" s="6">
        <f>IFERROR(__xludf.DUMMYFUNCTION("""COMPUTED_VALUE"""),163.56)</f>
        <v>163.56</v>
      </c>
      <c r="L4" s="3"/>
      <c r="M4" s="3"/>
    </row>
    <row r="5" ht="48.0" customHeight="1">
      <c r="A5" s="3" t="str">
        <f>IFERROR(__xludf.DUMMYFUNCTION("""COMPUTED_VALUE"""),"EZH1C1080")</f>
        <v>EZH1C1080</v>
      </c>
      <c r="B5" s="4" t="str">
        <f>IFERROR(__xludf.DUMMYFUNCTION("""COMPUTED_VALUE"""),"CAMARA WIFI INTERIOR 2MP")</f>
        <v>CAMARA WIFI INTERIOR 2MP</v>
      </c>
      <c r="C5" s="4" t="str">
        <f>IFERROR(__xludf.DUMMYFUNCTION("""COMPUTED_VALUE"""),"Camara WiFi 2MP apta interior, audio bidireccional.")</f>
        <v>Camara WiFi 2MP apta interior, audio bidireccional.</v>
      </c>
      <c r="D5" s="4" t="str">
        <f>IFERROR(__xludf.DUMMYFUNCTION("""COMPUTED_VALUE"""),"EZVIZ")</f>
        <v>EZVIZ</v>
      </c>
      <c r="E5" s="4" t="str">
        <f>IFERROR(__xludf.DUMMYFUNCTION("""COMPUTED_VALUE"""),"EZH1C1080")</f>
        <v>EZH1C1080</v>
      </c>
      <c r="F5" s="4" t="str">
        <f>IFERROR(__xludf.DUMMYFUNCTION("""COMPUTED_VALUE"""),"CCTV &gt; CAMARAS IP WIFI")</f>
        <v>CCTV &gt; CAMARAS IP WIFI</v>
      </c>
      <c r="G5" s="5"/>
      <c r="H5" s="6">
        <f>IFERROR(__xludf.DUMMYFUNCTION("""COMPUTED_VALUE"""),27.94)</f>
        <v>27.94</v>
      </c>
      <c r="I5" s="7">
        <f>IFERROR(__xludf.DUMMYFUNCTION("""COMPUTED_VALUE"""),21.0)</f>
        <v>21</v>
      </c>
      <c r="J5" s="6">
        <f>IFERROR(__xludf.DUMMYFUNCTION("""COMPUTED_VALUE"""),33.53)</f>
        <v>33.53</v>
      </c>
      <c r="K5" s="6">
        <f>IFERROR(__xludf.DUMMYFUNCTION("""COMPUTED_VALUE"""),39.12)</f>
        <v>39.12</v>
      </c>
      <c r="L5" s="3"/>
      <c r="M5" s="3"/>
    </row>
    <row r="6" ht="48.0" customHeight="1">
      <c r="A6" s="3" t="str">
        <f>IFERROR(__xludf.DUMMYFUNCTION("""COMPUTED_VALUE"""),"EZC6N")</f>
        <v>EZC6N</v>
      </c>
      <c r="B6" s="4" t="str">
        <f>IFERROR(__xludf.DUMMYFUNCTION("""COMPUTED_VALUE"""),"CAMARA WIFI 2MP")</f>
        <v>CAMARA WIFI 2MP</v>
      </c>
      <c r="C6" s="4" t="str">
        <f>IFERROR(__xludf.DUMMYFUNCTION("""COMPUTED_VALUE"""),"Camara con movimineto WiFi 1080P 2MP vision de 360° 1/4"" Progressive Scan CMOS,4mm, view angle: 85°(Diagonal), 75° (Horizontal), 45°(Vertical),1920x1080@Max 15fps, H.264, 3D DNR,Digital WDR,Motion Detection,Two-way talk,sleep mode, on-board MicroSD card "&amp;"slot 256GB, Wi-Fi 2.4G, DC5V 1A, Max 5W.")</f>
        <v>Camara con movimineto WiFi 1080P 2MP vision de 360° 1/4" Progressive Scan CMOS,4mm, view angle: 85°(Diagonal), 75° (Horizontal), 45°(Vertical),1920x1080@Max 15fps, H.264, 3D DNR,Digital WDR,Motion Detection,Two-way talk,sleep mode, on-board MicroSD card slot 256GB, Wi-Fi 2.4G, DC5V 1A, Max 5W.</v>
      </c>
      <c r="D6" s="4" t="str">
        <f>IFERROR(__xludf.DUMMYFUNCTION("""COMPUTED_VALUE"""),"EZVIZ")</f>
        <v>EZVIZ</v>
      </c>
      <c r="E6" s="4" t="str">
        <f>IFERROR(__xludf.DUMMYFUNCTION("""COMPUTED_VALUE"""),"EZC6N")</f>
        <v>EZC6N</v>
      </c>
      <c r="F6" s="4" t="str">
        <f>IFERROR(__xludf.DUMMYFUNCTION("""COMPUTED_VALUE"""),"CCTV &gt; CAMARAS IP WIFI")</f>
        <v>CCTV &gt; CAMARAS IP WIFI</v>
      </c>
      <c r="G6" s="5"/>
      <c r="H6" s="6">
        <f>IFERROR(__xludf.DUMMYFUNCTION("""COMPUTED_VALUE"""),34.19)</f>
        <v>34.19</v>
      </c>
      <c r="I6" s="7">
        <f>IFERROR(__xludf.DUMMYFUNCTION("""COMPUTED_VALUE"""),21.0)</f>
        <v>21</v>
      </c>
      <c r="J6" s="6">
        <f>IFERROR(__xludf.DUMMYFUNCTION("""COMPUTED_VALUE"""),41.03)</f>
        <v>41.03</v>
      </c>
      <c r="K6" s="6">
        <f>IFERROR(__xludf.DUMMYFUNCTION("""COMPUTED_VALUE"""),47.87)</f>
        <v>47.87</v>
      </c>
      <c r="L6" s="3"/>
      <c r="M6" s="3"/>
    </row>
    <row r="7" ht="48.0" customHeight="1">
      <c r="A7" s="3" t="str">
        <f>IFERROR(__xludf.DUMMYFUNCTION("""COMPUTED_VALUE"""),"EZH6C-4MP")</f>
        <v>EZH6C-4MP</v>
      </c>
      <c r="B7" s="4" t="str">
        <f>IFERROR(__xludf.DUMMYFUNCTION("""COMPUTED_VALUE"""),"CAMARA WIFI 4MP")</f>
        <v>CAMARA WIFI 4MP</v>
      </c>
      <c r="C7" s="4" t="str">
        <f>IFERROR(__xludf.DUMMYFUNCTION("""COMPUTED_VALUE"""),"Camara con movimineto WiFi Resolución de 2K+ / 4 MP, Sensor de imagen F1.6 @ 1/3"" CMOS con Escaneo Progresivo. Lente 4 mm, ángulo de visión: 90° (Diagonal), 80° (Horizontal),43° (Vertical). Vision día y Noche. Compresión de Video H.264/H.265, Máx. Resolu"&amp;"ción 2560 × 1440. Alarma Inteligente, Detección de Movimiento, Detección de Figura Humana, Detección de Ruido Fuerte, Detección en Modo de Inspecció. Ranura para tarjetas Micro SD (máx. 512 G)")</f>
        <v>Camara con movimineto WiFi Resolución de 2K+ / 4 MP, Sensor de imagen F1.6 @ 1/3" CMOS con Escaneo Progresivo. Lente 4 mm, ángulo de visión: 90° (Diagonal), 80° (Horizontal),43° (Vertical). Vision día y Noche. Compresión de Video H.264/H.265, Máx. Resolución 2560 × 1440. Alarma Inteligente, Detección de Movimiento, Detección de Figura Humana, Detección de Ruido Fuerte, Detección en Modo de Inspecció. Ranura para tarjetas Micro SD (máx. 512 G)</v>
      </c>
      <c r="D7" s="4" t="str">
        <f>IFERROR(__xludf.DUMMYFUNCTION("""COMPUTED_VALUE"""),"EZVIZ")</f>
        <v>EZVIZ</v>
      </c>
      <c r="E7" s="4" t="str">
        <f>IFERROR(__xludf.DUMMYFUNCTION("""COMPUTED_VALUE"""),"EZH6C-4MP")</f>
        <v>EZH6C-4MP</v>
      </c>
      <c r="F7" s="4" t="str">
        <f>IFERROR(__xludf.DUMMYFUNCTION("""COMPUTED_VALUE"""),"CCTV &gt; CAMARAS IP WIFI")</f>
        <v>CCTV &gt; CAMARAS IP WIFI</v>
      </c>
      <c r="G7" s="5"/>
      <c r="H7" s="6">
        <f>IFERROR(__xludf.DUMMYFUNCTION("""COMPUTED_VALUE"""),40.7)</f>
        <v>40.7</v>
      </c>
      <c r="I7" s="7">
        <f>IFERROR(__xludf.DUMMYFUNCTION("""COMPUTED_VALUE"""),21.0)</f>
        <v>21</v>
      </c>
      <c r="J7" s="6">
        <f>IFERROR(__xludf.DUMMYFUNCTION("""COMPUTED_VALUE"""),48.84)</f>
        <v>48.84</v>
      </c>
      <c r="K7" s="6">
        <f>IFERROR(__xludf.DUMMYFUNCTION("""COMPUTED_VALUE"""),56.98)</f>
        <v>56.98</v>
      </c>
      <c r="L7" s="3"/>
      <c r="M7" s="3"/>
    </row>
    <row r="8" ht="48.0" customHeight="1">
      <c r="A8" s="3" t="str">
        <f>IFERROR(__xludf.DUMMYFUNCTION("""COMPUTED_VALUE"""),"EZC6")</f>
        <v>EZC6</v>
      </c>
      <c r="B8" s="4" t="str">
        <f>IFERROR(__xludf.DUMMYFUNCTION("""COMPUTED_VALUE"""),"CAMARA WIFI 4MP")</f>
        <v>CAMARA WIFI 4MP</v>
      </c>
      <c r="C8" s="4" t="str">
        <f>IFERROR(__xludf.DUMMYFUNCTION("""COMPUTED_VALUE"""),"Camara con movimineto WiFi 4MP vision de 360° 1/3"" Progressive Scan CMOS, 4mm@ F1.6, view angle:79° (Horizontal), 42° (Vertical), 92°(Diagonal), Pan: 353°, Tilt: 133°, 0.51Lux @(F1.6, AGC ON), 0 Lux with IR, 3D DNR, WDR 80dB, Night Vision 10m, 2560 × 144"&amp;"0, Max:25fps; Self-Adaptive during network transmission, H.265/H.264, WiFi 2.4G &amp; 5G, AI Human Detection \ Pet Detection \Wave-Hand Detection\Voice Activity Detection, Micro SD card slot (Max. 256G) DC 5V/2A, MAX. 8W.")</f>
        <v>Camara con movimineto WiFi 4MP vision de 360° 1/3" Progressive Scan CMOS, 4mm@ F1.6, view angle:79° (Horizontal), 42° (Vertical), 92°(Diagonal), Pan: 353°, Tilt: 133°, 0.51Lux @(F1.6, AGC ON), 0 Lux with IR, 3D DNR, WDR 80dB, Night Vision 10m, 2560 × 1440, Max:25fps; Self-Adaptive during network transmission, H.265/H.264, WiFi 2.4G &amp; 5G, AI Human Detection \ Pet Detection \Wave-Hand Detection\Voice Activity Detection, Micro SD card slot (Max. 256G) DC 5V/2A, MAX. 8W.</v>
      </c>
      <c r="D8" s="4" t="str">
        <f>IFERROR(__xludf.DUMMYFUNCTION("""COMPUTED_VALUE"""),"EZVIZ")</f>
        <v>EZVIZ</v>
      </c>
      <c r="E8" s="4" t="str">
        <f>IFERROR(__xludf.DUMMYFUNCTION("""COMPUTED_VALUE"""),"EZC6")</f>
        <v>EZC6</v>
      </c>
      <c r="F8" s="4" t="str">
        <f>IFERROR(__xludf.DUMMYFUNCTION("""COMPUTED_VALUE"""),"CCTV &gt; CAMARAS IP WIFI")</f>
        <v>CCTV &gt; CAMARAS IP WIFI</v>
      </c>
      <c r="G8" s="5"/>
      <c r="H8" s="6">
        <f>IFERROR(__xludf.DUMMYFUNCTION("""COMPUTED_VALUE"""),55.0)</f>
        <v>55</v>
      </c>
      <c r="I8" s="7">
        <f>IFERROR(__xludf.DUMMYFUNCTION("""COMPUTED_VALUE"""),21.0)</f>
        <v>21</v>
      </c>
      <c r="J8" s="6">
        <f>IFERROR(__xludf.DUMMYFUNCTION("""COMPUTED_VALUE"""),66.0)</f>
        <v>66</v>
      </c>
      <c r="K8" s="6">
        <f>IFERROR(__xludf.DUMMYFUNCTION("""COMPUTED_VALUE"""),77.0)</f>
        <v>77</v>
      </c>
      <c r="L8" s="3"/>
      <c r="M8" s="3"/>
    </row>
    <row r="9" ht="48.0" customHeight="1">
      <c r="A9" s="3" t="str">
        <f>IFERROR(__xludf.DUMMYFUNCTION("""COMPUTED_VALUE"""),"EZH8C-3MP")</f>
        <v>EZH8C-3MP</v>
      </c>
      <c r="B9" s="4" t="str">
        <f>IFERROR(__xludf.DUMMYFUNCTION("""COMPUTED_VALUE"""),"CAMARA WIFI 3MP")</f>
        <v>CAMARA WIFI 3MP</v>
      </c>
      <c r="C9" s="4" t="str">
        <f>IFERROR(__xludf.DUMMYFUNCTION("""COMPUTED_VALUE"""),"Camara con movimineto WiFi 3MP (2K) 1/2.7"" Progressive Scan CMOS, 4mm@ F2.0,,AI Human Detection , Auto Tracking, Customized Alert Area, Two-way Talk, Micro SD card slot （Up to 512GB)")</f>
        <v>Camara con movimineto WiFi 3MP (2K) 1/2.7" Progressive Scan CMOS, 4mm@ F2.0,,AI Human Detection , Auto Tracking, Customized Alert Area, Two-way Talk, Micro SD card slot （Up to 512GB)</v>
      </c>
      <c r="D9" s="4" t="str">
        <f>IFERROR(__xludf.DUMMYFUNCTION("""COMPUTED_VALUE"""),"EZVIZ")</f>
        <v>EZVIZ</v>
      </c>
      <c r="E9" s="4" t="str">
        <f>IFERROR(__xludf.DUMMYFUNCTION("""COMPUTED_VALUE"""),"EZH8C-3MP")</f>
        <v>EZH8C-3MP</v>
      </c>
      <c r="F9" s="4" t="str">
        <f>IFERROR(__xludf.DUMMYFUNCTION("""COMPUTED_VALUE"""),"CCTV &gt; CAMARAS IP WIFI")</f>
        <v>CCTV &gt; CAMARAS IP WIFI</v>
      </c>
      <c r="G9" s="5"/>
      <c r="H9" s="6">
        <f>IFERROR(__xludf.DUMMYFUNCTION("""COMPUTED_VALUE"""),56.1)</f>
        <v>56.1</v>
      </c>
      <c r="I9" s="7">
        <f>IFERROR(__xludf.DUMMYFUNCTION("""COMPUTED_VALUE"""),21.0)</f>
        <v>21</v>
      </c>
      <c r="J9" s="6">
        <f>IFERROR(__xludf.DUMMYFUNCTION("""COMPUTED_VALUE"""),67.32)</f>
        <v>67.32</v>
      </c>
      <c r="K9" s="6">
        <f>IFERROR(__xludf.DUMMYFUNCTION("""COMPUTED_VALUE"""),78.54)</f>
        <v>78.54</v>
      </c>
      <c r="L9" s="3"/>
      <c r="M9" s="3"/>
    </row>
    <row r="10" ht="48.0" customHeight="1">
      <c r="A10" s="3" t="str">
        <f>IFERROR(__xludf.DUMMYFUNCTION("""COMPUTED_VALUE"""),"EZH8C-PRO-5MP")</f>
        <v>EZH8C-PRO-5MP</v>
      </c>
      <c r="B10" s="4" t="str">
        <f>IFERROR(__xludf.DUMMYFUNCTION("""COMPUTED_VALUE"""),"CAMARA WIFI EXTERIOR 5MP")</f>
        <v>CAMARA WIFI EXTERIOR 5MP</v>
      </c>
      <c r="C10" s="4" t="str">
        <f>IFERROR(__xludf.DUMMYFUNCTION("""COMPUTED_VALUE"""),"Camara con movimineto Exterior WiFi 5MP (3K), Lente 4MM Con giro e inclinación, detección de intrusos de manera automática")</f>
        <v>Camara con movimineto Exterior WiFi 5MP (3K), Lente 4MM Con giro e inclinación, detección de intrusos de manera automática</v>
      </c>
      <c r="D10" s="4" t="str">
        <f>IFERROR(__xludf.DUMMYFUNCTION("""COMPUTED_VALUE"""),"EZVIZ")</f>
        <v>EZVIZ</v>
      </c>
      <c r="E10" s="4" t="str">
        <f>IFERROR(__xludf.DUMMYFUNCTION("""COMPUTED_VALUE"""),"EZH8C-PRO-5MP")</f>
        <v>EZH8C-PRO-5MP</v>
      </c>
      <c r="F10" s="4" t="str">
        <f>IFERROR(__xludf.DUMMYFUNCTION("""COMPUTED_VALUE"""),"CCTV &gt; CAMARAS IP WIFI")</f>
        <v>CCTV &gt; CAMARAS IP WIFI</v>
      </c>
      <c r="G10" s="5"/>
      <c r="H10" s="6">
        <f>IFERROR(__xludf.DUMMYFUNCTION("""COMPUTED_VALUE"""),68.2)</f>
        <v>68.2</v>
      </c>
      <c r="I10" s="7">
        <f>IFERROR(__xludf.DUMMYFUNCTION("""COMPUTED_VALUE"""),21.0)</f>
        <v>21</v>
      </c>
      <c r="J10" s="6">
        <f>IFERROR(__xludf.DUMMYFUNCTION("""COMPUTED_VALUE"""),81.84)</f>
        <v>81.84</v>
      </c>
      <c r="K10" s="6">
        <f>IFERROR(__xludf.DUMMYFUNCTION("""COMPUTED_VALUE"""),95.48)</f>
        <v>95.48</v>
      </c>
      <c r="L10" s="3"/>
      <c r="M10" s="3"/>
    </row>
    <row r="11" ht="48.0" customHeight="1">
      <c r="A11" s="3" t="str">
        <f>IFERROR(__xludf.DUMMYFUNCTION("""COMPUTED_VALUE"""),"EZHB8")</f>
        <v>EZHB8</v>
      </c>
      <c r="B11" s="4" t="str">
        <f>IFERROR(__xludf.DUMMYFUNCTION("""COMPUTED_VALUE"""),"CAMARA DOMO")</f>
        <v>CAMARA DOMO</v>
      </c>
      <c r="C11" s="4" t="str">
        <f>IFERROR(__xludf.DUMMYFUNCTION("""COMPUTED_VALUE"""),"Camara domo alimentada por batería 1/3” 4-Megapixel Progressive Scan CMOS Sensor ,0.01 Lux @(F1.6, AGC ON), 0 Lux with IR ,Self-adaptive shutter ,4mm@ F1.6, AP pairing, EZVIZ cloud proprietary protocol 4Mbps, Smart Human Motion Detection,Two-way Talk, Ant"&amp;"i-Flicker, Heart Beat, Password Protection, Watermark; Build-in 32GB eMMC Storage EZVIZ cloud storage, IP65, DC 5V/2A")</f>
        <v>Camara domo alimentada por batería 1/3” 4-Megapixel Progressive Scan CMOS Sensor ,0.01 Lux @(F1.6, AGC ON), 0 Lux with IR ,Self-adaptive shutter ,4mm@ F1.6, AP pairing, EZVIZ cloud proprietary protocol 4Mbps, Smart Human Motion Detection,Two-way Talk, Anti-Flicker, Heart Beat, Password Protection, Watermark; Build-in 32GB eMMC Storage EZVIZ cloud storage, IP65, DC 5V/2A</v>
      </c>
      <c r="D11" s="4" t="str">
        <f>IFERROR(__xludf.DUMMYFUNCTION("""COMPUTED_VALUE"""),"EZVIZ")</f>
        <v>EZVIZ</v>
      </c>
      <c r="E11" s="4" t="str">
        <f>IFERROR(__xludf.DUMMYFUNCTION("""COMPUTED_VALUE"""),"EZHB8")</f>
        <v>EZHB8</v>
      </c>
      <c r="F11" s="4" t="str">
        <f>IFERROR(__xludf.DUMMYFUNCTION("""COMPUTED_VALUE"""),"CCTV &gt; CAMARAS IP WIFI")</f>
        <v>CCTV &gt; CAMARAS IP WIFI</v>
      </c>
      <c r="G11" s="5"/>
      <c r="H11" s="6">
        <f>IFERROR(__xludf.DUMMYFUNCTION("""COMPUTED_VALUE"""),121.0)</f>
        <v>121</v>
      </c>
      <c r="I11" s="7">
        <f>IFERROR(__xludf.DUMMYFUNCTION("""COMPUTED_VALUE"""),21.0)</f>
        <v>21</v>
      </c>
      <c r="J11" s="6">
        <f>IFERROR(__xludf.DUMMYFUNCTION("""COMPUTED_VALUE"""),145.2)</f>
        <v>145.2</v>
      </c>
      <c r="K11" s="6">
        <f>IFERROR(__xludf.DUMMYFUNCTION("""COMPUTED_VALUE"""),169.4)</f>
        <v>169.4</v>
      </c>
      <c r="L11" s="3"/>
      <c r="M11" s="3"/>
    </row>
    <row r="12" ht="48.0" customHeight="1">
      <c r="A12" s="3" t="str">
        <f>IFERROR(__xludf.DUMMYFUNCTION("""COMPUTED_VALUE"""),"EZCSH9C")</f>
        <v>EZCSH9C</v>
      </c>
      <c r="B12" s="4" t="str">
        <f>IFERROR(__xludf.DUMMYFUNCTION("""COMPUTED_VALUE"""),"CAMARA WIFI EXTERIOR 3MP")</f>
        <v>CAMARA WIFI EXTERIOR 3MP</v>
      </c>
      <c r="C12" s="4" t="str">
        <f>IFERROR(__xludf.DUMMYFUNCTION("""COMPUTED_VALUE"""),"Cámara Dual de seguridad Wi-Fi para exteriores – Resolución 3 MP (2304 × 1296) – Lente de 2.8 mm – Visión panorámica con paneo horizontal de 360°")</f>
        <v>Cámara Dual de seguridad Wi-Fi para exteriores – Resolución 3 MP (2304 × 1296) – Lente de 2.8 mm – Visión panorámica con paneo horizontal de 360°</v>
      </c>
      <c r="D12" s="4" t="str">
        <f>IFERROR(__xludf.DUMMYFUNCTION("""COMPUTED_VALUE"""),"EZVIZ")</f>
        <v>EZVIZ</v>
      </c>
      <c r="E12" s="4" t="str">
        <f>IFERROR(__xludf.DUMMYFUNCTION("""COMPUTED_VALUE"""),"EZCSH9C")</f>
        <v>EZCSH9C</v>
      </c>
      <c r="F12" s="4" t="str">
        <f>IFERROR(__xludf.DUMMYFUNCTION("""COMPUTED_VALUE"""),"CCTV &gt; CAMARAS IP WIFI")</f>
        <v>CCTV &gt; CAMARAS IP WIFI</v>
      </c>
      <c r="G12" s="5"/>
      <c r="H12" s="6">
        <f>IFERROR(__xludf.DUMMYFUNCTION("""COMPUTED_VALUE"""),81.4)</f>
        <v>81.4</v>
      </c>
      <c r="I12" s="7">
        <f>IFERROR(__xludf.DUMMYFUNCTION("""COMPUTED_VALUE"""),21.0)</f>
        <v>21</v>
      </c>
      <c r="J12" s="6">
        <f>IFERROR(__xludf.DUMMYFUNCTION("""COMPUTED_VALUE"""),97.68)</f>
        <v>97.68</v>
      </c>
      <c r="K12" s="6">
        <f>IFERROR(__xludf.DUMMYFUNCTION("""COMPUTED_VALUE"""),113.96)</f>
        <v>113.96</v>
      </c>
      <c r="L12" s="3"/>
      <c r="M12" s="3"/>
    </row>
    <row r="13" ht="48.0" customHeight="1">
      <c r="A13" s="3" t="str">
        <f>IFERROR(__xludf.DUMMYFUNCTION("""COMPUTED_VALUE"""),"EZC3TN")</f>
        <v>EZC3TN</v>
      </c>
      <c r="B13" s="4" t="str">
        <f>IFERROR(__xludf.DUMMYFUNCTION("""COMPUTED_VALUE"""),"CAMARA WIFI 2MP")</f>
        <v>CAMARA WIFI 2MP</v>
      </c>
      <c r="C13" s="4" t="str">
        <f>IFERROR(__xludf.DUMMYFUNCTION("""COMPUTED_VALUE"""),"Camara WiFi 1080P 2MP 1/2.7”Progressive Scan CMOS, 0.01 lux @(F2.0,AGC ON) ,0 Lux with IR, 2.8mm @ F2.0, view angle:106° (Horizontal), 122°(Diagonal), 3D DNR, Digital WDR, H.265/H.264, 1920 × 1080, Micro SD card slot (Max. 256G), WiFi 2.4GHz, two-way talk"&amp;", DC 12V/1A, Max. 6W, IP67, Max. 30 meters")</f>
        <v>Camara WiFi 1080P 2MP 1/2.7”Progressive Scan CMOS, 0.01 lux @(F2.0,AGC ON) ,0 Lux with IR, 2.8mm @ F2.0, view angle:106° (Horizontal), 122°(Diagonal), 3D DNR, Digital WDR, H.265/H.264, 1920 × 1080, Micro SD card slot (Max. 256G), WiFi 2.4GHz, two-way talk, DC 12V/1A, Max. 6W, IP67, Max. 30 meters</v>
      </c>
      <c r="D13" s="4" t="str">
        <f>IFERROR(__xludf.DUMMYFUNCTION("""COMPUTED_VALUE"""),"EZVIZ")</f>
        <v>EZVIZ</v>
      </c>
      <c r="E13" s="4" t="str">
        <f>IFERROR(__xludf.DUMMYFUNCTION("""COMPUTED_VALUE"""),"EZC3TN")</f>
        <v>EZC3TN</v>
      </c>
      <c r="F13" s="4" t="str">
        <f>IFERROR(__xludf.DUMMYFUNCTION("""COMPUTED_VALUE"""),"CCTV &gt; CAMARAS IP WIFI")</f>
        <v>CCTV &gt; CAMARAS IP WIFI</v>
      </c>
      <c r="G13" s="5"/>
      <c r="H13" s="6">
        <f>IFERROR(__xludf.DUMMYFUNCTION("""COMPUTED_VALUE"""),48.4)</f>
        <v>48.4</v>
      </c>
      <c r="I13" s="7">
        <f>IFERROR(__xludf.DUMMYFUNCTION("""COMPUTED_VALUE"""),21.0)</f>
        <v>21</v>
      </c>
      <c r="J13" s="6">
        <f>IFERROR(__xludf.DUMMYFUNCTION("""COMPUTED_VALUE"""),58.08)</f>
        <v>58.08</v>
      </c>
      <c r="K13" s="6">
        <f>IFERROR(__xludf.DUMMYFUNCTION("""COMPUTED_VALUE"""),67.76)</f>
        <v>67.76</v>
      </c>
      <c r="L13" s="3"/>
      <c r="M13" s="3"/>
    </row>
    <row r="14" ht="48.0" customHeight="1">
      <c r="A14" s="3" t="str">
        <f>IFERROR(__xludf.DUMMYFUNCTION("""COMPUTED_VALUE"""),"EZH3C-2MP-COLOR")</f>
        <v>EZH3C-2MP-COLOR</v>
      </c>
      <c r="B14" s="4" t="str">
        <f>IFERROR(__xludf.DUMMYFUNCTION("""COMPUTED_VALUE"""),"CAMARA WIFI 2MP")</f>
        <v>CAMARA WIFI 2MP</v>
      </c>
      <c r="C14" s="4" t="str">
        <f>IFERROR(__xludf.DUMMYFUNCTION("""COMPUTED_VALUE"""),"Camara WiFi 1080P 2MP FULL COLOR 1/2.7” Progressive Scan CMOS， 0.01 lux @(F2.0,AGC ON) ,0 Lux with IR， 2.8mm @ F2.0, view angle:106° (Horizontal), 122°(Diagonal)， H.265/H.264， 1920 × 1080， Max: 30fps; Self-Adaptive during network transmission， Micro SD ca"&amp;"rd slot (Max. 256G)，IEEE802.11b, 802.11g, 802.11n DC 12V/1A，Max. 6W， IP67, Night Vision Max. 30 meters")</f>
        <v>Camara WiFi 1080P 2MP FULL COLOR 1/2.7” Progressive Scan CMOS， 0.01 lux @(F2.0,AGC ON) ,0 Lux with IR， 2.8mm @ F2.0, view angle:106° (Horizontal), 122°(Diagonal)， H.265/H.264， 1920 × 1080， Max: 30fps; Self-Adaptive during network transmission， Micro SD card slot (Max. 256G)，IEEE802.11b, 802.11g, 802.11n DC 12V/1A，Max. 6W， IP67, Night Vision Max. 30 meters</v>
      </c>
      <c r="D14" s="4" t="str">
        <f>IFERROR(__xludf.DUMMYFUNCTION("""COMPUTED_VALUE"""),"EZVIZ")</f>
        <v>EZVIZ</v>
      </c>
      <c r="E14" s="4" t="str">
        <f>IFERROR(__xludf.DUMMYFUNCTION("""COMPUTED_VALUE"""),"EZH3C-2MP-COLOR")</f>
        <v>EZH3C-2MP-COLOR</v>
      </c>
      <c r="F14" s="4" t="str">
        <f>IFERROR(__xludf.DUMMYFUNCTION("""COMPUTED_VALUE"""),"CCTV &gt; CAMARAS IP WIFI")</f>
        <v>CCTV &gt; CAMARAS IP WIFI</v>
      </c>
      <c r="G14" s="5"/>
      <c r="H14" s="6">
        <f>IFERROR(__xludf.DUMMYFUNCTION("""COMPUTED_VALUE"""),49.5)</f>
        <v>49.5</v>
      </c>
      <c r="I14" s="7">
        <f>IFERROR(__xludf.DUMMYFUNCTION("""COMPUTED_VALUE"""),21.0)</f>
        <v>21</v>
      </c>
      <c r="J14" s="6">
        <f>IFERROR(__xludf.DUMMYFUNCTION("""COMPUTED_VALUE"""),59.4)</f>
        <v>59.4</v>
      </c>
      <c r="K14" s="6">
        <f>IFERROR(__xludf.DUMMYFUNCTION("""COMPUTED_VALUE"""),69.3)</f>
        <v>69.3</v>
      </c>
      <c r="L14" s="3"/>
      <c r="M14" s="3"/>
    </row>
    <row r="15" ht="48.0" customHeight="1">
      <c r="A15" s="3" t="str">
        <f>IFERROR(__xludf.DUMMYFUNCTION("""COMPUTED_VALUE"""),"EZH3C-3MP-COLOR")</f>
        <v>EZH3C-3MP-COLOR</v>
      </c>
      <c r="B15" s="4" t="str">
        <f>IFERROR(__xludf.DUMMYFUNCTION("""COMPUTED_VALUE"""),"CAMARA WIFI 3MP")</f>
        <v>CAMARA WIFI 3MP</v>
      </c>
      <c r="C15" s="4" t="str">
        <f>IFERROR(__xludf.DUMMYFUNCTION("""COMPUTED_VALUE"""),"Camara WiFi 3MP FULL COLOR 1/2.7”Progressive Scan CMOS, 0.01 lux @(F2.0 ,AGC ON) ,0 Lux with IR, 2.8mm @ F2.0, view angle:109° (Horizontal), 126°(Diagonal), Digital WDR, 3D DNR, H.265/H.264, 2304*1296, Max: 30fps; Self-Adaptive during network transmission"&amp;", Micro SD card slot (Max. 256G), WiFi 2.4GHz DC 12V/1A, Max. 6W, IP67, Night Vision Max. 30 meters")</f>
        <v>Camara WiFi 3MP FULL COLOR 1/2.7”Progressive Scan CMOS, 0.01 lux @(F2.0 ,AGC ON) ,0 Lux with IR, 2.8mm @ F2.0, view angle:109° (Horizontal), 126°(Diagonal), Digital WDR, 3D DNR, H.265/H.264, 2304*1296, Max: 30fps; Self-Adaptive during network transmission, Micro SD card slot (Max. 256G), WiFi 2.4GHz DC 12V/1A, Max. 6W, IP67, Night Vision Max. 30 meters</v>
      </c>
      <c r="D15" s="4" t="str">
        <f>IFERROR(__xludf.DUMMYFUNCTION("""COMPUTED_VALUE"""),"EZVIZ")</f>
        <v>EZVIZ</v>
      </c>
      <c r="E15" s="4" t="str">
        <f>IFERROR(__xludf.DUMMYFUNCTION("""COMPUTED_VALUE"""),"EZH3C-3MP-COLOR")</f>
        <v>EZH3C-3MP-COLOR</v>
      </c>
      <c r="F15" s="4" t="str">
        <f>IFERROR(__xludf.DUMMYFUNCTION("""COMPUTED_VALUE"""),"CCTV &gt; CAMARAS IP WIFI")</f>
        <v>CCTV &gt; CAMARAS IP WIFI</v>
      </c>
      <c r="G15" s="5"/>
      <c r="H15" s="6">
        <f>IFERROR(__xludf.DUMMYFUNCTION("""COMPUTED_VALUE"""),51.15)</f>
        <v>51.15</v>
      </c>
      <c r="I15" s="7">
        <f>IFERROR(__xludf.DUMMYFUNCTION("""COMPUTED_VALUE"""),21.0)</f>
        <v>21</v>
      </c>
      <c r="J15" s="6">
        <f>IFERROR(__xludf.DUMMYFUNCTION("""COMPUTED_VALUE"""),61.38)</f>
        <v>61.38</v>
      </c>
      <c r="K15" s="6">
        <f>IFERROR(__xludf.DUMMYFUNCTION("""COMPUTED_VALUE"""),71.61)</f>
        <v>71.61</v>
      </c>
      <c r="L15" s="3"/>
      <c r="M15" s="3"/>
    </row>
    <row r="16" ht="48.0" customHeight="1">
      <c r="A16" s="3" t="str">
        <f>IFERROR(__xludf.DUMMYFUNCTION("""COMPUTED_VALUE"""),"EZH3C-4MP-COLOR")</f>
        <v>EZH3C-4MP-COLOR</v>
      </c>
      <c r="B16" s="4" t="str">
        <f>IFERROR(__xludf.DUMMYFUNCTION("""COMPUTED_VALUE"""),"CAMARA WIFI 4MP")</f>
        <v>CAMARA WIFI 4MP</v>
      </c>
      <c r="C16" s="4" t="str">
        <f>IFERROR(__xludf.DUMMYFUNCTION("""COMPUTED_VALUE"""),"Camara WiFi 4MP FULL COLOR Resolución 2K⁺, Visión nocturna en color, Conversación bidireccional, Alertas de voz personalizables, Detección de forma humana impulsada por IA, Reconocimiento y control de manos que agitan, Zona de detección, personalizable, D"&amp;"efensa activa con sirena y luz estroboscópica, Diseño resistente a la intemperie IP67, Tecnología de vídeo H.265, Admite tarjeta MicroSD (hasta 512 GB) y almacenamiento EZVIZ CloudPlay¹")</f>
        <v>Camara WiFi 4MP FULL COLOR Resolución 2K⁺, Visión nocturna en color, Conversación bidireccional, Alertas de voz personalizables, Detección de forma humana impulsada por IA, Reconocimiento y control de manos que agitan, Zona de detección, personalizable, Defensa activa con sirena y luz estroboscópica, Diseño resistente a la intemperie IP67, Tecnología de vídeo H.265, Admite tarjeta MicroSD (hasta 512 GB) y almacenamiento EZVIZ CloudPlay¹</v>
      </c>
      <c r="D16" s="4" t="str">
        <f>IFERROR(__xludf.DUMMYFUNCTION("""COMPUTED_VALUE"""),"EZVIZ")</f>
        <v>EZVIZ</v>
      </c>
      <c r="E16" s="4" t="str">
        <f>IFERROR(__xludf.DUMMYFUNCTION("""COMPUTED_VALUE"""),"EZH3C-4MP-COLOR")</f>
        <v>EZH3C-4MP-COLOR</v>
      </c>
      <c r="F16" s="4" t="str">
        <f>IFERROR(__xludf.DUMMYFUNCTION("""COMPUTED_VALUE"""),"CCTV &gt; CAMARAS IP WIFI")</f>
        <v>CCTV &gt; CAMARAS IP WIFI</v>
      </c>
      <c r="G16" s="5"/>
      <c r="H16" s="6">
        <f>IFERROR(__xludf.DUMMYFUNCTION("""COMPUTED_VALUE"""),66.0)</f>
        <v>66</v>
      </c>
      <c r="I16" s="7">
        <f>IFERROR(__xludf.DUMMYFUNCTION("""COMPUTED_VALUE"""),21.0)</f>
        <v>21</v>
      </c>
      <c r="J16" s="6">
        <f>IFERROR(__xludf.DUMMYFUNCTION("""COMPUTED_VALUE"""),79.2)</f>
        <v>79.2</v>
      </c>
      <c r="K16" s="6">
        <f>IFERROR(__xludf.DUMMYFUNCTION("""COMPUTED_VALUE"""),92.4)</f>
        <v>92.4</v>
      </c>
      <c r="L16" s="3"/>
      <c r="M16" s="3"/>
    </row>
    <row r="17" ht="48.0" customHeight="1">
      <c r="A17" s="3" t="str">
        <f>IFERROR(__xludf.DUMMYFUNCTION("""COMPUTED_VALUE"""),"EZBC2")</f>
        <v>EZBC2</v>
      </c>
      <c r="B17" s="4" t="str">
        <f>IFERROR(__xludf.DUMMYFUNCTION("""COMPUTED_VALUE"""),"CAMARA ALIMENTADA POR BATERÍA WI-FI 1080P 2 MP SMART HOME 1/2")</f>
        <v>CAMARA ALIMENTADA POR BATERÍA WI-FI 1080P 2 MP SMART HOME 1/2</v>
      </c>
      <c r="C17" s="4" t="str">
        <f>IFERROR(__xludf.DUMMYFUNCTION("""COMPUTED_VALUE"""),"Camara alimentada por batería Wi-Fi 1080P 2 MP Smart Home 1/2.8” 2-Megapixel Progressive Scan CMOS Sensor , 0.1lux , 4mm@ F1.6 view angle: 100°, 85° (Horizontal) 46°（Vertical ), IR-cut Filter with Auto Switch , 3D DNR, Night Vision Up 5m/16ft , 1920 x 108"&amp;"0 , 15fps. Self-Adaptive during Network Transmission , H.265/H.264 , Ultra-HD; HD; Standard. Adaptive Bit Rate. , WiFi 2.4GHz, Two-way Talk, Micro SD Slot for Local Storage (Up to 256G), DC 5V/2A （Purchased Separately), Battery Capacity 2000mA. Magnetic B"&amp;"ase, PIR Detection.")</f>
        <v>Camara alimentada por batería Wi-Fi 1080P 2 MP Smart Home 1/2.8” 2-Megapixel Progressive Scan CMOS Sensor , 0.1lux , 4mm@ F1.6 view angle: 100°, 85° (Horizontal) 46°（Vertical ), IR-cut Filter with Auto Switch , 3D DNR, Night Vision Up 5m/16ft , 1920 x 1080 , 15fps. Self-Adaptive during Network Transmission , H.265/H.264 , Ultra-HD; HD; Standard. Adaptive Bit Rate. , WiFi 2.4GHz, Two-way Talk, Micro SD Slot for Local Storage (Up to 256G), DC 5V/2A （Purchased Separately), Battery Capacity 2000mA. Magnetic Base, PIR Detection.</v>
      </c>
      <c r="D17" s="4" t="str">
        <f>IFERROR(__xludf.DUMMYFUNCTION("""COMPUTED_VALUE"""),"EZVIZ")</f>
        <v>EZVIZ</v>
      </c>
      <c r="E17" s="4" t="str">
        <f>IFERROR(__xludf.DUMMYFUNCTION("""COMPUTED_VALUE"""),"EZBC2")</f>
        <v>EZBC2</v>
      </c>
      <c r="F17" s="4" t="str">
        <f>IFERROR(__xludf.DUMMYFUNCTION("""COMPUTED_VALUE"""),"CONECTIVIDAD &gt; SWITCH")</f>
        <v>CONECTIVIDAD &gt; SWITCH</v>
      </c>
      <c r="G17" s="5"/>
      <c r="H17" s="6">
        <f>IFERROR(__xludf.DUMMYFUNCTION("""COMPUTED_VALUE"""),89.98)</f>
        <v>89.98</v>
      </c>
      <c r="I17" s="7">
        <f>IFERROR(__xludf.DUMMYFUNCTION("""COMPUTED_VALUE"""),21.0)</f>
        <v>21</v>
      </c>
      <c r="J17" s="6">
        <f>IFERROR(__xludf.DUMMYFUNCTION("""COMPUTED_VALUE"""),107.98)</f>
        <v>107.98</v>
      </c>
      <c r="K17" s="6">
        <f>IFERROR(__xludf.DUMMYFUNCTION("""COMPUTED_VALUE"""),125.97)</f>
        <v>125.97</v>
      </c>
      <c r="L17" s="3"/>
      <c r="M17" s="3"/>
    </row>
    <row r="18" ht="48.0" customHeight="1">
      <c r="A18" s="3" t="str">
        <f>IFERROR(__xludf.DUMMYFUNCTION("""COMPUTED_VALUE"""),"EZBC1C")</f>
        <v>EZBC1C</v>
      </c>
      <c r="B18" s="4" t="str">
        <f>IFERROR(__xludf.DUMMYFUNCTION("""COMPUTED_VALUE"""),"CAMARA WIFI 2MP")</f>
        <v>CAMARA WIFI 2MP</v>
      </c>
      <c r="C18" s="4" t="str">
        <f>IFERROR(__xludf.DUMMYFUNCTION("""COMPUTED_VALUE"""),"Cámara inteligente e independiente alimentada por batería WiFi 1080P 2MP 1/2.8” 2-Megapixel Progressive Scan CMOS Sensor 0.2 Lux @(F1.6, AGC ON), 0 Lux with IR 2.8mm@ F1.6 Diagonal angle: 125° Horizontal angle: 107° ， IR 10m, 1920 x 1080, H.265/H.264, IEE"&amp;"E802.11b, 802.11g, 802.11n , 2.4 GHz ~ 2.4835 GHz, AI Human Detection , Build-in 32GB eMMC IP66, DC 5V/2A, 7800 mAh, Max.5W")</f>
        <v>Cámara inteligente e independiente alimentada por batería WiFi 1080P 2MP 1/2.8” 2-Megapixel Progressive Scan CMOS Sensor 0.2 Lux @(F1.6, AGC ON), 0 Lux with IR 2.8mm@ F1.6 Diagonal angle: 125° Horizontal angle: 107° ， IR 10m, 1920 x 1080, H.265/H.264, IEEE802.11b, 802.11g, 802.11n , 2.4 GHz ~ 2.4835 GHz, AI Human Detection , Build-in 32GB eMMC IP66, DC 5V/2A, 7800 mAh, Max.5W</v>
      </c>
      <c r="D18" s="4" t="str">
        <f>IFERROR(__xludf.DUMMYFUNCTION("""COMPUTED_VALUE"""),"EZVIZ")</f>
        <v>EZVIZ</v>
      </c>
      <c r="E18" s="4" t="str">
        <f>IFERROR(__xludf.DUMMYFUNCTION("""COMPUTED_VALUE"""),"EZBC1C")</f>
        <v>EZBC1C</v>
      </c>
      <c r="F18" s="4" t="str">
        <f>IFERROR(__xludf.DUMMYFUNCTION("""COMPUTED_VALUE"""),"CCTV &gt; CAMARAS IP WIFI")</f>
        <v>CCTV &gt; CAMARAS IP WIFI</v>
      </c>
      <c r="G18" s="5"/>
      <c r="H18" s="6">
        <f>IFERROR(__xludf.DUMMYFUNCTION("""COMPUTED_VALUE"""),82.5)</f>
        <v>82.5</v>
      </c>
      <c r="I18" s="7">
        <f>IFERROR(__xludf.DUMMYFUNCTION("""COMPUTED_VALUE"""),21.0)</f>
        <v>21</v>
      </c>
      <c r="J18" s="6">
        <f>IFERROR(__xludf.DUMMYFUNCTION("""COMPUTED_VALUE"""),99.0)</f>
        <v>99</v>
      </c>
      <c r="K18" s="6">
        <f>IFERROR(__xludf.DUMMYFUNCTION("""COMPUTED_VALUE"""),115.5)</f>
        <v>115.5</v>
      </c>
      <c r="L18" s="3"/>
      <c r="M18" s="3"/>
    </row>
    <row r="19" ht="48.0" customHeight="1">
      <c r="A19" s="3" t="str">
        <f>IFERROR(__xludf.DUMMYFUNCTION("""COMPUTED_VALUE"""),"EZEB3")</f>
        <v>EZEB3</v>
      </c>
      <c r="B19" s="4" t="str">
        <f>IFERROR(__xludf.DUMMYFUNCTION("""COMPUTED_VALUE"""),"CAMARA")</f>
        <v>CAMARA</v>
      </c>
      <c r="C19" s="4" t="str">
        <f>IFERROR(__xludf.DUMMYFUNCTION("""COMPUTED_VALUE"""),"Cámara inteligente e independiente alimentada por batería para el hogar 1/2.8” 3-Megapixel Progressive Scan SMOS Sensor ，2.8mm@ F2.0 Diagonal angle: 131° Horizontal angle: 110° Vertical angle: 58, IR Distance:15m, Color Night Vision Distance:15m，Max Resol"&amp;"ution 2304 x 1296, Frame Rate 15fps，Video Compression H.265/H.264 ，IEEE802.11b, 802.11g, 802.11n, 2.4 GHz ~ 2.4835 GHz,AI Human Detection ,Support Micro SD slot for local storage (Up to 256G),EZVIZ cloud storage, IP65,DC 5V/2A (Compatible power adapter ne"&amp;"eds to be purchased separately) ,5200 mAh,Max.10W")</f>
        <v>Cámara inteligente e independiente alimentada por batería para el hogar 1/2.8” 3-Megapixel Progressive Scan SMOS Sensor ，2.8mm@ F2.0 Diagonal angle: 131° Horizontal angle: 110° Vertical angle: 58, IR Distance:15m, Color Night Vision Distance:15m，Max Resolution 2304 x 1296, Frame Rate 15fps，Video Compression H.265/H.264 ，IEEE802.11b, 802.11g, 802.11n, 2.4 GHz ~ 2.4835 GHz,AI Human Detection ,Support Micro SD slot for local storage (Up to 256G),EZVIZ cloud storage, IP65,DC 5V/2A (Compatible power adapter needs to be purchased separately) ,5200 mAh,Max.10W</v>
      </c>
      <c r="D19" s="4" t="str">
        <f>IFERROR(__xludf.DUMMYFUNCTION("""COMPUTED_VALUE"""),"EZVIZ")</f>
        <v>EZVIZ</v>
      </c>
      <c r="E19" s="4" t="str">
        <f>IFERROR(__xludf.DUMMYFUNCTION("""COMPUTED_VALUE"""),"EZEB3")</f>
        <v>EZEB3</v>
      </c>
      <c r="F19" s="4" t="str">
        <f>IFERROR(__xludf.DUMMYFUNCTION("""COMPUTED_VALUE"""),"CCTV &gt; CAMARAS IP WIFI")</f>
        <v>CCTV &gt; CAMARAS IP WIFI</v>
      </c>
      <c r="G19" s="5"/>
      <c r="H19" s="6">
        <f>IFERROR(__xludf.DUMMYFUNCTION("""COMPUTED_VALUE"""),97.9)</f>
        <v>97.9</v>
      </c>
      <c r="I19" s="7">
        <f>IFERROR(__xludf.DUMMYFUNCTION("""COMPUTED_VALUE"""),21.0)</f>
        <v>21</v>
      </c>
      <c r="J19" s="6">
        <f>IFERROR(__xludf.DUMMYFUNCTION("""COMPUTED_VALUE"""),117.48)</f>
        <v>117.48</v>
      </c>
      <c r="K19" s="6">
        <f>IFERROR(__xludf.DUMMYFUNCTION("""COMPUTED_VALUE"""),137.06)</f>
        <v>137.06</v>
      </c>
      <c r="L19" s="3"/>
      <c r="M19" s="3"/>
    </row>
    <row r="20" ht="48.0" customHeight="1">
      <c r="A20" s="3" t="str">
        <f>IFERROR(__xludf.DUMMYFUNCTION("""COMPUTED_VALUE"""),"EZDB1PRO")</f>
        <v>EZDB1PRO</v>
      </c>
      <c r="B20" s="4" t="str">
        <f>IFERROR(__xludf.DUMMYFUNCTION("""COMPUTED_VALUE"""),"TIMBRE INTELIGENTE WIFI 5MP1/2")</f>
        <v>TIMBRE INTELIGENTE WIFI 5MP1/2</v>
      </c>
      <c r="C20" s="4" t="str">
        <f>IFERROR(__xludf.DUMMYFUNCTION("""COMPUTED_VALUE"""),"Timbre inteligente WIFI 5MP1/2.7"" Progressive Scan CMOS (Supports low light sensitivity)， 2.0 mm @ F2.0,view angle: 176° (Diagonal)，IR-cut filter with auto-switching， 2544 x 1888， DWDR ，2D/3D DNR， H.265 / H.264， Max: 15fps; Self-Adaptive during network t"&amp;"ransmission ， Two-way Talk, Human/vehicle shape smart motion detection, WiFI 2.4G &amp; 5G, IP65, Doorbell: AC 16V~24V, Max. 2W.")</f>
        <v>Timbre inteligente WIFI 5MP1/2.7" Progressive Scan CMOS (Supports low light sensitivity)， 2.0 mm @ F2.0,view angle: 176° (Diagonal)，IR-cut filter with auto-switching， 2544 x 1888， DWDR ，2D/3D DNR， H.265 / H.264， Max: 15fps; Self-Adaptive during network transmission ， Two-way Talk, Human/vehicle shape smart motion detection, WiFI 2.4G &amp; 5G, IP65, Doorbell: AC 16V~24V, Max. 2W.</v>
      </c>
      <c r="D20" s="4" t="str">
        <f>IFERROR(__xludf.DUMMYFUNCTION("""COMPUTED_VALUE"""),"EZVIZ")</f>
        <v>EZVIZ</v>
      </c>
      <c r="E20" s="4" t="str">
        <f>IFERROR(__xludf.DUMMYFUNCTION("""COMPUTED_VALUE"""),"EZDB1PRO")</f>
        <v>EZDB1PRO</v>
      </c>
      <c r="F20" s="4" t="str">
        <f>IFERROR(__xludf.DUMMYFUNCTION("""COMPUTED_VALUE"""),"CONECTIVIDAD &gt; SWITCH")</f>
        <v>CONECTIVIDAD &gt; SWITCH</v>
      </c>
      <c r="G20" s="5"/>
      <c r="H20" s="6">
        <f>IFERROR(__xludf.DUMMYFUNCTION("""COMPUTED_VALUE"""),191.61)</f>
        <v>191.61</v>
      </c>
      <c r="I20" s="7">
        <f>IFERROR(__xludf.DUMMYFUNCTION("""COMPUTED_VALUE"""),21.0)</f>
        <v>21</v>
      </c>
      <c r="J20" s="6">
        <f>IFERROR(__xludf.DUMMYFUNCTION("""COMPUTED_VALUE"""),229.93)</f>
        <v>229.93</v>
      </c>
      <c r="K20" s="6">
        <f>IFERROR(__xludf.DUMMYFUNCTION("""COMPUTED_VALUE"""),268.25)</f>
        <v>268.25</v>
      </c>
      <c r="L20" s="3"/>
      <c r="M20" s="3"/>
    </row>
    <row r="21" ht="48.0" customHeight="1">
      <c r="A21" s="3" t="str">
        <f>IFERROR(__xludf.DUMMYFUNCTION("""COMPUTED_VALUE"""),"EZHP7-3MP")</f>
        <v>EZHP7-3MP</v>
      </c>
      <c r="B21" s="4" t="str">
        <f>IFERROR(__xludf.DUMMYFUNCTION("""COMPUTED_VALUE"""),"CAMARA WIFI EXTERIOR 2K")</f>
        <v>CAMARA WIFI EXTERIOR 2K</v>
      </c>
      <c r="C21" s="4" t="str">
        <f>IFERROR(__xludf.DUMMYFUNCTION("""COMPUTED_VALUE"""),"Kit video portero 2K wifi con pantalla 7"" Resolución 2K- Pantalla táctil en color de 7 - Desbloqueo de puerta/puerta exterior remoto - 2 hilos - Detección de movimiento de personas inteligente - Comunicación bidireccional (compatible con la función de mo"&amp;"dulación de voz) - Portero integrado con varios tonos de llamada - Desbloqueo RFID inteligente (2 etiquetas incluidas) - Diseño resistente a la intemperie - Compatible con banda dual de 2,4 GHz y 5 GHz - Compatible con tarjetas micro-SD (de hasta 512 GB) "&amp;"y el almacenamiento CloudPlay de EZVIZ")</f>
        <v>Kit video portero 2K wifi con pantalla 7" Resolución 2K- Pantalla táctil en color de 7 - Desbloqueo de puerta/puerta exterior remoto - 2 hilos - Detección de movimiento de personas inteligente - Comunicación bidireccional (compatible con la función de modulación de voz) - Portero integrado con varios tonos de llamada - Desbloqueo RFID inteligente (2 etiquetas incluidas) - Diseño resistente a la intemperie - Compatible con banda dual de 2,4 GHz y 5 GHz - Compatible con tarjetas micro-SD (de hasta 512 GB) y el almacenamiento CloudPlay de EZVIZ</v>
      </c>
      <c r="D21" s="4" t="str">
        <f>IFERROR(__xludf.DUMMYFUNCTION("""COMPUTED_VALUE"""),"EZVIZ")</f>
        <v>EZVIZ</v>
      </c>
      <c r="E21" s="4" t="str">
        <f>IFERROR(__xludf.DUMMYFUNCTION("""COMPUTED_VALUE"""),"EZHP7-3MP")</f>
        <v>EZHP7-3MP</v>
      </c>
      <c r="F21" s="4" t="str">
        <f>IFERROR(__xludf.DUMMYFUNCTION("""COMPUTED_VALUE"""),"CCTV &gt; CAMARAS IP WIFI")</f>
        <v>CCTV &gt; CAMARAS IP WIFI</v>
      </c>
      <c r="G21" s="5"/>
      <c r="H21" s="6">
        <f>IFERROR(__xludf.DUMMYFUNCTION("""COMPUTED_VALUE"""),246.24)</f>
        <v>246.24</v>
      </c>
      <c r="I21" s="7">
        <f>IFERROR(__xludf.DUMMYFUNCTION("""COMPUTED_VALUE"""),21.0)</f>
        <v>21</v>
      </c>
      <c r="J21" s="6">
        <f>IFERROR(__xludf.DUMMYFUNCTION("""COMPUTED_VALUE"""),295.49)</f>
        <v>295.49</v>
      </c>
      <c r="K21" s="6">
        <f>IFERROR(__xludf.DUMMYFUNCTION("""COMPUTED_VALUE"""),344.74)</f>
        <v>344.74</v>
      </c>
      <c r="L21" s="3"/>
      <c r="M21" s="3"/>
    </row>
    <row r="22" ht="48.0" customHeight="1">
      <c r="A22" s="3" t="str">
        <f>IFERROR(__xludf.DUMMYFUNCTION("""COMPUTED_VALUE"""),"EZDP2C")</f>
        <v>EZDP2C</v>
      </c>
      <c r="B22" s="4" t="str">
        <f>IFERROR(__xludf.DUMMYFUNCTION("""COMPUTED_VALUE"""),"CAMARA WIFI 2MP")</f>
        <v>CAMARA WIFI 2MP</v>
      </c>
      <c r="C22" s="4" t="str">
        <f>IFERROR(__xludf.DUMMYFUNCTION("""COMPUTED_VALUE"""),"Kit video portero 1080P 2MP wifi con pantalla 4.3"" + mirilla con bateria recargable Sensor CMOS 1/3"" Progressive Scan, 2.0 mm @ F2.2, visual angle (diagonal):155°, ICR infrared filter,Max. 5 m, 1080p / 2MP, 15fps, PIR angle 110°, Max. 6 m (20 ft), Micro"&amp;"SD card slot (max. 256 GB)， Built-in high sensitivity microphone，Built-in high-power speaker，PIR motion detection， 2.4 GHz ~ 2.4835 GHz，Supports 20 MHz， 4.3-inch color screen DC5V±10%， Max. 2.2W")</f>
        <v>Kit video portero 1080P 2MP wifi con pantalla 4.3" + mirilla con bateria recargable Sensor CMOS 1/3" Progressive Scan, 2.0 mm @ F2.2, visual angle (diagonal):155°, ICR infrared filter,Max. 5 m, 1080p / 2MP, 15fps, PIR angle 110°, Max. 6 m (20 ft), MicroSD card slot (max. 256 GB)， Built-in high sensitivity microphone，Built-in high-power speaker，PIR motion detection， 2.4 GHz ~ 2.4835 GHz，Supports 20 MHz， 4.3-inch color screen DC5V±10%， Max. 2.2W</v>
      </c>
      <c r="D22" s="4" t="str">
        <f>IFERROR(__xludf.DUMMYFUNCTION("""COMPUTED_VALUE"""),"EZVIZ")</f>
        <v>EZVIZ</v>
      </c>
      <c r="E22" s="4" t="str">
        <f>IFERROR(__xludf.DUMMYFUNCTION("""COMPUTED_VALUE"""),"EZDP2C")</f>
        <v>EZDP2C</v>
      </c>
      <c r="F22" s="4" t="str">
        <f>IFERROR(__xludf.DUMMYFUNCTION("""COMPUTED_VALUE"""),"CCTV &gt; CAMARAS IP WIFI")</f>
        <v>CCTV &gt; CAMARAS IP WIFI</v>
      </c>
      <c r="G22" s="5"/>
      <c r="H22" s="6">
        <f>IFERROR(__xludf.DUMMYFUNCTION("""COMPUTED_VALUE"""),0.0)</f>
        <v>0</v>
      </c>
      <c r="I22" s="7">
        <f>IFERROR(__xludf.DUMMYFUNCTION("""COMPUTED_VALUE"""),21.0)</f>
        <v>21</v>
      </c>
      <c r="J22" s="6">
        <f>IFERROR(__xludf.DUMMYFUNCTION("""COMPUTED_VALUE"""),0.0)</f>
        <v>0</v>
      </c>
      <c r="K22" s="6">
        <f>IFERROR(__xludf.DUMMYFUNCTION("""COMPUTED_VALUE"""),0.0)</f>
        <v>0</v>
      </c>
      <c r="L22" s="3"/>
      <c r="M22" s="3"/>
    </row>
    <row r="23" ht="48.0" customHeight="1">
      <c r="A23" s="3" t="str">
        <f>IFERROR(__xludf.DUMMYFUNCTION("""COMPUTED_VALUE"""),"EZDP2")</f>
        <v>EZDP2</v>
      </c>
      <c r="B23" s="4" t="str">
        <f>IFERROR(__xludf.DUMMYFUNCTION("""COMPUTED_VALUE"""),"CAMARA WIFI 2MP")</f>
        <v>CAMARA WIFI 2MP</v>
      </c>
      <c r="C23" s="4" t="str">
        <f>IFERROR(__xludf.DUMMYFUNCTION("""COMPUTED_VALUE"""),"Kit video portero 1080P 2MP wifi con pantalla 4.3"" Color Touch Screen + mirilla con bateria recargable Sensor CMOS 1/2.7"" Progressive Scan，2.0mm@F2.0, visual angle: Diagonal 166°，1080P/2MP，15fps ， PIR：110°，Max.6m (20ft) ，MicroSD card slot support up to "&amp;"256GB，two-way talk, Human shape detection,DWDR,WiFi 2.4GHz.")</f>
        <v>Kit video portero 1080P 2MP wifi con pantalla 4.3" Color Touch Screen + mirilla con bateria recargable Sensor CMOS 1/2.7" Progressive Scan，2.0mm@F2.0, visual angle: Diagonal 166°，1080P/2MP，15fps ， PIR：110°，Max.6m (20ft) ，MicroSD card slot support up to 256GB，two-way talk, Human shape detection,DWDR,WiFi 2.4GHz.</v>
      </c>
      <c r="D23" s="4" t="str">
        <f>IFERROR(__xludf.DUMMYFUNCTION("""COMPUTED_VALUE"""),"EZVIZ")</f>
        <v>EZVIZ</v>
      </c>
      <c r="E23" s="4" t="str">
        <f>IFERROR(__xludf.DUMMYFUNCTION("""COMPUTED_VALUE"""),"EZDP2")</f>
        <v>EZDP2</v>
      </c>
      <c r="F23" s="4" t="str">
        <f>IFERROR(__xludf.DUMMYFUNCTION("""COMPUTED_VALUE"""),"CCTV &gt; CAMARAS IP WIFI")</f>
        <v>CCTV &gt; CAMARAS IP WIFI</v>
      </c>
      <c r="G23" s="5"/>
      <c r="H23" s="6">
        <f>IFERROR(__xludf.DUMMYFUNCTION("""COMPUTED_VALUE"""),0.0)</f>
        <v>0</v>
      </c>
      <c r="I23" s="7">
        <f>IFERROR(__xludf.DUMMYFUNCTION("""COMPUTED_VALUE"""),21.0)</f>
        <v>21</v>
      </c>
      <c r="J23" s="6">
        <f>IFERROR(__xludf.DUMMYFUNCTION("""COMPUTED_VALUE"""),0.0)</f>
        <v>0</v>
      </c>
      <c r="K23" s="6">
        <f>IFERROR(__xludf.DUMMYFUNCTION("""COMPUTED_VALUE"""),0.0)</f>
        <v>0</v>
      </c>
      <c r="L23" s="3"/>
      <c r="M23" s="3"/>
    </row>
    <row r="24" ht="48.0" customHeight="1">
      <c r="A24" s="3" t="str">
        <f>IFERROR(__xludf.DUMMYFUNCTION("""COMPUTED_VALUE"""),"EZCS-DL05")</f>
        <v>EZCS-DL05</v>
      </c>
      <c r="B24" s="4" t="str">
        <f>IFERROR(__xludf.DUMMYFUNCTION("""COMPUTED_VALUE"""),"CAMARA WIFI")</f>
        <v>CAMARA WIFI</v>
      </c>
      <c r="C24" s="4" t="str">
        <f>IFERROR(__xludf.DUMMYFUNCTION("""COMPUTED_VALUE"""),"Cerradura Inteligente Huella Dactilar, proximidad y código, conexión WiFi")</f>
        <v>Cerradura Inteligente Huella Dactilar, proximidad y código, conexión WiFi</v>
      </c>
      <c r="D24" s="4" t="str">
        <f>IFERROR(__xludf.DUMMYFUNCTION("""COMPUTED_VALUE"""),"EZVIZ")</f>
        <v>EZVIZ</v>
      </c>
      <c r="E24" s="4" t="str">
        <f>IFERROR(__xludf.DUMMYFUNCTION("""COMPUTED_VALUE"""),"EZCS-DL05")</f>
        <v>EZCS-DL05</v>
      </c>
      <c r="F24" s="4" t="str">
        <f>IFERROR(__xludf.DUMMYFUNCTION("""COMPUTED_VALUE"""),"CCTV &gt; CAMARAS IP WIFI")</f>
        <v>CCTV &gt; CAMARAS IP WIFI</v>
      </c>
      <c r="G24" s="5"/>
      <c r="H24" s="6">
        <f>IFERROR(__xludf.DUMMYFUNCTION("""COMPUTED_VALUE"""),198.0)</f>
        <v>198</v>
      </c>
      <c r="I24" s="7">
        <f>IFERROR(__xludf.DUMMYFUNCTION("""COMPUTED_VALUE"""),21.0)</f>
        <v>21</v>
      </c>
      <c r="J24" s="6">
        <f>IFERROR(__xludf.DUMMYFUNCTION("""COMPUTED_VALUE"""),237.6)</f>
        <v>237.6</v>
      </c>
      <c r="K24" s="6">
        <f>IFERROR(__xludf.DUMMYFUNCTION("""COMPUTED_VALUE"""),277.2)</f>
        <v>277.2</v>
      </c>
      <c r="L24" s="3"/>
      <c r="M24" s="3"/>
    </row>
    <row r="25" ht="48.0" customHeight="1">
      <c r="A25" s="3" t="str">
        <f>IFERROR(__xludf.DUMMYFUNCTION("""COMPUTED_VALUE"""),"EZL2")</f>
        <v>EZL2</v>
      </c>
      <c r="B25" s="4" t="str">
        <f>IFERROR(__xludf.DUMMYFUNCTION("""COMPUTED_VALUE"""),"CAMARA")</f>
        <v>CAMARA</v>
      </c>
      <c r="C25" s="4" t="str">
        <f>IFERROR(__xludf.DUMMYFUNCTION("""COMPUTED_VALUE"""),"Cerradura Inteligente Huella Dactilar, proximidad y código.")</f>
        <v>Cerradura Inteligente Huella Dactilar, proximidad y código.</v>
      </c>
      <c r="D25" s="4" t="str">
        <f>IFERROR(__xludf.DUMMYFUNCTION("""COMPUTED_VALUE"""),"EZVIZ")</f>
        <v>EZVIZ</v>
      </c>
      <c r="E25" s="4" t="str">
        <f>IFERROR(__xludf.DUMMYFUNCTION("""COMPUTED_VALUE"""),"EZL2")</f>
        <v>EZL2</v>
      </c>
      <c r="F25" s="4" t="str">
        <f>IFERROR(__xludf.DUMMYFUNCTION("""COMPUTED_VALUE"""),"CCTV &gt; CAMARAS IP WIFI")</f>
        <v>CCTV &gt; CAMARAS IP WIFI</v>
      </c>
      <c r="G25" s="5"/>
      <c r="H25" s="6">
        <f>IFERROR(__xludf.DUMMYFUNCTION("""COMPUTED_VALUE"""),176.0)</f>
        <v>176</v>
      </c>
      <c r="I25" s="7">
        <f>IFERROR(__xludf.DUMMYFUNCTION("""COMPUTED_VALUE"""),21.0)</f>
        <v>21</v>
      </c>
      <c r="J25" s="6">
        <f>IFERROR(__xludf.DUMMYFUNCTION("""COMPUTED_VALUE"""),211.2)</f>
        <v>211.2</v>
      </c>
      <c r="K25" s="6">
        <f>IFERROR(__xludf.DUMMYFUNCTION("""COMPUTED_VALUE"""),246.4)</f>
        <v>246.4</v>
      </c>
      <c r="L25" s="3"/>
      <c r="M25" s="3"/>
    </row>
    <row r="26" ht="48.0" customHeight="1">
      <c r="A26" s="3" t="str">
        <f>IFERROR(__xludf.DUMMYFUNCTION("""COMPUTED_VALUE"""),"EZL2S")</f>
        <v>EZL2S</v>
      </c>
      <c r="B26" s="4" t="str">
        <f>IFERROR(__xludf.DUMMYFUNCTION("""COMPUTED_VALUE"""),"CAMARA WIFI")</f>
        <v>CAMARA WIFI</v>
      </c>
      <c r="C26" s="4" t="str">
        <f>IFERROR(__xludf.DUMMYFUNCTION("""COMPUTED_VALUE"""),"Cerradura Inteligente Huella Dactilar, proximidad y código, conexión WiFi")</f>
        <v>Cerradura Inteligente Huella Dactilar, proximidad y código, conexión WiFi</v>
      </c>
      <c r="D26" s="4" t="str">
        <f>IFERROR(__xludf.DUMMYFUNCTION("""COMPUTED_VALUE"""),"EZVIZ")</f>
        <v>EZVIZ</v>
      </c>
      <c r="E26" s="4" t="str">
        <f>IFERROR(__xludf.DUMMYFUNCTION("""COMPUTED_VALUE"""),"EZL2S")</f>
        <v>EZL2S</v>
      </c>
      <c r="F26" s="4" t="str">
        <f>IFERROR(__xludf.DUMMYFUNCTION("""COMPUTED_VALUE"""),"CCTV &gt; CAMARAS IP WIFI")</f>
        <v>CCTV &gt; CAMARAS IP WIFI</v>
      </c>
      <c r="G26" s="5"/>
      <c r="H26" s="6">
        <f>IFERROR(__xludf.DUMMYFUNCTION("""COMPUTED_VALUE"""),198.0)</f>
        <v>198</v>
      </c>
      <c r="I26" s="7">
        <f>IFERROR(__xludf.DUMMYFUNCTION("""COMPUTED_VALUE"""),21.0)</f>
        <v>21</v>
      </c>
      <c r="J26" s="6">
        <f>IFERROR(__xludf.DUMMYFUNCTION("""COMPUTED_VALUE"""),237.6)</f>
        <v>237.6</v>
      </c>
      <c r="K26" s="6">
        <f>IFERROR(__xludf.DUMMYFUNCTION("""COMPUTED_VALUE"""),277.2)</f>
        <v>277.2</v>
      </c>
      <c r="L26" s="3"/>
      <c r="M26" s="3"/>
    </row>
    <row r="27" ht="48.0" customHeight="1">
      <c r="A27" s="3" t="str">
        <f>IFERROR(__xludf.DUMMYFUNCTION("""COMPUTED_VALUE"""),"EZCS-DL03-PRO")</f>
        <v>EZCS-DL03-PRO</v>
      </c>
      <c r="B27" s="4" t="str">
        <f>IFERROR(__xludf.DUMMYFUNCTION("""COMPUTED_VALUE"""),"CAMARA WIFI")</f>
        <v>CAMARA WIFI</v>
      </c>
      <c r="C27" s="4" t="str">
        <f>IFERROR(__xludf.DUMMYFUNCTION("""COMPUTED_VALUE"""),"Cerradura Biometrica Inteligente Wifi App Desbloqueo por huella dactilar. Múltiples métodos de desbloqueo. Comprobación del estado de la cerradura y alertas en tiempo real. Desbloqueo y controles remotos de la aplicación EZVIZ. Cuerpo de cerradura resiste"&amp;"nte. Alarma anti-manipulación")</f>
        <v>Cerradura Biometrica Inteligente Wifi App Desbloqueo por huella dactilar. Múltiples métodos de desbloqueo. Comprobación del estado de la cerradura y alertas en tiempo real. Desbloqueo y controles remotos de la aplicación EZVIZ. Cuerpo de cerradura resistente. Alarma anti-manipulación</v>
      </c>
      <c r="D27" s="4" t="str">
        <f>IFERROR(__xludf.DUMMYFUNCTION("""COMPUTED_VALUE"""),"EZVIZ")</f>
        <v>EZVIZ</v>
      </c>
      <c r="E27" s="4" t="str">
        <f>IFERROR(__xludf.DUMMYFUNCTION("""COMPUTED_VALUE"""),"EZCS-DL03-PRO")</f>
        <v>EZCS-DL03-PRO</v>
      </c>
      <c r="F27" s="4" t="str">
        <f>IFERROR(__xludf.DUMMYFUNCTION("""COMPUTED_VALUE"""),"CCTV &gt; CAMARAS IP WIFI")</f>
        <v>CCTV &gt; CAMARAS IP WIFI</v>
      </c>
      <c r="G27" s="5"/>
      <c r="H27" s="6">
        <f>IFERROR(__xludf.DUMMYFUNCTION("""COMPUTED_VALUE"""),112.98)</f>
        <v>112.98</v>
      </c>
      <c r="I27" s="7">
        <f>IFERROR(__xludf.DUMMYFUNCTION("""COMPUTED_VALUE"""),21.0)</f>
        <v>21</v>
      </c>
      <c r="J27" s="6">
        <f>IFERROR(__xludf.DUMMYFUNCTION("""COMPUTED_VALUE"""),135.58)</f>
        <v>135.58</v>
      </c>
      <c r="K27" s="6">
        <f>IFERROR(__xludf.DUMMYFUNCTION("""COMPUTED_VALUE"""),158.17)</f>
        <v>158.17</v>
      </c>
      <c r="L27" s="3"/>
      <c r="M27" s="3"/>
    </row>
    <row r="28" ht="48.0" customHeight="1">
      <c r="A28" s="3" t="str">
        <f>IFERROR(__xludf.DUMMYFUNCTION("""COMPUTED_VALUE"""),"EZDLICCPUEZ")</f>
        <v>EZDLICCPUEZ</v>
      </c>
      <c r="B28" s="4" t="str">
        <f>IFERROR(__xludf.DUMMYFUNCTION("""COMPUTED_VALUE"""),"CAMARA")</f>
        <v>CAMARA</v>
      </c>
      <c r="C28" s="4" t="str">
        <f>IFERROR(__xludf.DUMMYFUNCTION("""COMPUTED_VALUE"""),"Tag de proximidad para cerradura L2")</f>
        <v>Tag de proximidad para cerradura L2</v>
      </c>
      <c r="D28" s="4" t="str">
        <f>IFERROR(__xludf.DUMMYFUNCTION("""COMPUTED_VALUE"""),"EZVIZ")</f>
        <v>EZVIZ</v>
      </c>
      <c r="E28" s="4" t="str">
        <f>IFERROR(__xludf.DUMMYFUNCTION("""COMPUTED_VALUE"""),"EZDLICCPUEZ")</f>
        <v>EZDLICCPUEZ</v>
      </c>
      <c r="F28" s="4" t="str">
        <f>IFERROR(__xludf.DUMMYFUNCTION("""COMPUTED_VALUE"""),"CCTV &gt; CAMARAS IP WIFI")</f>
        <v>CCTV &gt; CAMARAS IP WIFI</v>
      </c>
      <c r="G28" s="5"/>
      <c r="H28" s="6">
        <f>IFERROR(__xludf.DUMMYFUNCTION("""COMPUTED_VALUE"""),13.2)</f>
        <v>13.2</v>
      </c>
      <c r="I28" s="7">
        <f>IFERROR(__xludf.DUMMYFUNCTION("""COMPUTED_VALUE"""),21.0)</f>
        <v>21</v>
      </c>
      <c r="J28" s="6">
        <f>IFERROR(__xludf.DUMMYFUNCTION("""COMPUTED_VALUE"""),15.84)</f>
        <v>15.84</v>
      </c>
      <c r="K28" s="6">
        <f>IFERROR(__xludf.DUMMYFUNCTION("""COMPUTED_VALUE"""),18.48)</f>
        <v>18.48</v>
      </c>
      <c r="L28" s="3"/>
      <c r="M28" s="3"/>
    </row>
    <row r="29" ht="48.0" customHeight="1">
      <c r="A29" s="3" t="str">
        <f>IFERROR(__xludf.DUMMYFUNCTION("""COMPUTED_VALUE"""),"EZCMTSOLAR")</f>
        <v>EZCMTSOLAR</v>
      </c>
      <c r="B29" s="4" t="str">
        <f>IFERROR(__xludf.DUMMYFUNCTION("""COMPUTED_VALUE"""),"CAMARA SOLAR")</f>
        <v>CAMARA SOLAR</v>
      </c>
      <c r="C29" s="4" t="str">
        <f>IFERROR(__xludf.DUMMYFUNCTION("""COMPUTED_VALUE"""),"Panel solar Power Voltage 6V ±5%, Max. Power Current 1030mA ±5%, Max. Power 6.18W, Solar Cell Efficiency 21.6%, Operation Temperature -20℃ ~60℃(-4℉~140℉)Humidity 90% or less (non-condensing), IP65")</f>
        <v>Panel solar Power Voltage 6V ±5%, Max. Power Current 1030mA ±5%, Max. Power 6.18W, Solar Cell Efficiency 21.6%, Operation Temperature -20℃ ~60℃(-4℉~140℉)Humidity 90% or less (non-condensing), IP65</v>
      </c>
      <c r="D29" s="4" t="str">
        <f>IFERROR(__xludf.DUMMYFUNCTION("""COMPUTED_VALUE"""),"EZVIZ")</f>
        <v>EZVIZ</v>
      </c>
      <c r="E29" s="4" t="str">
        <f>IFERROR(__xludf.DUMMYFUNCTION("""COMPUTED_VALUE"""),"EZCMTSOLAR")</f>
        <v>EZCMTSOLAR</v>
      </c>
      <c r="F29" s="4" t="str">
        <f>IFERROR(__xludf.DUMMYFUNCTION("""COMPUTED_VALUE"""),"CCTV &gt; CAMARAS IP SOLARES")</f>
        <v>CCTV &gt; CAMARAS IP SOLARES</v>
      </c>
      <c r="G29" s="5"/>
      <c r="H29" s="6">
        <f>IFERROR(__xludf.DUMMYFUNCTION("""COMPUTED_VALUE"""),35.37)</f>
        <v>35.37</v>
      </c>
      <c r="I29" s="7">
        <f>IFERROR(__xludf.DUMMYFUNCTION("""COMPUTED_VALUE"""),21.0)</f>
        <v>21</v>
      </c>
      <c r="J29" s="6">
        <f>IFERROR(__xludf.DUMMYFUNCTION("""COMPUTED_VALUE"""),42.44)</f>
        <v>42.44</v>
      </c>
      <c r="K29" s="6">
        <f>IFERROR(__xludf.DUMMYFUNCTION("""COMPUTED_VALUE"""),49.52)</f>
        <v>49.52</v>
      </c>
      <c r="L29" s="3"/>
      <c r="M29" s="3"/>
    </row>
    <row r="30" ht="48.0" customHeight="1">
      <c r="A30" s="3" t="str">
        <f>IFERROR(__xludf.DUMMYFUNCTION("""COMPUTED_VALUE"""),"EZB1")</f>
        <v>EZB1</v>
      </c>
      <c r="B30" s="4" t="str">
        <f>IFERROR(__xludf.DUMMYFUNCTION("""COMPUTED_VALUE"""),"CAMARA")</f>
        <v>CAMARA</v>
      </c>
      <c r="C30" s="4" t="str">
        <f>IFERROR(__xludf.DUMMYFUNCTION("""COMPUTED_VALUE"""),"Kit de alarma, incluye: gateway con sirena incluida, mas detector de movimiento, contacto magnetico y pulsador de emergencia")</f>
        <v>Kit de alarma, incluye: gateway con sirena incluida, mas detector de movimiento, contacto magnetico y pulsador de emergencia</v>
      </c>
      <c r="D30" s="4" t="str">
        <f>IFERROR(__xludf.DUMMYFUNCTION("""COMPUTED_VALUE"""),"EZVIZ")</f>
        <v>EZVIZ</v>
      </c>
      <c r="E30" s="4" t="str">
        <f>IFERROR(__xludf.DUMMYFUNCTION("""COMPUTED_VALUE"""),"EZB1")</f>
        <v>EZB1</v>
      </c>
      <c r="F30" s="4" t="str">
        <f>IFERROR(__xludf.DUMMYFUNCTION("""COMPUTED_VALUE"""),"CCTV &gt; CAMARAS IP WIFI")</f>
        <v>CCTV &gt; CAMARAS IP WIFI</v>
      </c>
      <c r="G30" s="5"/>
      <c r="H30" s="6">
        <f>IFERROR(__xludf.DUMMYFUNCTION("""COMPUTED_VALUE"""),93.5)</f>
        <v>93.5</v>
      </c>
      <c r="I30" s="7">
        <f>IFERROR(__xludf.DUMMYFUNCTION("""COMPUTED_VALUE"""),21.0)</f>
        <v>21</v>
      </c>
      <c r="J30" s="6">
        <f>IFERROR(__xludf.DUMMYFUNCTION("""COMPUTED_VALUE"""),112.2)</f>
        <v>112.2</v>
      </c>
      <c r="K30" s="6">
        <f>IFERROR(__xludf.DUMMYFUNCTION("""COMPUTED_VALUE"""),130.9)</f>
        <v>130.9</v>
      </c>
      <c r="L30" s="3"/>
      <c r="M30" s="3"/>
    </row>
    <row r="31" ht="48.0" customHeight="1">
      <c r="A31" s="3" t="str">
        <f>IFERROR(__xludf.DUMMYFUNCTION("""COMPUTED_VALUE"""),"EZT1C")</f>
        <v>EZT1C</v>
      </c>
      <c r="B31" s="4" t="str">
        <f>IFERROR(__xludf.DUMMYFUNCTION("""COMPUTED_VALUE"""),"CAMARA")</f>
        <v>CAMARA</v>
      </c>
      <c r="C31" s="4" t="str">
        <f>IFERROR(__xludf.DUMMYFUNCTION("""COMPUTED_VALUE"""),"Detector de movimiento inalambrico cobertura hasta 7 metros angulo 90° Horizontal por 90° Vertical, Protocolo ZigBee 3.0, Wireless Frequency 2.4 GHz, Distancia de comunicacion &gt; 250m (area abierta). Alimentacion DC 3V de 10μA a 25mA")</f>
        <v>Detector de movimiento inalambrico cobertura hasta 7 metros angulo 90° Horizontal por 90° Vertical, Protocolo ZigBee 3.0, Wireless Frequency 2.4 GHz, Distancia de comunicacion &gt; 250m (area abierta). Alimentacion DC 3V de 10μA a 25mA</v>
      </c>
      <c r="D31" s="4" t="str">
        <f>IFERROR(__xludf.DUMMYFUNCTION("""COMPUTED_VALUE"""),"EZVIZ")</f>
        <v>EZVIZ</v>
      </c>
      <c r="E31" s="4" t="str">
        <f>IFERROR(__xludf.DUMMYFUNCTION("""COMPUTED_VALUE"""),"EZT1C")</f>
        <v>EZT1C</v>
      </c>
      <c r="F31" s="4" t="str">
        <f>IFERROR(__xludf.DUMMYFUNCTION("""COMPUTED_VALUE"""),"CCTV &gt; CAMARAS IP WIFI")</f>
        <v>CCTV &gt; CAMARAS IP WIFI</v>
      </c>
      <c r="G31" s="5"/>
      <c r="H31" s="6">
        <f>IFERROR(__xludf.DUMMYFUNCTION("""COMPUTED_VALUE"""),19.38)</f>
        <v>19.38</v>
      </c>
      <c r="I31" s="7">
        <f>IFERROR(__xludf.DUMMYFUNCTION("""COMPUTED_VALUE"""),21.0)</f>
        <v>21</v>
      </c>
      <c r="J31" s="6">
        <f>IFERROR(__xludf.DUMMYFUNCTION("""COMPUTED_VALUE"""),23.26)</f>
        <v>23.26</v>
      </c>
      <c r="K31" s="6">
        <f>IFERROR(__xludf.DUMMYFUNCTION("""COMPUTED_VALUE"""),27.13)</f>
        <v>27.13</v>
      </c>
      <c r="L31" s="3"/>
      <c r="M31" s="3"/>
    </row>
    <row r="32" ht="48.0" customHeight="1">
      <c r="A32" s="3" t="str">
        <f>IFERROR(__xludf.DUMMYFUNCTION("""COMPUTED_VALUE"""),"EZT2C")</f>
        <v>EZT2C</v>
      </c>
      <c r="B32" s="4" t="str">
        <f>IFERROR(__xludf.DUMMYFUNCTION("""COMPUTED_VALUE"""),"CAMARA")</f>
        <v>CAMARA</v>
      </c>
      <c r="C32" s="4" t="str">
        <f>IFERROR(__xludf.DUMMYFUNCTION("""COMPUTED_VALUE"""),"Sensor magnetico para puertas o ventanas gap madera 25mm±5mm, gap metal 15mm±5mm, recordatorio de baja bateria y antidesarme. protocolo ZigBee 3.0, Wireless Frequency 2.4 GHz, Distancia de comunicacion &gt; 250m (area abierta). Alimentacion DC 3V")</f>
        <v>Sensor magnetico para puertas o ventanas gap madera 25mm±5mm, gap metal 15mm±5mm, recordatorio de baja bateria y antidesarme. protocolo ZigBee 3.0, Wireless Frequency 2.4 GHz, Distancia de comunicacion &gt; 250m (area abierta). Alimentacion DC 3V</v>
      </c>
      <c r="D32" s="4" t="str">
        <f>IFERROR(__xludf.DUMMYFUNCTION("""COMPUTED_VALUE"""),"EZVIZ")</f>
        <v>EZVIZ</v>
      </c>
      <c r="E32" s="4" t="str">
        <f>IFERROR(__xludf.DUMMYFUNCTION("""COMPUTED_VALUE"""),"EZT2C")</f>
        <v>EZT2C</v>
      </c>
      <c r="F32" s="4" t="str">
        <f>IFERROR(__xludf.DUMMYFUNCTION("""COMPUTED_VALUE"""),"CCTV &gt; CAMARAS IP WIFI")</f>
        <v>CCTV &gt; CAMARAS IP WIFI</v>
      </c>
      <c r="G32" s="5"/>
      <c r="H32" s="6">
        <f>IFERROR(__xludf.DUMMYFUNCTION("""COMPUTED_VALUE"""),15.07)</f>
        <v>15.07</v>
      </c>
      <c r="I32" s="7">
        <f>IFERROR(__xludf.DUMMYFUNCTION("""COMPUTED_VALUE"""),21.0)</f>
        <v>21</v>
      </c>
      <c r="J32" s="6">
        <f>IFERROR(__xludf.DUMMYFUNCTION("""COMPUTED_VALUE"""),18.08)</f>
        <v>18.08</v>
      </c>
      <c r="K32" s="6">
        <f>IFERROR(__xludf.DUMMYFUNCTION("""COMPUTED_VALUE"""),21.1)</f>
        <v>21.1</v>
      </c>
      <c r="L32" s="3"/>
      <c r="M32" s="3"/>
    </row>
    <row r="33" ht="48.0" customHeight="1">
      <c r="A33" s="3" t="str">
        <f>IFERROR(__xludf.DUMMYFUNCTION("""COMPUTED_VALUE"""),"EZT3C")</f>
        <v>EZT3C</v>
      </c>
      <c r="B33" s="4" t="str">
        <f>IFERROR(__xludf.DUMMYFUNCTION("""COMPUTED_VALUE"""),"CAMARA")</f>
        <v>CAMARA</v>
      </c>
      <c r="C33" s="4" t="str">
        <f>IFERROR(__xludf.DUMMYFUNCTION("""COMPUTED_VALUE"""),"Pulsador de emergencia y de armado de central de alarmas, recordatorio de baja bateria y antidesarme. protocolo ZigBee 3.0, Wireless Frequency 2.4 GHz, Distancia de comunicacion &gt; 250m (area abierta). Alimentacion DC 3V")</f>
        <v>Pulsador de emergencia y de armado de central de alarmas, recordatorio de baja bateria y antidesarme. protocolo ZigBee 3.0, Wireless Frequency 2.4 GHz, Distancia de comunicacion &gt; 250m (area abierta). Alimentacion DC 3V</v>
      </c>
      <c r="D33" s="4" t="str">
        <f>IFERROR(__xludf.DUMMYFUNCTION("""COMPUTED_VALUE"""),"EZVIZ")</f>
        <v>EZVIZ</v>
      </c>
      <c r="E33" s="4" t="str">
        <f>IFERROR(__xludf.DUMMYFUNCTION("""COMPUTED_VALUE"""),"EZT3C")</f>
        <v>EZT3C</v>
      </c>
      <c r="F33" s="4" t="str">
        <f>IFERROR(__xludf.DUMMYFUNCTION("""COMPUTED_VALUE"""),"CCTV &gt; CAMARAS IP WIFI")</f>
        <v>CCTV &gt; CAMARAS IP WIFI</v>
      </c>
      <c r="G33" s="5"/>
      <c r="H33" s="6">
        <f>IFERROR(__xludf.DUMMYFUNCTION("""COMPUTED_VALUE"""),17.23)</f>
        <v>17.23</v>
      </c>
      <c r="I33" s="7">
        <f>IFERROR(__xludf.DUMMYFUNCTION("""COMPUTED_VALUE"""),21.0)</f>
        <v>21</v>
      </c>
      <c r="J33" s="6">
        <f>IFERROR(__xludf.DUMMYFUNCTION("""COMPUTED_VALUE"""),20.68)</f>
        <v>20.68</v>
      </c>
      <c r="K33" s="6">
        <f>IFERROR(__xludf.DUMMYFUNCTION("""COMPUTED_VALUE"""),24.12)</f>
        <v>24.12</v>
      </c>
      <c r="L33" s="3"/>
      <c r="M33" s="3"/>
    </row>
    <row r="34" ht="48.0" customHeight="1">
      <c r="A34" s="3" t="str">
        <f>IFERROR(__xludf.DUMMYFUNCTION("""COMPUTED_VALUE"""),"EZT10C")</f>
        <v>EZT10C</v>
      </c>
      <c r="B34" s="4" t="str">
        <f>IFERROR(__xludf.DUMMYFUNCTION("""COMPUTED_VALUE"""),"CAMARA")</f>
        <v>CAMARA</v>
      </c>
      <c r="C34" s="4" t="str">
        <f>IFERROR(__xludf.DUMMYFUNCTION("""COMPUTED_VALUE"""),"Sensor de inundacion IP67 recordatorio de baja bateria，protocolo ZigBee 3.0, Wireless Frequency 2.4 GHz, Distancia de comunicacion &lt; 200 m (area abierta). Alimentacion CR2032 Battery life Up to 1 año")</f>
        <v>Sensor de inundacion IP67 recordatorio de baja bateria，protocolo ZigBee 3.0, Wireless Frequency 2.4 GHz, Distancia de comunicacion &lt; 200 m (area abierta). Alimentacion CR2032 Battery life Up to 1 año</v>
      </c>
      <c r="D34" s="4" t="str">
        <f>IFERROR(__xludf.DUMMYFUNCTION("""COMPUTED_VALUE"""),"EZVIZ")</f>
        <v>EZVIZ</v>
      </c>
      <c r="E34" s="4" t="str">
        <f>IFERROR(__xludf.DUMMYFUNCTION("""COMPUTED_VALUE"""),"EZT10C")</f>
        <v>EZT10C</v>
      </c>
      <c r="F34" s="4" t="str">
        <f>IFERROR(__xludf.DUMMYFUNCTION("""COMPUTED_VALUE"""),"CCTV &gt; CAMARAS IP WIFI")</f>
        <v>CCTV &gt; CAMARAS IP WIFI</v>
      </c>
      <c r="G34" s="5"/>
      <c r="H34" s="6">
        <f>IFERROR(__xludf.DUMMYFUNCTION("""COMPUTED_VALUE"""),15.07)</f>
        <v>15.07</v>
      </c>
      <c r="I34" s="7">
        <f>IFERROR(__xludf.DUMMYFUNCTION("""COMPUTED_VALUE"""),21.0)</f>
        <v>21</v>
      </c>
      <c r="J34" s="6">
        <f>IFERROR(__xludf.DUMMYFUNCTION("""COMPUTED_VALUE"""),18.08)</f>
        <v>18.08</v>
      </c>
      <c r="K34" s="6">
        <f>IFERROR(__xludf.DUMMYFUNCTION("""COMPUTED_VALUE"""),21.1)</f>
        <v>21.1</v>
      </c>
      <c r="L34" s="3"/>
      <c r="M34" s="3"/>
    </row>
    <row r="35" ht="48.0" customHeight="1">
      <c r="A35" s="3" t="str">
        <f>IFERROR(__xludf.DUMMYFUNCTION("""COMPUTED_VALUE"""),"EZBM1BE")</f>
        <v>EZBM1BE</v>
      </c>
      <c r="B35" s="4" t="str">
        <f>IFERROR(__xludf.DUMMYFUNCTION("""COMPUTED_VALUE"""),"CAMARA 1080P")</f>
        <v>CAMARA 1080P</v>
      </c>
      <c r="C35" s="4" t="str">
        <f>IFERROR(__xludf.DUMMYFUNCTION("""COMPUTED_VALUE"""),"Monitor de bebe (Baby call) con forma de oso, incluye bateria recargable, deteccion de llanto de bebe y alertas de actividad y musica ambiental. Batteria (2,000 mAh) Vison noctura sin luz visible resolucion1080p. Audio doble via Integracion con Google Ass"&amp;"istant &amp; Amazon Alexa. Soporta MicroSD Cards (Up to 256 GB) &amp; EZVIZ Cloud Storage Strict Data &amp; Privacy Protection")</f>
        <v>Monitor de bebe (Baby call) con forma de oso, incluye bateria recargable, deteccion de llanto de bebe y alertas de actividad y musica ambiental. Batteria (2,000 mAh) Vison noctura sin luz visible resolucion1080p. Audio doble via Integracion con Google Assistant &amp; Amazon Alexa. Soporta MicroSD Cards (Up to 256 GB) &amp; EZVIZ Cloud Storage Strict Data &amp; Privacy Protection</v>
      </c>
      <c r="D35" s="4" t="str">
        <f>IFERROR(__xludf.DUMMYFUNCTION("""COMPUTED_VALUE"""),"EZVIZ")</f>
        <v>EZVIZ</v>
      </c>
      <c r="E35" s="4" t="str">
        <f>IFERROR(__xludf.DUMMYFUNCTION("""COMPUTED_VALUE"""),"EZBM1BE")</f>
        <v>EZBM1BE</v>
      </c>
      <c r="F35" s="4" t="str">
        <f>IFERROR(__xludf.DUMMYFUNCTION("""COMPUTED_VALUE"""),"CCTV &gt; CAMARAS IP WIFI")</f>
        <v>CCTV &gt; CAMARAS IP WIFI</v>
      </c>
      <c r="G35" s="5"/>
      <c r="H35" s="6">
        <f>IFERROR(__xludf.DUMMYFUNCTION("""COMPUTED_VALUE"""),139.7)</f>
        <v>139.7</v>
      </c>
      <c r="I35" s="7">
        <f>IFERROR(__xludf.DUMMYFUNCTION("""COMPUTED_VALUE"""),21.0)</f>
        <v>21</v>
      </c>
      <c r="J35" s="6">
        <f>IFERROR(__xludf.DUMMYFUNCTION("""COMPUTED_VALUE"""),167.64)</f>
        <v>167.64</v>
      </c>
      <c r="K35" s="6">
        <f>IFERROR(__xludf.DUMMYFUNCTION("""COMPUTED_VALUE"""),195.58)</f>
        <v>195.58</v>
      </c>
      <c r="L35" s="3"/>
      <c r="M35" s="3"/>
    </row>
    <row r="36" ht="48.0" customHeight="1">
      <c r="A36" s="3" t="str">
        <f>IFERROR(__xludf.DUMMYFUNCTION("""COMPUTED_VALUE"""),"EZC3X")</f>
        <v>EZC3X</v>
      </c>
      <c r="B36" s="4" t="str">
        <f>IFERROR(__xludf.DUMMYFUNCTION("""COMPUTED_VALUE"""),"CAMARA WIFI")</f>
        <v>CAMARA WIFI</v>
      </c>
      <c r="C36" s="4" t="str">
        <f>IFERROR(__xludf.DUMMYFUNCTION("""COMPUTED_VALUE"""),"EZ3106B2L28 Camara wifi de lente doble con AI integrada: Lente doble inteligente. Grado de proteccion IP67 contra el agua y polvo Defensa activa con sirena y luz estroboscopica. Compresion de video H.265. Deteccion de siluetas de personas y vehiculos. Alg"&amp;"oritmo de aprendizaje profundo de AI incluido. Vision nocturna en color. Alertas de voz personalizables.")</f>
        <v>EZ3106B2L28 Camara wifi de lente doble con AI integrada: Lente doble inteligente. Grado de proteccion IP67 contra el agua y polvo Defensa activa con sirena y luz estroboscopica. Compresion de video H.265. Deteccion de siluetas de personas y vehiculos. Algoritmo de aprendizaje profundo de AI incluido. Vision nocturna en color. Alertas de voz personalizables.</v>
      </c>
      <c r="D36" s="4" t="str">
        <f>IFERROR(__xludf.DUMMYFUNCTION("""COMPUTED_VALUE"""),"EZVIZ")</f>
        <v>EZVIZ</v>
      </c>
      <c r="E36" s="4" t="str">
        <f>IFERROR(__xludf.DUMMYFUNCTION("""COMPUTED_VALUE"""),"EZC3X")</f>
        <v>EZC3X</v>
      </c>
      <c r="F36" s="4" t="str">
        <f>IFERROR(__xludf.DUMMYFUNCTION("""COMPUTED_VALUE"""),"CCTV &gt; CAMARAS IP WIFI")</f>
        <v>CCTV &gt; CAMARAS IP WIFI</v>
      </c>
      <c r="G36" s="5"/>
      <c r="H36" s="6">
        <f>IFERROR(__xludf.DUMMYFUNCTION("""COMPUTED_VALUE"""),66.0)</f>
        <v>66</v>
      </c>
      <c r="I36" s="7">
        <f>IFERROR(__xludf.DUMMYFUNCTION("""COMPUTED_VALUE"""),21.0)</f>
        <v>21</v>
      </c>
      <c r="J36" s="6">
        <f>IFERROR(__xludf.DUMMYFUNCTION("""COMPUTED_VALUE"""),79.2)</f>
        <v>79.2</v>
      </c>
      <c r="K36" s="6">
        <f>IFERROR(__xludf.DUMMYFUNCTION("""COMPUTED_VALUE"""),92.4)</f>
        <v>92.4</v>
      </c>
      <c r="L36" s="3"/>
      <c r="M36" s="3"/>
    </row>
    <row r="37" ht="48.0" customHeight="1">
      <c r="A37" s="3" t="str">
        <f>IFERROR(__xludf.DUMMYFUNCTION("""COMPUTED_VALUE"""),"EZCMTBRACKET")</f>
        <v>EZCMTBRACKET</v>
      </c>
      <c r="B37" s="4" t="str">
        <f>IFERROR(__xludf.DUMMYFUNCTION("""COMPUTED_VALUE"""),"SOPORTE DE PARED COMPATIBLE CON LA SERIE C6 DE EZVIZ Y LA CÁMARA C4W")</f>
        <v>SOPORTE DE PARED COMPATIBLE CON LA SERIE C6 DE EZVIZ Y LA CÁMARA C4W</v>
      </c>
      <c r="C37" s="4" t="str">
        <f>IFERROR(__xludf.DUMMYFUNCTION("""COMPUTED_VALUE"""),"Soporte de pared compatible con la serie C6 de EZVIZ y la cámara C4W. Dimensiones 153,3 × 113,4 × 55 mm")</f>
        <v>Soporte de pared compatible con la serie C6 de EZVIZ y la cámara C4W. Dimensiones 153,3 × 113,4 × 55 mm</v>
      </c>
      <c r="D37" s="4" t="str">
        <f>IFERROR(__xludf.DUMMYFUNCTION("""COMPUTED_VALUE"""),"EZVIZ")</f>
        <v>EZVIZ</v>
      </c>
      <c r="E37" s="4" t="str">
        <f>IFERROR(__xludf.DUMMYFUNCTION("""COMPUTED_VALUE"""),"EZCMTBRACKET")</f>
        <v>EZCMTBRACKET</v>
      </c>
      <c r="F37" s="4" t="str">
        <f>IFERROR(__xludf.DUMMYFUNCTION("""COMPUTED_VALUE"""),"CCTV &gt; SOPORTES / ALOJAMIENTOS")</f>
        <v>CCTV &gt; SOPORTES / ALOJAMIENTOS</v>
      </c>
      <c r="G37" s="5"/>
      <c r="H37" s="6">
        <f>IFERROR(__xludf.DUMMYFUNCTION("""COMPUTED_VALUE"""),8.38)</f>
        <v>8.38</v>
      </c>
      <c r="I37" s="7">
        <f>IFERROR(__xludf.DUMMYFUNCTION("""COMPUTED_VALUE"""),21.0)</f>
        <v>21</v>
      </c>
      <c r="J37" s="6">
        <f>IFERROR(__xludf.DUMMYFUNCTION("""COMPUTED_VALUE"""),10.06)</f>
        <v>10.06</v>
      </c>
      <c r="K37" s="6">
        <f>IFERROR(__xludf.DUMMYFUNCTION("""COMPUTED_VALUE"""),11.73)</f>
        <v>11.73</v>
      </c>
      <c r="L37" s="3"/>
      <c r="M37" s="3"/>
    </row>
    <row r="38" ht="48.0" customHeight="1">
      <c r="A38" s="3" t="str">
        <f>IFERROR(__xludf.DUMMYFUNCTION("""COMPUTED_VALUE"""),"EZLC3")</f>
        <v>EZLC3</v>
      </c>
      <c r="B38" s="4" t="str">
        <f>IFERROR(__xludf.DUMMYFUNCTION("""COMPUTED_VALUE"""),"CAMARA WIFI 4MP")</f>
        <v>CAMARA WIFI 4MP</v>
      </c>
      <c r="C38" s="4" t="str">
        <f>IFERROR(__xludf.DUMMYFUNCTION("""COMPUTED_VALUE"""),"Camara 4MP(2560*1440) H.265, FOV 157° Diagonal, IR 10m(33ft), IP67, WiFi 2.4GHz, AI Human detection, two-way audio, 32GB EMMC memory card included, -30?- 50??110VAC-240VAC, product dimensions 86x280x120mm, 156x152x230mm. Light: SMD LED, 700LM, 3000K color"&amp;" temperature, IP65, birghtness adjustable.")</f>
        <v>Camara 4MP(2560*1440) H.265, FOV 157° Diagonal, IR 10m(33ft), IP67, WiFi 2.4GHz, AI Human detection, two-way audio, 32GB EMMC memory card included, -30?- 50??110VAC-240VAC, product dimensions 86x280x120mm, 156x152x230mm. Light: SMD LED, 700LM, 3000K color temperature, IP65, birghtness adjustable.</v>
      </c>
      <c r="D38" s="4" t="str">
        <f>IFERROR(__xludf.DUMMYFUNCTION("""COMPUTED_VALUE"""),"EZVIZ")</f>
        <v>EZVIZ</v>
      </c>
      <c r="E38" s="4" t="str">
        <f>IFERROR(__xludf.DUMMYFUNCTION("""COMPUTED_VALUE"""),"EZLC3")</f>
        <v>EZLC3</v>
      </c>
      <c r="F38" s="4" t="str">
        <f>IFERROR(__xludf.DUMMYFUNCTION("""COMPUTED_VALUE"""),"CCTV &gt; CAMARAS IP WIFI")</f>
        <v>CCTV &gt; CAMARAS IP WIFI</v>
      </c>
      <c r="G38" s="5"/>
      <c r="H38" s="6">
        <f>IFERROR(__xludf.DUMMYFUNCTION("""COMPUTED_VALUE"""),151.64)</f>
        <v>151.64</v>
      </c>
      <c r="I38" s="7">
        <f>IFERROR(__xludf.DUMMYFUNCTION("""COMPUTED_VALUE"""),21.0)</f>
        <v>21</v>
      </c>
      <c r="J38" s="6">
        <f>IFERROR(__xludf.DUMMYFUNCTION("""COMPUTED_VALUE"""),181.97)</f>
        <v>181.97</v>
      </c>
      <c r="K38" s="6">
        <f>IFERROR(__xludf.DUMMYFUNCTION("""COMPUTED_VALUE"""),212.3)</f>
        <v>212.3</v>
      </c>
      <c r="L38" s="3"/>
      <c r="M38" s="3"/>
    </row>
    <row r="39" ht="48.0" customHeight="1">
      <c r="A39" s="3" t="str">
        <f>IFERROR(__xludf.DUMMYFUNCTION("""COMPUTED_VALUE"""),"IPC-C22CP-D")</f>
        <v>IPC-C22CP-D</v>
      </c>
      <c r="B39" s="4" t="str">
        <f>IFERROR(__xludf.DUMMYFUNCTION("""COMPUTED_VALUE"""),"NVR")</f>
        <v>NVR</v>
      </c>
      <c r="C39" s="4" t="str">
        <f>IFERROR(__xludf.DUMMYFUNCTION("""COMPUTED_VALUE"""),"CUE 2C Cámara IP Wi-Fi 2Mpx H265 1080P Full HD Human Detection: Quickly find human targets in you home Built in Microphone Diversified Storage: Supports NVR, Cloud Storage or Micro SD card (up to 256GB) Excellent night vision, feel safe even in complete d"&amp;"arkness Wi-Fi Connection: IEEE802.11b/g/n(2.4GHz) INCLUYE FUENTE")</f>
        <v>CUE 2C Cámara IP Wi-Fi 2Mpx H265 1080P Full HD Human Detection: Quickly find human targets in you home Built in Microphone Diversified Storage: Supports NVR, Cloud Storage or Micro SD card (up to 256GB) Excellent night vision, feel safe even in complete darkness Wi-Fi Connection: IEEE802.11b/g/n(2.4GHz) INCLUYE FUENTE</v>
      </c>
      <c r="D39" s="4" t="str">
        <f>IFERROR(__xludf.DUMMYFUNCTION("""COMPUTED_VALUE"""),"IMOU")</f>
        <v>IMOU</v>
      </c>
      <c r="E39" s="4" t="str">
        <f>IFERROR(__xludf.DUMMYFUNCTION("""COMPUTED_VALUE"""),"IPC-C22CP-D")</f>
        <v>IPC-C22CP-D</v>
      </c>
      <c r="F39" s="4" t="str">
        <f>IFERROR(__xludf.DUMMYFUNCTION("""COMPUTED_VALUE"""),"CCTV &gt; GRABADORES NVR")</f>
        <v>CCTV &gt; GRABADORES NVR</v>
      </c>
      <c r="G39" s="5"/>
      <c r="H39" s="6">
        <f>IFERROR(__xludf.DUMMYFUNCTION("""COMPUTED_VALUE"""),23.46)</f>
        <v>23.46</v>
      </c>
      <c r="I39" s="7">
        <f>IFERROR(__xludf.DUMMYFUNCTION("""COMPUTED_VALUE"""),21.0)</f>
        <v>21</v>
      </c>
      <c r="J39" s="6">
        <f>IFERROR(__xludf.DUMMYFUNCTION("""COMPUTED_VALUE"""),28.15)</f>
        <v>28.15</v>
      </c>
      <c r="K39" s="6">
        <f>IFERROR(__xludf.DUMMYFUNCTION("""COMPUTED_VALUE"""),32.84)</f>
        <v>32.84</v>
      </c>
      <c r="L39" s="3"/>
      <c r="M39" s="3"/>
    </row>
    <row r="40" ht="48.0" customHeight="1">
      <c r="A40" s="3" t="str">
        <f>IFERROR(__xludf.DUMMYFUNCTION("""COMPUTED_VALUE"""),"IPC-C22EP-D")</f>
        <v>IPC-C22EP-D</v>
      </c>
      <c r="B40" s="4" t="str">
        <f>IFERROR(__xludf.DUMMYFUNCTION("""COMPUTED_VALUE"""),"CAMARA WIFI 2MP")</f>
        <v>CAMARA WIFI 2MP</v>
      </c>
      <c r="C40" s="4" t="str">
        <f>IFERROR(__xludf.DUMMYFUNCTION("""COMPUTED_VALUE"""),"CUE 2 Cámara IP Wi-Fi 2Mpx H265 1080P Full HD Human Detection Two-way Talk Built-in Siren Diversified Storage Abnormal Sound Alarm Alarm Notification Wi-Fi Connection INCLUYE FUENTE")</f>
        <v>CUE 2 Cámara IP Wi-Fi 2Mpx H265 1080P Full HD Human Detection Two-way Talk Built-in Siren Diversified Storage Abnormal Sound Alarm Alarm Notification Wi-Fi Connection INCLUYE FUENTE</v>
      </c>
      <c r="D40" s="4" t="str">
        <f>IFERROR(__xludf.DUMMYFUNCTION("""COMPUTED_VALUE"""),"IMOU")</f>
        <v>IMOU</v>
      </c>
      <c r="E40" s="4" t="str">
        <f>IFERROR(__xludf.DUMMYFUNCTION("""COMPUTED_VALUE"""),"IPC-C22EP-D")</f>
        <v>IPC-C22EP-D</v>
      </c>
      <c r="F40" s="4" t="str">
        <f>IFERROR(__xludf.DUMMYFUNCTION("""COMPUTED_VALUE"""),"CCTV &gt; CAMARAS IP WIFI")</f>
        <v>CCTV &gt; CAMARAS IP WIFI</v>
      </c>
      <c r="G40" s="5"/>
      <c r="H40" s="6">
        <f>IFERROR(__xludf.DUMMYFUNCTION("""COMPUTED_VALUE"""),24.2)</f>
        <v>24.2</v>
      </c>
      <c r="I40" s="7">
        <f>IFERROR(__xludf.DUMMYFUNCTION("""COMPUTED_VALUE"""),21.0)</f>
        <v>21</v>
      </c>
      <c r="J40" s="6">
        <f>IFERROR(__xludf.DUMMYFUNCTION("""COMPUTED_VALUE"""),29.04)</f>
        <v>29.04</v>
      </c>
      <c r="K40" s="6">
        <f>IFERROR(__xludf.DUMMYFUNCTION("""COMPUTED_VALUE"""),33.88)</f>
        <v>33.88</v>
      </c>
      <c r="L40" s="3"/>
      <c r="M40" s="3"/>
    </row>
    <row r="41" ht="48.0" customHeight="1">
      <c r="A41" s="3" t="str">
        <f>IFERROR(__xludf.DUMMYFUNCTION("""COMPUTED_VALUE"""),"IPC-TA22CP-G")</f>
        <v>IPC-TA22CP-G</v>
      </c>
      <c r="B41" s="4" t="str">
        <f>IFERROR(__xludf.DUMMYFUNCTION("""COMPUTED_VALUE"""),"CAMARA WIFI 2MP")</f>
        <v>CAMARA WIFI 2MP</v>
      </c>
      <c r="C41" s="4" t="str">
        <f>IFERROR(__xludf.DUMMYFUNCTION("""COMPUTED_VALUE"""),"RANGER 2C Cámara PanTilt IP Wi-Fi 2Mpx Detección de movimiento Detección de sonido anormal Notificaciones de alarma Seguimiento inteligente Códec H.264 Ranura para tarjeta MicroSD Audio bidireccional. LED IR hasta 10 m Lente fija 3 ,6 mm INCLUYE FUENTE")</f>
        <v>RANGER 2C Cámara PanTilt IP Wi-Fi 2Mpx Detección de movimiento Detección de sonido anormal Notificaciones de alarma Seguimiento inteligente Códec H.264 Ranura para tarjeta MicroSD Audio bidireccional. LED IR hasta 10 m Lente fija 3 ,6 mm INCLUYE FUENTE</v>
      </c>
      <c r="D41" s="4" t="str">
        <f>IFERROR(__xludf.DUMMYFUNCTION("""COMPUTED_VALUE"""),"IMOU")</f>
        <v>IMOU</v>
      </c>
      <c r="E41" s="4" t="str">
        <f>IFERROR(__xludf.DUMMYFUNCTION("""COMPUTED_VALUE"""),"IPC-TA22CP-G")</f>
        <v>IPC-TA22CP-G</v>
      </c>
      <c r="F41" s="4" t="str">
        <f>IFERROR(__xludf.DUMMYFUNCTION("""COMPUTED_VALUE"""),"CCTV &gt; CAMARAS IP WIFI")</f>
        <v>CCTV &gt; CAMARAS IP WIFI</v>
      </c>
      <c r="G41" s="5"/>
      <c r="H41" s="6">
        <f>IFERROR(__xludf.DUMMYFUNCTION("""COMPUTED_VALUE"""),22.0)</f>
        <v>22</v>
      </c>
      <c r="I41" s="7">
        <f>IFERROR(__xludf.DUMMYFUNCTION("""COMPUTED_VALUE"""),21.0)</f>
        <v>21</v>
      </c>
      <c r="J41" s="6">
        <f>IFERROR(__xludf.DUMMYFUNCTION("""COMPUTED_VALUE"""),26.4)</f>
        <v>26.4</v>
      </c>
      <c r="K41" s="6">
        <f>IFERROR(__xludf.DUMMYFUNCTION("""COMPUTED_VALUE"""),30.8)</f>
        <v>30.8</v>
      </c>
      <c r="L41" s="3"/>
      <c r="M41" s="3"/>
    </row>
    <row r="42" ht="48.0" customHeight="1">
      <c r="A42" s="3" t="str">
        <f>IFERROR(__xludf.DUMMYFUNCTION("""COMPUTED_VALUE"""),"IPC-TA22CP-D")</f>
        <v>IPC-TA22CP-D</v>
      </c>
      <c r="B42" s="4" t="str">
        <f>IFERROR(__xludf.DUMMYFUNCTION("""COMPUTED_VALUE"""),"CAMARA DOMO WIFI 2MP")</f>
        <v>CAMARA DOMO WIFI 2MP</v>
      </c>
      <c r="C42" s="4" t="str">
        <f>IFERROR(__xludf.DUMMYFUNCTION("""COMPUTED_VALUE"""),"RANGER 2C Domo Pan Tilt IP Wi-Fi 2Mpx H.265. La detección humana encuentra rápidamente objetivos humanos en imágenes e inmediatamente le envía una notificación. El modo de privacidad ayuda a proteger su privacidad personal cuando está en casa, y la funció"&amp;"n de seguimiento inteligente permite que la cámara siga objetos en movimiento cuando detecta movimiento.")</f>
        <v>RANGER 2C Domo Pan Tilt IP Wi-Fi 2Mpx H.265. La detección humana encuentra rápidamente objetivos humanos en imágenes e inmediatamente le envía una notificación. El modo de privacidad ayuda a proteger su privacidad personal cuando está en casa, y la función de seguimiento inteligente permite que la cámara siga objetos en movimiento cuando detecta movimiento.</v>
      </c>
      <c r="D42" s="4" t="str">
        <f>IFERROR(__xludf.DUMMYFUNCTION("""COMPUTED_VALUE"""),"IMOU")</f>
        <v>IMOU</v>
      </c>
      <c r="E42" s="4" t="str">
        <f>IFERROR(__xludf.DUMMYFUNCTION("""COMPUTED_VALUE"""),"IPC-TA22CP-D")</f>
        <v>IPC-TA22CP-D</v>
      </c>
      <c r="F42" s="4" t="str">
        <f>IFERROR(__xludf.DUMMYFUNCTION("""COMPUTED_VALUE"""),"CCTV &gt; CAMARAS IP WIFI")</f>
        <v>CCTV &gt; CAMARAS IP WIFI</v>
      </c>
      <c r="G42" s="5"/>
      <c r="H42" s="6">
        <f>IFERROR(__xludf.DUMMYFUNCTION("""COMPUTED_VALUE"""),22.0)</f>
        <v>22</v>
      </c>
      <c r="I42" s="7">
        <f>IFERROR(__xludf.DUMMYFUNCTION("""COMPUTED_VALUE"""),21.0)</f>
        <v>21</v>
      </c>
      <c r="J42" s="6">
        <f>IFERROR(__xludf.DUMMYFUNCTION("""COMPUTED_VALUE"""),26.4)</f>
        <v>26.4</v>
      </c>
      <c r="K42" s="6">
        <f>IFERROR(__xludf.DUMMYFUNCTION("""COMPUTED_VALUE"""),30.8)</f>
        <v>30.8</v>
      </c>
      <c r="L42" s="3"/>
      <c r="M42" s="3"/>
    </row>
    <row r="43" ht="48.0" customHeight="1">
      <c r="A43" s="3" t="str">
        <f>IFERROR(__xludf.DUMMYFUNCTION("""COMPUTED_VALUE"""),"IPCGK2CP5C0WR")</f>
        <v>IPCGK2CP5C0WR</v>
      </c>
      <c r="B43" s="4" t="str">
        <f>IFERROR(__xludf.DUMMYFUNCTION("""COMPUTED_VALUE"""),"NVR WIFI")</f>
        <v>NVR WIFI</v>
      </c>
      <c r="C43" s="4" t="str">
        <f>IFERROR(__xludf.DUMMYFUNCTION("""COMPUTED_VALUE"""),"RANGER RC 5MP Domo Pan Tilt IP Wi-Fi 5Mpx Camara PT 5MP IP WiFi lente fijo de 3.6 mm. Deteccion Humana. Modo Privacidad. Microfono Incorporado y 2-Way Talk. Codificacion H265. Proteccion IP67 para polvo y humedad. Notificaciones de eventos mediante Alarma"&amp;" al teléfono móvil. Almacenamiento diversificado: Almacenamiento en la Nube, NVR o Tarjeta Micro SD Led Infrarojo para visión nocturna. Conectividad por Wi-Fi o Ethernet Port 100MB")</f>
        <v>RANGER RC 5MP Domo Pan Tilt IP Wi-Fi 5Mpx Camara PT 5MP IP WiFi lente fijo de 3.6 mm. Deteccion Humana. Modo Privacidad. Microfono Incorporado y 2-Way Talk. Codificacion H265. Proteccion IP67 para polvo y humedad. Notificaciones de eventos mediante Alarma al teléfono móvil. Almacenamiento diversificado: Almacenamiento en la Nube, NVR o Tarjeta Micro SD Led Infrarojo para visión nocturna. Conectividad por Wi-Fi o Ethernet Port 100MB</v>
      </c>
      <c r="D43" s="4" t="str">
        <f>IFERROR(__xludf.DUMMYFUNCTION("""COMPUTED_VALUE"""),"IMOU")</f>
        <v>IMOU</v>
      </c>
      <c r="E43" s="4" t="str">
        <f>IFERROR(__xludf.DUMMYFUNCTION("""COMPUTED_VALUE"""),"IPCGK2CP5C0WR")</f>
        <v>IPCGK2CP5C0WR</v>
      </c>
      <c r="F43" s="4" t="str">
        <f>IFERROR(__xludf.DUMMYFUNCTION("""COMPUTED_VALUE"""),"CCTV &gt; GRABADORES NVR")</f>
        <v>CCTV &gt; GRABADORES NVR</v>
      </c>
      <c r="G43" s="5"/>
      <c r="H43" s="6">
        <f>IFERROR(__xludf.DUMMYFUNCTION("""COMPUTED_VALUE"""),51.35)</f>
        <v>51.35</v>
      </c>
      <c r="I43" s="7">
        <f>IFERROR(__xludf.DUMMYFUNCTION("""COMPUTED_VALUE"""),21.0)</f>
        <v>21</v>
      </c>
      <c r="J43" s="6">
        <f>IFERROR(__xludf.DUMMYFUNCTION("""COMPUTED_VALUE"""),61.62)</f>
        <v>61.62</v>
      </c>
      <c r="K43" s="6">
        <f>IFERROR(__xludf.DUMMYFUNCTION("""COMPUTED_VALUE"""),71.89)</f>
        <v>71.89</v>
      </c>
      <c r="L43" s="3"/>
      <c r="M43" s="3"/>
    </row>
    <row r="44" ht="48.0" customHeight="1">
      <c r="A44" s="3" t="str">
        <f>IFERROR(__xludf.DUMMYFUNCTION("""COMPUTED_VALUE"""),"IPC-C22FP-C")</f>
        <v>IPC-C22FP-C</v>
      </c>
      <c r="B44" s="4" t="str">
        <f>IFERROR(__xludf.DUMMYFUNCTION("""COMPUTED_VALUE"""),"CAMARA WIFI 2MP")</f>
        <v>CAMARA WIFI 2MP</v>
      </c>
      <c r="C44" s="4" t="str">
        <f>IFERROR(__xludf.DUMMYFUNCTION("""COMPUTED_VALUE"""),"VERSA 2MP Cámara IP Wi-Fi 2Mpx H265 1080P Visión nocturna 20m. Óptica de 2,8 mm. Videosensor y detección de personas. Audio bidireccional. Sirena de 120 dB. Alarma de sonido anómalo INCLUYE FUENTE")</f>
        <v>VERSA 2MP Cámara IP Wi-Fi 2Mpx H265 1080P Visión nocturna 20m. Óptica de 2,8 mm. Videosensor y detección de personas. Audio bidireccional. Sirena de 120 dB. Alarma de sonido anómalo INCLUYE FUENTE</v>
      </c>
      <c r="D44" s="4" t="str">
        <f>IFERROR(__xludf.DUMMYFUNCTION("""COMPUTED_VALUE"""),"IMOU")</f>
        <v>IMOU</v>
      </c>
      <c r="E44" s="4" t="str">
        <f>IFERROR(__xludf.DUMMYFUNCTION("""COMPUTED_VALUE"""),"IPC-C22FP-C")</f>
        <v>IPC-C22FP-C</v>
      </c>
      <c r="F44" s="4" t="str">
        <f>IFERROR(__xludf.DUMMYFUNCTION("""COMPUTED_VALUE"""),"CCTV &gt; CAMARAS IP WIFI")</f>
        <v>CCTV &gt; CAMARAS IP WIFI</v>
      </c>
      <c r="G44" s="5"/>
      <c r="H44" s="6">
        <f>IFERROR(__xludf.DUMMYFUNCTION("""COMPUTED_VALUE"""),42.9)</f>
        <v>42.9</v>
      </c>
      <c r="I44" s="7">
        <f>IFERROR(__xludf.DUMMYFUNCTION("""COMPUTED_VALUE"""),21.0)</f>
        <v>21</v>
      </c>
      <c r="J44" s="6">
        <f>IFERROR(__xludf.DUMMYFUNCTION("""COMPUTED_VALUE"""),51.48)</f>
        <v>51.48</v>
      </c>
      <c r="K44" s="6">
        <f>IFERROR(__xludf.DUMMYFUNCTION("""COMPUTED_VALUE"""),60.06)</f>
        <v>60.06</v>
      </c>
      <c r="L44" s="3"/>
      <c r="M44" s="3"/>
    </row>
    <row r="45" ht="48.0" customHeight="1">
      <c r="A45" s="3" t="str">
        <f>IFERROR(__xludf.DUMMYFUNCTION("""COMPUTED_VALUE"""),"IPC-F22P")</f>
        <v>IPC-F22P</v>
      </c>
      <c r="B45" s="4" t="str">
        <f>IFERROR(__xludf.DUMMYFUNCTION("""COMPUTED_VALUE"""),"CAMARA BULLET WIFI EXTERIOR 2MP")</f>
        <v>CAMARA BULLET WIFI EXTERIOR 2MP</v>
      </c>
      <c r="C45" s="4" t="str">
        <f>IFERROR(__xludf.DUMMYFUNCTION("""COMPUTED_VALUE"""),"BULLET 2C Cámara IP Wi-Fi 2Mpx H265 1080P Montaje exterior. La detección humana le permite monitorear lo que importa sin recibir molestas alertas falsas. Con certificación IP67, la cámara se puede usar en exteriores bajo diferentes condiciones climáticas.")</f>
        <v>BULLET 2C Cámara IP Wi-Fi 2Mpx H265 1080P Montaje exterior. La detección humana le permite monitorear lo que importa sin recibir molestas alertas falsas. Con certificación IP67, la cámara se puede usar en exteriores bajo diferentes condiciones climáticas.</v>
      </c>
      <c r="D45" s="4" t="str">
        <f>IFERROR(__xludf.DUMMYFUNCTION("""COMPUTED_VALUE"""),"IMOU")</f>
        <v>IMOU</v>
      </c>
      <c r="E45" s="4" t="str">
        <f>IFERROR(__xludf.DUMMYFUNCTION("""COMPUTED_VALUE"""),"IPC-F22P")</f>
        <v>IPC-F22P</v>
      </c>
      <c r="F45" s="4" t="str">
        <f>IFERROR(__xludf.DUMMYFUNCTION("""COMPUTED_VALUE"""),"CCTV &gt; CAMARAS IP WIFI")</f>
        <v>CCTV &gt; CAMARAS IP WIFI</v>
      </c>
      <c r="G45" s="5"/>
      <c r="H45" s="6">
        <f>IFERROR(__xludf.DUMMYFUNCTION("""COMPUTED_VALUE"""),33.0)</f>
        <v>33</v>
      </c>
      <c r="I45" s="7">
        <f>IFERROR(__xludf.DUMMYFUNCTION("""COMPUTED_VALUE"""),21.0)</f>
        <v>21</v>
      </c>
      <c r="J45" s="6">
        <f>IFERROR(__xludf.DUMMYFUNCTION("""COMPUTED_VALUE"""),39.6)</f>
        <v>39.6</v>
      </c>
      <c r="K45" s="6">
        <f>IFERROR(__xludf.DUMMYFUNCTION("""COMPUTED_VALUE"""),46.2)</f>
        <v>46.2</v>
      </c>
      <c r="L45" s="3"/>
      <c r="M45" s="3"/>
    </row>
    <row r="46" ht="48.0" customHeight="1">
      <c r="A46" s="3" t="str">
        <f>IFERROR(__xludf.DUMMYFUNCTION("""COMPUTED_VALUE"""),"IM-IPC-F42P-D")</f>
        <v>IM-IPC-F42P-D</v>
      </c>
      <c r="B46" s="4" t="str">
        <f>IFERROR(__xludf.DUMMYFUNCTION("""COMPUTED_VALUE"""),"CAMARA BULLET WIFI 4MP")</f>
        <v>CAMARA BULLET WIFI 4MP</v>
      </c>
      <c r="C46" s="4" t="str">
        <f>IFERROR(__xludf.DUMMYFUNCTION("""COMPUTED_VALUE"""),"BULLET 2C Cámara IP Wi-Fi 4Mpx H265, visión nocturna infrarroja de hasta 30 metros, conexión Wi-Fi, micrófono incorporado y detección humana por inteligencia artificial")</f>
        <v>BULLET 2C Cámara IP Wi-Fi 4Mpx H265, visión nocturna infrarroja de hasta 30 metros, conexión Wi-Fi, micrófono incorporado y detección humana por inteligencia artificial</v>
      </c>
      <c r="D46" s="4" t="str">
        <f>IFERROR(__xludf.DUMMYFUNCTION("""COMPUTED_VALUE"""),"IMOU")</f>
        <v>IMOU</v>
      </c>
      <c r="E46" s="4" t="str">
        <f>IFERROR(__xludf.DUMMYFUNCTION("""COMPUTED_VALUE"""),"IM-IPC-F42P-D")</f>
        <v>IM-IPC-F42P-D</v>
      </c>
      <c r="F46" s="4" t="str">
        <f>IFERROR(__xludf.DUMMYFUNCTION("""COMPUTED_VALUE"""),"CCTV &gt; CAMARAS IP WIFI")</f>
        <v>CCTV &gt; CAMARAS IP WIFI</v>
      </c>
      <c r="G46" s="5"/>
      <c r="H46" s="6">
        <f>IFERROR(__xludf.DUMMYFUNCTION("""COMPUTED_VALUE"""),39.6)</f>
        <v>39.6</v>
      </c>
      <c r="I46" s="7">
        <f>IFERROR(__xludf.DUMMYFUNCTION("""COMPUTED_VALUE"""),21.0)</f>
        <v>21</v>
      </c>
      <c r="J46" s="6">
        <f>IFERROR(__xludf.DUMMYFUNCTION("""COMPUTED_VALUE"""),47.52)</f>
        <v>47.52</v>
      </c>
      <c r="K46" s="6">
        <f>IFERROR(__xludf.DUMMYFUNCTION("""COMPUTED_VALUE"""),55.44)</f>
        <v>55.44</v>
      </c>
      <c r="L46" s="3"/>
      <c r="M46" s="3"/>
    </row>
    <row r="47" ht="48.0" customHeight="1">
      <c r="A47" s="3" t="str">
        <f>IFERROR(__xludf.DUMMYFUNCTION("""COMPUTED_VALUE"""),"IPC-A43P")</f>
        <v>IPC-A43P</v>
      </c>
      <c r="B47" s="4" t="str">
        <f>IFERROR(__xludf.DUMMYFUNCTION("""COMPUTED_VALUE"""),"CAMARA WIFI 4MP")</f>
        <v>CAMARA WIFI 4MP</v>
      </c>
      <c r="C47" s="4" t="str">
        <f>IFERROR(__xludf.DUMMYFUNCTION("""COMPUTED_VALUE"""),"Ranger SE Resolución 4MP (2K+ QHD), H.265 Wi-Fi Pan &amp; Tilt Camera. Built-in Siren. Two-way Talk. Smart Tracking. Human Detection")</f>
        <v>Ranger SE Resolución 4MP (2K+ QHD), H.265 Wi-Fi Pan &amp; Tilt Camera. Built-in Siren. Two-way Talk. Smart Tracking. Human Detection</v>
      </c>
      <c r="D47" s="4" t="str">
        <f>IFERROR(__xludf.DUMMYFUNCTION("""COMPUTED_VALUE"""),"IMOU")</f>
        <v>IMOU</v>
      </c>
      <c r="E47" s="4" t="str">
        <f>IFERROR(__xludf.DUMMYFUNCTION("""COMPUTED_VALUE"""),"IPC-A43P")</f>
        <v>IPC-A43P</v>
      </c>
      <c r="F47" s="4" t="str">
        <f>IFERROR(__xludf.DUMMYFUNCTION("""COMPUTED_VALUE"""),"CCTV &gt; CAMARAS IP WIFI")</f>
        <v>CCTV &gt; CAMARAS IP WIFI</v>
      </c>
      <c r="G47" s="5"/>
      <c r="H47" s="6">
        <f>IFERROR(__xludf.DUMMYFUNCTION("""COMPUTED_VALUE"""),29.7)</f>
        <v>29.7</v>
      </c>
      <c r="I47" s="7">
        <f>IFERROR(__xludf.DUMMYFUNCTION("""COMPUTED_VALUE"""),21.0)</f>
        <v>21</v>
      </c>
      <c r="J47" s="6">
        <f>IFERROR(__xludf.DUMMYFUNCTION("""COMPUTED_VALUE"""),35.64)</f>
        <v>35.64</v>
      </c>
      <c r="K47" s="6">
        <f>IFERROR(__xludf.DUMMYFUNCTION("""COMPUTED_VALUE"""),41.58)</f>
        <v>41.58</v>
      </c>
      <c r="L47" s="3"/>
      <c r="M47" s="3"/>
    </row>
    <row r="48" ht="48.0" customHeight="1">
      <c r="A48" s="3" t="str">
        <f>IFERROR(__xludf.DUMMYFUNCTION("""COMPUTED_VALUE"""),"IPC-S41FEP")</f>
        <v>IPC-S41FEP</v>
      </c>
      <c r="B48" s="4" t="str">
        <f>IFERROR(__xludf.DUMMYFUNCTION("""COMPUTED_VALUE"""),"CAMARA DOMO WIFI 4MP")</f>
        <v>CAMARA DOMO WIFI 4MP</v>
      </c>
      <c r="C48" s="4" t="str">
        <f>IFERROR(__xludf.DUMMYFUNCTION("""COMPUTED_VALUE"""),"CRUSIER 4MP Domo H.264 4 Mp, Detección de humanos, Vision noctura en colores inteligente, Disuación activa, IP66, Audio bidireccional, Diversidad para el almacenamiento de videos y fotos, Envío de alertas ante la detección de un evento, Conexión WiFi, Ras"&amp;"treo inteligente. Incluye fuente de alimentación")</f>
        <v>CRUSIER 4MP Domo H.264 4 Mp, Detección de humanos, Vision noctura en colores inteligente, Disuación activa, IP66, Audio bidireccional, Diversidad para el almacenamiento de videos y fotos, Envío de alertas ante la detección de un evento, Conexión WiFi, Rastreo inteligente. Incluye fuente de alimentación</v>
      </c>
      <c r="D48" s="4" t="str">
        <f>IFERROR(__xludf.DUMMYFUNCTION("""COMPUTED_VALUE"""),"IMOU")</f>
        <v>IMOU</v>
      </c>
      <c r="E48" s="4" t="str">
        <f>IFERROR(__xludf.DUMMYFUNCTION("""COMPUTED_VALUE"""),"IPC-S41FEP")</f>
        <v>IPC-S41FEP</v>
      </c>
      <c r="F48" s="4" t="str">
        <f>IFERROR(__xludf.DUMMYFUNCTION("""COMPUTED_VALUE"""),"CCTV &gt; CAMARAS IP WIFI")</f>
        <v>CCTV &gt; CAMARAS IP WIFI</v>
      </c>
      <c r="G48" s="5"/>
      <c r="H48" s="6">
        <f>IFERROR(__xludf.DUMMYFUNCTION("""COMPUTED_VALUE"""),57.07)</f>
        <v>57.07</v>
      </c>
      <c r="I48" s="7">
        <f>IFERROR(__xludf.DUMMYFUNCTION("""COMPUTED_VALUE"""),21.0)</f>
        <v>21</v>
      </c>
      <c r="J48" s="6">
        <f>IFERROR(__xludf.DUMMYFUNCTION("""COMPUTED_VALUE"""),68.48)</f>
        <v>68.48</v>
      </c>
      <c r="K48" s="6">
        <f>IFERROR(__xludf.DUMMYFUNCTION("""COMPUTED_VALUE"""),79.9)</f>
        <v>79.9</v>
      </c>
      <c r="L48" s="3"/>
      <c r="M48" s="3"/>
    </row>
    <row r="49" ht="48.0" customHeight="1">
      <c r="A49" s="3" t="str">
        <f>IFERROR(__xludf.DUMMYFUNCTION("""COMPUTED_VALUE"""),"IMIPCA26LP")</f>
        <v>IMIPCA26LP</v>
      </c>
      <c r="B49" s="4" t="str">
        <f>IFERROR(__xludf.DUMMYFUNCTION("""COMPUTED_VALUE"""),"CAMARA DOMO WIFI 2MP")</f>
        <v>CAMARA DOMO WIFI 2MP</v>
      </c>
      <c r="C49" s="4" t="str">
        <f>IFERROR(__xludf.DUMMYFUNCTION("""COMPUTED_VALUE"""),"REX 2MP Domo WiFi 2Mp, con IR 10m, CMOS 1/2,8'', lente fijo 3,6 mm, H.265/H.264, audio bidereccional, campo de visión: 89° (H), 46° (V), 108°(P), Zoom 16x Notificaciones de alarmas Múltiples posibilidades de lmacenamiento · Seguimiento inteligente · Cober"&amp;"tura 355º")</f>
        <v>REX 2MP Domo WiFi 2Mp, con IR 10m, CMOS 1/2,8'', lente fijo 3,6 mm, H.265/H.264, audio bidereccional, campo de visión: 89° (H), 46° (V), 108°(P), Zoom 16x Notificaciones de alarmas Múltiples posibilidades de lmacenamiento · Seguimiento inteligente · Cobertura 355º</v>
      </c>
      <c r="D49" s="4" t="str">
        <f>IFERROR(__xludf.DUMMYFUNCTION("""COMPUTED_VALUE"""),"IMOU")</f>
        <v>IMOU</v>
      </c>
      <c r="E49" s="4" t="str">
        <f>IFERROR(__xludf.DUMMYFUNCTION("""COMPUTED_VALUE"""),"IMIPCA26LP")</f>
        <v>IMIPCA26LP</v>
      </c>
      <c r="F49" s="4" t="str">
        <f>IFERROR(__xludf.DUMMYFUNCTION("""COMPUTED_VALUE"""),"CCTV &gt; CAMARAS IP WIFI")</f>
        <v>CCTV &gt; CAMARAS IP WIFI</v>
      </c>
      <c r="G49" s="5"/>
      <c r="H49" s="6">
        <f>IFERROR(__xludf.DUMMYFUNCTION("""COMPUTED_VALUE"""),60.01)</f>
        <v>60.01</v>
      </c>
      <c r="I49" s="7">
        <f>IFERROR(__xludf.DUMMYFUNCTION("""COMPUTED_VALUE"""),21.0)</f>
        <v>21</v>
      </c>
      <c r="J49" s="6">
        <f>IFERROR(__xludf.DUMMYFUNCTION("""COMPUTED_VALUE"""),72.01)</f>
        <v>72.01</v>
      </c>
      <c r="K49" s="6">
        <f>IFERROR(__xludf.DUMMYFUNCTION("""COMPUTED_VALUE"""),84.01)</f>
        <v>84.01</v>
      </c>
      <c r="L49" s="3"/>
      <c r="M49" s="3"/>
    </row>
    <row r="50" ht="48.0" customHeight="1">
      <c r="A50" s="3" t="str">
        <f>IFERROR(__xludf.DUMMYFUNCTION("""COMPUTED_VALUE"""),"TPLTAPOC100")</f>
        <v>TPLTAPOC100</v>
      </c>
      <c r="B50" s="4" t="str">
        <f>IFERROR(__xludf.DUMMYFUNCTION("""COMPUTED_VALUE"""),"CAMARA WIFI 2MP")</f>
        <v>CAMARA WIFI 2MP</v>
      </c>
      <c r="C50" s="4" t="str">
        <f>IFERROR(__xludf.DUMMYFUNCTION("""COMPUTED_VALUE"""),"Cámara WiFI con audio bidireccional 2MP 1080p")</f>
        <v>Cámara WiFI con audio bidireccional 2MP 1080p</v>
      </c>
      <c r="D50" s="4" t="str">
        <f>IFERROR(__xludf.DUMMYFUNCTION("""COMPUTED_VALUE"""),"TP-LINK")</f>
        <v>TP-LINK</v>
      </c>
      <c r="E50" s="4" t="str">
        <f>IFERROR(__xludf.DUMMYFUNCTION("""COMPUTED_VALUE"""),"TPLTAPOC100")</f>
        <v>TPLTAPOC100</v>
      </c>
      <c r="F50" s="4" t="str">
        <f>IFERROR(__xludf.DUMMYFUNCTION("""COMPUTED_VALUE"""),"CCTV &gt; CAMARAS IP WIFI")</f>
        <v>CCTV &gt; CAMARAS IP WIFI</v>
      </c>
      <c r="G50" s="5"/>
      <c r="H50" s="6">
        <f>IFERROR(__xludf.DUMMYFUNCTION("""COMPUTED_VALUE"""),27.78)</f>
        <v>27.78</v>
      </c>
      <c r="I50" s="7">
        <f>IFERROR(__xludf.DUMMYFUNCTION("""COMPUTED_VALUE"""),21.0)</f>
        <v>21</v>
      </c>
      <c r="J50" s="6">
        <f>IFERROR(__xludf.DUMMYFUNCTION("""COMPUTED_VALUE"""),33.34)</f>
        <v>33.34</v>
      </c>
      <c r="K50" s="6">
        <f>IFERROR(__xludf.DUMMYFUNCTION("""COMPUTED_VALUE"""),38.89)</f>
        <v>38.89</v>
      </c>
      <c r="L50" s="3"/>
      <c r="M50" s="3"/>
    </row>
    <row r="51" ht="48.0" customHeight="1">
      <c r="A51" s="3" t="str">
        <f>IFERROR(__xludf.DUMMYFUNCTION("""COMPUTED_VALUE"""),"TPLTAPOC200")</f>
        <v>TPLTAPOC200</v>
      </c>
      <c r="B51" s="4" t="str">
        <f>IFERROR(__xludf.DUMMYFUNCTION("""COMPUTED_VALUE"""),"CAMARA WIFI 2MP")</f>
        <v>CAMARA WIFI 2MP</v>
      </c>
      <c r="C51" s="4" t="str">
        <f>IFERROR(__xludf.DUMMYFUNCTION("""COMPUTED_VALUE"""),"Cámara WiFI 360 con audio bidireccional 2MP 1080p")</f>
        <v>Cámara WiFI 360 con audio bidireccional 2MP 1080p</v>
      </c>
      <c r="D51" s="4" t="str">
        <f>IFERROR(__xludf.DUMMYFUNCTION("""COMPUTED_VALUE"""),"TP-LINK")</f>
        <v>TP-LINK</v>
      </c>
      <c r="E51" s="4" t="str">
        <f>IFERROR(__xludf.DUMMYFUNCTION("""COMPUTED_VALUE"""),"TPLTAPOC200")</f>
        <v>TPLTAPOC200</v>
      </c>
      <c r="F51" s="4" t="str">
        <f>IFERROR(__xludf.DUMMYFUNCTION("""COMPUTED_VALUE"""),"CCTV &gt; CAMARAS IP WIFI")</f>
        <v>CCTV &gt; CAMARAS IP WIFI</v>
      </c>
      <c r="G51" s="5"/>
      <c r="H51" s="6">
        <f>IFERROR(__xludf.DUMMYFUNCTION("""COMPUTED_VALUE"""),30.93)</f>
        <v>30.93</v>
      </c>
      <c r="I51" s="7">
        <f>IFERROR(__xludf.DUMMYFUNCTION("""COMPUTED_VALUE"""),21.0)</f>
        <v>21</v>
      </c>
      <c r="J51" s="6">
        <f>IFERROR(__xludf.DUMMYFUNCTION("""COMPUTED_VALUE"""),37.12)</f>
        <v>37.12</v>
      </c>
      <c r="K51" s="6">
        <f>IFERROR(__xludf.DUMMYFUNCTION("""COMPUTED_VALUE"""),43.3)</f>
        <v>43.3</v>
      </c>
      <c r="L51" s="3"/>
      <c r="M51" s="3"/>
    </row>
    <row r="52" ht="48.0" customHeight="1">
      <c r="A52" s="3" t="str">
        <f>IFERROR(__xludf.DUMMYFUNCTION("""COMPUTED_VALUE"""),"TBCA60S3FY")</f>
        <v>TBCA60S3FY</v>
      </c>
      <c r="B52" s="4" t="str">
        <f>IFERROR(__xludf.DUMMYFUNCTION("""COMPUTED_VALUE"""),"CAMARA 720P")</f>
        <v>CAMARA 720P</v>
      </c>
      <c r="C52" s="4" t="str">
        <f>IFERROR(__xludf.DUMMYFUNCTION("""COMPUTED_VALUE"""),"Lámpara LED con cámara integrada Visión 360º Ojo de Pez Micrófono y Parlantes Permite hablar y escuchar. Iluminación Led controlable a distancia desde aplicación móvil. Hasta 10 días de almacenamiento utilizando memoria de 128Gb (no incluye tarjeta MICRO "&amp;"SD) Zócalo E27 resolución 720p Potencia 3W")</f>
        <v>Lámpara LED con cámara integrada Visión 360º Ojo de Pez Micrófono y Parlantes Permite hablar y escuchar. Iluminación Led controlable a distancia desde aplicación móvil. Hasta 10 días de almacenamiento utilizando memoria de 128Gb (no incluye tarjeta MICRO SD) Zócalo E27 resolución 720p Potencia 3W</v>
      </c>
      <c r="D52" s="4" t="str">
        <f>IFERROR(__xludf.DUMMYFUNCTION("""COMPUTED_VALUE"""),"TBCIN")</f>
        <v>TBCIN</v>
      </c>
      <c r="E52" s="4" t="str">
        <f>IFERROR(__xludf.DUMMYFUNCTION("""COMPUTED_VALUE"""),"TBCA60S3FY")</f>
        <v>TBCA60S3FY</v>
      </c>
      <c r="F52" s="4" t="str">
        <f>IFERROR(__xludf.DUMMYFUNCTION("""COMPUTED_VALUE"""),"CCTV &gt; CAMARAS IP WIFI")</f>
        <v>CCTV &gt; CAMARAS IP WIFI</v>
      </c>
      <c r="G52" s="5"/>
      <c r="H52" s="6">
        <f>IFERROR(__xludf.DUMMYFUNCTION("""COMPUTED_VALUE"""),57.2)</f>
        <v>57.2</v>
      </c>
      <c r="I52" s="7">
        <f>IFERROR(__xludf.DUMMYFUNCTION("""COMPUTED_VALUE"""),10.5)</f>
        <v>10.5</v>
      </c>
      <c r="J52" s="6">
        <f>IFERROR(__xludf.DUMMYFUNCTION("""COMPUTED_VALUE"""),68.64)</f>
        <v>68.64</v>
      </c>
      <c r="K52" s="6">
        <f>IFERROR(__xludf.DUMMYFUNCTION("""COMPUTED_VALUE"""),80.08)</f>
        <v>80.08</v>
      </c>
      <c r="L52" s="3"/>
      <c r="M52" s="3"/>
    </row>
    <row r="53" ht="48.0" customHeight="1">
      <c r="A53" s="3" t="str">
        <f>IFERROR(__xludf.DUMMYFUNCTION("""COMPUTED_VALUE"""),"TBCCAM09T")</f>
        <v>TBCCAM09T</v>
      </c>
      <c r="B53" s="4" t="str">
        <f>IFERROR(__xludf.DUMMYFUNCTION("""COMPUTED_VALUE"""),"CAMARA WIFI 2MP")</f>
        <v>CAMARA WIFI 2MP</v>
      </c>
      <c r="C53" s="4" t="str">
        <f>IFERROR(__xludf.DUMMYFUNCTION("""COMPUTED_VALUE"""),"Cámara 2MP P2P + IP + Wi-Fi Motorizada con movimiento horizontal de 355º y vertical de 120º Alimentación: 5V - 2,4A Incluye fuente de alimentación y cable USB Resolución de video: Full HD 1080P Sensor de movimiento con alertas inmediatas al celular y capt"&amp;"ura de imagen al activar. Graba video y captura imágenes Ranura para tarjeta micro SD (no incluida) soporta hasta 128GB de almacenamiento. Compatible APP Smart Life")</f>
        <v>Cámara 2MP P2P + IP + Wi-Fi Motorizada con movimiento horizontal de 355º y vertical de 120º Alimentación: 5V - 2,4A Incluye fuente de alimentación y cable USB Resolución de video: Full HD 1080P Sensor de movimiento con alertas inmediatas al celular y captura de imagen al activar. Graba video y captura imágenes Ranura para tarjeta micro SD (no incluida) soporta hasta 128GB de almacenamiento. Compatible APP Smart Life</v>
      </c>
      <c r="D53" s="4" t="str">
        <f>IFERROR(__xludf.DUMMYFUNCTION("""COMPUTED_VALUE"""),"TBCIN")</f>
        <v>TBCIN</v>
      </c>
      <c r="E53" s="4" t="str">
        <f>IFERROR(__xludf.DUMMYFUNCTION("""COMPUTED_VALUE"""),"TBCCAM09T")</f>
        <v>TBCCAM09T</v>
      </c>
      <c r="F53" s="4" t="str">
        <f>IFERROR(__xludf.DUMMYFUNCTION("""COMPUTED_VALUE"""),"CCTV &gt; CAMARAS IP WIFI")</f>
        <v>CCTV &gt; CAMARAS IP WIFI</v>
      </c>
      <c r="G53" s="5"/>
      <c r="H53" s="6">
        <f>IFERROR(__xludf.DUMMYFUNCTION("""COMPUTED_VALUE"""),28.6)</f>
        <v>28.6</v>
      </c>
      <c r="I53" s="7">
        <f>IFERROR(__xludf.DUMMYFUNCTION("""COMPUTED_VALUE"""),21.0)</f>
        <v>21</v>
      </c>
      <c r="J53" s="6">
        <f>IFERROR(__xludf.DUMMYFUNCTION("""COMPUTED_VALUE"""),34.32)</f>
        <v>34.32</v>
      </c>
      <c r="K53" s="6">
        <f>IFERROR(__xludf.DUMMYFUNCTION("""COMPUTED_VALUE"""),40.04)</f>
        <v>40.04</v>
      </c>
      <c r="L53" s="3"/>
      <c r="M53" s="3"/>
    </row>
    <row r="54" ht="48.0" customHeight="1">
      <c r="A54" s="3" t="str">
        <f>IFERROR(__xludf.DUMMYFUNCTION("""COMPUTED_VALUE"""),"TBCCAM20T")</f>
        <v>TBCCAM20T</v>
      </c>
      <c r="B54" s="4" t="str">
        <f>IFERROR(__xludf.DUMMYFUNCTION("""COMPUTED_VALUE"""),"CAMARA DOMO EXTERIOR 1080P")</f>
        <v>CAMARA DOMO EXTERIOR 1080P</v>
      </c>
      <c r="C54" s="4" t="str">
        <f>IFERROR(__xludf.DUMMYFUNCTION("""COMPUTED_VALUE"""),"Cámara tipo Domo con movimeinto apto exterior Resolución1080P. Tensión: 12V Incluye fuente de alimentación Posee micrófono y altavoz, lo cual permite comunicación bidireccional a través de la cámara Visión nocturna: 8 Leds infrarrojos Soporta memoria SD. "&amp;"Compatible APP Smart Life")</f>
        <v>Cámara tipo Domo con movimeinto apto exterior Resolución1080P. Tensión: 12V Incluye fuente de alimentación Posee micrófono y altavoz, lo cual permite comunicación bidireccional a través de la cámara Visión nocturna: 8 Leds infrarrojos Soporta memoria SD. Compatible APP Smart Life</v>
      </c>
      <c r="D54" s="4" t="str">
        <f>IFERROR(__xludf.DUMMYFUNCTION("""COMPUTED_VALUE"""),"TBCIN")</f>
        <v>TBCIN</v>
      </c>
      <c r="E54" s="4" t="str">
        <f>IFERROR(__xludf.DUMMYFUNCTION("""COMPUTED_VALUE"""),"TBCCAM20T")</f>
        <v>TBCCAM20T</v>
      </c>
      <c r="F54" s="4" t="str">
        <f>IFERROR(__xludf.DUMMYFUNCTION("""COMPUTED_VALUE"""),"CCTV &gt; CAMARAS IP WIFI")</f>
        <v>CCTV &gt; CAMARAS IP WIFI</v>
      </c>
      <c r="G54" s="5"/>
      <c r="H54" s="6">
        <f>IFERROR(__xludf.DUMMYFUNCTION("""COMPUTED_VALUE"""),45.1)</f>
        <v>45.1</v>
      </c>
      <c r="I54" s="7">
        <f>IFERROR(__xludf.DUMMYFUNCTION("""COMPUTED_VALUE"""),21.0)</f>
        <v>21</v>
      </c>
      <c r="J54" s="6">
        <f>IFERROR(__xludf.DUMMYFUNCTION("""COMPUTED_VALUE"""),54.12)</f>
        <v>54.12</v>
      </c>
      <c r="K54" s="6">
        <f>IFERROR(__xludf.DUMMYFUNCTION("""COMPUTED_VALUE"""),63.14)</f>
        <v>63.14</v>
      </c>
      <c r="L54" s="3"/>
      <c r="M54" s="3"/>
    </row>
    <row r="55" ht="48.0" customHeight="1">
      <c r="A55" s="3" t="str">
        <f>IFERROR(__xludf.DUMMYFUNCTION("""COMPUTED_VALUE"""),"TBCCAM30T")</f>
        <v>TBCCAM30T</v>
      </c>
      <c r="B55" s="4" t="str">
        <f>IFERROR(__xludf.DUMMYFUNCTION("""COMPUTED_VALUE"""),"CAMARA BULLET WIFI EXTERIOR 1080P")</f>
        <v>CAMARA BULLET WIFI EXTERIOR 1080P</v>
      </c>
      <c r="C55" s="4" t="str">
        <f>IFERROR(__xludf.DUMMYFUNCTION("""COMPUTED_VALUE"""),"Cámara Bullet WIFI apto exterior Resolución 1080P alimentación: 12V Con fuente de alimentación incorporada) Posee micrófono y altavoz, lo cual permite comunicación bidireccional a través de la cámara Visión nocturna: 18 Leds infrarrojos Soporta memoria SD"&amp;". Compatible APP Smart Life")</f>
        <v>Cámara Bullet WIFI apto exterior Resolución 1080P alimentación: 12V Con fuente de alimentación incorporada) Posee micrófono y altavoz, lo cual permite comunicación bidireccional a través de la cámara Visión nocturna: 18 Leds infrarrojos Soporta memoria SD. Compatible APP Smart Life</v>
      </c>
      <c r="D55" s="4" t="str">
        <f>IFERROR(__xludf.DUMMYFUNCTION("""COMPUTED_VALUE"""),"TBCIN")</f>
        <v>TBCIN</v>
      </c>
      <c r="E55" s="4" t="str">
        <f>IFERROR(__xludf.DUMMYFUNCTION("""COMPUTED_VALUE"""),"TBCCAM30T")</f>
        <v>TBCCAM30T</v>
      </c>
      <c r="F55" s="4" t="str">
        <f>IFERROR(__xludf.DUMMYFUNCTION("""COMPUTED_VALUE"""),"CCTV &gt; CAMARAS IP WIFI")</f>
        <v>CCTV &gt; CAMARAS IP WIFI</v>
      </c>
      <c r="G55" s="5"/>
      <c r="H55" s="6">
        <f>IFERROR(__xludf.DUMMYFUNCTION("""COMPUTED_VALUE"""),42.9)</f>
        <v>42.9</v>
      </c>
      <c r="I55" s="7">
        <f>IFERROR(__xludf.DUMMYFUNCTION("""COMPUTED_VALUE"""),21.0)</f>
        <v>21</v>
      </c>
      <c r="J55" s="6">
        <f>IFERROR(__xludf.DUMMYFUNCTION("""COMPUTED_VALUE"""),51.48)</f>
        <v>51.48</v>
      </c>
      <c r="K55" s="6">
        <f>IFERROR(__xludf.DUMMYFUNCTION("""COMPUTED_VALUE"""),60.06)</f>
        <v>60.06</v>
      </c>
      <c r="L55" s="3"/>
      <c r="M55" s="3"/>
    </row>
    <row r="56" ht="48.0" customHeight="1">
      <c r="A56" s="3" t="str">
        <f>IFERROR(__xludf.DUMMYFUNCTION("""COMPUTED_VALUE"""),"TBCCAM20TS")</f>
        <v>TBCCAM20TS</v>
      </c>
      <c r="B56" s="4" t="str">
        <f>IFERROR(__xludf.DUMMYFUNCTION("""COMPUTED_VALUE"""),"CAMARA DOMO WIFI SOLAR 1080P")</f>
        <v>CAMARA DOMO WIFI SOLAR 1080P</v>
      </c>
      <c r="C56" s="4" t="str">
        <f>IFERROR(__xludf.DUMMYFUNCTION("""COMPUTED_VALUE"""),"CÁMARA DE SEG. SMART DOMO AUTÓNOMA SOLAR FULL HD 1080P Aplicación Smart Life. Compatible con Wi-Fi 2.4GHz Fuente de alimentación: Panel solar + batería integrada (18650 x 6) Capacidad: 6 x 1800mAh Tiempo de carga: 8hs Autonomía: 30hs Posee micrófono y alt"&amp;"avoz, comunicación bidireccional a través de la cámara. Visión nocturna (2 leds) Luz integrada (4 leds luz día) Hardware: RTS3903+1 Sensor: 3.2” F37 CMOS Almacentamiento de datos: Soporta Tarjeta SD de hasta 128G. Servicio de Nube. Almacenamiento en dispo"&amp;"sitivo local. Activación de Movimiento con alertas inmediatas al celular y captura de fotografía al activar. Grado de protección: IP66 Material: Aluminio Fotogramas: 15FPS Lente: Fijo de 3.6mm 2.0 Megapixel Compatible con Google Home y Amazon Alexa. Rotac"&amp;"ión Pan-Tilt: 355° horizontal y 160° vertical Panel Solar: Potencia: 8W Tipo: Monocristalino Dimensiones: 175 x 265mm")</f>
        <v>CÁMARA DE SEG. SMART DOMO AUTÓNOMA SOLAR FULL HD 1080P Aplicación Smart Life. Compatible con Wi-Fi 2.4GHz Fuente de alimentación: Panel solar + batería integrada (18650 x 6) Capacidad: 6 x 1800mAh Tiempo de carga: 8hs Autonomía: 30hs Posee micrófono y altavoz, comunicación bidireccional a través de la cámara. Visión nocturna (2 leds) Luz integrada (4 leds luz día) Hardware: RTS3903+1 Sensor: 3.2” F37 CMOS Almacentamiento de datos: Soporta Tarjeta SD de hasta 128G. Servicio de Nube. Almacenamiento en dispositivo local. Activación de Movimiento con alertas inmediatas al celular y captura de fotografía al activar. Grado de protección: IP66 Material: Aluminio Fotogramas: 15FPS Lente: Fijo de 3.6mm 2.0 Megapixel Compatible con Google Home y Amazon Alexa. Rotación Pan-Tilt: 355° horizontal y 160° vertical Panel Solar: Potencia: 8W Tipo: Monocristalino Dimensiones: 175 x 265mm</v>
      </c>
      <c r="D56" s="4" t="str">
        <f>IFERROR(__xludf.DUMMYFUNCTION("""COMPUTED_VALUE"""),"TBCIN")</f>
        <v>TBCIN</v>
      </c>
      <c r="E56" s="4" t="str">
        <f>IFERROR(__xludf.DUMMYFUNCTION("""COMPUTED_VALUE"""),"TBCCAM20TS")</f>
        <v>TBCCAM20TS</v>
      </c>
      <c r="F56" s="4" t="str">
        <f>IFERROR(__xludf.DUMMYFUNCTION("""COMPUTED_VALUE"""),"CCTV &gt; CAMARAS IP SOLARES")</f>
        <v>CCTV &gt; CAMARAS IP SOLARES</v>
      </c>
      <c r="G56" s="5"/>
      <c r="H56" s="6">
        <f>IFERROR(__xludf.DUMMYFUNCTION("""COMPUTED_VALUE"""),152.9)</f>
        <v>152.9</v>
      </c>
      <c r="I56" s="7">
        <f>IFERROR(__xludf.DUMMYFUNCTION("""COMPUTED_VALUE"""),21.0)</f>
        <v>21</v>
      </c>
      <c r="J56" s="6">
        <f>IFERROR(__xludf.DUMMYFUNCTION("""COMPUTED_VALUE"""),183.48)</f>
        <v>183.48</v>
      </c>
      <c r="K56" s="6">
        <f>IFERROR(__xludf.DUMMYFUNCTION("""COMPUTED_VALUE"""),214.06)</f>
        <v>214.06</v>
      </c>
      <c r="L56" s="3"/>
      <c r="M56" s="3"/>
    </row>
    <row r="57" ht="48.0" customHeight="1">
      <c r="A57" s="3" t="str">
        <f>IFERROR(__xludf.DUMMYFUNCTION("""COMPUTED_VALUE"""),"TBCPSCT")</f>
        <v>TBCPSCT</v>
      </c>
      <c r="B57" s="4" t="str">
        <f>IFERROR(__xludf.DUMMYFUNCTION("""COMPUTED_VALUE"""),"CAMARA WIFI 1080P")</f>
        <v>CAMARA WIFI 1080P</v>
      </c>
      <c r="C57" s="4" t="str">
        <f>IFERROR(__xludf.DUMMYFUNCTION("""COMPUTED_VALUE"""),"Portero con cámara Wi-Fi 2.4GHz Resolución: 1080P Utiliza dos baterías de Litio 18650 (incluidas) El equipo se puede desmontar para cargar las baterías con un cable USB Grado de protección: IP65 Soporta tarjeta SD de hasta 256 GB (tarjeta no incluida) Vis"&amp;"ión nocturna Detector de movimiento (PIR) Intercomunicador dúplex. Compatible APP Smart Life")</f>
        <v>Portero con cámara Wi-Fi 2.4GHz Resolución: 1080P Utiliza dos baterías de Litio 18650 (incluidas) El equipo se puede desmontar para cargar las baterías con un cable USB Grado de protección: IP65 Soporta tarjeta SD de hasta 256 GB (tarjeta no incluida) Visión nocturna Detector de movimiento (PIR) Intercomunicador dúplex. Compatible APP Smart Life</v>
      </c>
      <c r="D57" s="4" t="str">
        <f>IFERROR(__xludf.DUMMYFUNCTION("""COMPUTED_VALUE"""),"TBCIN")</f>
        <v>TBCIN</v>
      </c>
      <c r="E57" s="4" t="str">
        <f>IFERROR(__xludf.DUMMYFUNCTION("""COMPUTED_VALUE"""),"TBCPSCT")</f>
        <v>TBCPSCT</v>
      </c>
      <c r="F57" s="4" t="str">
        <f>IFERROR(__xludf.DUMMYFUNCTION("""COMPUTED_VALUE"""),"CCTV &gt; CAMARAS IP WIFI")</f>
        <v>CCTV &gt; CAMARAS IP WIFI</v>
      </c>
      <c r="G57" s="5"/>
      <c r="H57" s="6">
        <f>IFERROR(__xludf.DUMMYFUNCTION("""COMPUTED_VALUE"""),62.7)</f>
        <v>62.7</v>
      </c>
      <c r="I57" s="7">
        <f>IFERROR(__xludf.DUMMYFUNCTION("""COMPUTED_VALUE"""),21.0)</f>
        <v>21</v>
      </c>
      <c r="J57" s="6">
        <f>IFERROR(__xludf.DUMMYFUNCTION("""COMPUTED_VALUE"""),75.24)</f>
        <v>75.24</v>
      </c>
      <c r="K57" s="6">
        <f>IFERROR(__xludf.DUMMYFUNCTION("""COMPUTED_VALUE"""),87.78)</f>
        <v>87.78</v>
      </c>
      <c r="L57" s="3"/>
      <c r="M57" s="3"/>
    </row>
    <row r="58" ht="48.0" customHeight="1">
      <c r="A58" s="3" t="str">
        <f>IFERROR(__xludf.DUMMYFUNCTION("""COMPUTED_VALUE"""),"DS-E04HQHI-B")</f>
        <v>DS-E04HQHI-B</v>
      </c>
      <c r="B58" s="4" t="str">
        <f>IFERROR(__xludf.DUMMYFUNCTION("""COMPUTED_VALUE"""),"DVR 4 CANALES")</f>
        <v>DVR 4 CANALES</v>
      </c>
      <c r="C58" s="4" t="str">
        <f>IFERROR(__xludf.DUMMYFUNCTION("""COMPUTED_VALUE"""),"E-DVR 4 Canales 4-ch 2 MP 1U H.265 eSSD AcuSense DVR 1U H.265 eSSD DVR Built-in 512 GB eSSD (480 GB available) full-channel motion detection 2.0 ,4 Turbo HD/AHD/Analog interface input,4-ch HDTVI coaxial video&amp;audio input,1-ch IP video input,Build-in eSSD "&amp;"512GB, (480 GB available), 4MP Lite: 15 fps/ch, metal mini case")</f>
        <v>E-DVR 4 Canales 4-ch 2 MP 1U H.265 eSSD AcuSense DVR 1U H.265 eSSD DVR Built-in 512 GB eSSD (480 GB available) full-channel motion detection 2.0 ,4 Turbo HD/AHD/Analog interface input,4-ch HDTVI coaxial video&amp;audio input,1-ch IP video input,Build-in eSSD 512GB, (480 GB available), 4MP Lite: 15 fps/ch, metal mini case</v>
      </c>
      <c r="D58" s="4" t="str">
        <f>IFERROR(__xludf.DUMMYFUNCTION("""COMPUTED_VALUE"""),"HIKVISION")</f>
        <v>HIKVISION</v>
      </c>
      <c r="E58" s="4" t="str">
        <f>IFERROR(__xludf.DUMMYFUNCTION("""COMPUTED_VALUE"""),"DS-E04HQHI-B")</f>
        <v>DS-E04HQHI-B</v>
      </c>
      <c r="F58" s="4" t="str">
        <f>IFERROR(__xludf.DUMMYFUNCTION("""COMPUTED_VALUE"""),"CCTV &gt; GRABADORES DVR")</f>
        <v>CCTV &gt; GRABADORES DVR</v>
      </c>
      <c r="G58" s="5"/>
      <c r="H58" s="6">
        <f>IFERROR(__xludf.DUMMYFUNCTION("""COMPUTED_VALUE"""),137.5)</f>
        <v>137.5</v>
      </c>
      <c r="I58" s="7">
        <f>IFERROR(__xludf.DUMMYFUNCTION("""COMPUTED_VALUE"""),21.0)</f>
        <v>21</v>
      </c>
      <c r="J58" s="6">
        <f>IFERROR(__xludf.DUMMYFUNCTION("""COMPUTED_VALUE"""),165.0)</f>
        <v>165</v>
      </c>
      <c r="K58" s="6">
        <f>IFERROR(__xludf.DUMMYFUNCTION("""COMPUTED_VALUE"""),192.5)</f>
        <v>192.5</v>
      </c>
      <c r="L58" s="3"/>
      <c r="M58" s="3"/>
    </row>
    <row r="59" ht="48.0" customHeight="1">
      <c r="A59" s="3" t="str">
        <f>IFERROR(__xludf.DUMMYFUNCTION("""COMPUTED_VALUE"""),"DS7204HGHIF1")</f>
        <v>DS7204HGHIF1</v>
      </c>
      <c r="B59" s="4" t="str">
        <f>IFERROR(__xludf.DUMMYFUNCTION("""COMPUTED_VALUE"""),"GRABADORA HIBRIDA TURBO 3")</f>
        <v>GRABADORA HIBRIDA TURBO 3</v>
      </c>
      <c r="C59" s="4" t="str">
        <f>IFERROR(__xludf.DUMMYFUNCTION("""COMPUTED_VALUE"""),"GRABADORA HIBRIDA TURBO 3.0 HD 720P 4CH + 1IP • 4 Canales de Video + 1 CH IP (960P) • Soporta Analógico CVBS/HDTVI/AHD/IP • 1 Entrada/Salida de Audio - 1 Salida VGA/HDMI • Soporta 1 Disco h/6TB • 2 Puertos USB 2.0 • RED 10/100 • Grabación 720P 30FPS /1080"&amp;"P Lite 12FPS - H.264/H.264+")</f>
        <v>GRABADORA HIBRIDA TURBO 3.0 HD 720P 4CH + 1IP • 4 Canales de Video + 1 CH IP (960P) • Soporta Analógico CVBS/HDTVI/AHD/IP • 1 Entrada/Salida de Audio - 1 Salida VGA/HDMI • Soporta 1 Disco h/6TB • 2 Puertos USB 2.0 • RED 10/100 • Grabación 720P 30FPS /1080P Lite 12FPS - H.264/H.264+</v>
      </c>
      <c r="D59" s="4" t="str">
        <f>IFERROR(__xludf.DUMMYFUNCTION("""COMPUTED_VALUE"""),"HIKVISION")</f>
        <v>HIKVISION</v>
      </c>
      <c r="E59" s="4" t="str">
        <f>IFERROR(__xludf.DUMMYFUNCTION("""COMPUTED_VALUE"""),"DS7204HGHIF1")</f>
        <v>DS7204HGHIF1</v>
      </c>
      <c r="F59" s="4" t="str">
        <f>IFERROR(__xludf.DUMMYFUNCTION("""COMPUTED_VALUE"""),"CCTV &gt; SERIE ECONOMY TURBO HD 3.0 - HDTVI + AHD + CVBS + IP")</f>
        <v>CCTV &gt; SERIE ECONOMY TURBO HD 3.0 - HDTVI + AHD + CVBS + IP</v>
      </c>
      <c r="G59" s="5"/>
      <c r="H59" s="6">
        <f>IFERROR(__xludf.DUMMYFUNCTION("""COMPUTED_VALUE"""),61.6)</f>
        <v>61.6</v>
      </c>
      <c r="I59" s="7">
        <f>IFERROR(__xludf.DUMMYFUNCTION("""COMPUTED_VALUE"""),21.0)</f>
        <v>21</v>
      </c>
      <c r="J59" s="6">
        <f>IFERROR(__xludf.DUMMYFUNCTION("""COMPUTED_VALUE"""),73.92)</f>
        <v>73.92</v>
      </c>
      <c r="K59" s="6">
        <f>IFERROR(__xludf.DUMMYFUNCTION("""COMPUTED_VALUE"""),86.24)</f>
        <v>86.24</v>
      </c>
      <c r="L59" s="3"/>
      <c r="M59" s="3"/>
    </row>
    <row r="60" ht="48.0" customHeight="1">
      <c r="A60" s="3" t="str">
        <f>IFERROR(__xludf.DUMMYFUNCTION("""COMPUTED_VALUE"""),"DS-7204HGHI-M1")</f>
        <v>DS-7204HGHI-M1</v>
      </c>
      <c r="B60" s="4" t="str">
        <f>IFERROR(__xludf.DUMMYFUNCTION("""COMPUTED_VALUE"""),"DVR")</f>
        <v>DVR</v>
      </c>
      <c r="C60" s="4" t="str">
        <f>IFERROR(__xludf.DUMMYFUNCTION("""COMPUTED_VALUE"""),"GRABADORA HIBRIDA TURBO 4-ch DVR Deep learning based human and vehicle targets classification of Motion Detection 2.0 H.265 Pro+/H.265 Pro/H.265 video compression HDTVI/AHD/CVI/CVBS/IP video input Audio via coaxial cable Up to 5-ch IP camera input (up to "&amp;"2 MP) Encoding ability up to 1080p lite @ 30 fps Max. 1200 m for 720p HDTVI signal")</f>
        <v>GRABADORA HIBRIDA TURBO 4-ch DVR Deep learning based human and vehicle targets classification of Motion Detection 2.0 H.265 Pro+/H.265 Pro/H.265 video compression HDTVI/AHD/CVI/CVBS/IP video input Audio via coaxial cable Up to 5-ch IP camera input (up to 2 MP) Encoding ability up to 1080p lite @ 30 fps Max. 1200 m for 720p HDTVI signal</v>
      </c>
      <c r="D60" s="4" t="str">
        <f>IFERROR(__xludf.DUMMYFUNCTION("""COMPUTED_VALUE"""),"HIKVISION")</f>
        <v>HIKVISION</v>
      </c>
      <c r="E60" s="4" t="str">
        <f>IFERROR(__xludf.DUMMYFUNCTION("""COMPUTED_VALUE"""),"DS-7204HGHI-M1")</f>
        <v>DS-7204HGHI-M1</v>
      </c>
      <c r="F60" s="4" t="str">
        <f>IFERROR(__xludf.DUMMYFUNCTION("""COMPUTED_VALUE"""),"CCTV &gt; GRABADORES DVR")</f>
        <v>CCTV &gt; GRABADORES DVR</v>
      </c>
      <c r="G60" s="5"/>
      <c r="H60" s="6">
        <f>IFERROR(__xludf.DUMMYFUNCTION("""COMPUTED_VALUE"""),61.6)</f>
        <v>61.6</v>
      </c>
      <c r="I60" s="7">
        <f>IFERROR(__xludf.DUMMYFUNCTION("""COMPUTED_VALUE"""),21.0)</f>
        <v>21</v>
      </c>
      <c r="J60" s="6">
        <f>IFERROR(__xludf.DUMMYFUNCTION("""COMPUTED_VALUE"""),73.92)</f>
        <v>73.92</v>
      </c>
      <c r="K60" s="6">
        <f>IFERROR(__xludf.DUMMYFUNCTION("""COMPUTED_VALUE"""),86.24)</f>
        <v>86.24</v>
      </c>
      <c r="L60" s="3"/>
      <c r="M60" s="3"/>
    </row>
    <row r="61" ht="48.0" customHeight="1">
      <c r="A61" s="3" t="str">
        <f>IFERROR(__xludf.DUMMYFUNCTION("""COMPUTED_VALUE"""),"DS-7208HGHI-M1")</f>
        <v>DS-7208HGHI-M1</v>
      </c>
      <c r="B61" s="4" t="str">
        <f>IFERROR(__xludf.DUMMYFUNCTION("""COMPUTED_VALUE"""),"DVR")</f>
        <v>DVR</v>
      </c>
      <c r="C61" s="4" t="str">
        <f>IFERROR(__xludf.DUMMYFUNCTION("""COMPUTED_VALUE"""),"GRABADORA HIBRIDA TURBO 8-ch DVR Deep learning based human and vehicle targets classification of Motion Detection 2.0 H.265 Pro+/H.265 Pro/H.265 video compression HDTVI/AHD/CVI/CVBS/IP video input Audio via coaxial cable Up to 10-ch IP camera input (up to"&amp;" 5 MP) Encoding ability up to 1080p lite @ 15 fps Max. 1200 m for 720p HDTVI signal")</f>
        <v>GRABADORA HIBRIDA TURBO 8-ch DVR Deep learning based human and vehicle targets classification of Motion Detection 2.0 H.265 Pro+/H.265 Pro/H.265 video compression HDTVI/AHD/CVI/CVBS/IP video input Audio via coaxial cable Up to 10-ch IP camera input (up to 5 MP) Encoding ability up to 1080p lite @ 15 fps Max. 1200 m for 720p HDTVI signal</v>
      </c>
      <c r="D61" s="4" t="str">
        <f>IFERROR(__xludf.DUMMYFUNCTION("""COMPUTED_VALUE"""),"HIKVISION")</f>
        <v>HIKVISION</v>
      </c>
      <c r="E61" s="4" t="str">
        <f>IFERROR(__xludf.DUMMYFUNCTION("""COMPUTED_VALUE"""),"DS-7208HGHI-M1")</f>
        <v>DS-7208HGHI-M1</v>
      </c>
      <c r="F61" s="4" t="str">
        <f>IFERROR(__xludf.DUMMYFUNCTION("""COMPUTED_VALUE"""),"CCTV &gt; GRABADORES DVR")</f>
        <v>CCTV &gt; GRABADORES DVR</v>
      </c>
      <c r="G61" s="5"/>
      <c r="H61" s="6">
        <f>IFERROR(__xludf.DUMMYFUNCTION("""COMPUTED_VALUE"""),75.9)</f>
        <v>75.9</v>
      </c>
      <c r="I61" s="7">
        <f>IFERROR(__xludf.DUMMYFUNCTION("""COMPUTED_VALUE"""),21.0)</f>
        <v>21</v>
      </c>
      <c r="J61" s="6">
        <f>IFERROR(__xludf.DUMMYFUNCTION("""COMPUTED_VALUE"""),91.08)</f>
        <v>91.08</v>
      </c>
      <c r="K61" s="6">
        <f>IFERROR(__xludf.DUMMYFUNCTION("""COMPUTED_VALUE"""),106.26)</f>
        <v>106.26</v>
      </c>
      <c r="L61" s="3"/>
      <c r="M61" s="3"/>
    </row>
    <row r="62" ht="48.0" customHeight="1">
      <c r="A62" s="3" t="str">
        <f>IFERROR(__xludf.DUMMYFUNCTION("""COMPUTED_VALUE"""),"DS-7216HGHI-M1")</f>
        <v>DS-7216HGHI-M1</v>
      </c>
      <c r="B62" s="4" t="str">
        <f>IFERROR(__xludf.DUMMYFUNCTION("""COMPUTED_VALUE"""),"DVR")</f>
        <v>DVR</v>
      </c>
      <c r="C62" s="4" t="str">
        <f>IFERROR(__xludf.DUMMYFUNCTION("""COMPUTED_VALUE"""),"GRABADORA HIBRIDA TURBO 16-ch DVR Deep learning based human and vehicle targets classification of Motion Detection 2.0 H.265 Pro+/H.265 Pro/H.265 video compression HDTVI/AHD/CVI/CVBS/IP video input Audio via coaxial cable Up to 18-ch IP camera input (up t"&amp;"o 5 MP) Encoding ability up to 1080p lite @ 15 fps Max. 1200 m for 720p HDTVI signal")</f>
        <v>GRABADORA HIBRIDA TURBO 16-ch DVR Deep learning based human and vehicle targets classification of Motion Detection 2.0 H.265 Pro+/H.265 Pro/H.265 video compression HDTVI/AHD/CVI/CVBS/IP video input Audio via coaxial cable Up to 18-ch IP camera input (up to 5 MP) Encoding ability up to 1080p lite @ 15 fps Max. 1200 m for 720p HDTVI signal</v>
      </c>
      <c r="D62" s="4" t="str">
        <f>IFERROR(__xludf.DUMMYFUNCTION("""COMPUTED_VALUE"""),"HIKVISION")</f>
        <v>HIKVISION</v>
      </c>
      <c r="E62" s="4" t="str">
        <f>IFERROR(__xludf.DUMMYFUNCTION("""COMPUTED_VALUE"""),"DS-7216HGHI-M1")</f>
        <v>DS-7216HGHI-M1</v>
      </c>
      <c r="F62" s="4" t="str">
        <f>IFERROR(__xludf.DUMMYFUNCTION("""COMPUTED_VALUE"""),"CCTV &gt; GRABADORES DVR")</f>
        <v>CCTV &gt; GRABADORES DVR</v>
      </c>
      <c r="G62" s="5"/>
      <c r="H62" s="6">
        <f>IFERROR(__xludf.DUMMYFUNCTION("""COMPUTED_VALUE"""),128.7)</f>
        <v>128.7</v>
      </c>
      <c r="I62" s="7">
        <f>IFERROR(__xludf.DUMMYFUNCTION("""COMPUTED_VALUE"""),21.0)</f>
        <v>21</v>
      </c>
      <c r="J62" s="6">
        <f>IFERROR(__xludf.DUMMYFUNCTION("""COMPUTED_VALUE"""),154.44)</f>
        <v>154.44</v>
      </c>
      <c r="K62" s="6">
        <f>IFERROR(__xludf.DUMMYFUNCTION("""COMPUTED_VALUE"""),180.18)</f>
        <v>180.18</v>
      </c>
      <c r="L62" s="3"/>
      <c r="M62" s="3"/>
    </row>
    <row r="63" ht="48.0" customHeight="1">
      <c r="A63" s="3" t="str">
        <f>IFERROR(__xludf.DUMMYFUNCTION("""COMPUTED_VALUE"""),"IDS-7204HQHI-M1/FA")</f>
        <v>IDS-7204HQHI-M1/FA</v>
      </c>
      <c r="B63" s="4" t="str">
        <f>IFERROR(__xludf.DUMMYFUNCTION("""COMPUTED_VALUE"""),"DVR")</f>
        <v>DVR</v>
      </c>
      <c r="C63" s="4" t="str">
        <f>IFERROR(__xludf.DUMMYFUNCTION("""COMPUTED_VALUE"""),"GRABADORA HIBRIDA TURBO 4-ch 1080p 1U H.265 AcuSense DVR 4 channels and 1 HDD 1U AcuSense DVR Supports facial recognition or false alarm reduction based on deep learning algorithm Supports face picture comparison and face picture search Up to 16 face pict"&amp;"ure libraries, with up to 500 face pictures in total Efficient H.265 pro+ compression technology Encoding ability up to 1080p @ 15 fps 5 signals input adaptively (HDTVI/AHD/CVI/CVBS/IP) Up to 6 network cameras can be connected")</f>
        <v>GRABADORA HIBRIDA TURBO 4-ch 1080p 1U H.265 AcuSense DVR 4 channels and 1 HDD 1U AcuSense DVR Supports facial recognition or false alarm reduction based on deep learning algorithm Supports face picture comparison and face picture search Up to 16 face picture libraries, with up to 500 face pictures in total Efficient H.265 pro+ compression technology Encoding ability up to 1080p @ 15 fps 5 signals input adaptively (HDTVI/AHD/CVI/CVBS/IP) Up to 6 network cameras can be connected</v>
      </c>
      <c r="D63" s="4" t="str">
        <f>IFERROR(__xludf.DUMMYFUNCTION("""COMPUTED_VALUE"""),"HIKVISION")</f>
        <v>HIKVISION</v>
      </c>
      <c r="E63" s="4" t="str">
        <f>IFERROR(__xludf.DUMMYFUNCTION("""COMPUTED_VALUE"""),"IDS-7204HQHI-M1/FA")</f>
        <v>IDS-7204HQHI-M1/FA</v>
      </c>
      <c r="F63" s="4" t="str">
        <f>IFERROR(__xludf.DUMMYFUNCTION("""COMPUTED_VALUE"""),"CCTV &gt; GRABADORES DVR")</f>
        <v>CCTV &gt; GRABADORES DVR</v>
      </c>
      <c r="G63" s="5"/>
      <c r="H63" s="6">
        <f>IFERROR(__xludf.DUMMYFUNCTION("""COMPUTED_VALUE"""),108.9)</f>
        <v>108.9</v>
      </c>
      <c r="I63" s="7">
        <f>IFERROR(__xludf.DUMMYFUNCTION("""COMPUTED_VALUE"""),21.0)</f>
        <v>21</v>
      </c>
      <c r="J63" s="6">
        <f>IFERROR(__xludf.DUMMYFUNCTION("""COMPUTED_VALUE"""),130.68)</f>
        <v>130.68</v>
      </c>
      <c r="K63" s="6">
        <f>IFERROR(__xludf.DUMMYFUNCTION("""COMPUTED_VALUE"""),152.46)</f>
        <v>152.46</v>
      </c>
      <c r="L63" s="3"/>
      <c r="M63" s="3"/>
    </row>
    <row r="64" ht="48.0" customHeight="1">
      <c r="A64" s="3" t="str">
        <f>IFERROR(__xludf.DUMMYFUNCTION("""COMPUTED_VALUE"""),"iDS-7204HQHI-M1XT-4A4-1A")</f>
        <v>iDS-7204HQHI-M1XT-4A4-1A</v>
      </c>
      <c r="B64" s="4" t="str">
        <f>IFERROR(__xludf.DUMMYFUNCTION("""COMPUTED_VALUE"""),"DVR")</f>
        <v>DVR</v>
      </c>
      <c r="C64" s="4" t="str">
        <f>IFERROR(__xludf.DUMMYFUNCTION("""COMPUTED_VALUE"""),"GRABADORA HIBRIDA TURBO 4-ch 1080p 1U H.265 AcuSense DVR 4 channels, entrada de alarmas")</f>
        <v>GRABADORA HIBRIDA TURBO 4-ch 1080p 1U H.265 AcuSense DVR 4 channels, entrada de alarmas</v>
      </c>
      <c r="D64" s="4" t="str">
        <f>IFERROR(__xludf.DUMMYFUNCTION("""COMPUTED_VALUE"""),"HIKVISION")</f>
        <v>HIKVISION</v>
      </c>
      <c r="E64" s="4" t="str">
        <f>IFERROR(__xludf.DUMMYFUNCTION("""COMPUTED_VALUE"""),"iDS-7204HQHI-M1XT-4A4-1A")</f>
        <v>iDS-7204HQHI-M1XT-4A4-1A</v>
      </c>
      <c r="F64" s="4" t="str">
        <f>IFERROR(__xludf.DUMMYFUNCTION("""COMPUTED_VALUE"""),"CCTV &gt; GRABADORES DVR")</f>
        <v>CCTV &gt; GRABADORES DVR</v>
      </c>
      <c r="G64" s="5"/>
      <c r="H64" s="6">
        <f>IFERROR(__xludf.DUMMYFUNCTION("""COMPUTED_VALUE"""),148.5)</f>
        <v>148.5</v>
      </c>
      <c r="I64" s="7">
        <f>IFERROR(__xludf.DUMMYFUNCTION("""COMPUTED_VALUE"""),21.0)</f>
        <v>21</v>
      </c>
      <c r="J64" s="6">
        <f>IFERROR(__xludf.DUMMYFUNCTION("""COMPUTED_VALUE"""),178.2)</f>
        <v>178.2</v>
      </c>
      <c r="K64" s="6">
        <f>IFERROR(__xludf.DUMMYFUNCTION("""COMPUTED_VALUE"""),207.9)</f>
        <v>207.9</v>
      </c>
      <c r="L64" s="3"/>
      <c r="M64" s="3"/>
    </row>
    <row r="65" ht="48.0" customHeight="1">
      <c r="A65" s="3" t="str">
        <f>IFERROR(__xludf.DUMMYFUNCTION("""COMPUTED_VALUE"""),"IDS-7204HUHI-M1/FA")</f>
        <v>IDS-7204HUHI-M1/FA</v>
      </c>
      <c r="B65" s="4" t="str">
        <f>IFERROR(__xludf.DUMMYFUNCTION("""COMPUTED_VALUE"""),"DVR")</f>
        <v>DVR</v>
      </c>
      <c r="C65" s="4" t="str">
        <f>IFERROR(__xludf.DUMMYFUNCTION("""COMPUTED_VALUE"""),"GRABADORA HIBRIDA TURBO 4-ch 5 MP 1U H.265 AcuSense DVR Deep learning-based behavior analysis or face picture comparison H.265 Pro+/H.265 Pro/H.265/H.264+/H.264 video compression HDTVI/AHD/CVI/CVBS/IP video inputs Audio via coaxial cable Up to 8/16-ch IP "&amp;"camera inputs (up to 8 MP) Max. 800 m for 1080p and 1200 m for 720p HDTVI signal transmission Up to 10 TB capacity per HDD")</f>
        <v>GRABADORA HIBRIDA TURBO 4-ch 5 MP 1U H.265 AcuSense DVR Deep learning-based behavior analysis or face picture comparison H.265 Pro+/H.265 Pro/H.265/H.264+/H.264 video compression HDTVI/AHD/CVI/CVBS/IP video inputs Audio via coaxial cable Up to 8/16-ch IP camera inputs (up to 8 MP) Max. 800 m for 1080p and 1200 m for 720p HDTVI signal transmission Up to 10 TB capacity per HDD</v>
      </c>
      <c r="D65" s="4" t="str">
        <f>IFERROR(__xludf.DUMMYFUNCTION("""COMPUTED_VALUE"""),"HIKVISION")</f>
        <v>HIKVISION</v>
      </c>
      <c r="E65" s="4" t="str">
        <f>IFERROR(__xludf.DUMMYFUNCTION("""COMPUTED_VALUE"""),"IDS-7204HUHI-M1/FA")</f>
        <v>IDS-7204HUHI-M1/FA</v>
      </c>
      <c r="F65" s="4" t="str">
        <f>IFERROR(__xludf.DUMMYFUNCTION("""COMPUTED_VALUE"""),"CCTV &gt; GRABADORES DVR")</f>
        <v>CCTV &gt; GRABADORES DVR</v>
      </c>
      <c r="G65" s="5"/>
      <c r="H65" s="6">
        <f>IFERROR(__xludf.DUMMYFUNCTION("""COMPUTED_VALUE"""),165.0)</f>
        <v>165</v>
      </c>
      <c r="I65" s="7">
        <f>IFERROR(__xludf.DUMMYFUNCTION("""COMPUTED_VALUE"""),21.0)</f>
        <v>21</v>
      </c>
      <c r="J65" s="6">
        <f>IFERROR(__xludf.DUMMYFUNCTION("""COMPUTED_VALUE"""),198.0)</f>
        <v>198</v>
      </c>
      <c r="K65" s="6">
        <f>IFERROR(__xludf.DUMMYFUNCTION("""COMPUTED_VALUE"""),231.0)</f>
        <v>231</v>
      </c>
      <c r="L65" s="3"/>
      <c r="M65" s="3"/>
    </row>
    <row r="66" ht="48.0" customHeight="1">
      <c r="A66" s="3" t="str">
        <f>IFERROR(__xludf.DUMMYFUNCTION("""COMPUTED_VALUE"""),"IDS-7208HQHI-M1/FA")</f>
        <v>IDS-7208HQHI-M1/FA</v>
      </c>
      <c r="B66" s="4" t="str">
        <f>IFERROR(__xludf.DUMMYFUNCTION("""COMPUTED_VALUE"""),"DVR")</f>
        <v>DVR</v>
      </c>
      <c r="C66" s="4" t="str">
        <f>IFERROR(__xludf.DUMMYFUNCTION("""COMPUTED_VALUE"""),"GRABADORA HIBRIDA TURBO 8-ch 1080p 1U H.265 AcuSense DVR 8 channels and 1 HDD 1U AcuSense DVR Supports facial recognition or false alarm reduction based on deep learning algorithm Supports face picture comparison and face picture search Up to 16 face pict"&amp;"ure libraries")</f>
        <v>GRABADORA HIBRIDA TURBO 8-ch 1080p 1U H.265 AcuSense DVR 8 channels and 1 HDD 1U AcuSense DVR Supports facial recognition or false alarm reduction based on deep learning algorithm Supports face picture comparison and face picture search Up to 16 face picture libraries</v>
      </c>
      <c r="D66" s="4" t="str">
        <f>IFERROR(__xludf.DUMMYFUNCTION("""COMPUTED_VALUE"""),"HIKVISION")</f>
        <v>HIKVISION</v>
      </c>
      <c r="E66" s="4" t="str">
        <f>IFERROR(__xludf.DUMMYFUNCTION("""COMPUTED_VALUE"""),"IDS-7208HQHI-M1/FA")</f>
        <v>IDS-7208HQHI-M1/FA</v>
      </c>
      <c r="F66" s="4" t="str">
        <f>IFERROR(__xludf.DUMMYFUNCTION("""COMPUTED_VALUE"""),"CCTV &gt; GRABADORES DVR")</f>
        <v>CCTV &gt; GRABADORES DVR</v>
      </c>
      <c r="G66" s="5"/>
      <c r="H66" s="6">
        <f>IFERROR(__xludf.DUMMYFUNCTION("""COMPUTED_VALUE"""),165.0)</f>
        <v>165</v>
      </c>
      <c r="I66" s="7">
        <f>IFERROR(__xludf.DUMMYFUNCTION("""COMPUTED_VALUE"""),21.0)</f>
        <v>21</v>
      </c>
      <c r="J66" s="6">
        <f>IFERROR(__xludf.DUMMYFUNCTION("""COMPUTED_VALUE"""),198.0)</f>
        <v>198</v>
      </c>
      <c r="K66" s="6">
        <f>IFERROR(__xludf.DUMMYFUNCTION("""COMPUTED_VALUE"""),231.0)</f>
        <v>231</v>
      </c>
      <c r="L66" s="3"/>
      <c r="M66" s="3"/>
    </row>
    <row r="67" ht="48.0" customHeight="1">
      <c r="A67" s="3" t="str">
        <f>IFERROR(__xludf.DUMMYFUNCTION("""COMPUTED_VALUE"""),"IDS-7216HQHI-M1/FA")</f>
        <v>IDS-7216HQHI-M1/FA</v>
      </c>
      <c r="B67" s="4" t="str">
        <f>IFERROR(__xludf.DUMMYFUNCTION("""COMPUTED_VALUE"""),"GRABADORA HIBRIDA TURBO 16 CH 1-CH FACIAL RECOGNITION OR")</f>
        <v>GRABADORA HIBRIDA TURBO 16 CH 1-CH FACIAL RECOGNITION OR</v>
      </c>
      <c r="C67" s="4" t="str">
        <f>IFERROR(__xludf.DUMMYFUNCTION("""COMPUTED_VALUE"""),"GRABADORA HIBRIDA TURBO 16 CH 1-ch facial recognition or 4-ch false alarm filter, 16 Turbo HD/CVI / AHD / CVBS self-adaptive interfaces input, 16-ch video&amp;1-ch audio input, H.265/H.265+ compression, 1 SATA interface,CH01-04: 3MP @ 15fps, CH01-16:1920×1080"&amp;"P @15 fps, 4MP Lite@15fps/ch")</f>
        <v>GRABADORA HIBRIDA TURBO 16 CH 1-ch facial recognition or 4-ch false alarm filter, 16 Turbo HD/CVI / AHD / CVBS self-adaptive interfaces input, 16-ch video&amp;1-ch audio input, H.265/H.265+ compression, 1 SATA interface,CH01-04: 3MP @ 15fps, CH01-16:1920×1080P @15 fps, 4MP Lite@15fps/ch</v>
      </c>
      <c r="D67" s="4" t="str">
        <f>IFERROR(__xludf.DUMMYFUNCTION("""COMPUTED_VALUE"""),"HIKVISION")</f>
        <v>HIKVISION</v>
      </c>
      <c r="E67" s="4" t="str">
        <f>IFERROR(__xludf.DUMMYFUNCTION("""COMPUTED_VALUE"""),"IDS-7216HQHI-M1/FA")</f>
        <v>IDS-7216HQHI-M1/FA</v>
      </c>
      <c r="F67" s="4" t="str">
        <f>IFERROR(__xludf.DUMMYFUNCTION("""COMPUTED_VALUE"""),"CCTV &gt; SERIE ACUSENSE TURBO HD HD-TVI + AHD + CVBS + IP -6MPX")</f>
        <v>CCTV &gt; SERIE ACUSENSE TURBO HD HD-TVI + AHD + CVBS + IP -6MPX</v>
      </c>
      <c r="G67" s="5"/>
      <c r="H67" s="6">
        <f>IFERROR(__xludf.DUMMYFUNCTION("""COMPUTED_VALUE"""),284.9)</f>
        <v>284.9</v>
      </c>
      <c r="I67" s="7">
        <f>IFERROR(__xludf.DUMMYFUNCTION("""COMPUTED_VALUE"""),21.0)</f>
        <v>21</v>
      </c>
      <c r="J67" s="6">
        <f>IFERROR(__xludf.DUMMYFUNCTION("""COMPUTED_VALUE"""),341.88)</f>
        <v>341.88</v>
      </c>
      <c r="K67" s="6">
        <f>IFERROR(__xludf.DUMMYFUNCTION("""COMPUTED_VALUE"""),398.86)</f>
        <v>398.86</v>
      </c>
      <c r="L67" s="3"/>
      <c r="M67" s="3"/>
    </row>
    <row r="68" ht="48.0" customHeight="1">
      <c r="A68" s="3" t="str">
        <f>IFERROR(__xludf.DUMMYFUNCTION("""COMPUTED_VALUE"""),"IDS-7216HQHI-M2/FA")</f>
        <v>IDS-7216HQHI-M2/FA</v>
      </c>
      <c r="B68" s="4" t="str">
        <f>IFERROR(__xludf.DUMMYFUNCTION("""COMPUTED_VALUE"""),"DVR 16 CANALES")</f>
        <v>DVR 16 CANALES</v>
      </c>
      <c r="C68" s="4" t="str">
        <f>IFERROR(__xludf.DUMMYFUNCTION("""COMPUTED_VALUE"""),"GRABADORA HIBRIDA TURBO 16 CH 1080p 1U H.265 AcuSense DVR 16 channels and 2 HDDs 1U AcuSense DVR Provides detailed information with face detection False alarm reduction through human and vehicle target classification based on deep learning. Efficient H.26"&amp;"5 pro+ compression technology. Encoding ability up to 1080p @ 15 fps 5 signals input adaptively (HDTVI/AHD/CVI/CVBS/IP). Up to 8 network cameras can be connected")</f>
        <v>GRABADORA HIBRIDA TURBO 16 CH 1080p 1U H.265 AcuSense DVR 16 channels and 2 HDDs 1U AcuSense DVR Provides detailed information with face detection False alarm reduction through human and vehicle target classification based on deep learning. Efficient H.265 pro+ compression technology. Encoding ability up to 1080p @ 15 fps 5 signals input adaptively (HDTVI/AHD/CVI/CVBS/IP). Up to 8 network cameras can be connected</v>
      </c>
      <c r="D68" s="4" t="str">
        <f>IFERROR(__xludf.DUMMYFUNCTION("""COMPUTED_VALUE"""),"HIKVISION")</f>
        <v>HIKVISION</v>
      </c>
      <c r="E68" s="4" t="str">
        <f>IFERROR(__xludf.DUMMYFUNCTION("""COMPUTED_VALUE"""),"IDS-7216HQHI-M2/FA")</f>
        <v>IDS-7216HQHI-M2/FA</v>
      </c>
      <c r="F68" s="4" t="str">
        <f>IFERROR(__xludf.DUMMYFUNCTION("""COMPUTED_VALUE"""),"CCTV &gt; GRABADORES DVR")</f>
        <v>CCTV &gt; GRABADORES DVR</v>
      </c>
      <c r="G68" s="5"/>
      <c r="H68" s="6">
        <f>IFERROR(__xludf.DUMMYFUNCTION("""COMPUTED_VALUE"""),317.9)</f>
        <v>317.9</v>
      </c>
      <c r="I68" s="7">
        <f>IFERROR(__xludf.DUMMYFUNCTION("""COMPUTED_VALUE"""),21.0)</f>
        <v>21</v>
      </c>
      <c r="J68" s="6">
        <f>IFERROR(__xludf.DUMMYFUNCTION("""COMPUTED_VALUE"""),381.48)</f>
        <v>381.48</v>
      </c>
      <c r="K68" s="6">
        <f>IFERROR(__xludf.DUMMYFUNCTION("""COMPUTED_VALUE"""),445.06)</f>
        <v>445.06</v>
      </c>
      <c r="L68" s="3"/>
      <c r="M68" s="3"/>
    </row>
    <row r="69" ht="48.0" customHeight="1">
      <c r="A69" s="3" t="str">
        <f>IFERROR(__xludf.DUMMYFUNCTION("""COMPUTED_VALUE"""),"iDS-7216HUHI-M2/XT")</f>
        <v>iDS-7216HUHI-M2/XT</v>
      </c>
      <c r="B69" s="4" t="str">
        <f>IFERROR(__xludf.DUMMYFUNCTION("""COMPUTED_VALUE"""),"GRABADORA HIBRIDA TURBO 16 CH 1080P 1U H")</f>
        <v>GRABADORA HIBRIDA TURBO 16 CH 1080P 1U H</v>
      </c>
      <c r="C69" s="4" t="str">
        <f>IFERROR(__xludf.DUMMYFUNCTION("""COMPUTED_VALUE"""),"GRABADORA HIBRIDA TURBO 16 CH 1080P 1U H.265 ACUSE. 16 Canales TURBOHD + 16 Canales IP, 2 Bahía de Disco Duro, Salida de Vídeo en 4K y Entrada Salida de Alarma")</f>
        <v>GRABADORA HIBRIDA TURBO 16 CH 1080P 1U H.265 ACUSE. 16 Canales TURBOHD + 16 Canales IP, 2 Bahía de Disco Duro, Salida de Vídeo en 4K y Entrada Salida de Alarma</v>
      </c>
      <c r="D69" s="4" t="str">
        <f>IFERROR(__xludf.DUMMYFUNCTION("""COMPUTED_VALUE"""),"HIKVISION")</f>
        <v>HIKVISION</v>
      </c>
      <c r="E69" s="4" t="str">
        <f>IFERROR(__xludf.DUMMYFUNCTION("""COMPUTED_VALUE"""),"iDS-7216HUHI-M2/XT")</f>
        <v>iDS-7216HUHI-M2/XT</v>
      </c>
      <c r="F69" s="4" t="str">
        <f>IFERROR(__xludf.DUMMYFUNCTION("""COMPUTED_VALUE"""),"CCTV &gt; SERIE ACUSENSE TURBO HD HD-TVI + AHD + CVBS + IP -6MPX")</f>
        <v>CCTV &gt; SERIE ACUSENSE TURBO HD HD-TVI + AHD + CVBS + IP -6MPX</v>
      </c>
      <c r="G69" s="5"/>
      <c r="H69" s="6">
        <f>IFERROR(__xludf.DUMMYFUNCTION("""COMPUTED_VALUE"""),733.7)</f>
        <v>733.7</v>
      </c>
      <c r="I69" s="7">
        <f>IFERROR(__xludf.DUMMYFUNCTION("""COMPUTED_VALUE"""),21.0)</f>
        <v>21</v>
      </c>
      <c r="J69" s="6">
        <f>IFERROR(__xludf.DUMMYFUNCTION("""COMPUTED_VALUE"""),880.44)</f>
        <v>880.44</v>
      </c>
      <c r="K69" s="6">
        <f>IFERROR(__xludf.DUMMYFUNCTION("""COMPUTED_VALUE"""),1027.18)</f>
        <v>1027.18</v>
      </c>
      <c r="L69" s="3"/>
      <c r="M69" s="3"/>
    </row>
    <row r="70" ht="48.0" customHeight="1">
      <c r="A70" s="3" t="str">
        <f>IFERROR(__xludf.DUMMYFUNCTION("""COMPUTED_VALUE"""),"iDS-7232HQHI-M2/XT")</f>
        <v>iDS-7232HQHI-M2/XT</v>
      </c>
      <c r="B70" s="4" t="str">
        <f>IFERROR(__xludf.DUMMYFUNCTION("""COMPUTED_VALUE"""),"DVR 32 CANALES")</f>
        <v>DVR 32 CANALES</v>
      </c>
      <c r="C70" s="4" t="str">
        <f>IFERROR(__xludf.DUMMYFUNCTION("""COMPUTED_VALUE"""),"DVR AcuSense 32ch 1080p con detección inteligente, reconocimiento facial, protección perimetral y audio coaxial bidireccional. Admite reconocimiento facial de 4 canales o protección perimetral de modelo avanzado de 8 canales basada en algoritmo de aprendi"&amp;"zaje profundo")</f>
        <v>DVR AcuSense 32ch 1080p con detección inteligente, reconocimiento facial, protección perimetral y audio coaxial bidireccional. Admite reconocimiento facial de 4 canales o protección perimetral de modelo avanzado de 8 canales basada en algoritmo de aprendizaje profundo</v>
      </c>
      <c r="D70" s="4" t="str">
        <f>IFERROR(__xludf.DUMMYFUNCTION("""COMPUTED_VALUE"""),"HIKVISION")</f>
        <v>HIKVISION</v>
      </c>
      <c r="E70" s="4" t="str">
        <f>IFERROR(__xludf.DUMMYFUNCTION("""COMPUTED_VALUE"""),"iDS-7232HQHI-M2/XT")</f>
        <v>iDS-7232HQHI-M2/XT</v>
      </c>
      <c r="F70" s="4" t="str">
        <f>IFERROR(__xludf.DUMMYFUNCTION("""COMPUTED_VALUE"""),"CCTV &gt; GRABADORES DVR")</f>
        <v>CCTV &gt; GRABADORES DVR</v>
      </c>
      <c r="G70" s="5"/>
      <c r="H70" s="6">
        <f>IFERROR(__xludf.DUMMYFUNCTION("""COMPUTED_VALUE"""),680.9)</f>
        <v>680.9</v>
      </c>
      <c r="I70" s="7">
        <f>IFERROR(__xludf.DUMMYFUNCTION("""COMPUTED_VALUE"""),21.0)</f>
        <v>21</v>
      </c>
      <c r="J70" s="6">
        <f>IFERROR(__xludf.DUMMYFUNCTION("""COMPUTED_VALUE"""),817.08)</f>
        <v>817.08</v>
      </c>
      <c r="K70" s="6">
        <f>IFERROR(__xludf.DUMMYFUNCTION("""COMPUTED_VALUE"""),953.26)</f>
        <v>953.26</v>
      </c>
      <c r="L70" s="3"/>
      <c r="M70" s="3"/>
    </row>
    <row r="71" ht="48.0" customHeight="1">
      <c r="A71" s="3" t="str">
        <f>IFERROR(__xludf.DUMMYFUNCTION("""COMPUTED_VALUE"""),"DS2CE16C0TVFIR3F")</f>
        <v>DS2CE16C0TVFIR3F</v>
      </c>
      <c r="B71" s="4" t="str">
        <f>IFERROR(__xludf.DUMMYFUNCTION("""COMPUTED_VALUE"""),"CAMARA BULLET 720P")</f>
        <v>CAMARA BULLET 720P</v>
      </c>
      <c r="C71" s="4" t="str">
        <f>IFERROR(__xludf.DUMMYFUNCTION("""COMPUTED_VALUE"""),"Cámara Turbo Tipo Bullet 4.0 Bullet 720P Dia/Noche: Si con IR hasta 40 mts Apta intemperie: IP66 Lente varifocal: 2,8-12 mm Ángulo de visión: 23,42 a 71,78 grados Filtro ICR: Si Temperatura de operación: 40 a 60 grados Alimentación: 12 VDC Consumo: 4 W Pe"&amp;"so: 0,9 kg Norma: CVBS, HD-TVI / CVI / AHD")</f>
        <v>Cámara Turbo Tipo Bullet 4.0 Bullet 720P Dia/Noche: Si con IR hasta 40 mts Apta intemperie: IP66 Lente varifocal: 2,8-12 mm Ángulo de visión: 23,42 a 71,78 grados Filtro ICR: Si Temperatura de operación: 40 a 60 grados Alimentación: 12 VDC Consumo: 4 W Peso: 0,9 kg Norma: CVBS, HD-TVI / CVI / AHD</v>
      </c>
      <c r="D71" s="4" t="str">
        <f>IFERROR(__xludf.DUMMYFUNCTION("""COMPUTED_VALUE"""),"HIKVISION")</f>
        <v>HIKVISION</v>
      </c>
      <c r="E71" s="4" t="str">
        <f>IFERROR(__xludf.DUMMYFUNCTION("""COMPUTED_VALUE"""),"DS2CE16C0TVFIR3F")</f>
        <v>DS2CE16C0TVFIR3F</v>
      </c>
      <c r="F71" s="4" t="str">
        <f>IFERROR(__xludf.DUMMYFUNCTION("""COMPUTED_VALUE"""),"CCTV &gt; CAMARAS TERMICAS")</f>
        <v>CCTV &gt; CAMARAS TERMICAS</v>
      </c>
      <c r="G71" s="5"/>
      <c r="H71" s="6">
        <f>IFERROR(__xludf.DUMMYFUNCTION("""COMPUTED_VALUE"""),37.4)</f>
        <v>37.4</v>
      </c>
      <c r="I71" s="7">
        <f>IFERROR(__xludf.DUMMYFUNCTION("""COMPUTED_VALUE"""),21.0)</f>
        <v>21</v>
      </c>
      <c r="J71" s="6">
        <f>IFERROR(__xludf.DUMMYFUNCTION("""COMPUTED_VALUE"""),44.88)</f>
        <v>44.88</v>
      </c>
      <c r="K71" s="6">
        <f>IFERROR(__xludf.DUMMYFUNCTION("""COMPUTED_VALUE"""),52.36)</f>
        <v>52.36</v>
      </c>
      <c r="L71" s="3"/>
      <c r="M71" s="3"/>
    </row>
    <row r="72" ht="48.0" customHeight="1">
      <c r="A72" s="3" t="str">
        <f>IFERROR(__xludf.DUMMYFUNCTION("""COMPUTED_VALUE"""),"DS-2CE76D0T-EXIPF")</f>
        <v>DS-2CE76D0T-EXIPF</v>
      </c>
      <c r="B72" s="4" t="str">
        <f>IFERROR(__xludf.DUMMYFUNCTION("""COMPUTED_VALUE"""),"DOMO TURRET TURBO 2 MP LENTE 2")</f>
        <v>DOMO TURRET TURBO 2 MP LENTE 2</v>
      </c>
      <c r="C72" s="4" t="str">
        <f>IFERROR(__xludf.DUMMYFUNCTION("""COMPUTED_VALUE"""),"Domo Turret Turbo 2 MP LENTE 2.8MM Indoor Fixed Turret Camera High quality imaging with 2 MP, 1920 × 1080 resolution 2.8 mm, fixed lens Up to 20 m IR distance for bright night imaging One port for four switchable signals (TVI/AHD/CVI/CVBS)")</f>
        <v>Domo Turret Turbo 2 MP LENTE 2.8MM Indoor Fixed Turret Camera High quality imaging with 2 MP, 1920 × 1080 resolution 2.8 mm, fixed lens Up to 20 m IR distance for bright night imaging One port for four switchable signals (TVI/AHD/CVI/CVBS)</v>
      </c>
      <c r="D72" s="4" t="str">
        <f>IFERROR(__xludf.DUMMYFUNCTION("""COMPUTED_VALUE"""),"HIKVISION")</f>
        <v>HIKVISION</v>
      </c>
      <c r="E72" s="4" t="str">
        <f>IFERROR(__xludf.DUMMYFUNCTION("""COMPUTED_VALUE"""),"DS-2CE76D0T-EXIPF")</f>
        <v>DS-2CE76D0T-EXIPF</v>
      </c>
      <c r="F72" s="4" t="str">
        <f>IFERROR(__xludf.DUMMYFUNCTION("""COMPUTED_VALUE"""),"CONECTIVIDAD &gt; SWITCH")</f>
        <v>CONECTIVIDAD &gt; SWITCH</v>
      </c>
      <c r="G72" s="5"/>
      <c r="H72" s="6">
        <f>IFERROR(__xludf.DUMMYFUNCTION("""COMPUTED_VALUE"""),16.17)</f>
        <v>16.17</v>
      </c>
      <c r="I72" s="7">
        <f>IFERROR(__xludf.DUMMYFUNCTION("""COMPUTED_VALUE"""),21.0)</f>
        <v>21</v>
      </c>
      <c r="J72" s="6">
        <f>IFERROR(__xludf.DUMMYFUNCTION("""COMPUTED_VALUE"""),19.4)</f>
        <v>19.4</v>
      </c>
      <c r="K72" s="6">
        <f>IFERROR(__xludf.DUMMYFUNCTION("""COMPUTED_VALUE"""),22.64)</f>
        <v>22.64</v>
      </c>
      <c r="L72" s="3"/>
      <c r="M72" s="3"/>
    </row>
    <row r="73" ht="48.0" customHeight="1">
      <c r="A73" s="3" t="str">
        <f>IFERROR(__xludf.DUMMYFUNCTION("""COMPUTED_VALUE"""),"DS-2CE76D0T-EXIMF")</f>
        <v>DS-2CE76D0T-EXIMF</v>
      </c>
      <c r="B73" s="4" t="str">
        <f>IFERROR(__xludf.DUMMYFUNCTION("""COMPUTED_VALUE"""),"CAMARA TURRET 2MP")</f>
        <v>CAMARA TURRET 2MP</v>
      </c>
      <c r="C73" s="4" t="str">
        <f>IFERROR(__xludf.DUMMYFUNCTION("""COMPUTED_VALUE"""),"Domo Turret Turbo 2MP CMOS Sensor, 2 pcs EXIR LEDs, 20m IR, Outdoor EXIR Turret, ICR, 0.02 Lux/F1.2, 12 VDC, Smart IR, DNR, IP66, 2.8 Lens, Support TVI/AHD/CVI/CVBS video signal output")</f>
        <v>Domo Turret Turbo 2MP CMOS Sensor, 2 pcs EXIR LEDs, 20m IR, Outdoor EXIR Turret, ICR, 0.02 Lux/F1.2, 12 VDC, Smart IR, DNR, IP66, 2.8 Lens, Support TVI/AHD/CVI/CVBS video signal output</v>
      </c>
      <c r="D73" s="4" t="str">
        <f>IFERROR(__xludf.DUMMYFUNCTION("""COMPUTED_VALUE"""),"HIKVISION")</f>
        <v>HIKVISION</v>
      </c>
      <c r="E73" s="4" t="str">
        <f>IFERROR(__xludf.DUMMYFUNCTION("""COMPUTED_VALUE"""),"DS-2CE76D0T-EXIMF")</f>
        <v>DS-2CE76D0T-EXIMF</v>
      </c>
      <c r="F73" s="4" t="str">
        <f>IFERROR(__xludf.DUMMYFUNCTION("""COMPUTED_VALUE"""),"CCTV &gt; CAMARAS ANALOGICAS")</f>
        <v>CCTV &gt; CAMARAS ANALOGICAS</v>
      </c>
      <c r="G73" s="5"/>
      <c r="H73" s="6">
        <f>IFERROR(__xludf.DUMMYFUNCTION("""COMPUTED_VALUE"""),18.26)</f>
        <v>18.26</v>
      </c>
      <c r="I73" s="7">
        <f>IFERROR(__xludf.DUMMYFUNCTION("""COMPUTED_VALUE"""),21.0)</f>
        <v>21</v>
      </c>
      <c r="J73" s="6">
        <f>IFERROR(__xludf.DUMMYFUNCTION("""COMPUTED_VALUE"""),21.91)</f>
        <v>21.91</v>
      </c>
      <c r="K73" s="6">
        <f>IFERROR(__xludf.DUMMYFUNCTION("""COMPUTED_VALUE"""),25.56)</f>
        <v>25.56</v>
      </c>
      <c r="L73" s="3"/>
      <c r="M73" s="3"/>
    </row>
    <row r="74" ht="48.0" customHeight="1">
      <c r="A74" s="3" t="str">
        <f>IFERROR(__xludf.DUMMYFUNCTION("""COMPUTED_VALUE"""),"DS2CE76D0TITPFS")</f>
        <v>DS2CE76D0TITPFS</v>
      </c>
      <c r="B74" s="4" t="str">
        <f>IFERROR(__xludf.DUMMYFUNCTION("""COMPUTED_VALUE"""),"DOMO TURRET TURBO2 MP CON AUDIO, 1920 * 1080 RESOLUTION 2")</f>
        <v>DOMO TURRET TURBO2 MP CON AUDIO, 1920 * 1080 RESOLUTION 2</v>
      </c>
      <c r="C74" s="4" t="str">
        <f>IFERROR(__xludf.DUMMYFUNCTION("""COMPUTED_VALUE"""),"Domo Turret Turbo2 MP con Audio, 1920 * 1080 resolution 2.8 mm fixed focal lens Smart IR,up to 20 m IR distance Audio over coaxial cable, built-in mic 4 in 1 video output (switchable TVI/AHD/CVI/CVBS)")</f>
        <v>Domo Turret Turbo2 MP con Audio, 1920 * 1080 resolution 2.8 mm fixed focal lens Smart IR,up to 20 m IR distance Audio over coaxial cable, built-in mic 4 in 1 video output (switchable TVI/AHD/CVI/CVBS)</v>
      </c>
      <c r="D74" s="4" t="str">
        <f>IFERROR(__xludf.DUMMYFUNCTION("""COMPUTED_VALUE"""),"HIKVISION")</f>
        <v>HIKVISION</v>
      </c>
      <c r="E74" s="4" t="str">
        <f>IFERROR(__xludf.DUMMYFUNCTION("""COMPUTED_VALUE"""),"DS2CE76D0TITPFS")</f>
        <v>DS2CE76D0TITPFS</v>
      </c>
      <c r="F74" s="4" t="str">
        <f>IFERROR(__xludf.DUMMYFUNCTION("""COMPUTED_VALUE"""),"CONECTIVIDAD &gt; SWITCH")</f>
        <v>CONECTIVIDAD &gt; SWITCH</v>
      </c>
      <c r="G74" s="5"/>
      <c r="H74" s="6">
        <f>IFERROR(__xludf.DUMMYFUNCTION("""COMPUTED_VALUE"""),24.53)</f>
        <v>24.53</v>
      </c>
      <c r="I74" s="7">
        <f>IFERROR(__xludf.DUMMYFUNCTION("""COMPUTED_VALUE"""),21.0)</f>
        <v>21</v>
      </c>
      <c r="J74" s="6">
        <f>IFERROR(__xludf.DUMMYFUNCTION("""COMPUTED_VALUE"""),29.44)</f>
        <v>29.44</v>
      </c>
      <c r="K74" s="6">
        <f>IFERROR(__xludf.DUMMYFUNCTION("""COMPUTED_VALUE"""),34.34)</f>
        <v>34.34</v>
      </c>
      <c r="L74" s="3"/>
      <c r="M74" s="3"/>
    </row>
    <row r="75" ht="48.0" customHeight="1">
      <c r="A75" s="3" t="str">
        <f>IFERROR(__xludf.DUMMYFUNCTION("""COMPUTED_VALUE"""),"DS-2CE76D0T-LPFS")</f>
        <v>DS-2CE76D0T-LPFS</v>
      </c>
      <c r="B75" s="4" t="str">
        <f>IFERROR(__xludf.DUMMYFUNCTION("""COMPUTED_VALUE"""),"DOMO TURRET TURBO 2MP, LENTE FIJO 2,8MM (MICRÓFONO INCORPORADO)")</f>
        <v>DOMO TURRET TURBO 2MP, LENTE FIJO 2,8MM (MICRÓFONO INCORPORADO)</v>
      </c>
      <c r="C75" s="4" t="str">
        <f>IFERROR(__xludf.DUMMYFUNCTION("""COMPUTED_VALUE"""),"Domo Turret Turbo 2MP, Lente fijo 2,8mm (micrófono incorporado). Resolución máxima 1920 (H) × 1080 (V). . Iluminador doble, luz blanca e infrarrojo. Distancia hasta 20 metros. WDR Digital. Salida De Vídeo Switchable TVI/AHD/CVI/CVBS. Material: Plástica. A"&amp;"limentación 12 VDC")</f>
        <v>Domo Turret Turbo 2MP, Lente fijo 2,8mm (micrófono incorporado). Resolución máxima 1920 (H) × 1080 (V). . Iluminador doble, luz blanca e infrarrojo. Distancia hasta 20 metros. WDR Digital. Salida De Vídeo Switchable TVI/AHD/CVI/CVBS. Material: Plástica. Alimentación 12 VDC</v>
      </c>
      <c r="D75" s="4" t="str">
        <f>IFERROR(__xludf.DUMMYFUNCTION("""COMPUTED_VALUE"""),"HIKVISION")</f>
        <v>HIKVISION</v>
      </c>
      <c r="E75" s="4" t="str">
        <f>IFERROR(__xludf.DUMMYFUNCTION("""COMPUTED_VALUE"""),"DS-2CE76D0T-LPFS")</f>
        <v>DS-2CE76D0T-LPFS</v>
      </c>
      <c r="F75" s="4" t="str">
        <f>IFERROR(__xludf.DUMMYFUNCTION("""COMPUTED_VALUE"""),"CONECTIVIDAD &gt; SWITCH")</f>
        <v>CONECTIVIDAD &gt; SWITCH</v>
      </c>
      <c r="G75" s="5"/>
      <c r="H75" s="6">
        <f>IFERROR(__xludf.DUMMYFUNCTION("""COMPUTED_VALUE"""),23.21)</f>
        <v>23.21</v>
      </c>
      <c r="I75" s="7">
        <f>IFERROR(__xludf.DUMMYFUNCTION("""COMPUTED_VALUE"""),21.0)</f>
        <v>21</v>
      </c>
      <c r="J75" s="6">
        <f>IFERROR(__xludf.DUMMYFUNCTION("""COMPUTED_VALUE"""),27.85)</f>
        <v>27.85</v>
      </c>
      <c r="K75" s="6">
        <f>IFERROR(__xludf.DUMMYFUNCTION("""COMPUTED_VALUE"""),32.49)</f>
        <v>32.49</v>
      </c>
      <c r="L75" s="3"/>
      <c r="M75" s="3"/>
    </row>
    <row r="76" ht="48.0" customHeight="1">
      <c r="A76" s="3" t="str">
        <f>IFERROR(__xludf.DUMMYFUNCTION("""COMPUTED_VALUE"""),"DS-2CE70DF0T-PF")</f>
        <v>DS-2CE70DF0T-PF</v>
      </c>
      <c r="B76" s="4" t="str">
        <f>IFERROR(__xludf.DUMMYFUNCTION("""COMPUTED_VALUE"""),"CAMARA TURRET COLORVU 2MP")</f>
        <v>CAMARA TURRET COLORVU 2MP</v>
      </c>
      <c r="C76" s="4" t="str">
        <f>IFERROR(__xludf.DUMMYFUNCTION("""COMPUTED_VALUE"""),"Domo Turret Turbo 2MP ColorVu CMOS Sensor, Indoor Turret,0.001Lux/F1.0,0 Lux with white Light,20m,3D DNR,12 VDC,OSD Menu(Up the Coax), 2.8 Lens,24H Color,Support TVI/AHD/CVI/CVBS video signal output")</f>
        <v>Domo Turret Turbo 2MP ColorVu CMOS Sensor, Indoor Turret,0.001Lux/F1.0,0 Lux with white Light,20m,3D DNR,12 VDC,OSD Menu(Up the Coax), 2.8 Lens,24H Color,Support TVI/AHD/CVI/CVBS video signal output</v>
      </c>
      <c r="D76" s="4" t="str">
        <f>IFERROR(__xludf.DUMMYFUNCTION("""COMPUTED_VALUE"""),"HIKVISION")</f>
        <v>HIKVISION</v>
      </c>
      <c r="E76" s="4" t="str">
        <f>IFERROR(__xludf.DUMMYFUNCTION("""COMPUTED_VALUE"""),"DS-2CE70DF0T-PF")</f>
        <v>DS-2CE70DF0T-PF</v>
      </c>
      <c r="F76" s="4" t="str">
        <f>IFERROR(__xludf.DUMMYFUNCTION("""COMPUTED_VALUE"""),"CCTV &gt; CAMARAS ANALOGICAS")</f>
        <v>CCTV &gt; CAMARAS ANALOGICAS</v>
      </c>
      <c r="G76" s="5"/>
      <c r="H76" s="6">
        <f>IFERROR(__xludf.DUMMYFUNCTION("""COMPUTED_VALUE"""),30.25)</f>
        <v>30.25</v>
      </c>
      <c r="I76" s="7">
        <f>IFERROR(__xludf.DUMMYFUNCTION("""COMPUTED_VALUE"""),21.0)</f>
        <v>21</v>
      </c>
      <c r="J76" s="6">
        <f>IFERROR(__xludf.DUMMYFUNCTION("""COMPUTED_VALUE"""),36.3)</f>
        <v>36.3</v>
      </c>
      <c r="K76" s="6">
        <f>IFERROR(__xludf.DUMMYFUNCTION("""COMPUTED_VALUE"""),42.35)</f>
        <v>42.35</v>
      </c>
      <c r="L76" s="3"/>
      <c r="M76" s="3"/>
    </row>
    <row r="77" ht="48.0" customHeight="1">
      <c r="A77" s="3" t="str">
        <f>IFERROR(__xludf.DUMMYFUNCTION("""COMPUTED_VALUE"""),"DS-2CE76D0T-LMFS")</f>
        <v>DS-2CE76D0T-LMFS</v>
      </c>
      <c r="B77" s="4" t="str">
        <f>IFERROR(__xludf.DUMMYFUNCTION("""COMPUTED_VALUE"""),"CAMARA TURRET 2MP")</f>
        <v>CAMARA TURRET 2MP</v>
      </c>
      <c r="C77" s="4" t="str">
        <f>IFERROR(__xludf.DUMMYFUNCTION("""COMPUTED_VALUE"""),"Domo Turret Turbo. 2MP, Lente fijo 2,8mm (micrófono incorporado) Resolución máxima 1920 (H) × 1080 (V). Tipo De Luz Suplementaria: luz blanca/IR. Rango hasta 30 metros. Digital WDR. Salida de Vídeo: TVI/AHD/CVI/CVBS. Material: Meta Alimentación: 12 VDC . "&amp;"Protección IP67.")</f>
        <v>Domo Turret Turbo. 2MP, Lente fijo 2,8mm (micrófono incorporado) Resolución máxima 1920 (H) × 1080 (V). Tipo De Luz Suplementaria: luz blanca/IR. Rango hasta 30 metros. Digital WDR. Salida de Vídeo: TVI/AHD/CVI/CVBS. Material: Meta Alimentación: 12 VDC . Protección IP67.</v>
      </c>
      <c r="D77" s="4" t="str">
        <f>IFERROR(__xludf.DUMMYFUNCTION("""COMPUTED_VALUE"""),"HIKVISION")</f>
        <v>HIKVISION</v>
      </c>
      <c r="E77" s="4" t="str">
        <f>IFERROR(__xludf.DUMMYFUNCTION("""COMPUTED_VALUE"""),"DS-2CE76D0T-LMFS")</f>
        <v>DS-2CE76D0T-LMFS</v>
      </c>
      <c r="F77" s="4" t="str">
        <f>IFERROR(__xludf.DUMMYFUNCTION("""COMPUTED_VALUE"""),"CCTV &gt; CAMARAS ANALOGICAS")</f>
        <v>CCTV &gt; CAMARAS ANALOGICAS</v>
      </c>
      <c r="G77" s="5"/>
      <c r="H77" s="6">
        <f>IFERROR(__xludf.DUMMYFUNCTION("""COMPUTED_VALUE"""),26.62)</f>
        <v>26.62</v>
      </c>
      <c r="I77" s="7">
        <f>IFERROR(__xludf.DUMMYFUNCTION("""COMPUTED_VALUE"""),21.0)</f>
        <v>21</v>
      </c>
      <c r="J77" s="6">
        <f>IFERROR(__xludf.DUMMYFUNCTION("""COMPUTED_VALUE"""),31.94)</f>
        <v>31.94</v>
      </c>
      <c r="K77" s="6">
        <f>IFERROR(__xludf.DUMMYFUNCTION("""COMPUTED_VALUE"""),37.27)</f>
        <v>37.27</v>
      </c>
      <c r="L77" s="3"/>
      <c r="M77" s="3"/>
    </row>
    <row r="78" ht="48.0" customHeight="1">
      <c r="A78" s="3" t="str">
        <f>IFERROR(__xludf.DUMMYFUNCTION("""COMPUTED_VALUE"""),"DS-2CE70DF0T-MF")</f>
        <v>DS-2CE70DF0T-MF</v>
      </c>
      <c r="B78" s="4" t="str">
        <f>IFERROR(__xludf.DUMMYFUNCTION("""COMPUTED_VALUE"""),"CAMARA TURRET COLORVU 2MP")</f>
        <v>CAMARA TURRET COLORVU 2MP</v>
      </c>
      <c r="C78" s="4" t="str">
        <f>IFERROR(__xludf.DUMMYFUNCTION("""COMPUTED_VALUE"""),"Domo Turret Turbo ColorVu Turret 2MP Resolución Máxima 2 Megapixel (1920 x 1080). Iluminación mínima: 0.001 Lux @ (F1.0, AGC ON). Lente fijo: 2.8 mm (Angulo de apertura 98°). 20 Metros de luz blanca. Soporta 4 (HD-TVI, HD-CVI, AHD,CVBS Analógico 1200TVL´s"&amp;"). dWDR / BLC / HLC. Alimentación: 12 Vcd. Protección IP67. Fabricado en material de metal")</f>
        <v>Domo Turret Turbo ColorVu Turret 2MP Resolución Máxima 2 Megapixel (1920 x 1080). Iluminación mínima: 0.001 Lux @ (F1.0, AGC ON). Lente fijo: 2.8 mm (Angulo de apertura 98°). 20 Metros de luz blanca. Soporta 4 (HD-TVI, HD-CVI, AHD,CVBS Analógico 1200TVL´s). dWDR / BLC / HLC. Alimentación: 12 Vcd. Protección IP67. Fabricado en material de metal</v>
      </c>
      <c r="D78" s="4" t="str">
        <f>IFERROR(__xludf.DUMMYFUNCTION("""COMPUTED_VALUE"""),"HIKVISION")</f>
        <v>HIKVISION</v>
      </c>
      <c r="E78" s="4" t="str">
        <f>IFERROR(__xludf.DUMMYFUNCTION("""COMPUTED_VALUE"""),"DS-2CE70DF0T-MF")</f>
        <v>DS-2CE70DF0T-MF</v>
      </c>
      <c r="F78" s="4" t="str">
        <f>IFERROR(__xludf.DUMMYFUNCTION("""COMPUTED_VALUE"""),"CCTV &gt; CAMARAS ANALOGICAS")</f>
        <v>CCTV &gt; CAMARAS ANALOGICAS</v>
      </c>
      <c r="G78" s="5"/>
      <c r="H78" s="6">
        <f>IFERROR(__xludf.DUMMYFUNCTION("""COMPUTED_VALUE"""),34.1)</f>
        <v>34.1</v>
      </c>
      <c r="I78" s="7">
        <f>IFERROR(__xludf.DUMMYFUNCTION("""COMPUTED_VALUE"""),21.0)</f>
        <v>21</v>
      </c>
      <c r="J78" s="6">
        <f>IFERROR(__xludf.DUMMYFUNCTION("""COMPUTED_VALUE"""),40.92)</f>
        <v>40.92</v>
      </c>
      <c r="K78" s="6">
        <f>IFERROR(__xludf.DUMMYFUNCTION("""COMPUTED_VALUE"""),47.74)</f>
        <v>47.74</v>
      </c>
      <c r="L78" s="3"/>
      <c r="M78" s="3"/>
    </row>
    <row r="79" ht="48.0" customHeight="1">
      <c r="A79" s="3" t="str">
        <f>IFERROR(__xludf.DUMMYFUNCTION("""COMPUTED_VALUE"""),"DS-2CE78D0T-LTS")</f>
        <v>DS-2CE78D0T-LTS</v>
      </c>
      <c r="B79" s="4" t="str">
        <f>IFERROR(__xludf.DUMMYFUNCTION("""COMPUTED_VALUE"""),"CAMARA TURRET 2MP")</f>
        <v>CAMARA TURRET 2MP</v>
      </c>
      <c r="C79" s="4" t="str">
        <f>IFERROR(__xludf.DUMMYFUNCTION("""COMPUTED_VALUE"""),"Domo Turret Turbo 2MP Audio doble via. lente2.8 mm. Up to 40 m IR distance. Up to 40 m white light distance. Smart-Hybrid Light, optimize your security with flexible lighting options. High quality audio with audio over coaxial cable, built-in mic, and bui"&amp;"lt-in speaker. Provide real-time communication via built-in two-way audio. Water and dust resistant (IP67)")</f>
        <v>Domo Turret Turbo 2MP Audio doble via. lente2.8 mm. Up to 40 m IR distance. Up to 40 m white light distance. Smart-Hybrid Light, optimize your security with flexible lighting options. High quality audio with audio over coaxial cable, built-in mic, and built-in speaker. Provide real-time communication via built-in two-way audio. Water and dust resistant (IP67)</v>
      </c>
      <c r="D79" s="4" t="str">
        <f>IFERROR(__xludf.DUMMYFUNCTION("""COMPUTED_VALUE"""),"HIKVISION")</f>
        <v>HIKVISION</v>
      </c>
      <c r="E79" s="4" t="str">
        <f>IFERROR(__xludf.DUMMYFUNCTION("""COMPUTED_VALUE"""),"DS-2CE78D0T-LTS")</f>
        <v>DS-2CE78D0T-LTS</v>
      </c>
      <c r="F79" s="4" t="str">
        <f>IFERROR(__xludf.DUMMYFUNCTION("""COMPUTED_VALUE"""),"CCTV &gt; CAMARAS ANALOGICAS")</f>
        <v>CCTV &gt; CAMARAS ANALOGICAS</v>
      </c>
      <c r="G79" s="5"/>
      <c r="H79" s="6">
        <f>IFERROR(__xludf.DUMMYFUNCTION("""COMPUTED_VALUE"""),37.4)</f>
        <v>37.4</v>
      </c>
      <c r="I79" s="7">
        <f>IFERROR(__xludf.DUMMYFUNCTION("""COMPUTED_VALUE"""),21.0)</f>
        <v>21</v>
      </c>
      <c r="J79" s="6">
        <f>IFERROR(__xludf.DUMMYFUNCTION("""COMPUTED_VALUE"""),44.88)</f>
        <v>44.88</v>
      </c>
      <c r="K79" s="6">
        <f>IFERROR(__xludf.DUMMYFUNCTION("""COMPUTED_VALUE"""),52.36)</f>
        <v>52.36</v>
      </c>
      <c r="L79" s="3"/>
      <c r="M79" s="3"/>
    </row>
    <row r="80" ht="48.0" customHeight="1">
      <c r="A80" s="3" t="str">
        <f>IFERROR(__xludf.DUMMYFUNCTION("""COMPUTED_VALUE"""),"DS-2CE78D0T-IT3FS")</f>
        <v>DS-2CE78D0T-IT3FS</v>
      </c>
      <c r="B80" s="4" t="str">
        <f>IFERROR(__xludf.DUMMYFUNCTION("""COMPUTED_VALUE"""),"DOMO TURRET TURBO")</f>
        <v>DOMO TURRET TURBO</v>
      </c>
      <c r="C80" s="4" t="str">
        <f>IFERROR(__xludf.DUMMYFUNCTION("""COMPUTED_VALUE"""),"Domo Turret Turbo. 2MP, Lente fijo 3,6 mm (micrófono incorporado). Resolución máxima 1920 (H) × 1080 (V). Iluminador infrarrojo EXIR 2.0: advanced Distancia hasta 40 metros. (IP67) 4 in 1 (4 signals switchable TVI/AHD/CVI/CVBS)")</f>
        <v>Domo Turret Turbo. 2MP, Lente fijo 3,6 mm (micrófono incorporado). Resolución máxima 1920 (H) × 1080 (V). Iluminador infrarrojo EXIR 2.0: advanced Distancia hasta 40 metros. (IP67) 4 in 1 (4 signals switchable TVI/AHD/CVI/CVBS)</v>
      </c>
      <c r="D80" s="4" t="str">
        <f>IFERROR(__xludf.DUMMYFUNCTION("""COMPUTED_VALUE"""),"HIKVISION")</f>
        <v>HIKVISION</v>
      </c>
      <c r="E80" s="4" t="str">
        <f>IFERROR(__xludf.DUMMYFUNCTION("""COMPUTED_VALUE"""),"DS-2CE78D0T-IT3FS")</f>
        <v>DS-2CE78D0T-IT3FS</v>
      </c>
      <c r="F80" s="4" t="str">
        <f>IFERROR(__xludf.DUMMYFUNCTION("""COMPUTED_VALUE"""),"CONECTIVIDAD &gt; SWITCH")</f>
        <v>CONECTIVIDAD &gt; SWITCH</v>
      </c>
      <c r="G80" s="5"/>
      <c r="H80" s="6">
        <f>IFERROR(__xludf.DUMMYFUNCTION("""COMPUTED_VALUE"""),32.12)</f>
        <v>32.12</v>
      </c>
      <c r="I80" s="7">
        <f>IFERROR(__xludf.DUMMYFUNCTION("""COMPUTED_VALUE"""),21.0)</f>
        <v>21</v>
      </c>
      <c r="J80" s="6">
        <f>IFERROR(__xludf.DUMMYFUNCTION("""COMPUTED_VALUE"""),38.54)</f>
        <v>38.54</v>
      </c>
      <c r="K80" s="6">
        <f>IFERROR(__xludf.DUMMYFUNCTION("""COMPUTED_VALUE"""),44.97)</f>
        <v>44.97</v>
      </c>
      <c r="L80" s="3"/>
      <c r="M80" s="3"/>
    </row>
    <row r="81" ht="48.0" customHeight="1">
      <c r="A81" s="3" t="str">
        <f>IFERROR(__xludf.DUMMYFUNCTION("""COMPUTED_VALUE"""),"DS2CE72DF0TF")</f>
        <v>DS2CE72DF0TF</v>
      </c>
      <c r="B81" s="4" t="str">
        <f>IFERROR(__xludf.DUMMYFUNCTION("""COMPUTED_VALUE"""),"CAMARA TURRET COLORVU")</f>
        <v>CAMARA TURRET COLORVU</v>
      </c>
      <c r="C81" s="4" t="str">
        <f>IFERROR(__xludf.DUMMYFUNCTION("""COMPUTED_VALUE"""),"DS-2CE72DF0T-F Domo Turret Turbo ColorVu 2M CMOS Sensor, Outdoor Turret,0.001Lux/F1.0,0 Lux with white Light,40m,3D DNR,12 VDC,OSD Menu (Up the Coax), IP67, 2.8mm Lens,24H ColorSupport TVI/AHD/CVI/CVBS video signal output.")</f>
        <v>DS-2CE72DF0T-F Domo Turret Turbo ColorVu 2M CMOS Sensor, Outdoor Turret,0.001Lux/F1.0,0 Lux with white Light,40m,3D DNR,12 VDC,OSD Menu (Up the Coax), IP67, 2.8mm Lens,24H ColorSupport TVI/AHD/CVI/CVBS video signal output.</v>
      </c>
      <c r="D81" s="4" t="str">
        <f>IFERROR(__xludf.DUMMYFUNCTION("""COMPUTED_VALUE"""),"HIKVISION")</f>
        <v>HIKVISION</v>
      </c>
      <c r="E81" s="4" t="str">
        <f>IFERROR(__xludf.DUMMYFUNCTION("""COMPUTED_VALUE"""),"DS2CE72DF0TF")</f>
        <v>DS2CE72DF0TF</v>
      </c>
      <c r="F81" s="4" t="str">
        <f>IFERROR(__xludf.DUMMYFUNCTION("""COMPUTED_VALUE"""),"CCTV &gt; CAMARAS ANALOGICAS")</f>
        <v>CCTV &gt; CAMARAS ANALOGICAS</v>
      </c>
      <c r="G81" s="5"/>
      <c r="H81" s="6">
        <f>IFERROR(__xludf.DUMMYFUNCTION("""COMPUTED_VALUE"""),38.5)</f>
        <v>38.5</v>
      </c>
      <c r="I81" s="7">
        <f>IFERROR(__xludf.DUMMYFUNCTION("""COMPUTED_VALUE"""),21.0)</f>
        <v>21</v>
      </c>
      <c r="J81" s="6">
        <f>IFERROR(__xludf.DUMMYFUNCTION("""COMPUTED_VALUE"""),46.2)</f>
        <v>46.2</v>
      </c>
      <c r="K81" s="6">
        <f>IFERROR(__xludf.DUMMYFUNCTION("""COMPUTED_VALUE"""),53.9)</f>
        <v>53.9</v>
      </c>
      <c r="L81" s="3"/>
      <c r="M81" s="3"/>
    </row>
    <row r="82" ht="48.0" customHeight="1">
      <c r="A82" s="3" t="str">
        <f>IFERROR(__xludf.DUMMYFUNCTION("""COMPUTED_VALUE"""),"DS-2CE70DF3T-MFS")</f>
        <v>DS-2CE70DF3T-MFS</v>
      </c>
      <c r="B82" s="4" t="str">
        <f>IFERROR(__xludf.DUMMYFUNCTION("""COMPUTED_VALUE"""),"CAMARA TURRET COLORVU 2MP")</f>
        <v>CAMARA TURRET COLORVU 2MP</v>
      </c>
      <c r="C82" s="4" t="str">
        <f>IFERROR(__xludf.DUMMYFUNCTION("""COMPUTED_VALUE"""),"Domo Turret Turbo ColorVu Turret 2MP, Lente fijo 2,8mm (micrófono incorporado) con resolución de 1920 × 1080 Imágenes en color 24/7 con apertura F1.0 Distancia de luz blanca de hasta 20 m para imágenes nocturnas brillantes (TVI / AHD / CVI / CVBS) Audio d"&amp;"e alta calidad sobre cable coaxial, verdadera tecnología WDR de 130 dB . IP67")</f>
        <v>Domo Turret Turbo ColorVu Turret 2MP, Lente fijo 2,8mm (micrófono incorporado) con resolución de 1920 × 1080 Imágenes en color 24/7 con apertura F1.0 Distancia de luz blanca de hasta 20 m para imágenes nocturnas brillantes (TVI / AHD / CVI / CVBS) Audio de alta calidad sobre cable coaxial, verdadera tecnología WDR de 130 dB . IP67</v>
      </c>
      <c r="D82" s="4" t="str">
        <f>IFERROR(__xludf.DUMMYFUNCTION("""COMPUTED_VALUE"""),"HIKVISION")</f>
        <v>HIKVISION</v>
      </c>
      <c r="E82" s="4" t="str">
        <f>IFERROR(__xludf.DUMMYFUNCTION("""COMPUTED_VALUE"""),"DS-2CE70DF3T-MFS")</f>
        <v>DS-2CE70DF3T-MFS</v>
      </c>
      <c r="F82" s="4" t="str">
        <f>IFERROR(__xludf.DUMMYFUNCTION("""COMPUTED_VALUE"""),"CCTV &gt; CAMARAS ANALOGICAS")</f>
        <v>CCTV &gt; CAMARAS ANALOGICAS</v>
      </c>
      <c r="G82" s="5"/>
      <c r="H82" s="6">
        <f>IFERROR(__xludf.DUMMYFUNCTION("""COMPUTED_VALUE"""),47.3)</f>
        <v>47.3</v>
      </c>
      <c r="I82" s="7">
        <f>IFERROR(__xludf.DUMMYFUNCTION("""COMPUTED_VALUE"""),21.0)</f>
        <v>21</v>
      </c>
      <c r="J82" s="6">
        <f>IFERROR(__xludf.DUMMYFUNCTION("""COMPUTED_VALUE"""),56.76)</f>
        <v>56.76</v>
      </c>
      <c r="K82" s="6">
        <f>IFERROR(__xludf.DUMMYFUNCTION("""COMPUTED_VALUE"""),66.22)</f>
        <v>66.22</v>
      </c>
      <c r="L82" s="3"/>
      <c r="M82" s="3"/>
    </row>
    <row r="83" ht="48.0" customHeight="1">
      <c r="A83" s="3" t="str">
        <f>IFERROR(__xludf.DUMMYFUNCTION("""COMPUTED_VALUE"""),"DS-2CE72DF3T-FS")</f>
        <v>DS-2CE72DF3T-FS</v>
      </c>
      <c r="B83" s="4" t="str">
        <f>IFERROR(__xludf.DUMMYFUNCTION("""COMPUTED_VALUE"""),"CAMARA TURRET COLORVU 2MP")</f>
        <v>CAMARA TURRET COLORVU 2MP</v>
      </c>
      <c r="C83" s="4" t="str">
        <f>IFERROR(__xludf.DUMMYFUNCTION("""COMPUTED_VALUE"""),"Domo Turret Turbo ColorVu Turret 2MP, Lente fijo 2,8mm (micrófono incorporado) con resolución de 1920 × 1080 Imágenes en color 24/7 con apertura F1.0 Distancia de luz blanca de hasta 40 m para imágenes nocturnas brillantes (TVI / AHD / CVI / CVBS) Audio d"&amp;"e alta calidad sobre cable coaxial, verdadera tecnología WDR de 130 dB. IP67")</f>
        <v>Domo Turret Turbo ColorVu Turret 2MP, Lente fijo 2,8mm (micrófono incorporado) con resolución de 1920 × 1080 Imágenes en color 24/7 con apertura F1.0 Distancia de luz blanca de hasta 40 m para imágenes nocturnas brillantes (TVI / AHD / CVI / CVBS) Audio de alta calidad sobre cable coaxial, verdadera tecnología WDR de 130 dB. IP67</v>
      </c>
      <c r="D83" s="4" t="str">
        <f>IFERROR(__xludf.DUMMYFUNCTION("""COMPUTED_VALUE"""),"HIKVISION")</f>
        <v>HIKVISION</v>
      </c>
      <c r="E83" s="4" t="str">
        <f>IFERROR(__xludf.DUMMYFUNCTION("""COMPUTED_VALUE"""),"DS-2CE72DF3T-FS")</f>
        <v>DS-2CE72DF3T-FS</v>
      </c>
      <c r="F83" s="4" t="str">
        <f>IFERROR(__xludf.DUMMYFUNCTION("""COMPUTED_VALUE"""),"CCTV &gt; CAMARAS ANALOGICAS")</f>
        <v>CCTV &gt; CAMARAS ANALOGICAS</v>
      </c>
      <c r="G83" s="5"/>
      <c r="H83" s="6">
        <f>IFERROR(__xludf.DUMMYFUNCTION("""COMPUTED_VALUE"""),50.6)</f>
        <v>50.6</v>
      </c>
      <c r="I83" s="7">
        <f>IFERROR(__xludf.DUMMYFUNCTION("""COMPUTED_VALUE"""),21.0)</f>
        <v>21</v>
      </c>
      <c r="J83" s="6">
        <f>IFERROR(__xludf.DUMMYFUNCTION("""COMPUTED_VALUE"""),60.72)</f>
        <v>60.72</v>
      </c>
      <c r="K83" s="6">
        <f>IFERROR(__xludf.DUMMYFUNCTION("""COMPUTED_VALUE"""),70.84)</f>
        <v>70.84</v>
      </c>
      <c r="L83" s="3"/>
      <c r="M83" s="3"/>
    </row>
    <row r="84" ht="48.0" customHeight="1">
      <c r="A84" s="3" t="str">
        <f>IFERROR(__xludf.DUMMYFUNCTION("""COMPUTED_VALUE"""),"DS-2CE79D0T-VFIT3F")</f>
        <v>DS-2CE79D0T-VFIT3F</v>
      </c>
      <c r="B84" s="4" t="str">
        <f>IFERROR(__xludf.DUMMYFUNCTION("""COMPUTED_VALUE"""),"DOMO TURRET TURBO 2MP MANUAL VARIFOCAL TURRET CAMERA HIGH")</f>
        <v>DOMO TURRET TURBO 2MP MANUAL VARIFOCAL TURRET CAMERA HIGH</v>
      </c>
      <c r="C84" s="4" t="str">
        <f>IFERROR(__xludf.DUMMYFUNCTION("""COMPUTED_VALUE"""),"Domo Turret Turbo 2MP Manual Varifocal Turret Camera High quality imaging with 2 MP, 1920 × 1080 resolution 2.7 mm to 13.5 mm varifocal lens Up to 40 m IR distance for bright night imaging One port for four switchable signals (TVI/AHD/CVI/CVBS) Water and "&amp;"dust resistant (IP67)")</f>
        <v>Domo Turret Turbo 2MP Manual Varifocal Turret Camera High quality imaging with 2 MP, 1920 × 1080 resolution 2.7 mm to 13.5 mm varifocal lens Up to 40 m IR distance for bright night imaging One port for four switchable signals (TVI/AHD/CVI/CVBS) Water and dust resistant (IP67)</v>
      </c>
      <c r="D84" s="4" t="str">
        <f>IFERROR(__xludf.DUMMYFUNCTION("""COMPUTED_VALUE"""),"HIKVISION")</f>
        <v>HIKVISION</v>
      </c>
      <c r="E84" s="4" t="str">
        <f>IFERROR(__xludf.DUMMYFUNCTION("""COMPUTED_VALUE"""),"DS-2CE79D0T-VFIT3F")</f>
        <v>DS-2CE79D0T-VFIT3F</v>
      </c>
      <c r="F84" s="4" t="str">
        <f>IFERROR(__xludf.DUMMYFUNCTION("""COMPUTED_VALUE"""),"CONECTIVIDAD &gt; SWITCH")</f>
        <v>CONECTIVIDAD &gt; SWITCH</v>
      </c>
      <c r="G84" s="5"/>
      <c r="H84" s="6">
        <f>IFERROR(__xludf.DUMMYFUNCTION("""COMPUTED_VALUE"""),45.1)</f>
        <v>45.1</v>
      </c>
      <c r="I84" s="7">
        <f>IFERROR(__xludf.DUMMYFUNCTION("""COMPUTED_VALUE"""),21.0)</f>
        <v>21</v>
      </c>
      <c r="J84" s="6">
        <f>IFERROR(__xludf.DUMMYFUNCTION("""COMPUTED_VALUE"""),54.12)</f>
        <v>54.12</v>
      </c>
      <c r="K84" s="6">
        <f>IFERROR(__xludf.DUMMYFUNCTION("""COMPUTED_VALUE"""),63.14)</f>
        <v>63.14</v>
      </c>
      <c r="L84" s="3"/>
      <c r="M84" s="3"/>
    </row>
    <row r="85" ht="48.0" customHeight="1">
      <c r="A85" s="3" t="str">
        <f>IFERROR(__xludf.DUMMYFUNCTION("""COMPUTED_VALUE"""),"DS-2CE16D0T-EXIPF")</f>
        <v>DS-2CE16D0T-EXIPF</v>
      </c>
      <c r="B85" s="4" t="str">
        <f>IFERROR(__xludf.DUMMYFUNCTION("""COMPUTED_VALUE"""),"CAMARA BULLET EXTERIOR 2MP")</f>
        <v>CAMARA BULLET EXTERIOR 2MP</v>
      </c>
      <c r="C85" s="4" t="str">
        <f>IFERROR(__xludf.DUMMYFUNCTION("""COMPUTED_VALUE"""),"Cámara Turbo Tipo Bullet 2 MP hibrida 4 en 1 TURBO HD mini bullet de 1080p con lente fijo de 2,8mm. Soporta los estandares, HD-TVI, AHD, HD-CVI y CVBS. Apta para instalación en exterior (IP66). Iluminación IR de hasta 20M. Gabinete plastico")</f>
        <v>Cámara Turbo Tipo Bullet 2 MP hibrida 4 en 1 TURBO HD mini bullet de 1080p con lente fijo de 2,8mm. Soporta los estandares, HD-TVI, AHD, HD-CVI y CVBS. Apta para instalación en exterior (IP66). Iluminación IR de hasta 20M. Gabinete plastico</v>
      </c>
      <c r="D85" s="4" t="str">
        <f>IFERROR(__xludf.DUMMYFUNCTION("""COMPUTED_VALUE"""),"HIKVISION")</f>
        <v>HIKVISION</v>
      </c>
      <c r="E85" s="4" t="str">
        <f>IFERROR(__xludf.DUMMYFUNCTION("""COMPUTED_VALUE"""),"DS-2CE16D0T-EXIPF")</f>
        <v>DS-2CE16D0T-EXIPF</v>
      </c>
      <c r="F85" s="4" t="str">
        <f>IFERROR(__xludf.DUMMYFUNCTION("""COMPUTED_VALUE"""),"CCTV &gt; CAMARAS ANALOGICAS")</f>
        <v>CCTV &gt; CAMARAS ANALOGICAS</v>
      </c>
      <c r="G85" s="5"/>
      <c r="H85" s="6">
        <f>IFERROR(__xludf.DUMMYFUNCTION("""COMPUTED_VALUE"""),17.71)</f>
        <v>17.71</v>
      </c>
      <c r="I85" s="7">
        <f>IFERROR(__xludf.DUMMYFUNCTION("""COMPUTED_VALUE"""),21.0)</f>
        <v>21</v>
      </c>
      <c r="J85" s="6">
        <f>IFERROR(__xludf.DUMMYFUNCTION("""COMPUTED_VALUE"""),21.25)</f>
        <v>21.25</v>
      </c>
      <c r="K85" s="6">
        <f>IFERROR(__xludf.DUMMYFUNCTION("""COMPUTED_VALUE"""),24.79)</f>
        <v>24.79</v>
      </c>
      <c r="L85" s="3"/>
      <c r="M85" s="3"/>
    </row>
    <row r="86" ht="48.0" customHeight="1">
      <c r="A86" s="3" t="str">
        <f>IFERROR(__xludf.DUMMYFUNCTION("""COMPUTED_VALUE"""),"DS-2CE16D0T-EXIF")</f>
        <v>DS-2CE16D0T-EXIF</v>
      </c>
      <c r="B86" s="4" t="str">
        <f>IFERROR(__xludf.DUMMYFUNCTION("""COMPUTED_VALUE"""),"CAMARA BULLET EXTERIOR 2MP")</f>
        <v>CAMARA BULLET EXTERIOR 2MP</v>
      </c>
      <c r="C86" s="4" t="str">
        <f>IFERROR(__xludf.DUMMYFUNCTION("""COMPUTED_VALUE"""),"Cámara Turbo Tipo Bullet 2MP 4 en 1 TURBO HD mini bullet de 1080p con lente fijo de 2,8mm. Soporta los estandares, HD-TVI, AHD, HD-CVI y CVBS. Apta para instalación en exterior (IP67). Iluminación IR de hasta 20M. Angulo de visión de 103º en lente fijo de"&amp;" 2.8mm. Gabinete metálico")</f>
        <v>Cámara Turbo Tipo Bullet 2MP 4 en 1 TURBO HD mini bullet de 1080p con lente fijo de 2,8mm. Soporta los estandares, HD-TVI, AHD, HD-CVI y CVBS. Apta para instalación en exterior (IP67). Iluminación IR de hasta 20M. Angulo de visión de 103º en lente fijo de 2.8mm. Gabinete metálico</v>
      </c>
      <c r="D86" s="4" t="str">
        <f>IFERROR(__xludf.DUMMYFUNCTION("""COMPUTED_VALUE"""),"HIKVISION")</f>
        <v>HIKVISION</v>
      </c>
      <c r="E86" s="4" t="str">
        <f>IFERROR(__xludf.DUMMYFUNCTION("""COMPUTED_VALUE"""),"DS-2CE16D0T-EXIF")</f>
        <v>DS-2CE16D0T-EXIF</v>
      </c>
      <c r="F86" s="4" t="str">
        <f>IFERROR(__xludf.DUMMYFUNCTION("""COMPUTED_VALUE"""),"CCTV &gt; CAMARAS ANALOGICAS")</f>
        <v>CCTV &gt; CAMARAS ANALOGICAS</v>
      </c>
      <c r="G86" s="5"/>
      <c r="H86" s="6">
        <f>IFERROR(__xludf.DUMMYFUNCTION("""COMPUTED_VALUE"""),19.25)</f>
        <v>19.25</v>
      </c>
      <c r="I86" s="7">
        <f>IFERROR(__xludf.DUMMYFUNCTION("""COMPUTED_VALUE"""),21.0)</f>
        <v>21</v>
      </c>
      <c r="J86" s="6">
        <f>IFERROR(__xludf.DUMMYFUNCTION("""COMPUTED_VALUE"""),23.1)</f>
        <v>23.1</v>
      </c>
      <c r="K86" s="6">
        <f>IFERROR(__xludf.DUMMYFUNCTION("""COMPUTED_VALUE"""),26.95)</f>
        <v>26.95</v>
      </c>
      <c r="L86" s="3"/>
      <c r="M86" s="3"/>
    </row>
    <row r="87" ht="48.0" customHeight="1">
      <c r="A87" s="3" t="str">
        <f>IFERROR(__xludf.DUMMYFUNCTION("""COMPUTED_VALUE"""),"DS-2CE16D0T-LPFS")</f>
        <v>DS-2CE16D0T-LPFS</v>
      </c>
      <c r="B87" s="4" t="str">
        <f>IFERROR(__xludf.DUMMYFUNCTION("""COMPUTED_VALUE"""),"CAMARA BULLET EXTERIOR 2MP")</f>
        <v>CAMARA BULLET EXTERIOR 2MP</v>
      </c>
      <c r="C87" s="4" t="str">
        <f>IFERROR(__xludf.DUMMYFUNCTION("""COMPUTED_VALUE"""),"Cámara Turbo Tipo Bullet 2 MP (micrófono incorporado) Cámara LUZ DUAL (IR + LUZ BLANCA) TURBOHD 2 Megapíxel (1080p). Gran Angular 101° Lente 2.8 mm. 30 mts IR EXIR. 20 mts Luz Blanca. Exterior IP67. 4 Tecnologías . Micrófono Integrad. Gabinete plastico")</f>
        <v>Cámara Turbo Tipo Bullet 2 MP (micrófono incorporado) Cámara LUZ DUAL (IR + LUZ BLANCA) TURBOHD 2 Megapíxel (1080p). Gran Angular 101° Lente 2.8 mm. 30 mts IR EXIR. 20 mts Luz Blanca. Exterior IP67. 4 Tecnologías . Micrófono Integrad. Gabinete plastico</v>
      </c>
      <c r="D87" s="4" t="str">
        <f>IFERROR(__xludf.DUMMYFUNCTION("""COMPUTED_VALUE"""),"HIKVISION")</f>
        <v>HIKVISION</v>
      </c>
      <c r="E87" s="4" t="str">
        <f>IFERROR(__xludf.DUMMYFUNCTION("""COMPUTED_VALUE"""),"DS-2CE16D0T-LPFS")</f>
        <v>DS-2CE16D0T-LPFS</v>
      </c>
      <c r="F87" s="4" t="str">
        <f>IFERROR(__xludf.DUMMYFUNCTION("""COMPUTED_VALUE"""),"CCTV &gt; CAMARAS ANALOGICAS")</f>
        <v>CCTV &gt; CAMARAS ANALOGICAS</v>
      </c>
      <c r="G87" s="5"/>
      <c r="H87" s="6">
        <f>IFERROR(__xludf.DUMMYFUNCTION("""COMPUTED_VALUE"""),25.19)</f>
        <v>25.19</v>
      </c>
      <c r="I87" s="7">
        <f>IFERROR(__xludf.DUMMYFUNCTION("""COMPUTED_VALUE"""),21.0)</f>
        <v>21</v>
      </c>
      <c r="J87" s="6">
        <f>IFERROR(__xludf.DUMMYFUNCTION("""COMPUTED_VALUE"""),30.23)</f>
        <v>30.23</v>
      </c>
      <c r="K87" s="6">
        <f>IFERROR(__xludf.DUMMYFUNCTION("""COMPUTED_VALUE"""),35.27)</f>
        <v>35.27</v>
      </c>
      <c r="L87" s="3"/>
      <c r="M87" s="3"/>
    </row>
    <row r="88" ht="48.0" customHeight="1">
      <c r="A88" s="3" t="str">
        <f>IFERROR(__xludf.DUMMYFUNCTION("""COMPUTED_VALUE"""),"DS-2CE10DF0T-PF")</f>
        <v>DS-2CE10DF0T-PF</v>
      </c>
      <c r="B88" s="4" t="str">
        <f>IFERROR(__xludf.DUMMYFUNCTION("""COMPUTED_VALUE"""),"CAMARA BULLET COLORVU 2MP")</f>
        <v>CAMARA BULLET COLORVU 2MP</v>
      </c>
      <c r="C88" s="4" t="str">
        <f>IFERROR(__xludf.DUMMYFUNCTION("""COMPUTED_VALUE"""),"Cámara Turbo Tipo Bullet 2 MP ColorVu TURBO HD, 2 Megapixel (1920 x 1080). Lente fijo: 2.8 mm. 20 Metros de luz blanca (Ayuda a iluminar el sitio para mantener la imagen siempre a color). Soporta 4 Tecnologías (HD-TVI, HD-CVI, AHD,CVBS Analógico 1200TVL´s"&amp;"). dWDR / BLC / HLC. Alimentación: 12 VDC Protección: IP67 Fabricada en material plástico.")</f>
        <v>Cámara Turbo Tipo Bullet 2 MP ColorVu TURBO HD, 2 Megapixel (1920 x 1080). Lente fijo: 2.8 mm. 20 Metros de luz blanca (Ayuda a iluminar el sitio para mantener la imagen siempre a color). Soporta 4 Tecnologías (HD-TVI, HD-CVI, AHD,CVBS Analógico 1200TVL´s). dWDR / BLC / HLC. Alimentación: 12 VDC Protección: IP67 Fabricada en material plástico.</v>
      </c>
      <c r="D88" s="4" t="str">
        <f>IFERROR(__xludf.DUMMYFUNCTION("""COMPUTED_VALUE"""),"HIKVISION")</f>
        <v>HIKVISION</v>
      </c>
      <c r="E88" s="4" t="str">
        <f>IFERROR(__xludf.DUMMYFUNCTION("""COMPUTED_VALUE"""),"DS-2CE10DF0T-PF")</f>
        <v>DS-2CE10DF0T-PF</v>
      </c>
      <c r="F88" s="4" t="str">
        <f>IFERROR(__xludf.DUMMYFUNCTION("""COMPUTED_VALUE"""),"CCTV &gt; CAMARAS ANALOGICAS")</f>
        <v>CCTV &gt; CAMARAS ANALOGICAS</v>
      </c>
      <c r="G88" s="5"/>
      <c r="H88" s="6">
        <f>IFERROR(__xludf.DUMMYFUNCTION("""COMPUTED_VALUE"""),32.67)</f>
        <v>32.67</v>
      </c>
      <c r="I88" s="7">
        <f>IFERROR(__xludf.DUMMYFUNCTION("""COMPUTED_VALUE"""),21.0)</f>
        <v>21</v>
      </c>
      <c r="J88" s="6">
        <f>IFERROR(__xludf.DUMMYFUNCTION("""COMPUTED_VALUE"""),39.2)</f>
        <v>39.2</v>
      </c>
      <c r="K88" s="6">
        <f>IFERROR(__xludf.DUMMYFUNCTION("""COMPUTED_VALUE"""),45.74)</f>
        <v>45.74</v>
      </c>
      <c r="L88" s="3"/>
      <c r="M88" s="3"/>
    </row>
    <row r="89" ht="48.0" customHeight="1">
      <c r="A89" s="3" t="str">
        <f>IFERROR(__xludf.DUMMYFUNCTION("""COMPUTED_VALUE"""),"DS-2CE16D0T-LFS")</f>
        <v>DS-2CE16D0T-LFS</v>
      </c>
      <c r="B89" s="4" t="str">
        <f>IFERROR(__xludf.DUMMYFUNCTION("""COMPUTED_VALUE"""),"CAMARA BULLET EXTERIOR 2MP")</f>
        <v>CAMARA BULLET EXTERIOR 2MP</v>
      </c>
      <c r="C89" s="4" t="str">
        <f>IFERROR(__xludf.DUMMYFUNCTION("""COMPUTED_VALUE"""),"Cámara Turbo Tipo Bullet 2 MP (micrófono incorporado) Cámara LUZ DUAL (IR + LUZ BLANCA) TURBOHD 2 Megapíxel (1080p). Gran Angular 101° Lente 2.8 mm . 30 mts IR EXIR . 20 mts Luz Blanca . Exterior IP67. 4 Tecnologías . Micrófono Integrado. Gabinete metalic"&amp;"o")</f>
        <v>Cámara Turbo Tipo Bullet 2 MP (micrófono incorporado) Cámara LUZ DUAL (IR + LUZ BLANCA) TURBOHD 2 Megapíxel (1080p). Gran Angular 101° Lente 2.8 mm . 30 mts IR EXIR . 20 mts Luz Blanca . Exterior IP67. 4 Tecnologías . Micrófono Integrado. Gabinete metalico</v>
      </c>
      <c r="D89" s="4" t="str">
        <f>IFERROR(__xludf.DUMMYFUNCTION("""COMPUTED_VALUE"""),"HIKVISION")</f>
        <v>HIKVISION</v>
      </c>
      <c r="E89" s="4" t="str">
        <f>IFERROR(__xludf.DUMMYFUNCTION("""COMPUTED_VALUE"""),"DS-2CE16D0T-LFS")</f>
        <v>DS-2CE16D0T-LFS</v>
      </c>
      <c r="F89" s="4" t="str">
        <f>IFERROR(__xludf.DUMMYFUNCTION("""COMPUTED_VALUE"""),"CCTV &gt; CAMARAS ANALOGICAS")</f>
        <v>CCTV &gt; CAMARAS ANALOGICAS</v>
      </c>
      <c r="G89" s="5"/>
      <c r="H89" s="6">
        <f>IFERROR(__xludf.DUMMYFUNCTION("""COMPUTED_VALUE"""),26.62)</f>
        <v>26.62</v>
      </c>
      <c r="I89" s="7">
        <f>IFERROR(__xludf.DUMMYFUNCTION("""COMPUTED_VALUE"""),21.0)</f>
        <v>21</v>
      </c>
      <c r="J89" s="6">
        <f>IFERROR(__xludf.DUMMYFUNCTION("""COMPUTED_VALUE"""),31.94)</f>
        <v>31.94</v>
      </c>
      <c r="K89" s="6">
        <f>IFERROR(__xludf.DUMMYFUNCTION("""COMPUTED_VALUE"""),37.27)</f>
        <v>37.27</v>
      </c>
      <c r="L89" s="3"/>
      <c r="M89" s="3"/>
    </row>
    <row r="90" ht="48.0" customHeight="1">
      <c r="A90" s="3" t="str">
        <f>IFERROR(__xludf.DUMMYFUNCTION("""COMPUTED_VALUE"""),"DS-2CE10DF0T-F")</f>
        <v>DS-2CE10DF0T-F</v>
      </c>
      <c r="B90" s="4" t="str">
        <f>IFERROR(__xludf.DUMMYFUNCTION("""COMPUTED_VALUE"""),"CAMARA BULLET COLORVU 2MP")</f>
        <v>CAMARA BULLET COLORVU 2MP</v>
      </c>
      <c r="C90" s="4" t="str">
        <f>IFERROR(__xludf.DUMMYFUNCTION("""COMPUTED_VALUE"""),"Cámara Turbo Tipo Bullet 2 MP ColorVu TURBO HD, 2 Megapixel (1920 x 1080). Lente fijo: 2.8 mm. 20 Metros de luz blanca (Ayuda a iluminar el sitio para mantener la imagen siempre a color). Soporta 4 Tecnologías (HD-TVI, HD-CVI, AHD,CVBS Analógico 1200TVL´s"&amp;"). dWDR / BLC / HLC. Alimentación: 12 VDC Protección: IP67. Fabricada en metal.")</f>
        <v>Cámara Turbo Tipo Bullet 2 MP ColorVu TURBO HD, 2 Megapixel (1920 x 1080). Lente fijo: 2.8 mm. 20 Metros de luz blanca (Ayuda a iluminar el sitio para mantener la imagen siempre a color). Soporta 4 Tecnologías (HD-TVI, HD-CVI, AHD,CVBS Analógico 1200TVL´s). dWDR / BLC / HLC. Alimentación: 12 VDC Protección: IP67. Fabricada en metal.</v>
      </c>
      <c r="D90" s="4" t="str">
        <f>IFERROR(__xludf.DUMMYFUNCTION("""COMPUTED_VALUE"""),"HIKVISION")</f>
        <v>HIKVISION</v>
      </c>
      <c r="E90" s="4" t="str">
        <f>IFERROR(__xludf.DUMMYFUNCTION("""COMPUTED_VALUE"""),"DS-2CE10DF0T-F")</f>
        <v>DS-2CE10DF0T-F</v>
      </c>
      <c r="F90" s="4" t="str">
        <f>IFERROR(__xludf.DUMMYFUNCTION("""COMPUTED_VALUE"""),"CCTV &gt; CAMARAS ANALOGICAS")</f>
        <v>CCTV &gt; CAMARAS ANALOGICAS</v>
      </c>
      <c r="G90" s="5"/>
      <c r="H90" s="6">
        <f>IFERROR(__xludf.DUMMYFUNCTION("""COMPUTED_VALUE"""),34.1)</f>
        <v>34.1</v>
      </c>
      <c r="I90" s="7">
        <f>IFERROR(__xludf.DUMMYFUNCTION("""COMPUTED_VALUE"""),21.0)</f>
        <v>21</v>
      </c>
      <c r="J90" s="6">
        <f>IFERROR(__xludf.DUMMYFUNCTION("""COMPUTED_VALUE"""),40.92)</f>
        <v>40.92</v>
      </c>
      <c r="K90" s="6">
        <f>IFERROR(__xludf.DUMMYFUNCTION("""COMPUTED_VALUE"""),47.74)</f>
        <v>47.74</v>
      </c>
      <c r="L90" s="3"/>
      <c r="M90" s="3"/>
    </row>
    <row r="91" ht="48.0" customHeight="1">
      <c r="A91" s="3" t="str">
        <f>IFERROR(__xludf.DUMMYFUNCTION("""COMPUTED_VALUE"""),"DS-2CE12DF0T-F")</f>
        <v>DS-2CE12DF0T-F</v>
      </c>
      <c r="B91" s="4" t="str">
        <f>IFERROR(__xludf.DUMMYFUNCTION("""COMPUTED_VALUE"""),"CAMARA BULLET COLORVU 2MP")</f>
        <v>CAMARA BULLET COLORVU 2MP</v>
      </c>
      <c r="C91" s="4" t="str">
        <f>IFERROR(__xludf.DUMMYFUNCTION("""COMPUTED_VALUE"""),"Cámara Turbo Tipo Bullet ColorVu 2MP, lente de 2,8mm sensor CMOS 2MP color 0.001 Lux , Luz blanca 40m, PAL/NTSC, (TVI / AHD / CVI / CVBS), WDR, Automática) BLC, HLC; Global; HLS; al, 12 VDC, IP67. metálica")</f>
        <v>Cámara Turbo Tipo Bullet ColorVu 2MP, lente de 2,8mm sensor CMOS 2MP color 0.001 Lux , Luz blanca 40m, PAL/NTSC, (TVI / AHD / CVI / CVBS), WDR, Automática) BLC, HLC; Global; HLS; al, 12 VDC, IP67. metálica</v>
      </c>
      <c r="D91" s="4" t="str">
        <f>IFERROR(__xludf.DUMMYFUNCTION("""COMPUTED_VALUE"""),"HIKVISION")</f>
        <v>HIKVISION</v>
      </c>
      <c r="E91" s="4" t="str">
        <f>IFERROR(__xludf.DUMMYFUNCTION("""COMPUTED_VALUE"""),"DS-2CE12DF0T-F")</f>
        <v>DS-2CE12DF0T-F</v>
      </c>
      <c r="F91" s="4" t="str">
        <f>IFERROR(__xludf.DUMMYFUNCTION("""COMPUTED_VALUE"""),"CCTV &gt; CAMARAS ANALOGICAS")</f>
        <v>CCTV &gt; CAMARAS ANALOGICAS</v>
      </c>
      <c r="G91" s="5"/>
      <c r="H91" s="6">
        <f>IFERROR(__xludf.DUMMYFUNCTION("""COMPUTED_VALUE"""),42.9)</f>
        <v>42.9</v>
      </c>
      <c r="I91" s="7">
        <f>IFERROR(__xludf.DUMMYFUNCTION("""COMPUTED_VALUE"""),21.0)</f>
        <v>21</v>
      </c>
      <c r="J91" s="6">
        <f>IFERROR(__xludf.DUMMYFUNCTION("""COMPUTED_VALUE"""),51.48)</f>
        <v>51.48</v>
      </c>
      <c r="K91" s="6">
        <f>IFERROR(__xludf.DUMMYFUNCTION("""COMPUTED_VALUE"""),60.06)</f>
        <v>60.06</v>
      </c>
      <c r="L91" s="3"/>
      <c r="M91" s="3"/>
    </row>
    <row r="92" ht="48.0" customHeight="1">
      <c r="A92" s="3" t="str">
        <f>IFERROR(__xludf.DUMMYFUNCTION("""COMPUTED_VALUE"""),"DS2CE16D0TIT5F")</f>
        <v>DS2CE16D0TIT5F</v>
      </c>
      <c r="B92" s="4" t="str">
        <f>IFERROR(__xludf.DUMMYFUNCTION("""COMPUTED_VALUE"""),"CAMARA BULLET EXTERIOR 2MP")</f>
        <v>CAMARA BULLET EXTERIOR 2MP</v>
      </c>
      <c r="C92" s="4" t="str">
        <f>IFERROR(__xludf.DUMMYFUNCTION("""COMPUTED_VALUE"""),"Cámara Turbo Tipo Bullet 4.0 Bullet 1080P, Sensor CMOS Resolución 1080P 2Mpx, IR 80m EXIR, ICR, 0.01 Lux/F1.2 Smart IR, Lente Fijo 12mm Multinorma TVI/AHD/CVI/CVBS, Alimentación 12VDC, Apta Exterior, Protección IP66, Carcaza Metálica")</f>
        <v>Cámara Turbo Tipo Bullet 4.0 Bullet 1080P, Sensor CMOS Resolución 1080P 2Mpx, IR 80m EXIR, ICR, 0.01 Lux/F1.2 Smart IR, Lente Fijo 12mm Multinorma TVI/AHD/CVI/CVBS, Alimentación 12VDC, Apta Exterior, Protección IP66, Carcaza Metálica</v>
      </c>
      <c r="D92" s="4" t="str">
        <f>IFERROR(__xludf.DUMMYFUNCTION("""COMPUTED_VALUE"""),"HIKVISION")</f>
        <v>HIKVISION</v>
      </c>
      <c r="E92" s="4" t="str">
        <f>IFERROR(__xludf.DUMMYFUNCTION("""COMPUTED_VALUE"""),"DS2CE16D0TIT5F")</f>
        <v>DS2CE16D0TIT5F</v>
      </c>
      <c r="F92" s="4" t="str">
        <f>IFERROR(__xludf.DUMMYFUNCTION("""COMPUTED_VALUE"""),"CCTV &gt; CAMARAS ANALOGICAS")</f>
        <v>CCTV &gt; CAMARAS ANALOGICAS</v>
      </c>
      <c r="G92" s="5"/>
      <c r="H92" s="6">
        <f>IFERROR(__xludf.DUMMYFUNCTION("""COMPUTED_VALUE"""),29.37)</f>
        <v>29.37</v>
      </c>
      <c r="I92" s="7">
        <f>IFERROR(__xludf.DUMMYFUNCTION("""COMPUTED_VALUE"""),21.0)</f>
        <v>21</v>
      </c>
      <c r="J92" s="6">
        <f>IFERROR(__xludf.DUMMYFUNCTION("""COMPUTED_VALUE"""),35.24)</f>
        <v>35.24</v>
      </c>
      <c r="K92" s="6">
        <f>IFERROR(__xludf.DUMMYFUNCTION("""COMPUTED_VALUE"""),41.12)</f>
        <v>41.12</v>
      </c>
      <c r="L92" s="3"/>
      <c r="M92" s="3"/>
    </row>
    <row r="93" ht="48.0" customHeight="1">
      <c r="A93" s="3" t="str">
        <f>IFERROR(__xludf.DUMMYFUNCTION("""COMPUTED_VALUE"""),"DS-2CE10DF3T-PF")</f>
        <v>DS-2CE10DF3T-PF</v>
      </c>
      <c r="B93" s="4" t="str">
        <f>IFERROR(__xludf.DUMMYFUNCTION("""COMPUTED_VALUE"""),"CAMARA BULLET COLORVU EXTERIOR 2MP")</f>
        <v>CAMARA BULLET COLORVU EXTERIOR 2MP</v>
      </c>
      <c r="C93" s="4" t="str">
        <f>IFERROR(__xludf.DUMMYFUNCTION("""COMPUTED_VALUE"""),"Cámara Turbo Tipo Bullet 2 MP ColorVu TURBO HD, 2 Megapixel (1920 x 1080). Lente fijo: 2.8 mm. 20 Metros de luz blanca (Ayuda a iluminar el sitio para mantener la imagen siempre a color). Soporta 4 Tecnologías, (HD-TVI, HD-CVI, AHD,CVBS Analógico 1200TVL´"&amp;"s). WDR de 130 dB. Alimentación: 12VCD. Soporta instalación en exteriores (IP67). Gabinete plastico")</f>
        <v>Cámara Turbo Tipo Bullet 2 MP ColorVu TURBO HD, 2 Megapixel (1920 x 1080). Lente fijo: 2.8 mm. 20 Metros de luz blanca (Ayuda a iluminar el sitio para mantener la imagen siempre a color). Soporta 4 Tecnologías, (HD-TVI, HD-CVI, AHD,CVBS Analógico 1200TVL´s). WDR de 130 dB. Alimentación: 12VCD. Soporta instalación en exteriores (IP67). Gabinete plastico</v>
      </c>
      <c r="D93" s="4" t="str">
        <f>IFERROR(__xludf.DUMMYFUNCTION("""COMPUTED_VALUE"""),"HIKVISION")</f>
        <v>HIKVISION</v>
      </c>
      <c r="E93" s="4" t="str">
        <f>IFERROR(__xludf.DUMMYFUNCTION("""COMPUTED_VALUE"""),"DS-2CE10DF3T-PF")</f>
        <v>DS-2CE10DF3T-PF</v>
      </c>
      <c r="F93" s="4" t="str">
        <f>IFERROR(__xludf.DUMMYFUNCTION("""COMPUTED_VALUE"""),"CCTV &gt; CAMARAS ANALOGICAS")</f>
        <v>CCTV &gt; CAMARAS ANALOGICAS</v>
      </c>
      <c r="G93" s="5"/>
      <c r="H93" s="6">
        <f>IFERROR(__xludf.DUMMYFUNCTION("""COMPUTED_VALUE"""),42.9)</f>
        <v>42.9</v>
      </c>
      <c r="I93" s="7">
        <f>IFERROR(__xludf.DUMMYFUNCTION("""COMPUTED_VALUE"""),21.0)</f>
        <v>21</v>
      </c>
      <c r="J93" s="6">
        <f>IFERROR(__xludf.DUMMYFUNCTION("""COMPUTED_VALUE"""),51.48)</f>
        <v>51.48</v>
      </c>
      <c r="K93" s="6">
        <f>IFERROR(__xludf.DUMMYFUNCTION("""COMPUTED_VALUE"""),60.06)</f>
        <v>60.06</v>
      </c>
      <c r="L93" s="3"/>
      <c r="M93" s="3"/>
    </row>
    <row r="94" ht="48.0" customHeight="1">
      <c r="A94" s="3" t="str">
        <f>IFERROR(__xludf.DUMMYFUNCTION("""COMPUTED_VALUE"""),"DS-2CE10DF3T-F")</f>
        <v>DS-2CE10DF3T-F</v>
      </c>
      <c r="B94" s="4" t="str">
        <f>IFERROR(__xludf.DUMMYFUNCTION("""COMPUTED_VALUE"""),"CAMARA BULLET COLORVU EXTERIOR 2MP")</f>
        <v>CAMARA BULLET COLORVU EXTERIOR 2MP</v>
      </c>
      <c r="C94" s="4" t="str">
        <f>IFERROR(__xludf.DUMMYFUNCTION("""COMPUTED_VALUE"""),"Cámara Turbo Tipo Bullet 2 MP ColorVu TURBO HD, 2 Megapixel (1920 x 1080). Lente fijo: 2.8 mm. Iluminación mínima: 0.0005 Lux @ (F1.0, AGC ON, 0 Lux iluminación suplementaria). 20 Metros de luz blanca (Ayuda a iluminar el sitio para mantener la imagen sie"&amp;"mpre a color). Soporta 4 Tecnologías, (HD-TVI, HD-CVI, AHD,CVBS Analógico 1200TVL´s). WDR de 130 dB. Alimentación: 12VCD. Soporta instalación en exteriores (IP67). Gabinete metalico")</f>
        <v>Cámara Turbo Tipo Bullet 2 MP ColorVu TURBO HD, 2 Megapixel (1920 x 1080). Lente fijo: 2.8 mm. Iluminación mínima: 0.0005 Lux @ (F1.0, AGC ON, 0 Lux iluminación suplementaria). 20 Metros de luz blanca (Ayuda a iluminar el sitio para mantener la imagen siempre a color). Soporta 4 Tecnologías, (HD-TVI, HD-CVI, AHD,CVBS Analógico 1200TVL´s). WDR de 130 dB. Alimentación: 12VCD. Soporta instalación en exteriores (IP67). Gabinete metalico</v>
      </c>
      <c r="D94" s="4" t="str">
        <f>IFERROR(__xludf.DUMMYFUNCTION("""COMPUTED_VALUE"""),"HIKVISION")</f>
        <v>HIKVISION</v>
      </c>
      <c r="E94" s="4" t="str">
        <f>IFERROR(__xludf.DUMMYFUNCTION("""COMPUTED_VALUE"""),"DS-2CE10DF3T-F")</f>
        <v>DS-2CE10DF3T-F</v>
      </c>
      <c r="F94" s="4" t="str">
        <f>IFERROR(__xludf.DUMMYFUNCTION("""COMPUTED_VALUE"""),"CCTV &gt; CAMARAS ANALOGICAS")</f>
        <v>CCTV &gt; CAMARAS ANALOGICAS</v>
      </c>
      <c r="G94" s="5"/>
      <c r="H94" s="6">
        <f>IFERROR(__xludf.DUMMYFUNCTION("""COMPUTED_VALUE"""),44.0)</f>
        <v>44</v>
      </c>
      <c r="I94" s="7">
        <f>IFERROR(__xludf.DUMMYFUNCTION("""COMPUTED_VALUE"""),21.0)</f>
        <v>21</v>
      </c>
      <c r="J94" s="6">
        <f>IFERROR(__xludf.DUMMYFUNCTION("""COMPUTED_VALUE"""),52.8)</f>
        <v>52.8</v>
      </c>
      <c r="K94" s="6">
        <f>IFERROR(__xludf.DUMMYFUNCTION("""COMPUTED_VALUE"""),61.6)</f>
        <v>61.6</v>
      </c>
      <c r="L94" s="3"/>
      <c r="M94" s="3"/>
    </row>
    <row r="95" ht="48.0" customHeight="1">
      <c r="A95" s="3" t="str">
        <f>IFERROR(__xludf.DUMMYFUNCTION("""COMPUTED_VALUE"""),"DS-2CE12DF3T-F")</f>
        <v>DS-2CE12DF3T-F</v>
      </c>
      <c r="B95" s="4" t="str">
        <f>IFERROR(__xludf.DUMMYFUNCTION("""COMPUTED_VALUE"""),"CAMARA BULLET COLORVU EXTERIOR 2MP")</f>
        <v>CAMARA BULLET COLORVU EXTERIOR 2MP</v>
      </c>
      <c r="C95" s="4" t="str">
        <f>IFERROR(__xludf.DUMMYFUNCTION("""COMPUTED_VALUE"""),"Cámara Turbo Tipo Bullet 2 MP ColorVu TURBO HD, 2 Megapixel (1920 x 1080). Lente fijo: 2.8 mm. 40 Metros de luz blanca (Ayuda a iluminar el sitio para mantener la imagen siempre a color). Soporta 4 Tecnologías, (HD-TVI, HD-CVI, AHD,CVBS Analógico 1200TVL´"&amp;"s). WDR de 130 dB. Alimentación: 12VCD. Soporta instalación en exteriores (IP67). Gabinete metalico")</f>
        <v>Cámara Turbo Tipo Bullet 2 MP ColorVu TURBO HD, 2 Megapixel (1920 x 1080). Lente fijo: 2.8 mm. 40 Metros de luz blanca (Ayuda a iluminar el sitio para mantener la imagen siempre a color). Soporta 4 Tecnologías, (HD-TVI, HD-CVI, AHD,CVBS Analógico 1200TVL´s). WDR de 130 dB. Alimentación: 12VCD. Soporta instalación en exteriores (IP67). Gabinete metalico</v>
      </c>
      <c r="D95" s="4" t="str">
        <f>IFERROR(__xludf.DUMMYFUNCTION("""COMPUTED_VALUE"""),"HIKVISION")</f>
        <v>HIKVISION</v>
      </c>
      <c r="E95" s="4" t="str">
        <f>IFERROR(__xludf.DUMMYFUNCTION("""COMPUTED_VALUE"""),"DS-2CE12DF3T-F")</f>
        <v>DS-2CE12DF3T-F</v>
      </c>
      <c r="F95" s="4" t="str">
        <f>IFERROR(__xludf.DUMMYFUNCTION("""COMPUTED_VALUE"""),"CCTV &gt; CAMARAS ANALOGICAS")</f>
        <v>CCTV &gt; CAMARAS ANALOGICAS</v>
      </c>
      <c r="G95" s="5"/>
      <c r="H95" s="6">
        <f>IFERROR(__xludf.DUMMYFUNCTION("""COMPUTED_VALUE"""),51.7)</f>
        <v>51.7</v>
      </c>
      <c r="I95" s="7">
        <f>IFERROR(__xludf.DUMMYFUNCTION("""COMPUTED_VALUE"""),21.0)</f>
        <v>21</v>
      </c>
      <c r="J95" s="6">
        <f>IFERROR(__xludf.DUMMYFUNCTION("""COMPUTED_VALUE"""),62.04)</f>
        <v>62.04</v>
      </c>
      <c r="K95" s="6">
        <f>IFERROR(__xludf.DUMMYFUNCTION("""COMPUTED_VALUE"""),72.38)</f>
        <v>72.38</v>
      </c>
      <c r="L95" s="3"/>
      <c r="M95" s="3"/>
    </row>
    <row r="96" ht="48.0" customHeight="1">
      <c r="A96" s="3" t="str">
        <f>IFERROR(__xludf.DUMMYFUNCTION("""COMPUTED_VALUE"""),"DS-2CE19D0T-VFIT3F")</f>
        <v>DS-2CE19D0T-VFIT3F</v>
      </c>
      <c r="B96" s="4" t="str">
        <f>IFERROR(__xludf.DUMMYFUNCTION("""COMPUTED_VALUE"""),"CAMARA BULLET EXTERIOR 2MP")</f>
        <v>CAMARA BULLET EXTERIOR 2MP</v>
      </c>
      <c r="C96" s="4" t="str">
        <f>IFERROR(__xludf.DUMMYFUNCTION("""COMPUTED_VALUE"""),"Cámara Turbo Tipo Bullet 4.0 Bullet Varifocal 1080P, Sensor CMOS Resolución 1080P 2Mpx,IR 40m, ICR, 0.01 Lux/F1.2 Smart IR, Lente Varifocal 2,8-12mm (82,2°), Multinorma TVI/AHD/CVI/CVBS , Alimentación 12VDC, Apta Exterior, Protección IP66, Carcaza Metálic"&amp;"a")</f>
        <v>Cámara Turbo Tipo Bullet 4.0 Bullet Varifocal 1080P, Sensor CMOS Resolución 1080P 2Mpx,IR 40m, ICR, 0.01 Lux/F1.2 Smart IR, Lente Varifocal 2,8-12mm (82,2°), Multinorma TVI/AHD/CVI/CVBS , Alimentación 12VDC, Apta Exterior, Protección IP66, Carcaza Metálica</v>
      </c>
      <c r="D96" s="4" t="str">
        <f>IFERROR(__xludf.DUMMYFUNCTION("""COMPUTED_VALUE"""),"HIKVISION")</f>
        <v>HIKVISION</v>
      </c>
      <c r="E96" s="4" t="str">
        <f>IFERROR(__xludf.DUMMYFUNCTION("""COMPUTED_VALUE"""),"DS-2CE19D0T-VFIT3F")</f>
        <v>DS-2CE19D0T-VFIT3F</v>
      </c>
      <c r="F96" s="4" t="str">
        <f>IFERROR(__xludf.DUMMYFUNCTION("""COMPUTED_VALUE"""),"CCTV &gt; CAMARAS ANALOGICAS")</f>
        <v>CCTV &gt; CAMARAS ANALOGICAS</v>
      </c>
      <c r="G96" s="5"/>
      <c r="H96" s="6">
        <f>IFERROR(__xludf.DUMMYFUNCTION("""COMPUTED_VALUE"""),45.1)</f>
        <v>45.1</v>
      </c>
      <c r="I96" s="7">
        <f>IFERROR(__xludf.DUMMYFUNCTION("""COMPUTED_VALUE"""),21.0)</f>
        <v>21</v>
      </c>
      <c r="J96" s="6">
        <f>IFERROR(__xludf.DUMMYFUNCTION("""COMPUTED_VALUE"""),54.12)</f>
        <v>54.12</v>
      </c>
      <c r="K96" s="6">
        <f>IFERROR(__xludf.DUMMYFUNCTION("""COMPUTED_VALUE"""),63.14)</f>
        <v>63.14</v>
      </c>
      <c r="L96" s="3"/>
      <c r="M96" s="3"/>
    </row>
    <row r="97" ht="48.0" customHeight="1">
      <c r="A97" s="3" t="str">
        <f>IFERROR(__xludf.DUMMYFUNCTION("""COMPUTED_VALUE"""),"DS2CE76H0TITPF")</f>
        <v>DS2CE76H0TITPF</v>
      </c>
      <c r="B97" s="4" t="str">
        <f>IFERROR(__xludf.DUMMYFUNCTION("""COMPUTED_VALUE"""),"DOMO TURRET TURBO 5 MP INDOOR FIXED TURRET CAMERA:")</f>
        <v>DOMO TURRET TURBO 5 MP INDOOR FIXED TURRET CAMERA:</v>
      </c>
      <c r="C97" s="4" t="str">
        <f>IFERROR(__xludf.DUMMYFUNCTION("""COMPUTED_VALUE"""),"Domo Turret Turbo 5 MP Indoor Fixed Turret Camera: *-5 MP turret camera LENTE 2,8MM . *-EXIR 2.0: advanced infrared technology with 20 m IR distance. *-4 in 1 (4 signals switchable TVI/AHD/CVI/CVBS).")</f>
        <v>Domo Turret Turbo 5 MP Indoor Fixed Turret Camera: *-5 MP turret camera LENTE 2,8MM . *-EXIR 2.0: advanced infrared technology with 20 m IR distance. *-4 in 1 (4 signals switchable TVI/AHD/CVI/CVBS).</v>
      </c>
      <c r="D97" s="4" t="str">
        <f>IFERROR(__xludf.DUMMYFUNCTION("""COMPUTED_VALUE"""),"HIKVISION")</f>
        <v>HIKVISION</v>
      </c>
      <c r="E97" s="4" t="str">
        <f>IFERROR(__xludf.DUMMYFUNCTION("""COMPUTED_VALUE"""),"DS2CE76H0TITPF")</f>
        <v>DS2CE76H0TITPF</v>
      </c>
      <c r="F97" s="4" t="str">
        <f>IFERROR(__xludf.DUMMYFUNCTION("""COMPUTED_VALUE"""),"CONECTIVIDAD &gt; SWITCH")</f>
        <v>CONECTIVIDAD &gt; SWITCH</v>
      </c>
      <c r="G97" s="5"/>
      <c r="H97" s="6">
        <f>IFERROR(__xludf.DUMMYFUNCTION("""COMPUTED_VALUE"""),27.28)</f>
        <v>27.28</v>
      </c>
      <c r="I97" s="7">
        <f>IFERROR(__xludf.DUMMYFUNCTION("""COMPUTED_VALUE"""),21.0)</f>
        <v>21</v>
      </c>
      <c r="J97" s="6">
        <f>IFERROR(__xludf.DUMMYFUNCTION("""COMPUTED_VALUE"""),32.74)</f>
        <v>32.74</v>
      </c>
      <c r="K97" s="6">
        <f>IFERROR(__xludf.DUMMYFUNCTION("""COMPUTED_VALUE"""),38.19)</f>
        <v>38.19</v>
      </c>
      <c r="L97" s="3"/>
      <c r="M97" s="3"/>
    </row>
    <row r="98" ht="48.0" customHeight="1">
      <c r="A98" s="3" t="str">
        <f>IFERROR(__xludf.DUMMYFUNCTION("""COMPUTED_VALUE"""),"DS-2CE76K0T-LPFS")</f>
        <v>DS-2CE76K0T-LPFS</v>
      </c>
      <c r="B98" s="4" t="str">
        <f>IFERROR(__xludf.DUMMYFUNCTION("""COMPUTED_VALUE"""),"CAMARA TURRET 5MP")</f>
        <v>CAMARA TURRET 5MP</v>
      </c>
      <c r="C98" s="4" t="str">
        <f>IFERROR(__xludf.DUMMYFUNCTION("""COMPUTED_VALUE"""),"Domo Turret Turbo 3K, 5 Mpx, lente fija 2.8 mm, doble iluminador, metálica, micrófono, IP67.Tipo De Luz Suplementaria: luz blanca/IR. Rango hasta 20 metros. Digital WDR. Salida de Vídeo: TVI/AHD/CVI/CVBS. Protección IP67. Gabinete Plastico")</f>
        <v>Domo Turret Turbo 3K, 5 Mpx, lente fija 2.8 mm, doble iluminador, metálica, micrófono, IP67.Tipo De Luz Suplementaria: luz blanca/IR. Rango hasta 20 metros. Digital WDR. Salida de Vídeo: TVI/AHD/CVI/CVBS. Protección IP67. Gabinete Plastico</v>
      </c>
      <c r="D98" s="4" t="str">
        <f>IFERROR(__xludf.DUMMYFUNCTION("""COMPUTED_VALUE"""),"HIKVISION")</f>
        <v>HIKVISION</v>
      </c>
      <c r="E98" s="4" t="str">
        <f>IFERROR(__xludf.DUMMYFUNCTION("""COMPUTED_VALUE"""),"DS-2CE76K0T-LPFS")</f>
        <v>DS-2CE76K0T-LPFS</v>
      </c>
      <c r="F98" s="4" t="str">
        <f>IFERROR(__xludf.DUMMYFUNCTION("""COMPUTED_VALUE"""),"CCTV &gt; CAMARAS ANALOGICAS")</f>
        <v>CCTV &gt; CAMARAS ANALOGICAS</v>
      </c>
      <c r="G98" s="5"/>
      <c r="H98" s="6">
        <f>IFERROR(__xludf.DUMMYFUNCTION("""COMPUTED_VALUE"""),30.25)</f>
        <v>30.25</v>
      </c>
      <c r="I98" s="7">
        <f>IFERROR(__xludf.DUMMYFUNCTION("""COMPUTED_VALUE"""),21.0)</f>
        <v>21</v>
      </c>
      <c r="J98" s="6">
        <f>IFERROR(__xludf.DUMMYFUNCTION("""COMPUTED_VALUE"""),36.3)</f>
        <v>36.3</v>
      </c>
      <c r="K98" s="6">
        <f>IFERROR(__xludf.DUMMYFUNCTION("""COMPUTED_VALUE"""),42.35)</f>
        <v>42.35</v>
      </c>
      <c r="L98" s="3"/>
      <c r="M98" s="3"/>
    </row>
    <row r="99" ht="48.0" customHeight="1">
      <c r="A99" s="3" t="str">
        <f>IFERROR(__xludf.DUMMYFUNCTION("""COMPUTED_VALUE"""),"DS-2CE76K0T-LMFS")</f>
        <v>DS-2CE76K0T-LMFS</v>
      </c>
      <c r="B99" s="4" t="str">
        <f>IFERROR(__xludf.DUMMYFUNCTION("""COMPUTED_VALUE"""),"CAMARA TURRET 5MP")</f>
        <v>CAMARA TURRET 5MP</v>
      </c>
      <c r="C99" s="4" t="str">
        <f>IFERROR(__xludf.DUMMYFUNCTION("""COMPUTED_VALUE"""),"Domo Turret Turbo 3K, 5 Mpx, lente fija 2.8 mm, doble iluminador, metálica, micrófono, IP67.Tipo De Luz Suplementaria: luz blanca 20 metros /IR. Rango hasta 30 metros. Digital WDR. Salida de Vídeo: TVI/AHD/CVI/CVBS. Protección IP67. Gabinete Metalico")</f>
        <v>Domo Turret Turbo 3K, 5 Mpx, lente fija 2.8 mm, doble iluminador, metálica, micrófono, IP67.Tipo De Luz Suplementaria: luz blanca 20 metros /IR. Rango hasta 30 metros. Digital WDR. Salida de Vídeo: TVI/AHD/CVI/CVBS. Protección IP67. Gabinete Metalico</v>
      </c>
      <c r="D99" s="4" t="str">
        <f>IFERROR(__xludf.DUMMYFUNCTION("""COMPUTED_VALUE"""),"HIKVISION")</f>
        <v>HIKVISION</v>
      </c>
      <c r="E99" s="4" t="str">
        <f>IFERROR(__xludf.DUMMYFUNCTION("""COMPUTED_VALUE"""),"DS-2CE76K0T-LMFS")</f>
        <v>DS-2CE76K0T-LMFS</v>
      </c>
      <c r="F99" s="4" t="str">
        <f>IFERROR(__xludf.DUMMYFUNCTION("""COMPUTED_VALUE"""),"CCTV &gt; CAMARAS ANALOGICAS")</f>
        <v>CCTV &gt; CAMARAS ANALOGICAS</v>
      </c>
      <c r="G99" s="5"/>
      <c r="H99" s="6">
        <f>IFERROR(__xludf.DUMMYFUNCTION("""COMPUTED_VALUE"""),35.2)</f>
        <v>35.2</v>
      </c>
      <c r="I99" s="7">
        <f>IFERROR(__xludf.DUMMYFUNCTION("""COMPUTED_VALUE"""),21.0)</f>
        <v>21</v>
      </c>
      <c r="J99" s="6">
        <f>IFERROR(__xludf.DUMMYFUNCTION("""COMPUTED_VALUE"""),42.24)</f>
        <v>42.24</v>
      </c>
      <c r="K99" s="6">
        <f>IFERROR(__xludf.DUMMYFUNCTION("""COMPUTED_VALUE"""),49.28)</f>
        <v>49.28</v>
      </c>
      <c r="L99" s="3"/>
      <c r="M99" s="3"/>
    </row>
    <row r="100" ht="48.0" customHeight="1">
      <c r="A100" s="3" t="str">
        <f>IFERROR(__xludf.DUMMYFUNCTION("""COMPUTED_VALUE"""),"DS-2CE78K0T-LFS")</f>
        <v>DS-2CE78K0T-LFS</v>
      </c>
      <c r="B100" s="4" t="str">
        <f>IFERROR(__xludf.DUMMYFUNCTION("""COMPUTED_VALUE"""),"CAMARA TURRET 5MP")</f>
        <v>CAMARA TURRET 5MP</v>
      </c>
      <c r="C100" s="4" t="str">
        <f>IFERROR(__xludf.DUMMYFUNCTION("""COMPUTED_VALUE"""),"Domo Turret Turbo 3K, 5 Mpx, lente fija 2.8 mm, doble iluminador, metálica, micrófono, IP67.Tipo De Luz Suplementaria: luz blanca 20 metros /IR. Rango hasta 40 metros. Digital WDR. Salida de Vídeo: TVI/AHD/CVI/CVBS. Protección IP67. Gabinete Metalico-Plas"&amp;"tico")</f>
        <v>Domo Turret Turbo 3K, 5 Mpx, lente fija 2.8 mm, doble iluminador, metálica, micrófono, IP67.Tipo De Luz Suplementaria: luz blanca 20 metros /IR. Rango hasta 40 metros. Digital WDR. Salida de Vídeo: TVI/AHD/CVI/CVBS. Protección IP67. Gabinete Metalico-Plastico</v>
      </c>
      <c r="D100" s="4" t="str">
        <f>IFERROR(__xludf.DUMMYFUNCTION("""COMPUTED_VALUE"""),"HIKVISION")</f>
        <v>HIKVISION</v>
      </c>
      <c r="E100" s="4" t="str">
        <f>IFERROR(__xludf.DUMMYFUNCTION("""COMPUTED_VALUE"""),"DS-2CE78K0T-LFS")</f>
        <v>DS-2CE78K0T-LFS</v>
      </c>
      <c r="F100" s="4" t="str">
        <f>IFERROR(__xludf.DUMMYFUNCTION("""COMPUTED_VALUE"""),"CCTV &gt; CAMARAS ANALOGICAS")</f>
        <v>CCTV &gt; CAMARAS ANALOGICAS</v>
      </c>
      <c r="G100" s="5"/>
      <c r="H100" s="6">
        <f>IFERROR(__xludf.DUMMYFUNCTION("""COMPUTED_VALUE"""),42.9)</f>
        <v>42.9</v>
      </c>
      <c r="I100" s="7">
        <f>IFERROR(__xludf.DUMMYFUNCTION("""COMPUTED_VALUE"""),21.0)</f>
        <v>21</v>
      </c>
      <c r="J100" s="6">
        <f>IFERROR(__xludf.DUMMYFUNCTION("""COMPUTED_VALUE"""),51.48)</f>
        <v>51.48</v>
      </c>
      <c r="K100" s="6">
        <f>IFERROR(__xludf.DUMMYFUNCTION("""COMPUTED_VALUE"""),60.06)</f>
        <v>60.06</v>
      </c>
      <c r="L100" s="3"/>
      <c r="M100" s="3"/>
    </row>
    <row r="101" ht="48.0" customHeight="1">
      <c r="A101" s="3" t="str">
        <f>IFERROR(__xludf.DUMMYFUNCTION("""COMPUTED_VALUE"""),"DS-2CE70KF0T-PFS")</f>
        <v>DS-2CE70KF0T-PFS</v>
      </c>
      <c r="B101" s="4" t="str">
        <f>IFERROR(__xludf.DUMMYFUNCTION("""COMPUTED_VALUE"""),"CAMARA TURRET COLORVU INTERIOR 5MP")</f>
        <v>CAMARA TURRET COLORVU INTERIOR 5MP</v>
      </c>
      <c r="C101" s="4" t="str">
        <f>IFERROR(__xludf.DUMMYFUNCTION("""COMPUTED_VALUE"""),"Domo Turret Turbo 3K ColorVu Audio Fixed Turret Turret TURBOHD 3K (5MP) / Micrófono Integrado / Lente 2.8 mm / Imagen a color 24/7 / 20 mts Luz Blanca Gabinete Plastico uso interior")</f>
        <v>Domo Turret Turbo 3K ColorVu Audio Fixed Turret Turret TURBOHD 3K (5MP) / Micrófono Integrado / Lente 2.8 mm / Imagen a color 24/7 / 20 mts Luz Blanca Gabinete Plastico uso interior</v>
      </c>
      <c r="D101" s="4" t="str">
        <f>IFERROR(__xludf.DUMMYFUNCTION("""COMPUTED_VALUE"""),"HIKVISION")</f>
        <v>HIKVISION</v>
      </c>
      <c r="E101" s="4" t="str">
        <f>IFERROR(__xludf.DUMMYFUNCTION("""COMPUTED_VALUE"""),"DS-2CE70KF0T-PFS")</f>
        <v>DS-2CE70KF0T-PFS</v>
      </c>
      <c r="F101" s="4" t="str">
        <f>IFERROR(__xludf.DUMMYFUNCTION("""COMPUTED_VALUE"""),"CCTV &gt; CAMARAS ANALOGICAS")</f>
        <v>CCTV &gt; CAMARAS ANALOGICAS</v>
      </c>
      <c r="G101" s="5"/>
      <c r="H101" s="6">
        <f>IFERROR(__xludf.DUMMYFUNCTION("""COMPUTED_VALUE"""),39.6)</f>
        <v>39.6</v>
      </c>
      <c r="I101" s="7">
        <f>IFERROR(__xludf.DUMMYFUNCTION("""COMPUTED_VALUE"""),21.0)</f>
        <v>21</v>
      </c>
      <c r="J101" s="6">
        <f>IFERROR(__xludf.DUMMYFUNCTION("""COMPUTED_VALUE"""),47.52)</f>
        <v>47.52</v>
      </c>
      <c r="K101" s="6">
        <f>IFERROR(__xludf.DUMMYFUNCTION("""COMPUTED_VALUE"""),55.44)</f>
        <v>55.44</v>
      </c>
      <c r="L101" s="3"/>
      <c r="M101" s="3"/>
    </row>
    <row r="102" ht="48.0" customHeight="1">
      <c r="A102" s="3" t="str">
        <f>IFERROR(__xludf.DUMMYFUNCTION("""COMPUTED_VALUE"""),"DS-2CE70KF0T-MFS")</f>
        <v>DS-2CE70KF0T-MFS</v>
      </c>
      <c r="B102" s="4" t="str">
        <f>IFERROR(__xludf.DUMMYFUNCTION("""COMPUTED_VALUE"""),"CAMARA TURRET COLORVU EXTERIOR 5MP")</f>
        <v>CAMARA TURRET COLORVU EXTERIOR 5MP</v>
      </c>
      <c r="C102" s="4" t="str">
        <f>IFERROR(__xludf.DUMMYFUNCTION("""COMPUTED_VALUE"""),"Domo Turret Turbo 3K ColorVu Audio Fixed Turret Turret TURBOHD 3K (5MP) / Micrófono Integrado / Lente 2.8 mm / Imagen a color 24/7 / 20 mts Luz Blanca / Exterior IP67 / dWDR / 4 Tecnologías. Gabinete Metalico")</f>
        <v>Domo Turret Turbo 3K ColorVu Audio Fixed Turret Turret TURBOHD 3K (5MP) / Micrófono Integrado / Lente 2.8 mm / Imagen a color 24/7 / 20 mts Luz Blanca / Exterior IP67 / dWDR / 4 Tecnologías. Gabinete Metalico</v>
      </c>
      <c r="D102" s="4" t="str">
        <f>IFERROR(__xludf.DUMMYFUNCTION("""COMPUTED_VALUE"""),"HIKVISION")</f>
        <v>HIKVISION</v>
      </c>
      <c r="E102" s="4" t="str">
        <f>IFERROR(__xludf.DUMMYFUNCTION("""COMPUTED_VALUE"""),"DS-2CE70KF0T-MFS")</f>
        <v>DS-2CE70KF0T-MFS</v>
      </c>
      <c r="F102" s="4" t="str">
        <f>IFERROR(__xludf.DUMMYFUNCTION("""COMPUTED_VALUE"""),"CCTV &gt; CAMARAS ANALOGICAS")</f>
        <v>CCTV &gt; CAMARAS ANALOGICAS</v>
      </c>
      <c r="G102" s="5"/>
      <c r="H102" s="6">
        <f>IFERROR(__xludf.DUMMYFUNCTION("""COMPUTED_VALUE"""),45.1)</f>
        <v>45.1</v>
      </c>
      <c r="I102" s="7">
        <f>IFERROR(__xludf.DUMMYFUNCTION("""COMPUTED_VALUE"""),21.0)</f>
        <v>21</v>
      </c>
      <c r="J102" s="6">
        <f>IFERROR(__xludf.DUMMYFUNCTION("""COMPUTED_VALUE"""),54.12)</f>
        <v>54.12</v>
      </c>
      <c r="K102" s="6">
        <f>IFERROR(__xludf.DUMMYFUNCTION("""COMPUTED_VALUE"""),63.14)</f>
        <v>63.14</v>
      </c>
      <c r="L102" s="3"/>
      <c r="M102" s="3"/>
    </row>
    <row r="103" ht="48.0" customHeight="1">
      <c r="A103" s="3" t="str">
        <f>IFERROR(__xludf.DUMMYFUNCTION("""COMPUTED_VALUE"""),"DS-2CE16K0T-LPFS")</f>
        <v>DS-2CE16K0T-LPFS</v>
      </c>
      <c r="B103" s="4" t="str">
        <f>IFERROR(__xludf.DUMMYFUNCTION("""COMPUTED_VALUE"""),"CÁMARA TURBO TIPO BULLET 3K DUAL LIGHT MICRÓFONO INTEGRADO")</f>
        <v>CÁMARA TURBO TIPO BULLET 3K DUAL LIGHT MICRÓFONO INTEGRADO</v>
      </c>
      <c r="C103" s="4" t="str">
        <f>IFERROR(__xludf.DUMMYFUNCTION("""COMPUTED_VALUE"""),"Cámara Turbo Tipo Bullet 3K Dual Light Micrófono Integrado Resolución Máxima: 3K (5 Megapixel) (2960 x 1665). Lente fijo: 2.8mm. con IR. Iluminador doble, luz blanca e infrarrojo. Distancia hasta 20 metros. WDR Digital. Vídeo Switchable TVI/AHD/CVI/CVBS. "&amp;"Protección IP67. Gabinete plastico")</f>
        <v>Cámara Turbo Tipo Bullet 3K Dual Light Micrófono Integrado Resolución Máxima: 3K (5 Megapixel) (2960 x 1665). Lente fijo: 2.8mm. con IR. Iluminador doble, luz blanca e infrarrojo. Distancia hasta 20 metros. WDR Digital. Vídeo Switchable TVI/AHD/CVI/CVBS. Protección IP67. Gabinete plastico</v>
      </c>
      <c r="D103" s="4" t="str">
        <f>IFERROR(__xludf.DUMMYFUNCTION("""COMPUTED_VALUE"""),"HIKVISION")</f>
        <v>HIKVISION</v>
      </c>
      <c r="E103" s="4" t="str">
        <f>IFERROR(__xludf.DUMMYFUNCTION("""COMPUTED_VALUE"""),"DS-2CE16K0T-LPFS")</f>
        <v>DS-2CE16K0T-LPFS</v>
      </c>
      <c r="F103" s="4" t="str">
        <f>IFERROR(__xludf.DUMMYFUNCTION("""COMPUTED_VALUE"""),"CONECTIVIDAD &gt; SWITCH")</f>
        <v>CONECTIVIDAD &gt; SWITCH</v>
      </c>
      <c r="G103" s="5"/>
      <c r="H103" s="6">
        <f>IFERROR(__xludf.DUMMYFUNCTION("""COMPUTED_VALUE"""),32.67)</f>
        <v>32.67</v>
      </c>
      <c r="I103" s="7">
        <f>IFERROR(__xludf.DUMMYFUNCTION("""COMPUTED_VALUE"""),21.0)</f>
        <v>21</v>
      </c>
      <c r="J103" s="6">
        <f>IFERROR(__xludf.DUMMYFUNCTION("""COMPUTED_VALUE"""),39.2)</f>
        <v>39.2</v>
      </c>
      <c r="K103" s="6">
        <f>IFERROR(__xludf.DUMMYFUNCTION("""COMPUTED_VALUE"""),45.74)</f>
        <v>45.74</v>
      </c>
      <c r="L103" s="3"/>
      <c r="M103" s="3"/>
    </row>
    <row r="104" ht="48.0" customHeight="1">
      <c r="A104" s="3" t="str">
        <f>IFERROR(__xludf.DUMMYFUNCTION("""COMPUTED_VALUE"""),"DS-2CE16K0T-LFS")</f>
        <v>DS-2CE16K0T-LFS</v>
      </c>
      <c r="B104" s="4" t="str">
        <f>IFERROR(__xludf.DUMMYFUNCTION("""COMPUTED_VALUE"""),"CÁMARA TURBO TIPO BULLET 3K DUAL LIGHT MICRÓFONO INTEGRADO")</f>
        <v>CÁMARA TURBO TIPO BULLET 3K DUAL LIGHT MICRÓFONO INTEGRADO</v>
      </c>
      <c r="C104" s="4" t="str">
        <f>IFERROR(__xludf.DUMMYFUNCTION("""COMPUTED_VALUE"""),"Cámara Turbo Tipo Bullet 3K Dual Light Micrófono Integrado Resolución Máxima: 3K (5 Megapixel) (2960 x 1665). Lente fijo: 2.8mm. con IR. Iluminador doble, luz blanca e infrarrojo. Distancia hasta 20 metros. WDR Digital. Vídeo Switchable TVI/AHD/CVI/CVBS. "&amp;"Protección IP67. Gabinete metalico")</f>
        <v>Cámara Turbo Tipo Bullet 3K Dual Light Micrófono Integrado Resolución Máxima: 3K (5 Megapixel) (2960 x 1665). Lente fijo: 2.8mm. con IR. Iluminador doble, luz blanca e infrarrojo. Distancia hasta 20 metros. WDR Digital. Vídeo Switchable TVI/AHD/CVI/CVBS. Protección IP67. Gabinete metalico</v>
      </c>
      <c r="D104" s="4" t="str">
        <f>IFERROR(__xludf.DUMMYFUNCTION("""COMPUTED_VALUE"""),"HIKVISION")</f>
        <v>HIKVISION</v>
      </c>
      <c r="E104" s="4" t="str">
        <f>IFERROR(__xludf.DUMMYFUNCTION("""COMPUTED_VALUE"""),"DS-2CE16K0T-LFS")</f>
        <v>DS-2CE16K0T-LFS</v>
      </c>
      <c r="F104" s="4" t="str">
        <f>IFERROR(__xludf.DUMMYFUNCTION("""COMPUTED_VALUE"""),"CONECTIVIDAD &gt; SWITCH")</f>
        <v>CONECTIVIDAD &gt; SWITCH</v>
      </c>
      <c r="G104" s="5"/>
      <c r="H104" s="6">
        <f>IFERROR(__xludf.DUMMYFUNCTION("""COMPUTED_VALUE"""),35.2)</f>
        <v>35.2</v>
      </c>
      <c r="I104" s="7">
        <f>IFERROR(__xludf.DUMMYFUNCTION("""COMPUTED_VALUE"""),21.0)</f>
        <v>21</v>
      </c>
      <c r="J104" s="6">
        <f>IFERROR(__xludf.DUMMYFUNCTION("""COMPUTED_VALUE"""),42.24)</f>
        <v>42.24</v>
      </c>
      <c r="K104" s="6">
        <f>IFERROR(__xludf.DUMMYFUNCTION("""COMPUTED_VALUE"""),49.28)</f>
        <v>49.28</v>
      </c>
      <c r="L104" s="3"/>
      <c r="M104" s="3"/>
    </row>
    <row r="105" ht="48.0" customHeight="1">
      <c r="A105" s="3" t="str">
        <f>IFERROR(__xludf.DUMMYFUNCTION("""COMPUTED_VALUE"""),"DS-2CE16K0T-EXLPF")</f>
        <v>DS-2CE16K0T-EXLPF</v>
      </c>
      <c r="B105" s="4" t="str">
        <f>IFERROR(__xludf.DUMMYFUNCTION("""COMPUTED_VALUE"""),"CÁMARA TURBO TIPO BULLET 3K SMART HYBRID LIGHT HIGH")</f>
        <v>CÁMARA TURBO TIPO BULLET 3K SMART HYBRID LIGHT HIGH</v>
      </c>
      <c r="C105" s="4" t="str">
        <f>IFERROR(__xludf.DUMMYFUNCTION("""COMPUTED_VALUE"""),"Cámara Turbo Tipo Bullet 3K Smart Hybrid Light High quality imaging with 3K, 2960 × 1665 resolution 2.8 mm, Up to 20 m IR distance for bright night imaging Up to 20 m white light distance for bright night imaging One port for 4 switchable signals (TVI/AHD"&amp;"/CVI/CVBS) Water and dust resistant (IP67)")</f>
        <v>Cámara Turbo Tipo Bullet 3K Smart Hybrid Light High quality imaging with 3K, 2960 × 1665 resolution 2.8 mm, Up to 20 m IR distance for bright night imaging Up to 20 m white light distance for bright night imaging One port for 4 switchable signals (TVI/AHD/CVI/CVBS) Water and dust resistant (IP67)</v>
      </c>
      <c r="D105" s="4" t="str">
        <f>IFERROR(__xludf.DUMMYFUNCTION("""COMPUTED_VALUE"""),"HIKVISION")</f>
        <v>HIKVISION</v>
      </c>
      <c r="E105" s="4" t="str">
        <f>IFERROR(__xludf.DUMMYFUNCTION("""COMPUTED_VALUE"""),"DS-2CE16K0T-EXLPF")</f>
        <v>DS-2CE16K0T-EXLPF</v>
      </c>
      <c r="F105" s="4" t="str">
        <f>IFERROR(__xludf.DUMMYFUNCTION("""COMPUTED_VALUE"""),"CONECTIVIDAD &gt; SWITCH")</f>
        <v>CONECTIVIDAD &gt; SWITCH</v>
      </c>
      <c r="G105" s="5"/>
      <c r="H105" s="6">
        <f>IFERROR(__xludf.DUMMYFUNCTION("""COMPUTED_VALUE"""),23.54)</f>
        <v>23.54</v>
      </c>
      <c r="I105" s="7">
        <f>IFERROR(__xludf.DUMMYFUNCTION("""COMPUTED_VALUE"""),21.0)</f>
        <v>21</v>
      </c>
      <c r="J105" s="6">
        <f>IFERROR(__xludf.DUMMYFUNCTION("""COMPUTED_VALUE"""),28.25)</f>
        <v>28.25</v>
      </c>
      <c r="K105" s="6">
        <f>IFERROR(__xludf.DUMMYFUNCTION("""COMPUTED_VALUE"""),32.96)</f>
        <v>32.96</v>
      </c>
      <c r="L105" s="3"/>
      <c r="M105" s="3"/>
    </row>
    <row r="106" ht="48.0" customHeight="1">
      <c r="A106" s="3" t="str">
        <f>IFERROR(__xludf.DUMMYFUNCTION("""COMPUTED_VALUE"""),"DS-2CE17K0T-LFS")</f>
        <v>DS-2CE17K0T-LFS</v>
      </c>
      <c r="B106" s="4" t="str">
        <f>IFERROR(__xludf.DUMMYFUNCTION("""COMPUTED_VALUE"""),"CÁMARA TURBO TIPO BULLET3K DUAL LIGHT MICRÓFONO INTEGRADO RESOLUCIÓN")</f>
        <v>CÁMARA TURBO TIPO BULLET3K DUAL LIGHT MICRÓFONO INTEGRADO RESOLUCIÓN</v>
      </c>
      <c r="C106" s="4" t="str">
        <f>IFERROR(__xludf.DUMMYFUNCTION("""COMPUTED_VALUE"""),"Cámara Turbo Tipo Bullet3K Dual Light Micrófono Integrado Resolución Máxima: 3K (5 Megapixel) (2960 x 1665). Lente fijo: 2.8mm. con IR. Iluminador doble, luz blanca e infrarrojo. Distancia hasta 40 metros. WDR Digital. Vídeo Switchable TVI/AHD/CVI/CVBS. P"&amp;"rotección IP67. Gabinete metalico")</f>
        <v>Cámara Turbo Tipo Bullet3K Dual Light Micrófono Integrado Resolución Máxima: 3K (5 Megapixel) (2960 x 1665). Lente fijo: 2.8mm. con IR. Iluminador doble, luz blanca e infrarrojo. Distancia hasta 40 metros. WDR Digital. Vídeo Switchable TVI/AHD/CVI/CVBS. Protección IP67. Gabinete metalico</v>
      </c>
      <c r="D106" s="4" t="str">
        <f>IFERROR(__xludf.DUMMYFUNCTION("""COMPUTED_VALUE"""),"HIKVISION")</f>
        <v>HIKVISION</v>
      </c>
      <c r="E106" s="4" t="str">
        <f>IFERROR(__xludf.DUMMYFUNCTION("""COMPUTED_VALUE"""),"DS-2CE17K0T-LFS")</f>
        <v>DS-2CE17K0T-LFS</v>
      </c>
      <c r="F106" s="4" t="str">
        <f>IFERROR(__xludf.DUMMYFUNCTION("""COMPUTED_VALUE"""),"CONECTIVIDAD &gt; SWITCH")</f>
        <v>CONECTIVIDAD &gt; SWITCH</v>
      </c>
      <c r="G106" s="5"/>
      <c r="H106" s="6">
        <f>IFERROR(__xludf.DUMMYFUNCTION("""COMPUTED_VALUE"""),45.1)</f>
        <v>45.1</v>
      </c>
      <c r="I106" s="7">
        <f>IFERROR(__xludf.DUMMYFUNCTION("""COMPUTED_VALUE"""),21.0)</f>
        <v>21</v>
      </c>
      <c r="J106" s="6">
        <f>IFERROR(__xludf.DUMMYFUNCTION("""COMPUTED_VALUE"""),54.12)</f>
        <v>54.12</v>
      </c>
      <c r="K106" s="6">
        <f>IFERROR(__xludf.DUMMYFUNCTION("""COMPUTED_VALUE"""),63.14)</f>
        <v>63.14</v>
      </c>
      <c r="L106" s="3"/>
      <c r="M106" s="3"/>
    </row>
    <row r="107" ht="48.0" customHeight="1">
      <c r="A107" s="3" t="str">
        <f>IFERROR(__xludf.DUMMYFUNCTION("""COMPUTED_VALUE"""),"DS-2CE10KF0T-PFS")</f>
        <v>DS-2CE10KF0T-PFS</v>
      </c>
      <c r="B107" s="4" t="str">
        <f>IFERROR(__xludf.DUMMYFUNCTION("""COMPUTED_VALUE"""),"CAMARA BULLET COLORVU 3K")</f>
        <v>CAMARA BULLET COLORVU 3K</v>
      </c>
      <c r="C107" s="4" t="str">
        <f>IFERROR(__xludf.DUMMYFUNCTION("""COMPUTED_VALUE"""),"Cámara Turbo Tipo Bullet 3K ColorVu Micrófono Integrado Resolución Máxima: 3K (5 Megapixel) (2960 x 1665). Lente fijo: 2.8mm. 20 Metros de luz blanca (Ayuda a iluminar el sitio para mantener la imagen siempre a color). 4 Tecnologías, seleccionables, (HD-T"&amp;"VI, HD-CVI, AHD,CVBS Analogico 1200TVL´s). dWDR. . Alimentación: 12Vcd. Protección IP67. Gabinete plástico.")</f>
        <v>Cámara Turbo Tipo Bullet 3K ColorVu Micrófono Integrado Resolución Máxima: 3K (5 Megapixel) (2960 x 1665). Lente fijo: 2.8mm. 20 Metros de luz blanca (Ayuda a iluminar el sitio para mantener la imagen siempre a color). 4 Tecnologías, seleccionables, (HD-TVI, HD-CVI, AHD,CVBS Analogico 1200TVL´s). dWDR. . Alimentación: 12Vcd. Protección IP67. Gabinete plástico.</v>
      </c>
      <c r="D107" s="4" t="str">
        <f>IFERROR(__xludf.DUMMYFUNCTION("""COMPUTED_VALUE"""),"HIKVISION")</f>
        <v>HIKVISION</v>
      </c>
      <c r="E107" s="4" t="str">
        <f>IFERROR(__xludf.DUMMYFUNCTION("""COMPUTED_VALUE"""),"DS-2CE10KF0T-PFS")</f>
        <v>DS-2CE10KF0T-PFS</v>
      </c>
      <c r="F107" s="4" t="str">
        <f>IFERROR(__xludf.DUMMYFUNCTION("""COMPUTED_VALUE"""),"CCTV &gt; CAMARAS ANALOGICAS")</f>
        <v>CCTV &gt; CAMARAS ANALOGICAS</v>
      </c>
      <c r="G107" s="5"/>
      <c r="H107" s="6">
        <f>IFERROR(__xludf.DUMMYFUNCTION("""COMPUTED_VALUE"""),41.8)</f>
        <v>41.8</v>
      </c>
      <c r="I107" s="7">
        <f>IFERROR(__xludf.DUMMYFUNCTION("""COMPUTED_VALUE"""),21.0)</f>
        <v>21</v>
      </c>
      <c r="J107" s="6">
        <f>IFERROR(__xludf.DUMMYFUNCTION("""COMPUTED_VALUE"""),50.16)</f>
        <v>50.16</v>
      </c>
      <c r="K107" s="6">
        <f>IFERROR(__xludf.DUMMYFUNCTION("""COMPUTED_VALUE"""),58.52)</f>
        <v>58.52</v>
      </c>
      <c r="L107" s="3"/>
      <c r="M107" s="3"/>
    </row>
    <row r="108" ht="48.0" customHeight="1">
      <c r="A108" s="3" t="str">
        <f>IFERROR(__xludf.DUMMYFUNCTION("""COMPUTED_VALUE"""),"DS-2CE10KF0T-FS")</f>
        <v>DS-2CE10KF0T-FS</v>
      </c>
      <c r="B108" s="4" t="str">
        <f>IFERROR(__xludf.DUMMYFUNCTION("""COMPUTED_VALUE"""),"CAMARA BULLET COLORVU 3K")</f>
        <v>CAMARA BULLET COLORVU 3K</v>
      </c>
      <c r="C108" s="4" t="str">
        <f>IFERROR(__xludf.DUMMYFUNCTION("""COMPUTED_VALUE"""),"Cámara Turbo Tipo Bullet 3K ColorVu Micrófono Integrado Resolución Máxima: 3K (5 Megapixel) (2960 x 1665). Lente fijo: 2.8mm. 20 Metros de luz blanca (Ayuda a iluminar el sitio para mantener la imagen siempre a color). 4 Tecnologías, seleccionables, (HD-T"&amp;"VI, HD-CVI, AHD,CVBS Analogico 1200TVL´s). dWDR. . Alimentación: 12Vcd. Protección IP67. Gabinete Metalico.")</f>
        <v>Cámara Turbo Tipo Bullet 3K ColorVu Micrófono Integrado Resolución Máxima: 3K (5 Megapixel) (2960 x 1665). Lente fijo: 2.8mm. 20 Metros de luz blanca (Ayuda a iluminar el sitio para mantener la imagen siempre a color). 4 Tecnologías, seleccionables, (HD-TVI, HD-CVI, AHD,CVBS Analogico 1200TVL´s). dWDR. . Alimentación: 12Vcd. Protección IP67. Gabinete Metalico.</v>
      </c>
      <c r="D108" s="4" t="str">
        <f>IFERROR(__xludf.DUMMYFUNCTION("""COMPUTED_VALUE"""),"HIKVISION")</f>
        <v>HIKVISION</v>
      </c>
      <c r="E108" s="4" t="str">
        <f>IFERROR(__xludf.DUMMYFUNCTION("""COMPUTED_VALUE"""),"DS-2CE10KF0T-FS")</f>
        <v>DS-2CE10KF0T-FS</v>
      </c>
      <c r="F108" s="4" t="str">
        <f>IFERROR(__xludf.DUMMYFUNCTION("""COMPUTED_VALUE"""),"CCTV &gt; CAMARAS ANALOGICAS")</f>
        <v>CCTV &gt; CAMARAS ANALOGICAS</v>
      </c>
      <c r="G108" s="5"/>
      <c r="H108" s="6">
        <f>IFERROR(__xludf.DUMMYFUNCTION("""COMPUTED_VALUE"""),45.1)</f>
        <v>45.1</v>
      </c>
      <c r="I108" s="7">
        <f>IFERROR(__xludf.DUMMYFUNCTION("""COMPUTED_VALUE"""),21.0)</f>
        <v>21</v>
      </c>
      <c r="J108" s="6">
        <f>IFERROR(__xludf.DUMMYFUNCTION("""COMPUTED_VALUE"""),54.12)</f>
        <v>54.12</v>
      </c>
      <c r="K108" s="6">
        <f>IFERROR(__xludf.DUMMYFUNCTION("""COMPUTED_VALUE"""),63.14)</f>
        <v>63.14</v>
      </c>
      <c r="L108" s="3"/>
      <c r="M108" s="3"/>
    </row>
    <row r="109" ht="48.0" customHeight="1">
      <c r="A109" s="3" t="str">
        <f>IFERROR(__xludf.DUMMYFUNCTION("""COMPUTED_VALUE"""),"DS-2CE12KF0T-FS")</f>
        <v>DS-2CE12KF0T-FS</v>
      </c>
      <c r="B109" s="4" t="str">
        <f>IFERROR(__xludf.DUMMYFUNCTION("""COMPUTED_VALUE"""),"CAMARA BULLET COLORVU 3K")</f>
        <v>CAMARA BULLET COLORVU 3K</v>
      </c>
      <c r="C109" s="4" t="str">
        <f>IFERROR(__xludf.DUMMYFUNCTION("""COMPUTED_VALUE"""),"Cámara Turbo Tipo Bullet 3K ColorVu Micrófono Integrado Resolución Máxima: 3K (5 Megapixel) (2960 x 1665). Lente fijo: 2.8mm. 40 Metros de luz blanca (Ayuda a iluminar el sitio para mantener la imagen siempre a color). 4 Tecnologías, seleccionables, (HD-T"&amp;"VI, HD-CVI, AHD,CVBS Analogico 1200TVL´s). dWDR. . Alimentación: 12Vcd. Protección IP67. Gabinete Metalico.")</f>
        <v>Cámara Turbo Tipo Bullet 3K ColorVu Micrófono Integrado Resolución Máxima: 3K (5 Megapixel) (2960 x 1665). Lente fijo: 2.8mm. 40 Metros de luz blanca (Ayuda a iluminar el sitio para mantener la imagen siempre a color). 4 Tecnologías, seleccionables, (HD-TVI, HD-CVI, AHD,CVBS Analogico 1200TVL´s). dWDR. . Alimentación: 12Vcd. Protección IP67. Gabinete Metalico.</v>
      </c>
      <c r="D109" s="4" t="str">
        <f>IFERROR(__xludf.DUMMYFUNCTION("""COMPUTED_VALUE"""),"HIKVISION")</f>
        <v>HIKVISION</v>
      </c>
      <c r="E109" s="4" t="str">
        <f>IFERROR(__xludf.DUMMYFUNCTION("""COMPUTED_VALUE"""),"DS-2CE12KF0T-FS")</f>
        <v>DS-2CE12KF0T-FS</v>
      </c>
      <c r="F109" s="4" t="str">
        <f>IFERROR(__xludf.DUMMYFUNCTION("""COMPUTED_VALUE"""),"CCTV &gt; CAMARAS ANALOGICAS")</f>
        <v>CCTV &gt; CAMARAS ANALOGICAS</v>
      </c>
      <c r="G109" s="5"/>
      <c r="H109" s="6">
        <f>IFERROR(__xludf.DUMMYFUNCTION("""COMPUTED_VALUE"""),55.0)</f>
        <v>55</v>
      </c>
      <c r="I109" s="7">
        <f>IFERROR(__xludf.DUMMYFUNCTION("""COMPUTED_VALUE"""),21.0)</f>
        <v>21</v>
      </c>
      <c r="J109" s="6">
        <f>IFERROR(__xludf.DUMMYFUNCTION("""COMPUTED_VALUE"""),66.0)</f>
        <v>66</v>
      </c>
      <c r="K109" s="6">
        <f>IFERROR(__xludf.DUMMYFUNCTION("""COMPUTED_VALUE"""),77.0)</f>
        <v>77</v>
      </c>
      <c r="L109" s="3"/>
      <c r="M109" s="3"/>
    </row>
    <row r="110" ht="48.0" customHeight="1">
      <c r="A110" s="3" t="str">
        <f>IFERROR(__xludf.DUMMYFUNCTION("""COMPUTED_VALUE"""),"DS-2AE4225T-D3")</f>
        <v>DS-2AE4225T-D3</v>
      </c>
      <c r="B110" s="4" t="str">
        <f>IFERROR(__xludf.DUMMYFUNCTION("""COMPUTED_VALUE"""),"CAMARA DOMO 2MP")</f>
        <v>CAMARA DOMO 2MP</v>
      </c>
      <c r="C110" s="4" t="str">
        <f>IFERROR(__xludf.DUMMYFUNCTION("""COMPUTED_VALUE"""),"Domo Turbo PTZ 4-inch 2 MP 25X Powered by DarkFighter Analog Speed Dome PTZ 1/2.8"" CMOS, 1920x1080:30fps, TVI &amp; CVBS output, 3D DNR, True WDR, Ultra-low light Powerde By DarkFighter Color: 0.005lux/F1.6, B/W:0.001lux/F1.6, Optical Zoom:25x, Digital Zoom:"&amp;"16X, Up the Coax,DC12V")</f>
        <v>Domo Turbo PTZ 4-inch 2 MP 25X Powered by DarkFighter Analog Speed Dome PTZ 1/2.8" CMOS, 1920x1080:30fps, TVI &amp; CVBS output, 3D DNR, True WDR, Ultra-low light Powerde By DarkFighter Color: 0.005lux/F1.6, B/W:0.001lux/F1.6, Optical Zoom:25x, Digital Zoom:16X, Up the Coax,DC12V</v>
      </c>
      <c r="D110" s="4" t="str">
        <f>IFERROR(__xludf.DUMMYFUNCTION("""COMPUTED_VALUE"""),"HIKVISION")</f>
        <v>HIKVISION</v>
      </c>
      <c r="E110" s="4" t="str">
        <f>IFERROR(__xludf.DUMMYFUNCTION("""COMPUTED_VALUE"""),"DS-2AE4225T-D3")</f>
        <v>DS-2AE4225T-D3</v>
      </c>
      <c r="F110" s="4" t="str">
        <f>IFERROR(__xludf.DUMMYFUNCTION("""COMPUTED_VALUE"""),"CCTV &gt; CAMARAS ANALOGICAS PTZ")</f>
        <v>CCTV &gt; CAMARAS ANALOGICAS PTZ</v>
      </c>
      <c r="G110" s="5"/>
      <c r="H110" s="6">
        <f>IFERROR(__xludf.DUMMYFUNCTION("""COMPUTED_VALUE"""),275.0)</f>
        <v>275</v>
      </c>
      <c r="I110" s="7">
        <f>IFERROR(__xludf.DUMMYFUNCTION("""COMPUTED_VALUE"""),21.0)</f>
        <v>21</v>
      </c>
      <c r="J110" s="6">
        <f>IFERROR(__xludf.DUMMYFUNCTION("""COMPUTED_VALUE"""),330.0)</f>
        <v>330</v>
      </c>
      <c r="K110" s="6">
        <f>IFERROR(__xludf.DUMMYFUNCTION("""COMPUTED_VALUE"""),385.0)</f>
        <v>385</v>
      </c>
      <c r="L110" s="3"/>
      <c r="M110" s="3"/>
    </row>
    <row r="111" ht="48.0" customHeight="1">
      <c r="A111" s="3" t="str">
        <f>IFERROR(__xludf.DUMMYFUNCTION("""COMPUTED_VALUE"""),"DS1602ZJ")</f>
        <v>DS1602ZJ</v>
      </c>
      <c r="B111" s="4" t="str">
        <f>IFERROR(__xludf.DUMMYFUNCTION("""COMPUTED_VALUE"""),"SOPORTE DE PARED PARA DOMO DE 5"" Y 6""")</f>
        <v>SOPORTE DE PARED PARA DOMO DE 5" Y 6"</v>
      </c>
      <c r="C111" s="4" t="str">
        <f>IFERROR(__xludf.DUMMYFUNCTION("""COMPUTED_VALUE"""),"Soporte de Pared para Domo de 5"" y 6"" - Dimensiones: 347x100x192")</f>
        <v>Soporte de Pared para Domo de 5" y 6" - Dimensiones: 347x100x192</v>
      </c>
      <c r="D111" s="4" t="str">
        <f>IFERROR(__xludf.DUMMYFUNCTION("""COMPUTED_VALUE"""),"HIKVISION")</f>
        <v>HIKVISION</v>
      </c>
      <c r="E111" s="4" t="str">
        <f>IFERROR(__xludf.DUMMYFUNCTION("""COMPUTED_VALUE"""),"DS1602ZJ")</f>
        <v>DS1602ZJ</v>
      </c>
      <c r="F111" s="4" t="str">
        <f>IFERROR(__xludf.DUMMYFUNCTION("""COMPUTED_VALUE"""),"CCTV &gt; SOPORTES / ALOJAMIENTOS")</f>
        <v>CCTV &gt; SOPORTES / ALOJAMIENTOS</v>
      </c>
      <c r="G111" s="5"/>
      <c r="H111" s="6">
        <f>IFERROR(__xludf.DUMMYFUNCTION("""COMPUTED_VALUE"""),29.37)</f>
        <v>29.37</v>
      </c>
      <c r="I111" s="7">
        <f>IFERROR(__xludf.DUMMYFUNCTION("""COMPUTED_VALUE"""),21.0)</f>
        <v>21</v>
      </c>
      <c r="J111" s="6">
        <f>IFERROR(__xludf.DUMMYFUNCTION("""COMPUTED_VALUE"""),35.24)</f>
        <v>35.24</v>
      </c>
      <c r="K111" s="6">
        <f>IFERROR(__xludf.DUMMYFUNCTION("""COMPUTED_VALUE"""),41.12)</f>
        <v>41.12</v>
      </c>
      <c r="L111" s="3"/>
      <c r="M111" s="3"/>
    </row>
    <row r="112" ht="48.0" customHeight="1">
      <c r="A112" s="3" t="str">
        <f>IFERROR(__xludf.DUMMYFUNCTION("""COMPUTED_VALUE"""),"DS1602ZJPOLE")</f>
        <v>DS1602ZJPOLE</v>
      </c>
      <c r="B112" s="4" t="str">
        <f>IFERROR(__xludf.DUMMYFUNCTION("""COMPUTED_VALUE"""),"SOPORTE DE PARED PARA DOMO DE 5"" Y 6""")</f>
        <v>SOPORTE DE PARED PARA DOMO DE 5" Y 6"</v>
      </c>
      <c r="C112" s="4" t="str">
        <f>IFERROR(__xludf.DUMMYFUNCTION("""COMPUTED_VALUE"""),"Soporte de Pared para Domo de 5"" y 6"" - Dimensiones: 347x100x193. Incluye accesorio para columna")</f>
        <v>Soporte de Pared para Domo de 5" y 6" - Dimensiones: 347x100x193. Incluye accesorio para columna</v>
      </c>
      <c r="D112" s="4" t="str">
        <f>IFERROR(__xludf.DUMMYFUNCTION("""COMPUTED_VALUE"""),"HIKVISION")</f>
        <v>HIKVISION</v>
      </c>
      <c r="E112" s="4" t="str">
        <f>IFERROR(__xludf.DUMMYFUNCTION("""COMPUTED_VALUE"""),"DS1602ZJPOLE")</f>
        <v>DS1602ZJPOLE</v>
      </c>
      <c r="F112" s="4" t="str">
        <f>IFERROR(__xludf.DUMMYFUNCTION("""COMPUTED_VALUE"""),"CCTV &gt; SOPORTES / ALOJAMIENTOS")</f>
        <v>CCTV &gt; SOPORTES / ALOJAMIENTOS</v>
      </c>
      <c r="G112" s="5"/>
      <c r="H112" s="6">
        <f>IFERROR(__xludf.DUMMYFUNCTION("""COMPUTED_VALUE"""),47.3)</f>
        <v>47.3</v>
      </c>
      <c r="I112" s="7">
        <f>IFERROR(__xludf.DUMMYFUNCTION("""COMPUTED_VALUE"""),21.0)</f>
        <v>21</v>
      </c>
      <c r="J112" s="6">
        <f>IFERROR(__xludf.DUMMYFUNCTION("""COMPUTED_VALUE"""),56.76)</f>
        <v>56.76</v>
      </c>
      <c r="K112" s="6">
        <f>IFERROR(__xludf.DUMMYFUNCTION("""COMPUTED_VALUE"""),66.22)</f>
        <v>66.22</v>
      </c>
      <c r="L112" s="3"/>
      <c r="M112" s="3"/>
    </row>
    <row r="113" ht="48.0" customHeight="1">
      <c r="A113" s="3" t="str">
        <f>IFERROR(__xludf.DUMMYFUNCTION("""COMPUTED_VALUE"""),"DS-1275ZJ-S-SUS")</f>
        <v>DS-1275ZJ-S-SUS</v>
      </c>
      <c r="B113" s="4" t="str">
        <f>IFERROR(__xludf.DUMMYFUNCTION("""COMPUTED_VALUE"""),"SOPORTE VERTICAL PARA POSTES METÁLICO COLOR BLANCO DE144 MM × 131")</f>
        <v>SOPORTE VERTICAL PARA POSTES METÁLICO COLOR BLANCO DE144 MM × 131</v>
      </c>
      <c r="C113" s="4" t="str">
        <f>IFERROR(__xludf.DUMMYFUNCTION("""COMPUTED_VALUE"""),"Soporte vertical para postes metálico color blanco de144 mm × 131.6 mm × 44.3 mm (5.67'' × 5.18'' × 1.74'')")</f>
        <v>Soporte vertical para postes metálico color blanco de144 mm × 131.6 mm × 44.3 mm (5.67'' × 5.18'' × 1.74'')</v>
      </c>
      <c r="D113" s="4" t="str">
        <f>IFERROR(__xludf.DUMMYFUNCTION("""COMPUTED_VALUE"""),"HIKVISION")</f>
        <v>HIKVISION</v>
      </c>
      <c r="E113" s="4" t="str">
        <f>IFERROR(__xludf.DUMMYFUNCTION("""COMPUTED_VALUE"""),"DS-1275ZJ-S-SUS")</f>
        <v>DS-1275ZJ-S-SUS</v>
      </c>
      <c r="F113" s="4" t="str">
        <f>IFERROR(__xludf.DUMMYFUNCTION("""COMPUTED_VALUE"""),"CCTV &gt; SOPORTES / ALOJAMIENTOS")</f>
        <v>CCTV &gt; SOPORTES / ALOJAMIENTOS</v>
      </c>
      <c r="G113" s="5"/>
      <c r="H113" s="6">
        <f>IFERROR(__xludf.DUMMYFUNCTION("""COMPUTED_VALUE"""),32.78)</f>
        <v>32.78</v>
      </c>
      <c r="I113" s="7">
        <f>IFERROR(__xludf.DUMMYFUNCTION("""COMPUTED_VALUE"""),21.0)</f>
        <v>21</v>
      </c>
      <c r="J113" s="6">
        <f>IFERROR(__xludf.DUMMYFUNCTION("""COMPUTED_VALUE"""),39.34)</f>
        <v>39.34</v>
      </c>
      <c r="K113" s="6">
        <f>IFERROR(__xludf.DUMMYFUNCTION("""COMPUTED_VALUE"""),45.89)</f>
        <v>45.89</v>
      </c>
      <c r="L113" s="3"/>
      <c r="M113" s="3"/>
    </row>
    <row r="114" ht="48.0" customHeight="1">
      <c r="A114" s="3" t="str">
        <f>IFERROR(__xludf.DUMMYFUNCTION("""COMPUTED_VALUE"""),"DS-7104NI-Q1/M")</f>
        <v>DS-7104NI-Q1/M</v>
      </c>
      <c r="B114" s="4" t="str">
        <f>IFERROR(__xludf.DUMMYFUNCTION("""COMPUTED_VALUE"""),"NVR")</f>
        <v>NVR</v>
      </c>
      <c r="C114" s="4" t="str">
        <f>IFERROR(__xludf.DUMMYFUNCTION("""COMPUTED_VALUE"""),"NVR 4-ch Mini 1U NVR H.265+/H.265/H.264+/H.264 video compression Up to 40 Mbps incoming bandwidth, Up to 4-ch network camera inputs Up to 4-ch 1080p decoding capability HDMI and VGA simultaneous output")</f>
        <v>NVR 4-ch Mini 1U NVR H.265+/H.265/H.264+/H.264 video compression Up to 40 Mbps incoming bandwidth, Up to 4-ch network camera inputs Up to 4-ch 1080p decoding capability HDMI and VGA simultaneous output</v>
      </c>
      <c r="D114" s="4" t="str">
        <f>IFERROR(__xludf.DUMMYFUNCTION("""COMPUTED_VALUE"""),"HIKVISION")</f>
        <v>HIKVISION</v>
      </c>
      <c r="E114" s="4" t="str">
        <f>IFERROR(__xludf.DUMMYFUNCTION("""COMPUTED_VALUE"""),"DS-7104NI-Q1/M")</f>
        <v>DS-7104NI-Q1/M</v>
      </c>
      <c r="F114" s="4" t="str">
        <f>IFERROR(__xludf.DUMMYFUNCTION("""COMPUTED_VALUE"""),"CCTV &gt; GRABADORES NVR")</f>
        <v>CCTV &gt; GRABADORES NVR</v>
      </c>
      <c r="G114" s="5"/>
      <c r="H114" s="6">
        <f>IFERROR(__xludf.DUMMYFUNCTION("""COMPUTED_VALUE"""),91.3)</f>
        <v>91.3</v>
      </c>
      <c r="I114" s="7">
        <f>IFERROR(__xludf.DUMMYFUNCTION("""COMPUTED_VALUE"""),21.0)</f>
        <v>21</v>
      </c>
      <c r="J114" s="6">
        <f>IFERROR(__xludf.DUMMYFUNCTION("""COMPUTED_VALUE"""),109.56)</f>
        <v>109.56</v>
      </c>
      <c r="K114" s="6">
        <f>IFERROR(__xludf.DUMMYFUNCTION("""COMPUTED_VALUE"""),127.82)</f>
        <v>127.82</v>
      </c>
      <c r="L114" s="3"/>
      <c r="M114" s="3"/>
    </row>
    <row r="115" ht="48.0" customHeight="1">
      <c r="A115" s="3" t="str">
        <f>IFERROR(__xludf.DUMMYFUNCTION("""COMPUTED_VALUE"""),"DS7104NIQ1")</f>
        <v>DS7104NIQ1</v>
      </c>
      <c r="B115" s="4" t="str">
        <f>IFERROR(__xludf.DUMMYFUNCTION("""COMPUTED_VALUE"""),"NVR 4 CANALES")</f>
        <v>NVR 4 CANALES</v>
      </c>
      <c r="C115" s="4" t="str">
        <f>IFERROR(__xludf.DUMMYFUNCTION("""COMPUTED_VALUE"""),"DS-7104NI-Q1 NVR 4CH Videograbador de red (NVR) Hikvision")</f>
        <v>DS-7104NI-Q1 NVR 4CH Videograbador de red (NVR) Hikvision</v>
      </c>
      <c r="D115" s="4" t="str">
        <f>IFERROR(__xludf.DUMMYFUNCTION("""COMPUTED_VALUE"""),"HIKVISION")</f>
        <v>HIKVISION</v>
      </c>
      <c r="E115" s="4" t="str">
        <f>IFERROR(__xludf.DUMMYFUNCTION("""COMPUTED_VALUE"""),"DS7104NIQ1")</f>
        <v>DS7104NIQ1</v>
      </c>
      <c r="F115" s="4" t="str">
        <f>IFERROR(__xludf.DUMMYFUNCTION("""COMPUTED_VALUE"""),"CCTV &gt; GRABADORES NVR")</f>
        <v>CCTV &gt; GRABADORES NVR</v>
      </c>
      <c r="G115" s="5"/>
      <c r="H115" s="6">
        <f>IFERROR(__xludf.DUMMYFUNCTION("""COMPUTED_VALUE"""),74.8)</f>
        <v>74.8</v>
      </c>
      <c r="I115" s="7">
        <f>IFERROR(__xludf.DUMMYFUNCTION("""COMPUTED_VALUE"""),21.0)</f>
        <v>21</v>
      </c>
      <c r="J115" s="6">
        <f>IFERROR(__xludf.DUMMYFUNCTION("""COMPUTED_VALUE"""),89.76)</f>
        <v>89.76</v>
      </c>
      <c r="K115" s="6">
        <f>IFERROR(__xludf.DUMMYFUNCTION("""COMPUTED_VALUE"""),104.72)</f>
        <v>104.72</v>
      </c>
      <c r="L115" s="3"/>
      <c r="M115" s="3"/>
    </row>
    <row r="116" ht="48.0" customHeight="1">
      <c r="A116" s="3" t="str">
        <f>IFERROR(__xludf.DUMMYFUNCTION("""COMPUTED_VALUE"""),"DS-7104NI-Q1/4P/M")</f>
        <v>DS-7104NI-Q1/4P/M</v>
      </c>
      <c r="B116" s="4" t="str">
        <f>IFERROR(__xludf.DUMMYFUNCTION("""COMPUTED_VALUE"""),"NVR")</f>
        <v>NVR</v>
      </c>
      <c r="C116" s="4" t="str">
        <f>IFERROR(__xludf.DUMMYFUNCTION("""COMPUTED_VALUE"""),"NVR 4-ch POE Mini 1U NVR H.265+/H.265/H.264+/H.264 video compression Up to 40 Mbps incoming bandwidth")</f>
        <v>NVR 4-ch POE Mini 1U NVR H.265+/H.265/H.264+/H.264 video compression Up to 40 Mbps incoming bandwidth</v>
      </c>
      <c r="D116" s="4" t="str">
        <f>IFERROR(__xludf.DUMMYFUNCTION("""COMPUTED_VALUE"""),"HIKVISION")</f>
        <v>HIKVISION</v>
      </c>
      <c r="E116" s="4" t="str">
        <f>IFERROR(__xludf.DUMMYFUNCTION("""COMPUTED_VALUE"""),"DS-7104NI-Q1/4P/M")</f>
        <v>DS-7104NI-Q1/4P/M</v>
      </c>
      <c r="F116" s="4" t="str">
        <f>IFERROR(__xludf.DUMMYFUNCTION("""COMPUTED_VALUE"""),"CCTV &gt; GRABADORES NVR")</f>
        <v>CCTV &gt; GRABADORES NVR</v>
      </c>
      <c r="G116" s="5"/>
      <c r="H116" s="6">
        <f>IFERROR(__xludf.DUMMYFUNCTION("""COMPUTED_VALUE"""),147.4)</f>
        <v>147.4</v>
      </c>
      <c r="I116" s="7">
        <f>IFERROR(__xludf.DUMMYFUNCTION("""COMPUTED_VALUE"""),21.0)</f>
        <v>21</v>
      </c>
      <c r="J116" s="6">
        <f>IFERROR(__xludf.DUMMYFUNCTION("""COMPUTED_VALUE"""),176.88)</f>
        <v>176.88</v>
      </c>
      <c r="K116" s="6">
        <f>IFERROR(__xludf.DUMMYFUNCTION("""COMPUTED_VALUE"""),206.36)</f>
        <v>206.36</v>
      </c>
      <c r="L116" s="3"/>
      <c r="M116" s="3"/>
    </row>
    <row r="117" ht="48.0" customHeight="1">
      <c r="A117" s="3" t="str">
        <f>IFERROR(__xludf.DUMMYFUNCTION("""COMPUTED_VALUE"""),"DS-7104NI-Q1/4P/M(D)")</f>
        <v>DS-7104NI-Q1/4P/M(D)</v>
      </c>
      <c r="B117" s="4" t="str">
        <f>IFERROR(__xludf.DUMMYFUNCTION("""COMPUTED_VALUE"""),"NVR")</f>
        <v>NVR</v>
      </c>
      <c r="C117" s="4" t="str">
        <f>IFERROR(__xludf.DUMMYFUNCTION("""COMPUTED_VALUE"""),"NVR 4-ch Mini 1U 4 PoE NVR H.265+/H.265/H.264+/H.264 video compression Up to 40 Mbps incoming bandwidth, and 60 Mbps outgoing bandwidth Up to 4-ch network camera inputs Up to 4-ch 1080p decoding capability HDMI and VGA simultaneous output")</f>
        <v>NVR 4-ch Mini 1U 4 PoE NVR H.265+/H.265/H.264+/H.264 video compression Up to 40 Mbps incoming bandwidth, and 60 Mbps outgoing bandwidth Up to 4-ch network camera inputs Up to 4-ch 1080p decoding capability HDMI and VGA simultaneous output</v>
      </c>
      <c r="D117" s="4" t="str">
        <f>IFERROR(__xludf.DUMMYFUNCTION("""COMPUTED_VALUE"""),"HIKVISION")</f>
        <v>HIKVISION</v>
      </c>
      <c r="E117" s="4" t="str">
        <f>IFERROR(__xludf.DUMMYFUNCTION("""COMPUTED_VALUE"""),"DS-7104NI-Q1/4P/M(D)")</f>
        <v>DS-7104NI-Q1/4P/M(D)</v>
      </c>
      <c r="F117" s="4" t="str">
        <f>IFERROR(__xludf.DUMMYFUNCTION("""COMPUTED_VALUE"""),"CCTV &gt; GRABADORES NVR")</f>
        <v>CCTV &gt; GRABADORES NVR</v>
      </c>
      <c r="G117" s="5"/>
      <c r="H117" s="6">
        <f>IFERROR(__xludf.DUMMYFUNCTION("""COMPUTED_VALUE"""),152.9)</f>
        <v>152.9</v>
      </c>
      <c r="I117" s="7">
        <f>IFERROR(__xludf.DUMMYFUNCTION("""COMPUTED_VALUE"""),21.0)</f>
        <v>21</v>
      </c>
      <c r="J117" s="6">
        <f>IFERROR(__xludf.DUMMYFUNCTION("""COMPUTED_VALUE"""),183.48)</f>
        <v>183.48</v>
      </c>
      <c r="K117" s="6">
        <f>IFERROR(__xludf.DUMMYFUNCTION("""COMPUTED_VALUE"""),214.06)</f>
        <v>214.06</v>
      </c>
      <c r="L117" s="3"/>
      <c r="M117" s="3"/>
    </row>
    <row r="118" ht="48.0" customHeight="1">
      <c r="A118" s="3" t="str">
        <f>IFERROR(__xludf.DUMMYFUNCTION("""COMPUTED_VALUE"""),"DS-7108NI-Q1/M")</f>
        <v>DS-7108NI-Q1/M</v>
      </c>
      <c r="B118" s="4" t="str">
        <f>IFERROR(__xludf.DUMMYFUNCTION("""COMPUTED_VALUE"""),"NVR")</f>
        <v>NVR</v>
      </c>
      <c r="C118" s="4" t="str">
        <f>IFERROR(__xludf.DUMMYFUNCTION("""COMPUTED_VALUE"""),"NVR 8-ch Mini 1U NVR H.265+/H.265/H.264+/H.264 video compression Up to 60 Mbps incoming bandwidth, Up to 4-ch network camera inputs Up to 8-ch 1080p decoding capability HDMI and VGA simultaneous output")</f>
        <v>NVR 8-ch Mini 1U NVR H.265+/H.265/H.264+/H.264 video compression Up to 60 Mbps incoming bandwidth, Up to 4-ch network camera inputs Up to 8-ch 1080p decoding capability HDMI and VGA simultaneous output</v>
      </c>
      <c r="D118" s="4" t="str">
        <f>IFERROR(__xludf.DUMMYFUNCTION("""COMPUTED_VALUE"""),"HIKVISION")</f>
        <v>HIKVISION</v>
      </c>
      <c r="E118" s="4" t="str">
        <f>IFERROR(__xludf.DUMMYFUNCTION("""COMPUTED_VALUE"""),"DS-7108NI-Q1/M")</f>
        <v>DS-7108NI-Q1/M</v>
      </c>
      <c r="F118" s="4" t="str">
        <f>IFERROR(__xludf.DUMMYFUNCTION("""COMPUTED_VALUE"""),"CCTV &gt; GRABADORES NVR")</f>
        <v>CCTV &gt; GRABADORES NVR</v>
      </c>
      <c r="G118" s="5"/>
      <c r="H118" s="6">
        <f>IFERROR(__xludf.DUMMYFUNCTION("""COMPUTED_VALUE"""),132.0)</f>
        <v>132</v>
      </c>
      <c r="I118" s="7">
        <f>IFERROR(__xludf.DUMMYFUNCTION("""COMPUTED_VALUE"""),21.0)</f>
        <v>21</v>
      </c>
      <c r="J118" s="6">
        <f>IFERROR(__xludf.DUMMYFUNCTION("""COMPUTED_VALUE"""),158.4)</f>
        <v>158.4</v>
      </c>
      <c r="K118" s="6">
        <f>IFERROR(__xludf.DUMMYFUNCTION("""COMPUTED_VALUE"""),184.8)</f>
        <v>184.8</v>
      </c>
      <c r="L118" s="3"/>
      <c r="M118" s="3"/>
    </row>
    <row r="119" ht="48.0" customHeight="1">
      <c r="A119" s="3" t="str">
        <f>IFERROR(__xludf.DUMMYFUNCTION("""COMPUTED_VALUE"""),"DS-7608NI-Q1(D)")</f>
        <v>DS-7608NI-Q1(D)</v>
      </c>
      <c r="B119" s="4" t="str">
        <f>IFERROR(__xludf.DUMMYFUNCTION("""COMPUTED_VALUE"""),"NVR")</f>
        <v>NVR</v>
      </c>
      <c r="C119" s="4" t="str">
        <f>IFERROR(__xludf.DUMMYFUNCTION("""COMPUTED_VALUE"""),"NVR Up to 8-ch IP camera inputs. H.265+/H.265/H.264+/H.264 video formats. Up to 1-ch@8 MP/3-ch@4 MP/6-ch@1080p decoding capacity. Up to 80 Mbps incoming bandwidth. Provide simultaneous HDMI and VGA outputs. HDMI video output at up to 4K resolution")</f>
        <v>NVR Up to 8-ch IP camera inputs. H.265+/H.265/H.264+/H.264 video formats. Up to 1-ch@8 MP/3-ch@4 MP/6-ch@1080p decoding capacity. Up to 80 Mbps incoming bandwidth. Provide simultaneous HDMI and VGA outputs. HDMI video output at up to 4K resolution</v>
      </c>
      <c r="D119" s="4" t="str">
        <f>IFERROR(__xludf.DUMMYFUNCTION("""COMPUTED_VALUE"""),"HIKVISION")</f>
        <v>HIKVISION</v>
      </c>
      <c r="E119" s="4" t="str">
        <f>IFERROR(__xludf.DUMMYFUNCTION("""COMPUTED_VALUE"""),"DS-7608NI-Q1(D)")</f>
        <v>DS-7608NI-Q1(D)</v>
      </c>
      <c r="F119" s="4" t="str">
        <f>IFERROR(__xludf.DUMMYFUNCTION("""COMPUTED_VALUE"""),"CCTV &gt; GRABADORES NVR")</f>
        <v>CCTV &gt; GRABADORES NVR</v>
      </c>
      <c r="G119" s="5"/>
      <c r="H119" s="6">
        <f>IFERROR(__xludf.DUMMYFUNCTION("""COMPUTED_VALUE"""),173.8)</f>
        <v>173.8</v>
      </c>
      <c r="I119" s="7">
        <f>IFERROR(__xludf.DUMMYFUNCTION("""COMPUTED_VALUE"""),21.0)</f>
        <v>21</v>
      </c>
      <c r="J119" s="6">
        <f>IFERROR(__xludf.DUMMYFUNCTION("""COMPUTED_VALUE"""),208.56)</f>
        <v>208.56</v>
      </c>
      <c r="K119" s="6">
        <f>IFERROR(__xludf.DUMMYFUNCTION("""COMPUTED_VALUE"""),243.32)</f>
        <v>243.32</v>
      </c>
      <c r="L119" s="3"/>
      <c r="M119" s="3"/>
    </row>
    <row r="120" ht="48.0" customHeight="1">
      <c r="A120" s="3" t="str">
        <f>IFERROR(__xludf.DUMMYFUNCTION("""COMPUTED_VALUE"""),"DS-7108NI-Q1/8P/M(D)")</f>
        <v>DS-7108NI-Q1/8P/M(D)</v>
      </c>
      <c r="B120" s="4" t="str">
        <f>IFERROR(__xludf.DUMMYFUNCTION("""COMPUTED_VALUE"""),"NVR")</f>
        <v>NVR</v>
      </c>
      <c r="C120" s="4" t="str">
        <f>IFERROR(__xludf.DUMMYFUNCTION("""COMPUTED_VALUE"""),"NVR 8-ch POE Mini 1U NVR H.265+/H.265/H.264+/H.264 video compression Up to 60 Mbps incoming bandwidth, and 60 Mbps outgoing bandwidth Up to 8-ch network camera inputs Up to 4-ch 1080p decoding capability HDMI and VGA simultaneous output")</f>
        <v>NVR 8-ch POE Mini 1U NVR H.265+/H.265/H.264+/H.264 video compression Up to 60 Mbps incoming bandwidth, and 60 Mbps outgoing bandwidth Up to 8-ch network camera inputs Up to 4-ch 1080p decoding capability HDMI and VGA simultaneous output</v>
      </c>
      <c r="D120" s="4" t="str">
        <f>IFERROR(__xludf.DUMMYFUNCTION("""COMPUTED_VALUE"""),"HIKVISION")</f>
        <v>HIKVISION</v>
      </c>
      <c r="E120" s="4" t="str">
        <f>IFERROR(__xludf.DUMMYFUNCTION("""COMPUTED_VALUE"""),"DS-7108NI-Q1/8P/M(D)")</f>
        <v>DS-7108NI-Q1/8P/M(D)</v>
      </c>
      <c r="F120" s="4" t="str">
        <f>IFERROR(__xludf.DUMMYFUNCTION("""COMPUTED_VALUE"""),"CCTV &gt; GRABADORES NVR")</f>
        <v>CCTV &gt; GRABADORES NVR</v>
      </c>
      <c r="G120" s="5"/>
      <c r="H120" s="6">
        <f>IFERROR(__xludf.DUMMYFUNCTION("""COMPUTED_VALUE"""),211.2)</f>
        <v>211.2</v>
      </c>
      <c r="I120" s="7">
        <f>IFERROR(__xludf.DUMMYFUNCTION("""COMPUTED_VALUE"""),21.0)</f>
        <v>21</v>
      </c>
      <c r="J120" s="6">
        <f>IFERROR(__xludf.DUMMYFUNCTION("""COMPUTED_VALUE"""),253.44)</f>
        <v>253.44</v>
      </c>
      <c r="K120" s="6">
        <f>IFERROR(__xludf.DUMMYFUNCTION("""COMPUTED_VALUE"""),295.68)</f>
        <v>295.68</v>
      </c>
      <c r="L120" s="3"/>
      <c r="M120" s="3"/>
    </row>
    <row r="121" ht="48.0" customHeight="1">
      <c r="A121" s="3" t="str">
        <f>IFERROR(__xludf.DUMMYFUNCTION("""COMPUTED_VALUE"""),"DS7108NIQ1/8P")</f>
        <v>DS7108NIQ1/8P</v>
      </c>
      <c r="B121" s="4" t="str">
        <f>IFERROR(__xludf.DUMMYFUNCTION("""COMPUTED_VALUE"""),"NVR 8 CANALES")</f>
        <v>NVR 8 CANALES</v>
      </c>
      <c r="C121" s="4" t="str">
        <f>IFERROR(__xludf.DUMMYFUNCTION("""COMPUTED_VALUE"""),"DS-7108NI-Q1/8P NVR 8CH Videograbador de red (NVR) Hikvision POE")</f>
        <v>DS-7108NI-Q1/8P NVR 8CH Videograbador de red (NVR) Hikvision POE</v>
      </c>
      <c r="D121" s="4" t="str">
        <f>IFERROR(__xludf.DUMMYFUNCTION("""COMPUTED_VALUE"""),"HIKVISION")</f>
        <v>HIKVISION</v>
      </c>
      <c r="E121" s="4" t="str">
        <f>IFERROR(__xludf.DUMMYFUNCTION("""COMPUTED_VALUE"""),"DS7108NIQ1/8P")</f>
        <v>DS7108NIQ1/8P</v>
      </c>
      <c r="F121" s="4" t="str">
        <f>IFERROR(__xludf.DUMMYFUNCTION("""COMPUTED_VALUE"""),"CCTV &gt; GRABADORES NVR")</f>
        <v>CCTV &gt; GRABADORES NVR</v>
      </c>
      <c r="G121" s="5"/>
      <c r="H121" s="6">
        <f>IFERROR(__xludf.DUMMYFUNCTION("""COMPUTED_VALUE"""),248.6)</f>
        <v>248.6</v>
      </c>
      <c r="I121" s="7">
        <f>IFERROR(__xludf.DUMMYFUNCTION("""COMPUTED_VALUE"""),21.0)</f>
        <v>21</v>
      </c>
      <c r="J121" s="6">
        <f>IFERROR(__xludf.DUMMYFUNCTION("""COMPUTED_VALUE"""),298.32)</f>
        <v>298.32</v>
      </c>
      <c r="K121" s="6">
        <f>IFERROR(__xludf.DUMMYFUNCTION("""COMPUTED_VALUE"""),348.04)</f>
        <v>348.04</v>
      </c>
      <c r="L121" s="3"/>
      <c r="M121" s="3"/>
    </row>
    <row r="122" ht="48.0" customHeight="1">
      <c r="A122" s="3" t="str">
        <f>IFERROR(__xludf.DUMMYFUNCTION("""COMPUTED_VALUE"""),"DS-7608NI-K2/8P")</f>
        <v>DS-7608NI-K2/8P</v>
      </c>
      <c r="B122" s="4" t="str">
        <f>IFERROR(__xludf.DUMMYFUNCTION("""COMPUTED_VALUE"""),"NVR 8 CANALES")</f>
        <v>NVR 8 CANALES</v>
      </c>
      <c r="C122" s="4" t="str">
        <f>IFERROR(__xludf.DUMMYFUNCTION("""COMPUTED_VALUE"""),"NVR 8CH 4K PoE, 8 Canales de Video IP PoE, Compresión H.265/H.264+/H.264, 8 CH 1080P /2CH 4K, 1 Canal Audio bidireccional, Soporta 2 Disco SATA h/6TB, Salida HDMI 4K/VGA/ 1USB 2.0/1USB3.0")</f>
        <v>NVR 8CH 4K PoE, 8 Canales de Video IP PoE, Compresión H.265/H.264+/H.264, 8 CH 1080P /2CH 4K, 1 Canal Audio bidireccional, Soporta 2 Disco SATA h/6TB, Salida HDMI 4K/VGA/ 1USB 2.0/1USB3.0</v>
      </c>
      <c r="D122" s="4" t="str">
        <f>IFERROR(__xludf.DUMMYFUNCTION("""COMPUTED_VALUE"""),"HIKVISION")</f>
        <v>HIKVISION</v>
      </c>
      <c r="E122" s="4" t="str">
        <f>IFERROR(__xludf.DUMMYFUNCTION("""COMPUTED_VALUE"""),"DS-7608NI-K2/8P")</f>
        <v>DS-7608NI-K2/8P</v>
      </c>
      <c r="F122" s="4" t="str">
        <f>IFERROR(__xludf.DUMMYFUNCTION("""COMPUTED_VALUE"""),"CCTV &gt; GRABADORES NVR")</f>
        <v>CCTV &gt; GRABADORES NVR</v>
      </c>
      <c r="G122" s="5"/>
      <c r="H122" s="6">
        <f>IFERROR(__xludf.DUMMYFUNCTION("""COMPUTED_VALUE"""),275.0)</f>
        <v>275</v>
      </c>
      <c r="I122" s="7">
        <f>IFERROR(__xludf.DUMMYFUNCTION("""COMPUTED_VALUE"""),21.0)</f>
        <v>21</v>
      </c>
      <c r="J122" s="6">
        <f>IFERROR(__xludf.DUMMYFUNCTION("""COMPUTED_VALUE"""),330.0)</f>
        <v>330</v>
      </c>
      <c r="K122" s="6">
        <f>IFERROR(__xludf.DUMMYFUNCTION("""COMPUTED_VALUE"""),385.0)</f>
        <v>385</v>
      </c>
      <c r="L122" s="3"/>
      <c r="M122" s="3"/>
    </row>
    <row r="123" ht="48.0" customHeight="1">
      <c r="A123" s="3" t="str">
        <f>IFERROR(__xludf.DUMMYFUNCTION("""COMPUTED_VALUE"""),"DS-7616NI-Q1(D)")</f>
        <v>DS-7616NI-Q1(D)</v>
      </c>
      <c r="B123" s="4" t="str">
        <f>IFERROR(__xludf.DUMMYFUNCTION("""COMPUTED_VALUE"""),"NVR 16 CANALES")</f>
        <v>NVR 16 CANALES</v>
      </c>
      <c r="C123" s="4" t="str">
        <f>IFERROR(__xludf.DUMMYFUNCTION("""COMPUTED_VALUE"""),"NVR 16 Canales de Video IP *Up to 16 channel IP cameras can be connected *Supports decoding H.265+/H.265/H.264+/H.264 video formats *Up to 4K high-definition live view, storage and playback *Up to 4-ch @ 1080p decoding capacity *Up to 160 Mbps high incomi"&amp;"ng bandwidth ensures IP cameras can be connected *1 HDMI and 1 VGA interfaces: both interfaces support independent video output 1 HDD for continuous video recording Compatible with third-party network cameras")</f>
        <v>NVR 16 Canales de Video IP *Up to 16 channel IP cameras can be connected *Supports decoding H.265+/H.265/H.264+/H.264 video formats *Up to 4K high-definition live view, storage and playback *Up to 4-ch @ 1080p decoding capacity *Up to 160 Mbps high incoming bandwidth ensures IP cameras can be connected *1 HDMI and 1 VGA interfaces: both interfaces support independent video output 1 HDD for continuous video recording Compatible with third-party network cameras</v>
      </c>
      <c r="D123" s="4" t="str">
        <f>IFERROR(__xludf.DUMMYFUNCTION("""COMPUTED_VALUE"""),"HIKVISION")</f>
        <v>HIKVISION</v>
      </c>
      <c r="E123" s="4" t="str">
        <f>IFERROR(__xludf.DUMMYFUNCTION("""COMPUTED_VALUE"""),"DS-7616NI-Q1(D)")</f>
        <v>DS-7616NI-Q1(D)</v>
      </c>
      <c r="F123" s="4" t="str">
        <f>IFERROR(__xludf.DUMMYFUNCTION("""COMPUTED_VALUE"""),"CCTV &gt; GRABADORES NVR")</f>
        <v>CCTV &gt; GRABADORES NVR</v>
      </c>
      <c r="G123" s="5"/>
      <c r="H123" s="6">
        <f>IFERROR(__xludf.DUMMYFUNCTION("""COMPUTED_VALUE"""),194.7)</f>
        <v>194.7</v>
      </c>
      <c r="I123" s="7">
        <f>IFERROR(__xludf.DUMMYFUNCTION("""COMPUTED_VALUE"""),21.0)</f>
        <v>21</v>
      </c>
      <c r="J123" s="6">
        <f>IFERROR(__xludf.DUMMYFUNCTION("""COMPUTED_VALUE"""),233.64)</f>
        <v>233.64</v>
      </c>
      <c r="K123" s="6">
        <f>IFERROR(__xludf.DUMMYFUNCTION("""COMPUTED_VALUE"""),272.58)</f>
        <v>272.58</v>
      </c>
      <c r="L123" s="3"/>
      <c r="M123" s="3"/>
    </row>
    <row r="124" ht="48.0" customHeight="1">
      <c r="A124" s="3" t="str">
        <f>IFERROR(__xludf.DUMMYFUNCTION("""COMPUTED_VALUE"""),"DS-7616NI-Q2(C)")</f>
        <v>DS-7616NI-Q2(C)</v>
      </c>
      <c r="B124" s="4" t="str">
        <f>IFERROR(__xludf.DUMMYFUNCTION("""COMPUTED_VALUE"""),"NVR 16 CANALES")</f>
        <v>NVR 16 CANALES</v>
      </c>
      <c r="C124" s="4" t="str">
        <f>IFERROR(__xludf.DUMMYFUNCTION("""COMPUTED_VALUE"""),"NVR 16 Canales de Video IP *H.265+/H.265/H.264/H.264+ video formats *Connectable to the third-party network cameras *Recording at up to 8 MP resolution *Supports live view, storage, and playback of the connected camera at up to 8 MP resolution *HDMI and V"&amp;"GA independent outputs *HDMI Video output at up to 4K (3840 x 2160) resolution *2 SATA interfaces connecta")</f>
        <v>NVR 16 Canales de Video IP *H.265+/H.265/H.264/H.264+ video formats *Connectable to the third-party network cameras *Recording at up to 8 MP resolution *Supports live view, storage, and playback of the connected camera at up to 8 MP resolution *HDMI and VGA independent outputs *HDMI Video output at up to 4K (3840 x 2160) resolution *2 SATA interfaces connecta</v>
      </c>
      <c r="D124" s="4" t="str">
        <f>IFERROR(__xludf.DUMMYFUNCTION("""COMPUTED_VALUE"""),"HIKVISION")</f>
        <v>HIKVISION</v>
      </c>
      <c r="E124" s="4" t="str">
        <f>IFERROR(__xludf.DUMMYFUNCTION("""COMPUTED_VALUE"""),"DS-7616NI-Q2(C)")</f>
        <v>DS-7616NI-Q2(C)</v>
      </c>
      <c r="F124" s="4" t="str">
        <f>IFERROR(__xludf.DUMMYFUNCTION("""COMPUTED_VALUE"""),"CCTV &gt; GRABADORES NVR")</f>
        <v>CCTV &gt; GRABADORES NVR</v>
      </c>
      <c r="G124" s="5"/>
      <c r="H124" s="6">
        <f>IFERROR(__xludf.DUMMYFUNCTION("""COMPUTED_VALUE"""),195.8)</f>
        <v>195.8</v>
      </c>
      <c r="I124" s="7">
        <f>IFERROR(__xludf.DUMMYFUNCTION("""COMPUTED_VALUE"""),21.0)</f>
        <v>21</v>
      </c>
      <c r="J124" s="6">
        <f>IFERROR(__xludf.DUMMYFUNCTION("""COMPUTED_VALUE"""),234.96)</f>
        <v>234.96</v>
      </c>
      <c r="K124" s="6">
        <f>IFERROR(__xludf.DUMMYFUNCTION("""COMPUTED_VALUE"""),274.12)</f>
        <v>274.12</v>
      </c>
      <c r="L124" s="3"/>
      <c r="M124" s="3"/>
    </row>
    <row r="125" ht="48.0" customHeight="1">
      <c r="A125" s="3" t="str">
        <f>IFERROR(__xludf.DUMMYFUNCTION("""COMPUTED_VALUE"""),"DS7616NXI-K2")</f>
        <v>DS7616NXI-K2</v>
      </c>
      <c r="B125" s="4" t="str">
        <f>IFERROR(__xludf.DUMMYFUNCTION("""COMPUTED_VALUE"""),"NVR 16 CANALES")</f>
        <v>NVR 16 CANALES</v>
      </c>
      <c r="C125" s="4" t="str">
        <f>IFERROR(__xludf.DUMMYFUNCTION("""COMPUTED_VALUE"""),"NVR 16 Canales de Video IP Compresión H.264+/H.264, 16 CH 1080P 1 Canal Audio bidireccional, Soporta 2 Disco SATA, Salida HDMI VGA. All-ch Motion Detection 2.0 Up to 2-ch false alarm reduction through human and vehicle target classification based on deep "&amp;"learning Up to 1-ch video stream face recognition based on deep learning algorithm Up to 16 face databases with 20,000 face images in total Up to 2-ch @ 12MP or 3-ch @ 8MP or 6-ch @ 4MP or 12-ch @ 1080P decoding capacity")</f>
        <v>NVR 16 Canales de Video IP Compresión H.264+/H.264, 16 CH 1080P 1 Canal Audio bidireccional, Soporta 2 Disco SATA, Salida HDMI VGA. All-ch Motion Detection 2.0 Up to 2-ch false alarm reduction through human and vehicle target classification based on deep learning Up to 1-ch video stream face recognition based on deep learning algorithm Up to 16 face databases with 20,000 face images in total Up to 2-ch @ 12MP or 3-ch @ 8MP or 6-ch @ 4MP or 12-ch @ 1080P decoding capacity</v>
      </c>
      <c r="D125" s="4" t="str">
        <f>IFERROR(__xludf.DUMMYFUNCTION("""COMPUTED_VALUE"""),"HIKVISION")</f>
        <v>HIKVISION</v>
      </c>
      <c r="E125" s="4" t="str">
        <f>IFERROR(__xludf.DUMMYFUNCTION("""COMPUTED_VALUE"""),"DS7616NXI-K2")</f>
        <v>DS7616NXI-K2</v>
      </c>
      <c r="F125" s="4" t="str">
        <f>IFERROR(__xludf.DUMMYFUNCTION("""COMPUTED_VALUE"""),"CCTV &gt; GRABADORES NVR")</f>
        <v>CCTV &gt; GRABADORES NVR</v>
      </c>
      <c r="G125" s="5"/>
      <c r="H125" s="6">
        <f>IFERROR(__xludf.DUMMYFUNCTION("""COMPUTED_VALUE"""),416.9)</f>
        <v>416.9</v>
      </c>
      <c r="I125" s="7">
        <f>IFERROR(__xludf.DUMMYFUNCTION("""COMPUTED_VALUE"""),21.0)</f>
        <v>21</v>
      </c>
      <c r="J125" s="6">
        <f>IFERROR(__xludf.DUMMYFUNCTION("""COMPUTED_VALUE"""),500.28)</f>
        <v>500.28</v>
      </c>
      <c r="K125" s="6">
        <f>IFERROR(__xludf.DUMMYFUNCTION("""COMPUTED_VALUE"""),583.66)</f>
        <v>583.66</v>
      </c>
      <c r="L125" s="3"/>
      <c r="M125" s="3"/>
    </row>
    <row r="126" ht="48.0" customHeight="1">
      <c r="A126" s="3" t="str">
        <f>IFERROR(__xludf.DUMMYFUNCTION("""COMPUTED_VALUE"""),"DS-7616NI-Q2/16P")</f>
        <v>DS-7616NI-Q2/16P</v>
      </c>
      <c r="B126" s="4" t="str">
        <f>IFERROR(__xludf.DUMMYFUNCTION("""COMPUTED_VALUE"""),"NVR 16 CANALES")</f>
        <v>NVR 16 CANALES</v>
      </c>
      <c r="C126" s="4" t="str">
        <f>IFERROR(__xludf.DUMMYFUNCTION("""COMPUTED_VALUE"""),"NVR IP para 16 canales IP con POE Third-party network cameras supported, Supports live view, storage, and playback of the connected camera at up to 8 MP resolution, Connectable to smart IP cameras from Hikvision and the recording, playing back, and backin"&amp;"g up of VCA alarms can be Realized")</f>
        <v>NVR IP para 16 canales IP con POE Third-party network cameras supported, Supports live view, storage, and playback of the connected camera at up to 8 MP resolution, Connectable to smart IP cameras from Hikvision and the recording, playing back, and backing up of VCA alarms can be Realized</v>
      </c>
      <c r="D126" s="4" t="str">
        <f>IFERROR(__xludf.DUMMYFUNCTION("""COMPUTED_VALUE"""),"HIKVISION")</f>
        <v>HIKVISION</v>
      </c>
      <c r="E126" s="4" t="str">
        <f>IFERROR(__xludf.DUMMYFUNCTION("""COMPUTED_VALUE"""),"DS-7616NI-Q2/16P")</f>
        <v>DS-7616NI-Q2/16P</v>
      </c>
      <c r="F126" s="4" t="str">
        <f>IFERROR(__xludf.DUMMYFUNCTION("""COMPUTED_VALUE"""),"CCTV &gt; GRABADORES NVR")</f>
        <v>CCTV &gt; GRABADORES NVR</v>
      </c>
      <c r="G126" s="5"/>
      <c r="H126" s="6">
        <f>IFERROR(__xludf.DUMMYFUNCTION("""COMPUTED_VALUE"""),458.7)</f>
        <v>458.7</v>
      </c>
      <c r="I126" s="7">
        <f>IFERROR(__xludf.DUMMYFUNCTION("""COMPUTED_VALUE"""),21.0)</f>
        <v>21</v>
      </c>
      <c r="J126" s="6">
        <f>IFERROR(__xludf.DUMMYFUNCTION("""COMPUTED_VALUE"""),550.44)</f>
        <v>550.44</v>
      </c>
      <c r="K126" s="6">
        <f>IFERROR(__xludf.DUMMYFUNCTION("""COMPUTED_VALUE"""),642.18)</f>
        <v>642.18</v>
      </c>
      <c r="L126" s="3"/>
      <c r="M126" s="3"/>
    </row>
    <row r="127" ht="48.0" customHeight="1">
      <c r="A127" s="3" t="str">
        <f>IFERROR(__xludf.DUMMYFUNCTION("""COMPUTED_VALUE"""),"DS7616NXI-K2/16P")</f>
        <v>DS7616NXI-K2/16P</v>
      </c>
      <c r="B127" s="4" t="str">
        <f>IFERROR(__xludf.DUMMYFUNCTION("""COMPUTED_VALUE"""),"NVR 16 CANALES")</f>
        <v>NVR 16 CANALES</v>
      </c>
      <c r="C127" s="4" t="str">
        <f>IFERROR(__xludf.DUMMYFUNCTION("""COMPUTED_VALUE"""),"NVR 16CH 4K PoE, K Series AcuSense 4K NVR Up to 16-ch IP camera inputs, plug &amp; play with 16 Power-over-Ethernet (PoE) interfaces H.265+/H.265/H.264+/H.264 video formats Up to 2-ch@12 MP or 3-ch@8 MP or 6-ch@4 MP or 12-ch@1080p decoding capacity Up to 160 "&amp;"Mbps incoming bandwidth")</f>
        <v>NVR 16CH 4K PoE, K Series AcuSense 4K NVR Up to 16-ch IP camera inputs, plug &amp; play with 16 Power-over-Ethernet (PoE) interfaces H.265+/H.265/H.264+/H.264 video formats Up to 2-ch@12 MP or 3-ch@8 MP or 6-ch@4 MP or 12-ch@1080p decoding capacity Up to 160 Mbps incoming bandwidth</v>
      </c>
      <c r="D127" s="4" t="str">
        <f>IFERROR(__xludf.DUMMYFUNCTION("""COMPUTED_VALUE"""),"HIKVISION")</f>
        <v>HIKVISION</v>
      </c>
      <c r="E127" s="4" t="str">
        <f>IFERROR(__xludf.DUMMYFUNCTION("""COMPUTED_VALUE"""),"DS7616NXI-K2/16P")</f>
        <v>DS7616NXI-K2/16P</v>
      </c>
      <c r="F127" s="4" t="str">
        <f>IFERROR(__xludf.DUMMYFUNCTION("""COMPUTED_VALUE"""),"CCTV &gt; GRABADORES NVR")</f>
        <v>CCTV &gt; GRABADORES NVR</v>
      </c>
      <c r="G127" s="5"/>
      <c r="H127" s="6">
        <f>IFERROR(__xludf.DUMMYFUNCTION("""COMPUTED_VALUE"""),765.6)</f>
        <v>765.6</v>
      </c>
      <c r="I127" s="7">
        <f>IFERROR(__xludf.DUMMYFUNCTION("""COMPUTED_VALUE"""),21.0)</f>
        <v>21</v>
      </c>
      <c r="J127" s="6">
        <f>IFERROR(__xludf.DUMMYFUNCTION("""COMPUTED_VALUE"""),918.72)</f>
        <v>918.72</v>
      </c>
      <c r="K127" s="6">
        <f>IFERROR(__xludf.DUMMYFUNCTION("""COMPUTED_VALUE"""),1071.84)</f>
        <v>1071.84</v>
      </c>
      <c r="L127" s="3"/>
      <c r="M127" s="3"/>
    </row>
    <row r="128" ht="48.0" customHeight="1">
      <c r="A128" s="3" t="str">
        <f>IFERROR(__xludf.DUMMYFUNCTION("""COMPUTED_VALUE"""),"DS-7632NXI-K2")</f>
        <v>DS-7632NXI-K2</v>
      </c>
      <c r="B128" s="4" t="str">
        <f>IFERROR(__xludf.DUMMYFUNCTION("""COMPUTED_VALUE"""),"NVR 32 CANALES")</f>
        <v>NVR 32 CANALES</v>
      </c>
      <c r="C128" s="4" t="str">
        <f>IFERROR(__xludf.DUMMYFUNCTION("""COMPUTED_VALUE"""),"NVR 32 canales hasta 8 Megapixels resolution recording Support 1-ch HDMI, 1-ch VGA, HMDI at up to 4K(3840x2160) resolution 4-ch network cameras can be connected with 40M/60M/80M incoming bandwidth Support dual-os to ensure high reliablility of system runn"&amp;"ing Support various VCA detection alarm and VCA search Support H.265/H.264/MPEG4 video formats")</f>
        <v>NVR 32 canales hasta 8 Megapixels resolution recording Support 1-ch HDMI, 1-ch VGA, HMDI at up to 4K(3840x2160) resolution 4-ch network cameras can be connected with 40M/60M/80M incoming bandwidth Support dual-os to ensure high reliablility of system running Support various VCA detection alarm and VCA search Support H.265/H.264/MPEG4 video formats</v>
      </c>
      <c r="D128" s="4" t="str">
        <f>IFERROR(__xludf.DUMMYFUNCTION("""COMPUTED_VALUE"""),"HIKVISION")</f>
        <v>HIKVISION</v>
      </c>
      <c r="E128" s="4" t="str">
        <f>IFERROR(__xludf.DUMMYFUNCTION("""COMPUTED_VALUE"""),"DS-7632NXI-K2")</f>
        <v>DS-7632NXI-K2</v>
      </c>
      <c r="F128" s="4" t="str">
        <f>IFERROR(__xludf.DUMMYFUNCTION("""COMPUTED_VALUE"""),"CCTV &gt; GRABADORES NVR")</f>
        <v>CCTV &gt; GRABADORES NVR</v>
      </c>
      <c r="G128" s="5"/>
      <c r="H128" s="6">
        <f>IFERROR(__xludf.DUMMYFUNCTION("""COMPUTED_VALUE"""),563.2)</f>
        <v>563.2</v>
      </c>
      <c r="I128" s="7">
        <f>IFERROR(__xludf.DUMMYFUNCTION("""COMPUTED_VALUE"""),21.0)</f>
        <v>21</v>
      </c>
      <c r="J128" s="6">
        <f>IFERROR(__xludf.DUMMYFUNCTION("""COMPUTED_VALUE"""),675.84)</f>
        <v>675.84</v>
      </c>
      <c r="K128" s="6">
        <f>IFERROR(__xludf.DUMMYFUNCTION("""COMPUTED_VALUE"""),788.48)</f>
        <v>788.48</v>
      </c>
      <c r="L128" s="3"/>
      <c r="M128" s="3"/>
    </row>
    <row r="129" ht="48.0" customHeight="1">
      <c r="A129" s="3" t="str">
        <f>IFERROR(__xludf.DUMMYFUNCTION("""COMPUTED_VALUE"""),"DS-7732NXI-K4(D)")</f>
        <v>DS-7732NXI-K4(D)</v>
      </c>
      <c r="B129" s="4" t="str">
        <f>IFERROR(__xludf.DUMMYFUNCTION("""COMPUTED_VALUE"""),"NVR 32 CANALES")</f>
        <v>NVR 32 CANALES</v>
      </c>
      <c r="C129" s="4" t="str">
        <f>IFERROR(__xludf.DUMMYFUNCTION("""COMPUTED_VALUE"""),"NVR de 32 canales. Resolución máxima 12 Mpx. Compresión de video: H.265+ / H.265 / H.264+ / H.264. Soporta 4 HDD's de hasta 10 TB. ACUSENSE")</f>
        <v>NVR de 32 canales. Resolución máxima 12 Mpx. Compresión de video: H.265+ / H.265 / H.264+ / H.264. Soporta 4 HDD's de hasta 10 TB. ACUSENSE</v>
      </c>
      <c r="D129" s="4" t="str">
        <f>IFERROR(__xludf.DUMMYFUNCTION("""COMPUTED_VALUE"""),"HIKVISION")</f>
        <v>HIKVISION</v>
      </c>
      <c r="E129" s="4" t="str">
        <f>IFERROR(__xludf.DUMMYFUNCTION("""COMPUTED_VALUE"""),"DS-7732NXI-K4(D)")</f>
        <v>DS-7732NXI-K4(D)</v>
      </c>
      <c r="F129" s="4" t="str">
        <f>IFERROR(__xludf.DUMMYFUNCTION("""COMPUTED_VALUE"""),"CCTV &gt; GRABADORES NVR")</f>
        <v>CCTV &gt; GRABADORES NVR</v>
      </c>
      <c r="G129" s="5"/>
      <c r="H129" s="6">
        <f>IFERROR(__xludf.DUMMYFUNCTION("""COMPUTED_VALUE"""),1178.1)</f>
        <v>1178.1</v>
      </c>
      <c r="I129" s="7">
        <f>IFERROR(__xludf.DUMMYFUNCTION("""COMPUTED_VALUE"""),21.0)</f>
        <v>21</v>
      </c>
      <c r="J129" s="6">
        <f>IFERROR(__xludf.DUMMYFUNCTION("""COMPUTED_VALUE"""),1413.72)</f>
        <v>1413.72</v>
      </c>
      <c r="K129" s="6">
        <f>IFERROR(__xludf.DUMMYFUNCTION("""COMPUTED_VALUE"""),1649.34)</f>
        <v>1649.34</v>
      </c>
      <c r="L129" s="3"/>
      <c r="M129" s="3"/>
    </row>
    <row r="130" ht="48.0" customHeight="1">
      <c r="A130" s="3" t="str">
        <f>IFERROR(__xludf.DUMMYFUNCTION("""COMPUTED_VALUE"""),"DS-7732NI-M4")</f>
        <v>DS-7732NI-M4</v>
      </c>
      <c r="B130" s="4" t="str">
        <f>IFERROR(__xludf.DUMMYFUNCTION("""COMPUTED_VALUE"""),"NVR 32 CANALES")</f>
        <v>NVR 32 CANALES</v>
      </c>
      <c r="C130" s="4" t="str">
        <f>IFERROR(__xludf.DUMMYFUNCTION("""COMPUTED_VALUE"""),"Grabador IP de 32 canales 320Mbps Bit Rate Input Max(up to 32-ch IP video), 32x2MP decoding capability, 4 SATA Interfaces, 2 HDMI ouputs(up to 8K),1 eSATA,alarm I/O: 16/9, 1.5U case,19""")</f>
        <v>Grabador IP de 32 canales 320Mbps Bit Rate Input Max(up to 32-ch IP video), 32x2MP decoding capability, 4 SATA Interfaces, 2 HDMI ouputs(up to 8K),1 eSATA,alarm I/O: 16/9, 1.5U case,19"</v>
      </c>
      <c r="D130" s="4" t="str">
        <f>IFERROR(__xludf.DUMMYFUNCTION("""COMPUTED_VALUE"""),"HIKVISION")</f>
        <v>HIKVISION</v>
      </c>
      <c r="E130" s="4" t="str">
        <f>IFERROR(__xludf.DUMMYFUNCTION("""COMPUTED_VALUE"""),"DS-7732NI-M4")</f>
        <v>DS-7732NI-M4</v>
      </c>
      <c r="F130" s="4" t="str">
        <f>IFERROR(__xludf.DUMMYFUNCTION("""COMPUTED_VALUE"""),"CCTV &gt; GRABADORES NVR")</f>
        <v>CCTV &gt; GRABADORES NVR</v>
      </c>
      <c r="G130" s="5"/>
      <c r="H130" s="6">
        <f>IFERROR(__xludf.DUMMYFUNCTION("""COMPUTED_VALUE"""),1894.2)</f>
        <v>1894.2</v>
      </c>
      <c r="I130" s="7">
        <f>IFERROR(__xludf.DUMMYFUNCTION("""COMPUTED_VALUE"""),21.0)</f>
        <v>21</v>
      </c>
      <c r="J130" s="6">
        <f>IFERROR(__xludf.DUMMYFUNCTION("""COMPUTED_VALUE"""),2273.04)</f>
        <v>2273.04</v>
      </c>
      <c r="K130" s="6">
        <f>IFERROR(__xludf.DUMMYFUNCTION("""COMPUTED_VALUE"""),2651.88)</f>
        <v>2651.88</v>
      </c>
      <c r="L130" s="3"/>
      <c r="M130" s="3"/>
    </row>
    <row r="131" ht="48.0" customHeight="1">
      <c r="A131" s="3" t="str">
        <f>IFERROR(__xludf.DUMMYFUNCTION("""COMPUTED_VALUE"""),"DS7732NXI4K/16P")</f>
        <v>DS7732NXI4K/16P</v>
      </c>
      <c r="B131" s="4" t="str">
        <f>IFERROR(__xludf.DUMMYFUNCTION("""COMPUTED_VALUE"""),"NVR 32 CANALES")</f>
        <v>NVR 32 CANALES</v>
      </c>
      <c r="C131" s="4" t="str">
        <f>IFERROR(__xludf.DUMMYFUNCTION("""COMPUTED_VALUE"""),"DS7732NXI4K/16P HIKVISION NVR 12 Megapixel (4K) / 32 canales IP / AcuSemse/ 4 Bahías de Disco Duro / HDMI en 4K / 16 Puertos PoE")</f>
        <v>DS7732NXI4K/16P HIKVISION NVR 12 Megapixel (4K) / 32 canales IP / AcuSemse/ 4 Bahías de Disco Duro / HDMI en 4K / 16 Puertos PoE</v>
      </c>
      <c r="D131" s="4" t="str">
        <f>IFERROR(__xludf.DUMMYFUNCTION("""COMPUTED_VALUE"""),"HIKVISION")</f>
        <v>HIKVISION</v>
      </c>
      <c r="E131" s="4" t="str">
        <f>IFERROR(__xludf.DUMMYFUNCTION("""COMPUTED_VALUE"""),"DS7732NXI4K/16P")</f>
        <v>DS7732NXI4K/16P</v>
      </c>
      <c r="F131" s="4" t="str">
        <f>IFERROR(__xludf.DUMMYFUNCTION("""COMPUTED_VALUE"""),"CCTV &gt; GRABADORES NVR")</f>
        <v>CCTV &gt; GRABADORES NVR</v>
      </c>
      <c r="G131" s="5"/>
      <c r="H131" s="6">
        <f>IFERROR(__xludf.DUMMYFUNCTION("""COMPUTED_VALUE"""),1324.4)</f>
        <v>1324.4</v>
      </c>
      <c r="I131" s="7">
        <f>IFERROR(__xludf.DUMMYFUNCTION("""COMPUTED_VALUE"""),21.0)</f>
        <v>21</v>
      </c>
      <c r="J131" s="6">
        <f>IFERROR(__xludf.DUMMYFUNCTION("""COMPUTED_VALUE"""),1589.28)</f>
        <v>1589.28</v>
      </c>
      <c r="K131" s="6">
        <f>IFERROR(__xludf.DUMMYFUNCTION("""COMPUTED_VALUE"""),1854.16)</f>
        <v>1854.16</v>
      </c>
      <c r="L131" s="3"/>
      <c r="M131" s="3"/>
    </row>
    <row r="132" ht="48.0" customHeight="1">
      <c r="A132" s="3" t="str">
        <f>IFERROR(__xludf.DUMMYFUNCTION("""COMPUTED_VALUE"""),"DS-9632NI-M8")</f>
        <v>DS-9632NI-M8</v>
      </c>
      <c r="B132" s="4" t="str">
        <f>IFERROR(__xludf.DUMMYFUNCTION("""COMPUTED_VALUE"""),"NVR")</f>
        <v>NVR</v>
      </c>
      <c r="C132" s="4" t="str">
        <f>IFERROR(__xludf.DUMMYFUNCTION("""COMPUTED_VALUE"""),"NVR 320Mbps Bit Rate Input Max(up to 32-ch IP video), 32x2MP decoding capability, 8 SATA Interfaces, 2 HDMI ouputs(up to 8K),1 eSATA, 1 CVBS, alarm I/O: 16/9, 2U case,19''")</f>
        <v>NVR 320Mbps Bit Rate Input Max(up to 32-ch IP video), 32x2MP decoding capability, 8 SATA Interfaces, 2 HDMI ouputs(up to 8K),1 eSATA, 1 CVBS, alarm I/O: 16/9, 2U case,19''</v>
      </c>
      <c r="D132" s="4" t="str">
        <f>IFERROR(__xludf.DUMMYFUNCTION("""COMPUTED_VALUE"""),"HIKVISION")</f>
        <v>HIKVISION</v>
      </c>
      <c r="E132" s="4" t="str">
        <f>IFERROR(__xludf.DUMMYFUNCTION("""COMPUTED_VALUE"""),"DS-9632NI-M8")</f>
        <v>DS-9632NI-M8</v>
      </c>
      <c r="F132" s="4" t="str">
        <f>IFERROR(__xludf.DUMMYFUNCTION("""COMPUTED_VALUE"""),"CCTV &gt; GRABADORES NVR")</f>
        <v>CCTV &gt; GRABADORES NVR</v>
      </c>
      <c r="G132" s="5"/>
      <c r="H132" s="6">
        <f>IFERROR(__xludf.DUMMYFUNCTION("""COMPUTED_VALUE"""),3567.3)</f>
        <v>3567.3</v>
      </c>
      <c r="I132" s="7">
        <f>IFERROR(__xludf.DUMMYFUNCTION("""COMPUTED_VALUE"""),21.0)</f>
        <v>21</v>
      </c>
      <c r="J132" s="6">
        <f>IFERROR(__xludf.DUMMYFUNCTION("""COMPUTED_VALUE"""),4280.76)</f>
        <v>4280.76</v>
      </c>
      <c r="K132" s="6">
        <f>IFERROR(__xludf.DUMMYFUNCTION("""COMPUTED_VALUE"""),4994.22)</f>
        <v>4994.22</v>
      </c>
      <c r="L132" s="3"/>
      <c r="M132" s="3"/>
    </row>
    <row r="133" ht="48.0" customHeight="1">
      <c r="A133" s="3" t="str">
        <f>IFERROR(__xludf.DUMMYFUNCTION("""COMPUTED_VALUE"""),"DS9632NI-I8")</f>
        <v>DS9632NI-I8</v>
      </c>
      <c r="B133" s="4" t="str">
        <f>IFERROR(__xludf.DUMMYFUNCTION("""COMPUTED_VALUE"""),"NVR 32 CANALES")</f>
        <v>NVR 32 CANALES</v>
      </c>
      <c r="C133" s="4" t="str">
        <f>IFERROR(__xludf.DUMMYFUNCTION("""COMPUTED_VALUE"""),"NVR) Stand-alone, de alta performance. Grabación de 32 canales de video con una resolución máxima de 12 mega pixel cada canal (máximo bit-rate 320 Mbps total), con soporte para cámaras de otros fabricantes. Códec de video H.265, H.264+ H.264, MPEG4 dual-s"&amp;"tream.Capacidad de grabación real-time de 4K@4ch, 1080p@16ch. Doble salida de video VGA1(2K)/HDMI1(4K) y VGA2/HDMI2 (1920x1080p). Protocolos: TCP/IP, IPv6, HTTP, DHCP, DNS, DDNS, NTP, SNMP, SMTP, FTP, UPnP, SADP, NFS e iSCSI. Soporta x8 HDD")</f>
        <v>NVR) Stand-alone, de alta performance. Grabación de 32 canales de video con una resolución máxima de 12 mega pixel cada canal (máximo bit-rate 320 Mbps total), con soporte para cámaras de otros fabricantes. Códec de video H.265, H.264+ H.264, MPEG4 dual-stream.Capacidad de grabación real-time de 4K@4ch, 1080p@16ch. Doble salida de video VGA1(2K)/HDMI1(4K) y VGA2/HDMI2 (1920x1080p). Protocolos: TCP/IP, IPv6, HTTP, DHCP, DNS, DDNS, NTP, SNMP, SMTP, FTP, UPnP, SADP, NFS e iSCSI. Soporta x8 HDD</v>
      </c>
      <c r="D133" s="4" t="str">
        <f>IFERROR(__xludf.DUMMYFUNCTION("""COMPUTED_VALUE"""),"HIKVISION")</f>
        <v>HIKVISION</v>
      </c>
      <c r="E133" s="4" t="str">
        <f>IFERROR(__xludf.DUMMYFUNCTION("""COMPUTED_VALUE"""),"DS9632NI-I8")</f>
        <v>DS9632NI-I8</v>
      </c>
      <c r="F133" s="4" t="str">
        <f>IFERROR(__xludf.DUMMYFUNCTION("""COMPUTED_VALUE"""),"CCTV &gt; GRABADORES NVR")</f>
        <v>CCTV &gt; GRABADORES NVR</v>
      </c>
      <c r="G133" s="5"/>
      <c r="H133" s="6">
        <f>IFERROR(__xludf.DUMMYFUNCTION("""COMPUTED_VALUE"""),2818.2)</f>
        <v>2818.2</v>
      </c>
      <c r="I133" s="7">
        <f>IFERROR(__xludf.DUMMYFUNCTION("""COMPUTED_VALUE"""),21.0)</f>
        <v>21</v>
      </c>
      <c r="J133" s="6">
        <f>IFERROR(__xludf.DUMMYFUNCTION("""COMPUTED_VALUE"""),3381.84)</f>
        <v>3381.84</v>
      </c>
      <c r="K133" s="6">
        <f>IFERROR(__xludf.DUMMYFUNCTION("""COMPUTED_VALUE"""),3945.48)</f>
        <v>3945.48</v>
      </c>
      <c r="L133" s="3"/>
      <c r="M133" s="3"/>
    </row>
    <row r="134" ht="48.0" customHeight="1">
      <c r="A134" s="3" t="str">
        <f>IFERROR(__xludf.DUMMYFUNCTION("""COMPUTED_VALUE"""),"DS-NKS422W0H")</f>
        <v>DS-NKS422W0H</v>
      </c>
      <c r="B134" s="4" t="str">
        <f>IFERROR(__xludf.DUMMYFUNCTION("""COMPUTED_VALUE"""),"CAMARA BULLET WIFI EXTERIOR 2MP")</f>
        <v>CAMARA BULLET WIFI EXTERIOR 2MP</v>
      </c>
      <c r="C134" s="4" t="str">
        <f>IFERROR(__xludf.DUMMYFUNCTION("""COMPUTED_VALUE"""),"KIT EasyLink incluye NVS y dos camaras 2MP H.265 bullet exterior WiFi 2.8 mm")</f>
        <v>KIT EasyLink incluye NVS y dos camaras 2MP H.265 bullet exterior WiFi 2.8 mm</v>
      </c>
      <c r="D134" s="4" t="str">
        <f>IFERROR(__xludf.DUMMYFUNCTION("""COMPUTED_VALUE"""),"HIKVISION")</f>
        <v>HIKVISION</v>
      </c>
      <c r="E134" s="4" t="str">
        <f>IFERROR(__xludf.DUMMYFUNCTION("""COMPUTED_VALUE"""),"DS-NKS422W0H")</f>
        <v>DS-NKS422W0H</v>
      </c>
      <c r="F134" s="4" t="str">
        <f>IFERROR(__xludf.DUMMYFUNCTION("""COMPUTED_VALUE"""),"CCTV &gt; CAMARAS IP WIFI")</f>
        <v>CCTV &gt; CAMARAS IP WIFI</v>
      </c>
      <c r="G134" s="5"/>
      <c r="H134" s="6">
        <f>IFERROR(__xludf.DUMMYFUNCTION("""COMPUTED_VALUE"""),96.8)</f>
        <v>96.8</v>
      </c>
      <c r="I134" s="7">
        <f>IFERROR(__xludf.DUMMYFUNCTION("""COMPUTED_VALUE"""),21.0)</f>
        <v>21</v>
      </c>
      <c r="J134" s="6">
        <f>IFERROR(__xludf.DUMMYFUNCTION("""COMPUTED_VALUE"""),116.16)</f>
        <v>116.16</v>
      </c>
      <c r="K134" s="6">
        <f>IFERROR(__xludf.DUMMYFUNCTION("""COMPUTED_VALUE"""),135.52)</f>
        <v>135.52</v>
      </c>
      <c r="L134" s="3"/>
      <c r="M134" s="3"/>
    </row>
    <row r="135" ht="48.0" customHeight="1">
      <c r="A135" s="3" t="str">
        <f>IFERROR(__xludf.DUMMYFUNCTION("""COMPUTED_VALUE"""),"DS-NKS424W0H")</f>
        <v>DS-NKS424W0H</v>
      </c>
      <c r="B135" s="4" t="str">
        <f>IFERROR(__xludf.DUMMYFUNCTION("""COMPUTED_VALUE"""),"CAMARA BULLET WIFI EXTERIOR 4MP")</f>
        <v>CAMARA BULLET WIFI EXTERIOR 4MP</v>
      </c>
      <c r="C135" s="4" t="str">
        <f>IFERROR(__xludf.DUMMYFUNCTION("""COMPUTED_VALUE"""),"KIT EasyLink incluye NVS y dos camaras 4MP H.265 bullet exterior WiFi 2.8 mm")</f>
        <v>KIT EasyLink incluye NVS y dos camaras 4MP H.265 bullet exterior WiFi 2.8 mm</v>
      </c>
      <c r="D135" s="4" t="str">
        <f>IFERROR(__xludf.DUMMYFUNCTION("""COMPUTED_VALUE"""),"HIKVISION")</f>
        <v>HIKVISION</v>
      </c>
      <c r="E135" s="4" t="str">
        <f>IFERROR(__xludf.DUMMYFUNCTION("""COMPUTED_VALUE"""),"DS-NKS424W0H")</f>
        <v>DS-NKS424W0H</v>
      </c>
      <c r="F135" s="4" t="str">
        <f>IFERROR(__xludf.DUMMYFUNCTION("""COMPUTED_VALUE"""),"CCTV &gt; CAMARAS IP WIFI")</f>
        <v>CCTV &gt; CAMARAS IP WIFI</v>
      </c>
      <c r="G135" s="5"/>
      <c r="H135" s="6">
        <f>IFERROR(__xludf.DUMMYFUNCTION("""COMPUTED_VALUE"""),104.5)</f>
        <v>104.5</v>
      </c>
      <c r="I135" s="7">
        <f>IFERROR(__xludf.DUMMYFUNCTION("""COMPUTED_VALUE"""),21.0)</f>
        <v>21</v>
      </c>
      <c r="J135" s="6">
        <f>IFERROR(__xludf.DUMMYFUNCTION("""COMPUTED_VALUE"""),125.4)</f>
        <v>125.4</v>
      </c>
      <c r="K135" s="6">
        <f>IFERROR(__xludf.DUMMYFUNCTION("""COMPUTED_VALUE"""),146.3)</f>
        <v>146.3</v>
      </c>
      <c r="L135" s="3"/>
      <c r="M135" s="3"/>
    </row>
    <row r="136" ht="48.0" customHeight="1">
      <c r="A136" s="3" t="str">
        <f>IFERROR(__xludf.DUMMYFUNCTION("""COMPUTED_VALUE"""),"DS-NKS422W02H")</f>
        <v>DS-NKS422W02H</v>
      </c>
      <c r="B136" s="4" t="str">
        <f>IFERROR(__xludf.DUMMYFUNCTION("""COMPUTED_VALUE"""),"CAMARA BULLET WIFI EXTERIOR 2MP")</f>
        <v>CAMARA BULLET WIFI EXTERIOR 2MP</v>
      </c>
      <c r="C136" s="4" t="str">
        <f>IFERROR(__xludf.DUMMYFUNCTION("""COMPUTED_VALUE"""),"KIT EasyLink incluye NVS y dos camaras 2MP H.265 una bullet exterior WiFi 2.8 mm y una turret PT WiFi")</f>
        <v>KIT EasyLink incluye NVS y dos camaras 2MP H.265 una bullet exterior WiFi 2.8 mm y una turret PT WiFi</v>
      </c>
      <c r="D136" s="4" t="str">
        <f>IFERROR(__xludf.DUMMYFUNCTION("""COMPUTED_VALUE"""),"HIKVISION")</f>
        <v>HIKVISION</v>
      </c>
      <c r="E136" s="4" t="str">
        <f>IFERROR(__xludf.DUMMYFUNCTION("""COMPUTED_VALUE"""),"DS-NKS422W02H")</f>
        <v>DS-NKS422W02H</v>
      </c>
      <c r="F136" s="4" t="str">
        <f>IFERROR(__xludf.DUMMYFUNCTION("""COMPUTED_VALUE"""),"CCTV &gt; CAMARAS IP WIFI")</f>
        <v>CCTV &gt; CAMARAS IP WIFI</v>
      </c>
      <c r="G136" s="5"/>
      <c r="H136" s="6">
        <f>IFERROR(__xludf.DUMMYFUNCTION("""COMPUTED_VALUE"""),90.2)</f>
        <v>90.2</v>
      </c>
      <c r="I136" s="7">
        <f>IFERROR(__xludf.DUMMYFUNCTION("""COMPUTED_VALUE"""),21.0)</f>
        <v>21</v>
      </c>
      <c r="J136" s="6">
        <f>IFERROR(__xludf.DUMMYFUNCTION("""COMPUTED_VALUE"""),108.24)</f>
        <v>108.24</v>
      </c>
      <c r="K136" s="6">
        <f>IFERROR(__xludf.DUMMYFUNCTION("""COMPUTED_VALUE"""),126.28)</f>
        <v>126.28</v>
      </c>
      <c r="L136" s="3"/>
      <c r="M136" s="3"/>
    </row>
    <row r="137" ht="48.0" customHeight="1">
      <c r="A137" s="3" t="str">
        <f>IFERROR(__xludf.DUMMYFUNCTION("""COMPUTED_VALUE"""),"DS-NKS424W02H")</f>
        <v>DS-NKS424W02H</v>
      </c>
      <c r="B137" s="4" t="str">
        <f>IFERROR(__xludf.DUMMYFUNCTION("""COMPUTED_VALUE"""),"CAMARA BULLET WIFI EXTERIOR 4MP")</f>
        <v>CAMARA BULLET WIFI EXTERIOR 4MP</v>
      </c>
      <c r="C137" s="4" t="str">
        <f>IFERROR(__xludf.DUMMYFUNCTION("""COMPUTED_VALUE"""),"KIT EasyLink incluye NVS y dos camaras 4MP H.265 una bullet exterior WiFi 2.8 mm y una turret PT WiFi")</f>
        <v>KIT EasyLink incluye NVS y dos camaras 4MP H.265 una bullet exterior WiFi 2.8 mm y una turret PT WiFi</v>
      </c>
      <c r="D137" s="4" t="str">
        <f>IFERROR(__xludf.DUMMYFUNCTION("""COMPUTED_VALUE"""),"HIKVISION")</f>
        <v>HIKVISION</v>
      </c>
      <c r="E137" s="4" t="str">
        <f>IFERROR(__xludf.DUMMYFUNCTION("""COMPUTED_VALUE"""),"DS-NKS424W02H")</f>
        <v>DS-NKS424W02H</v>
      </c>
      <c r="F137" s="4" t="str">
        <f>IFERROR(__xludf.DUMMYFUNCTION("""COMPUTED_VALUE"""),"CCTV &gt; CAMARAS IP WIFI")</f>
        <v>CCTV &gt; CAMARAS IP WIFI</v>
      </c>
      <c r="G137" s="5"/>
      <c r="H137" s="6">
        <f>IFERROR(__xludf.DUMMYFUNCTION("""COMPUTED_VALUE"""),94.6)</f>
        <v>94.6</v>
      </c>
      <c r="I137" s="7">
        <f>IFERROR(__xludf.DUMMYFUNCTION("""COMPUTED_VALUE"""),21.0)</f>
        <v>21</v>
      </c>
      <c r="J137" s="6">
        <f>IFERROR(__xludf.DUMMYFUNCTION("""COMPUTED_VALUE"""),113.52)</f>
        <v>113.52</v>
      </c>
      <c r="K137" s="6">
        <f>IFERROR(__xludf.DUMMYFUNCTION("""COMPUTED_VALUE"""),132.44)</f>
        <v>132.44</v>
      </c>
      <c r="L137" s="3"/>
      <c r="M137" s="3"/>
    </row>
    <row r="138" ht="48.0" customHeight="1">
      <c r="A138" s="3" t="str">
        <f>IFERROR(__xludf.DUMMYFUNCTION("""COMPUTED_VALUE"""),"DS-NKS424W03H")</f>
        <v>DS-NKS424W03H</v>
      </c>
      <c r="B138" s="4" t="str">
        <f>IFERROR(__xludf.DUMMYFUNCTION("""COMPUTED_VALUE"""),"CAMARA BULLET WIFI EXTERIOR 4MP")</f>
        <v>CAMARA BULLET WIFI EXTERIOR 4MP</v>
      </c>
      <c r="C138" s="4" t="str">
        <f>IFERROR(__xludf.DUMMYFUNCTION("""COMPUTED_VALUE"""),"KIT EasyLink incluye NVS y dos camaras 4MP H.265 una bullet exterior WiFi 2.8 mm y una turret PT exterior WiFi")</f>
        <v>KIT EasyLink incluye NVS y dos camaras 4MP H.265 una bullet exterior WiFi 2.8 mm y una turret PT exterior WiFi</v>
      </c>
      <c r="D138" s="4" t="str">
        <f>IFERROR(__xludf.DUMMYFUNCTION("""COMPUTED_VALUE"""),"HIKVISION")</f>
        <v>HIKVISION</v>
      </c>
      <c r="E138" s="4" t="str">
        <f>IFERROR(__xludf.DUMMYFUNCTION("""COMPUTED_VALUE"""),"DS-NKS424W03H")</f>
        <v>DS-NKS424W03H</v>
      </c>
      <c r="F138" s="4" t="str">
        <f>IFERROR(__xludf.DUMMYFUNCTION("""COMPUTED_VALUE"""),"CCTV &gt; CAMARAS IP WIFI")</f>
        <v>CCTV &gt; CAMARAS IP WIFI</v>
      </c>
      <c r="G138" s="5"/>
      <c r="H138" s="6">
        <f>IFERROR(__xludf.DUMMYFUNCTION("""COMPUTED_VALUE"""),113.3)</f>
        <v>113.3</v>
      </c>
      <c r="I138" s="7">
        <f>IFERROR(__xludf.DUMMYFUNCTION("""COMPUTED_VALUE"""),21.0)</f>
        <v>21</v>
      </c>
      <c r="J138" s="6">
        <f>IFERROR(__xludf.DUMMYFUNCTION("""COMPUTED_VALUE"""),135.96)</f>
        <v>135.96</v>
      </c>
      <c r="K138" s="6">
        <f>IFERROR(__xludf.DUMMYFUNCTION("""COMPUTED_VALUE"""),158.62)</f>
        <v>158.62</v>
      </c>
      <c r="L138" s="3"/>
      <c r="M138" s="3"/>
    </row>
    <row r="139" ht="48.0" customHeight="1">
      <c r="A139" s="3" t="str">
        <f>IFERROR(__xludf.DUMMYFUNCTION("""COMPUTED_VALUE"""),"DS-2CV1023G2-LIDWF")</f>
        <v>DS-2CV1023G2-LIDWF</v>
      </c>
      <c r="B139" s="4" t="str">
        <f>IFERROR(__xludf.DUMMYFUNCTION("""COMPUTED_VALUE"""),"CAMARA BULLET WIFI 2MP")</f>
        <v>CAMARA BULLET WIFI 2MP</v>
      </c>
      <c r="C139" s="4" t="str">
        <f>IFERROR(__xludf.DUMMYFUNCTION("""COMPUTED_VALUE"""),"Camara Bullet 2 MP Outdoor Wi-Fi Fixed Bullet Network Camera Support Wi-Fi 6 Good night-time performance with up to 30 m IR and 30 m white light Built-in microphone and speaker, support two-way audio Support Human and Vehicle Detection Water and dust resi"&amp;"stant (IP66) Support on-board storage up to 512 GB (SD card slot)")</f>
        <v>Camara Bullet 2 MP Outdoor Wi-Fi Fixed Bullet Network Camera Support Wi-Fi 6 Good night-time performance with up to 30 m IR and 30 m white light Built-in microphone and speaker, support two-way audio Support Human and Vehicle Detection Water and dust resistant (IP66) Support on-board storage up to 512 GB (SD card slot)</v>
      </c>
      <c r="D139" s="4" t="str">
        <f>IFERROR(__xludf.DUMMYFUNCTION("""COMPUTED_VALUE"""),"HIKVISION")</f>
        <v>HIKVISION</v>
      </c>
      <c r="E139" s="4" t="str">
        <f>IFERROR(__xludf.DUMMYFUNCTION("""COMPUTED_VALUE"""),"DS-2CV1023G2-LIDWF")</f>
        <v>DS-2CV1023G2-LIDWF</v>
      </c>
      <c r="F139" s="4" t="str">
        <f>IFERROR(__xludf.DUMMYFUNCTION("""COMPUTED_VALUE"""),"CCTV &gt; CAMARAS IP WIFI")</f>
        <v>CCTV &gt; CAMARAS IP WIFI</v>
      </c>
      <c r="G139" s="5"/>
      <c r="H139" s="6">
        <f>IFERROR(__xludf.DUMMYFUNCTION("""COMPUTED_VALUE"""),30.58)</f>
        <v>30.58</v>
      </c>
      <c r="I139" s="7">
        <f>IFERROR(__xludf.DUMMYFUNCTION("""COMPUTED_VALUE"""),21.0)</f>
        <v>21</v>
      </c>
      <c r="J139" s="6">
        <f>IFERROR(__xludf.DUMMYFUNCTION("""COMPUTED_VALUE"""),36.7)</f>
        <v>36.7</v>
      </c>
      <c r="K139" s="6">
        <f>IFERROR(__xludf.DUMMYFUNCTION("""COMPUTED_VALUE"""),42.81)</f>
        <v>42.81</v>
      </c>
      <c r="L139" s="3"/>
      <c r="M139" s="3"/>
    </row>
    <row r="140" ht="48.0" customHeight="1">
      <c r="A140" s="3" t="str">
        <f>IFERROR(__xludf.DUMMYFUNCTION("""COMPUTED_VALUE"""),"DS-2CV1043G2-LIDWF")</f>
        <v>DS-2CV1043G2-LIDWF</v>
      </c>
      <c r="B140" s="4" t="str">
        <f>IFERROR(__xludf.DUMMYFUNCTION("""COMPUTED_VALUE"""),"CAMARA BULLET WIFI 4MP")</f>
        <v>CAMARA BULLET WIFI 4MP</v>
      </c>
      <c r="C140" s="4" t="str">
        <f>IFERROR(__xludf.DUMMYFUNCTION("""COMPUTED_VALUE"""),"Camara Bullet 4 MP Outdoor Wi-Fi Fixed Bullet Network Camera Support Wi-Fi 6 Good night-time performance with up to 30 m IR and 30 m white light Built-in microphone and speaker, support two-way audio Support Human and Vehicle Detection Water and dust resi"&amp;"stant (IP66) Support on-board storage up to 512 GB (SD card slot)")</f>
        <v>Camara Bullet 4 MP Outdoor Wi-Fi Fixed Bullet Network Camera Support Wi-Fi 6 Good night-time performance with up to 30 m IR and 30 m white light Built-in microphone and speaker, support two-way audio Support Human and Vehicle Detection Water and dust resistant (IP66) Support on-board storage up to 512 GB (SD card slot)</v>
      </c>
      <c r="D140" s="4" t="str">
        <f>IFERROR(__xludf.DUMMYFUNCTION("""COMPUTED_VALUE"""),"HIKVISION")</f>
        <v>HIKVISION</v>
      </c>
      <c r="E140" s="4" t="str">
        <f>IFERROR(__xludf.DUMMYFUNCTION("""COMPUTED_VALUE"""),"DS-2CV1043G2-LIDWF")</f>
        <v>DS-2CV1043G2-LIDWF</v>
      </c>
      <c r="F140" s="4" t="str">
        <f>IFERROR(__xludf.DUMMYFUNCTION("""COMPUTED_VALUE"""),"CCTV &gt; CAMARAS IP WIFI")</f>
        <v>CCTV &gt; CAMARAS IP WIFI</v>
      </c>
      <c r="G140" s="5"/>
      <c r="H140" s="6">
        <f>IFERROR(__xludf.DUMMYFUNCTION("""COMPUTED_VALUE"""),34.1)</f>
        <v>34.1</v>
      </c>
      <c r="I140" s="7">
        <f>IFERROR(__xludf.DUMMYFUNCTION("""COMPUTED_VALUE"""),21.0)</f>
        <v>21</v>
      </c>
      <c r="J140" s="6">
        <f>IFERROR(__xludf.DUMMYFUNCTION("""COMPUTED_VALUE"""),40.92)</f>
        <v>40.92</v>
      </c>
      <c r="K140" s="6">
        <f>IFERROR(__xludf.DUMMYFUNCTION("""COMPUTED_VALUE"""),47.74)</f>
        <v>47.74</v>
      </c>
      <c r="L140" s="3"/>
      <c r="M140" s="3"/>
    </row>
    <row r="141" ht="48.0" customHeight="1">
      <c r="A141" s="3" t="str">
        <f>IFERROR(__xludf.DUMMYFUNCTION("""COMPUTED_VALUE"""),"DS-2CV1F23G2-LIDWF")</f>
        <v>DS-2CV1F23G2-LIDWF</v>
      </c>
      <c r="B141" s="4" t="str">
        <f>IFERROR(__xludf.DUMMYFUNCTION("""COMPUTED_VALUE"""),"CAMARA TURRET WIFI 2MP")</f>
        <v>CAMARA TURRET WIFI 2MP</v>
      </c>
      <c r="C141" s="4" t="str">
        <f>IFERROR(__xludf.DUMMYFUNCTION("""COMPUTED_VALUE"""),"Camara Domo PT 2 MP Indoor Wi-Fi Fixed PT Turret Network Camera Support Wi-Fi 6 .Built-in microphone and speaker, support two-way audio. Good night-time performance with up to 20 m IR and 15 m white light Digital WDR, HLC, BLC, 3D DNR High quality imaging"&amp;" with 2 MP resolution")</f>
        <v>Camara Domo PT 2 MP Indoor Wi-Fi Fixed PT Turret Network Camera Support Wi-Fi 6 .Built-in microphone and speaker, support two-way audio. Good night-time performance with up to 20 m IR and 15 m white light Digital WDR, HLC, BLC, 3D DNR High quality imaging with 2 MP resolution</v>
      </c>
      <c r="D141" s="4" t="str">
        <f>IFERROR(__xludf.DUMMYFUNCTION("""COMPUTED_VALUE"""),"HIKVISION")</f>
        <v>HIKVISION</v>
      </c>
      <c r="E141" s="4" t="str">
        <f>IFERROR(__xludf.DUMMYFUNCTION("""COMPUTED_VALUE"""),"DS-2CV1F23G2-LIDWF")</f>
        <v>DS-2CV1F23G2-LIDWF</v>
      </c>
      <c r="F141" s="4" t="str">
        <f>IFERROR(__xludf.DUMMYFUNCTION("""COMPUTED_VALUE"""),"CCTV &gt; CAMARAS IP WIFI")</f>
        <v>CCTV &gt; CAMARAS IP WIFI</v>
      </c>
      <c r="G141" s="5"/>
      <c r="H141" s="6">
        <f>IFERROR(__xludf.DUMMYFUNCTION("""COMPUTED_VALUE"""),35.2)</f>
        <v>35.2</v>
      </c>
      <c r="I141" s="7">
        <f>IFERROR(__xludf.DUMMYFUNCTION("""COMPUTED_VALUE"""),21.0)</f>
        <v>21</v>
      </c>
      <c r="J141" s="6">
        <f>IFERROR(__xludf.DUMMYFUNCTION("""COMPUTED_VALUE"""),42.24)</f>
        <v>42.24</v>
      </c>
      <c r="K141" s="6">
        <f>IFERROR(__xludf.DUMMYFUNCTION("""COMPUTED_VALUE"""),49.28)</f>
        <v>49.28</v>
      </c>
      <c r="L141" s="3"/>
      <c r="M141" s="3"/>
    </row>
    <row r="142" ht="48.0" customHeight="1">
      <c r="A142" s="3" t="str">
        <f>IFERROR(__xludf.DUMMYFUNCTION("""COMPUTED_VALUE"""),"DS-2CV1F43G2-LIDWF")</f>
        <v>DS-2CV1F43G2-LIDWF</v>
      </c>
      <c r="B142" s="4" t="str">
        <f>IFERROR(__xludf.DUMMYFUNCTION("""COMPUTED_VALUE"""),"CAMARA TURRET WIFI 4MP")</f>
        <v>CAMARA TURRET WIFI 4MP</v>
      </c>
      <c r="C142" s="4" t="str">
        <f>IFERROR(__xludf.DUMMYFUNCTION("""COMPUTED_VALUE"""),"Camara Domo PT 4 MP Indoor Wi-Fi Fixed PT Turret Network Camera Support Wi-Fi 6 .Built-in microphone and speaker, support two-way audio. Good night-time performance with up to 20 m IR and 15 m white light Digital WDR, HLC, BLC, 3D DNR High quality imaging"&amp;" with 4 MP resolution")</f>
        <v>Camara Domo PT 4 MP Indoor Wi-Fi Fixed PT Turret Network Camera Support Wi-Fi 6 .Built-in microphone and speaker, support two-way audio. Good night-time performance with up to 20 m IR and 15 m white light Digital WDR, HLC, BLC, 3D DNR High quality imaging with 4 MP resolution</v>
      </c>
      <c r="D142" s="4" t="str">
        <f>IFERROR(__xludf.DUMMYFUNCTION("""COMPUTED_VALUE"""),"HIKVISION")</f>
        <v>HIKVISION</v>
      </c>
      <c r="E142" s="4" t="str">
        <f>IFERROR(__xludf.DUMMYFUNCTION("""COMPUTED_VALUE"""),"DS-2CV1F43G2-LIDWF")</f>
        <v>DS-2CV1F43G2-LIDWF</v>
      </c>
      <c r="F142" s="4" t="str">
        <f>IFERROR(__xludf.DUMMYFUNCTION("""COMPUTED_VALUE"""),"CCTV &gt; CAMARAS IP WIFI")</f>
        <v>CCTV &gt; CAMARAS IP WIFI</v>
      </c>
      <c r="G142" s="5"/>
      <c r="H142" s="6">
        <f>IFERROR(__xludf.DUMMYFUNCTION("""COMPUTED_VALUE"""),38.5)</f>
        <v>38.5</v>
      </c>
      <c r="I142" s="7">
        <f>IFERROR(__xludf.DUMMYFUNCTION("""COMPUTED_VALUE"""),21.0)</f>
        <v>21</v>
      </c>
      <c r="J142" s="6">
        <f>IFERROR(__xludf.DUMMYFUNCTION("""COMPUTED_VALUE"""),46.2)</f>
        <v>46.2</v>
      </c>
      <c r="K142" s="6">
        <f>IFERROR(__xludf.DUMMYFUNCTION("""COMPUTED_VALUE"""),53.9)</f>
        <v>53.9</v>
      </c>
      <c r="L142" s="3"/>
      <c r="M142" s="3"/>
    </row>
    <row r="143" ht="48.0" customHeight="1">
      <c r="A143" s="3" t="str">
        <f>IFERROR(__xludf.DUMMYFUNCTION("""COMPUTED_VALUE"""),"DS-2CD1323G0E-I")</f>
        <v>DS-2CD1323G0E-I</v>
      </c>
      <c r="B143" s="4" t="str">
        <f>IFERROR(__xludf.DUMMYFUNCTION("""COMPUTED_VALUE"""),"CAMARA TURRET 2MP")</f>
        <v>CAMARA TURRET 2MP</v>
      </c>
      <c r="C143" s="4" t="str">
        <f>IFERROR(__xludf.DUMMYFUNCTION("""COMPUTED_VALUE"""),"Domo Turret IP 2MP (1920x1080 @20fps). Lente fija 2.8 mm. Compresión H.265+/H.265/H.264+/H.264. Sensor CMOS 1/2.8"" de escaneado progresivo. Conmutación día/noche mediante filtro mecánico. Sensibilidad en color 0,01 Lux.")</f>
        <v>Domo Turret IP 2MP (1920x1080 @20fps). Lente fija 2.8 mm. Compresión H.265+/H.265/H.264+/H.264. Sensor CMOS 1/2.8" de escaneado progresivo. Conmutación día/noche mediante filtro mecánico. Sensibilidad en color 0,01 Lux.</v>
      </c>
      <c r="D143" s="4" t="str">
        <f>IFERROR(__xludf.DUMMYFUNCTION("""COMPUTED_VALUE"""),"HIKVISION")</f>
        <v>HIKVISION</v>
      </c>
      <c r="E143" s="4" t="str">
        <f>IFERROR(__xludf.DUMMYFUNCTION("""COMPUTED_VALUE"""),"DS-2CD1323G0E-I")</f>
        <v>DS-2CD1323G0E-I</v>
      </c>
      <c r="F143" s="4" t="str">
        <f>IFERROR(__xludf.DUMMYFUNCTION("""COMPUTED_VALUE"""),"CCTV &gt; CAMARAS IP WIFI")</f>
        <v>CCTV &gt; CAMARAS IP WIFI</v>
      </c>
      <c r="G143" s="5"/>
      <c r="H143" s="6">
        <f>IFERROR(__xludf.DUMMYFUNCTION("""COMPUTED_VALUE"""),64.9)</f>
        <v>64.9</v>
      </c>
      <c r="I143" s="7">
        <f>IFERROR(__xludf.DUMMYFUNCTION("""COMPUTED_VALUE"""),21.0)</f>
        <v>21</v>
      </c>
      <c r="J143" s="6">
        <f>IFERROR(__xludf.DUMMYFUNCTION("""COMPUTED_VALUE"""),77.88)</f>
        <v>77.88</v>
      </c>
      <c r="K143" s="6">
        <f>IFERROR(__xludf.DUMMYFUNCTION("""COMPUTED_VALUE"""),90.86)</f>
        <v>90.86</v>
      </c>
      <c r="L143" s="3"/>
      <c r="M143" s="3"/>
    </row>
    <row r="144" ht="48.0" customHeight="1">
      <c r="A144" s="3" t="str">
        <f>IFERROR(__xludf.DUMMYFUNCTION("""COMPUTED_VALUE"""),"DS-2CD1323G2-I")</f>
        <v>DS-2CD1323G2-I</v>
      </c>
      <c r="B144" s="4" t="str">
        <f>IFERROR(__xludf.DUMMYFUNCTION("""COMPUTED_VALUE"""),"CAMARA TURRET 2MP")</f>
        <v>CAMARA TURRET 2MP</v>
      </c>
      <c r="C144" s="4" t="str">
        <f>IFERROR(__xludf.DUMMYFUNCTION("""COMPUTED_VALUE"""),"Domo Turret IP 2MP 1/3"" Progressive CMOS, ICR,1920 × 1080: 25fps(P)/30fps(N), H.265+/H.265/H.264+&amp;H.264, DWDR, 3D DNR, BLC, IR range: up to 30m, DC12V &amp; PoE, Support mobile monitoring via Hik-Connect power supply is not included")</f>
        <v>Domo Turret IP 2MP 1/3" Progressive CMOS, ICR,1920 × 1080: 25fps(P)/30fps(N), H.265+/H.265/H.264+&amp;H.264, DWDR, 3D DNR, BLC, IR range: up to 30m, DC12V &amp; PoE, Support mobile monitoring via Hik-Connect power supply is not included</v>
      </c>
      <c r="D144" s="4" t="str">
        <f>IFERROR(__xludf.DUMMYFUNCTION("""COMPUTED_VALUE"""),"HIKVISION")</f>
        <v>HIKVISION</v>
      </c>
      <c r="E144" s="4" t="str">
        <f>IFERROR(__xludf.DUMMYFUNCTION("""COMPUTED_VALUE"""),"DS-2CD1323G2-I")</f>
        <v>DS-2CD1323G2-I</v>
      </c>
      <c r="F144" s="4" t="str">
        <f>IFERROR(__xludf.DUMMYFUNCTION("""COMPUTED_VALUE"""),"CCTV &gt; CAMARAS IP WIFI")</f>
        <v>CCTV &gt; CAMARAS IP WIFI</v>
      </c>
      <c r="G144" s="5"/>
      <c r="H144" s="6">
        <f>IFERROR(__xludf.DUMMYFUNCTION("""COMPUTED_VALUE"""),71.5)</f>
        <v>71.5</v>
      </c>
      <c r="I144" s="7">
        <f>IFERROR(__xludf.DUMMYFUNCTION("""COMPUTED_VALUE"""),21.0)</f>
        <v>21</v>
      </c>
      <c r="J144" s="6">
        <f>IFERROR(__xludf.DUMMYFUNCTION("""COMPUTED_VALUE"""),85.8)</f>
        <v>85.8</v>
      </c>
      <c r="K144" s="6">
        <f>IFERROR(__xludf.DUMMYFUNCTION("""COMPUTED_VALUE"""),100.1)</f>
        <v>100.1</v>
      </c>
      <c r="L144" s="3"/>
      <c r="M144" s="3"/>
    </row>
    <row r="145" ht="48.0" customHeight="1">
      <c r="A145" s="3" t="str">
        <f>IFERROR(__xludf.DUMMYFUNCTION("""COMPUTED_VALUE"""),"DS-2CD1323G2-LIU")</f>
        <v>DS-2CD1323G2-LIU</v>
      </c>
      <c r="B145" s="4" t="str">
        <f>IFERROR(__xludf.DUMMYFUNCTION("""COMPUTED_VALUE"""),"CAMARA TURRET 2MP")</f>
        <v>CAMARA TURRET 2MP</v>
      </c>
      <c r="C145" s="4" t="str">
        <f>IFERROR(__xludf.DUMMYFUNCTION("""COMPUTED_VALUE"""),"Domo Turret IP 2MP Smart Hybrid Light Support Human and Vehicle Detection Smart Hybrid Light: advanced technology with long range Built-in microphone for real-time audio security Efficient H.265+ compression technology Water and dust resistant (IP67)")</f>
        <v>Domo Turret IP 2MP Smart Hybrid Light Support Human and Vehicle Detection Smart Hybrid Light: advanced technology with long range Built-in microphone for real-time audio security Efficient H.265+ compression technology Water and dust resistant (IP67)</v>
      </c>
      <c r="D145" s="4" t="str">
        <f>IFERROR(__xludf.DUMMYFUNCTION("""COMPUTED_VALUE"""),"HIKVISION")</f>
        <v>HIKVISION</v>
      </c>
      <c r="E145" s="4" t="str">
        <f>IFERROR(__xludf.DUMMYFUNCTION("""COMPUTED_VALUE"""),"DS-2CD1323G2-LIU")</f>
        <v>DS-2CD1323G2-LIU</v>
      </c>
      <c r="F145" s="4" t="str">
        <f>IFERROR(__xludf.DUMMYFUNCTION("""COMPUTED_VALUE"""),"CCTV &gt; CAMARAS IP WIFI")</f>
        <v>CCTV &gt; CAMARAS IP WIFI</v>
      </c>
      <c r="G145" s="5"/>
      <c r="H145" s="6">
        <f>IFERROR(__xludf.DUMMYFUNCTION("""COMPUTED_VALUE"""),68.2)</f>
        <v>68.2</v>
      </c>
      <c r="I145" s="7">
        <f>IFERROR(__xludf.DUMMYFUNCTION("""COMPUTED_VALUE"""),21.0)</f>
        <v>21</v>
      </c>
      <c r="J145" s="6">
        <f>IFERROR(__xludf.DUMMYFUNCTION("""COMPUTED_VALUE"""),81.84)</f>
        <v>81.84</v>
      </c>
      <c r="K145" s="6">
        <f>IFERROR(__xludf.DUMMYFUNCTION("""COMPUTED_VALUE"""),95.48)</f>
        <v>95.48</v>
      </c>
      <c r="L145" s="3"/>
      <c r="M145" s="3"/>
    </row>
    <row r="146" ht="48.0" customHeight="1">
      <c r="A146" s="3" t="str">
        <f>IFERROR(__xludf.DUMMYFUNCTION("""COMPUTED_VALUE"""),"DS-2CD1323G2-LIUF")</f>
        <v>DS-2CD1323G2-LIUF</v>
      </c>
      <c r="B146" s="4" t="str">
        <f>IFERROR(__xludf.DUMMYFUNCTION("""COMPUTED_VALUE"""),"CAMARA TURRET 2MP")</f>
        <v>CAMARA TURRET 2MP</v>
      </c>
      <c r="C146" s="4" t="str">
        <f>IFERROR(__xludf.DUMMYFUNCTION("""COMPUTED_VALUE"""),"Domo Turret IP 2MP Smart Hybrid Light Support Human and Vehicle Detection Smart Hybrid Light: advanced technology with long range Built-in microphone for real-time audio security Efficient H.265+ compression technology Support on-board storage up to 512 G"&amp;"B (SD card slot) (Optional) Water and dust resistant (IP67)")</f>
        <v>Domo Turret IP 2MP Smart Hybrid Light Support Human and Vehicle Detection Smart Hybrid Light: advanced technology with long range Built-in microphone for real-time audio security Efficient H.265+ compression technology Support on-board storage up to 512 GB (SD card slot) (Optional) Water and dust resistant (IP67)</v>
      </c>
      <c r="D146" s="4" t="str">
        <f>IFERROR(__xludf.DUMMYFUNCTION("""COMPUTED_VALUE"""),"HIKVISION")</f>
        <v>HIKVISION</v>
      </c>
      <c r="E146" s="4" t="str">
        <f>IFERROR(__xludf.DUMMYFUNCTION("""COMPUTED_VALUE"""),"DS-2CD1323G2-LIUF")</f>
        <v>DS-2CD1323G2-LIUF</v>
      </c>
      <c r="F146" s="4" t="str">
        <f>IFERROR(__xludf.DUMMYFUNCTION("""COMPUTED_VALUE"""),"CCTV &gt; CAMARAS IP WIFI")</f>
        <v>CCTV &gt; CAMARAS IP WIFI</v>
      </c>
      <c r="G146" s="5"/>
      <c r="H146" s="6">
        <f>IFERROR(__xludf.DUMMYFUNCTION("""COMPUTED_VALUE"""),72.6)</f>
        <v>72.6</v>
      </c>
      <c r="I146" s="7">
        <f>IFERROR(__xludf.DUMMYFUNCTION("""COMPUTED_VALUE"""),21.0)</f>
        <v>21</v>
      </c>
      <c r="J146" s="6">
        <f>IFERROR(__xludf.DUMMYFUNCTION("""COMPUTED_VALUE"""),87.12)</f>
        <v>87.12</v>
      </c>
      <c r="K146" s="6">
        <f>IFERROR(__xludf.DUMMYFUNCTION("""COMPUTED_VALUE"""),101.64)</f>
        <v>101.64</v>
      </c>
      <c r="L146" s="3"/>
      <c r="M146" s="3"/>
    </row>
    <row r="147" ht="48.0" customHeight="1">
      <c r="A147" s="3" t="str">
        <f>IFERROR(__xludf.DUMMYFUNCTION("""COMPUTED_VALUE"""),"DS-2CD1321G0-I")</f>
        <v>DS-2CD1321G0-I</v>
      </c>
      <c r="B147" s="4" t="str">
        <f>IFERROR(__xludf.DUMMYFUNCTION("""COMPUTED_VALUE"""),"CAMARA TURRET 2MP")</f>
        <v>CAMARA TURRET 2MP</v>
      </c>
      <c r="C147" s="4" t="str">
        <f>IFERROR(__xludf.DUMMYFUNCTION("""COMPUTED_VALUE"""),"Domo Turret IP 2MP High quality imaging with 2 MP resolution Water and dust resistant (IP67) Easy installation with Power over Ethernet (PoE) technology")</f>
        <v>Domo Turret IP 2MP High quality imaging with 2 MP resolution Water and dust resistant (IP67) Easy installation with Power over Ethernet (PoE) technology</v>
      </c>
      <c r="D147" s="4" t="str">
        <f>IFERROR(__xludf.DUMMYFUNCTION("""COMPUTED_VALUE"""),"HIKVISION")</f>
        <v>HIKVISION</v>
      </c>
      <c r="E147" s="4" t="str">
        <f>IFERROR(__xludf.DUMMYFUNCTION("""COMPUTED_VALUE"""),"DS-2CD1321G0-I")</f>
        <v>DS-2CD1321G0-I</v>
      </c>
      <c r="F147" s="4" t="str">
        <f>IFERROR(__xludf.DUMMYFUNCTION("""COMPUTED_VALUE"""),"CCTV &gt; CAMARAS IP WIFI")</f>
        <v>CCTV &gt; CAMARAS IP WIFI</v>
      </c>
      <c r="G147" s="5"/>
      <c r="H147" s="6">
        <f>IFERROR(__xludf.DUMMYFUNCTION("""COMPUTED_VALUE"""),45.1)</f>
        <v>45.1</v>
      </c>
      <c r="I147" s="7">
        <f>IFERROR(__xludf.DUMMYFUNCTION("""COMPUTED_VALUE"""),21.0)</f>
        <v>21</v>
      </c>
      <c r="J147" s="6">
        <f>IFERROR(__xludf.DUMMYFUNCTION("""COMPUTED_VALUE"""),54.12)</f>
        <v>54.12</v>
      </c>
      <c r="K147" s="6">
        <f>IFERROR(__xludf.DUMMYFUNCTION("""COMPUTED_VALUE"""),63.14)</f>
        <v>63.14</v>
      </c>
      <c r="L147" s="3"/>
      <c r="M147" s="3"/>
    </row>
    <row r="148" ht="48.0" customHeight="1">
      <c r="A148" s="3" t="str">
        <f>IFERROR(__xludf.DUMMYFUNCTION("""COMPUTED_VALUE"""),"DS-2CD1121G0-I")</f>
        <v>DS-2CD1121G0-I</v>
      </c>
      <c r="B148" s="4" t="str">
        <f>IFERROR(__xludf.DUMMYFUNCTION("""COMPUTED_VALUE"""),"CAMARA DOMO 2MP")</f>
        <v>CAMARA DOMO 2MP</v>
      </c>
      <c r="C148" s="4" t="str">
        <f>IFERROR(__xludf.DUMMYFUNCTION("""COMPUTED_VALUE"""),"Domo IP 2MP Fácil instalación con tecnología Power over Ethernet (PoE)")</f>
        <v>Domo IP 2MP Fácil instalación con tecnología Power over Ethernet (PoE)</v>
      </c>
      <c r="D148" s="4" t="str">
        <f>IFERROR(__xludf.DUMMYFUNCTION("""COMPUTED_VALUE"""),"HIKVISION")</f>
        <v>HIKVISION</v>
      </c>
      <c r="E148" s="4" t="str">
        <f>IFERROR(__xludf.DUMMYFUNCTION("""COMPUTED_VALUE"""),"DS-2CD1121G0-I")</f>
        <v>DS-2CD1121G0-I</v>
      </c>
      <c r="F148" s="4" t="str">
        <f>IFERROR(__xludf.DUMMYFUNCTION("""COMPUTED_VALUE"""),"CCTV &gt; CAMARAS IP WIFI")</f>
        <v>CCTV &gt; CAMARAS IP WIFI</v>
      </c>
      <c r="G148" s="5"/>
      <c r="H148" s="6">
        <f>IFERROR(__xludf.DUMMYFUNCTION("""COMPUTED_VALUE"""),41.8)</f>
        <v>41.8</v>
      </c>
      <c r="I148" s="7">
        <f>IFERROR(__xludf.DUMMYFUNCTION("""COMPUTED_VALUE"""),21.0)</f>
        <v>21</v>
      </c>
      <c r="J148" s="6">
        <f>IFERROR(__xludf.DUMMYFUNCTION("""COMPUTED_VALUE"""),50.16)</f>
        <v>50.16</v>
      </c>
      <c r="K148" s="6">
        <f>IFERROR(__xludf.DUMMYFUNCTION("""COMPUTED_VALUE"""),58.52)</f>
        <v>58.52</v>
      </c>
      <c r="L148" s="3"/>
      <c r="M148" s="3"/>
    </row>
    <row r="149" ht="48.0" customHeight="1">
      <c r="A149" s="3" t="str">
        <f>IFERROR(__xludf.DUMMYFUNCTION("""COMPUTED_VALUE"""),"DS-2CD1123G2-LIU")</f>
        <v>DS-2CD1123G2-LIU</v>
      </c>
      <c r="B149" s="4" t="str">
        <f>IFERROR(__xludf.DUMMYFUNCTION("""COMPUTED_VALUE"""),"CAMARA DOMO 2MP")</f>
        <v>CAMARA DOMO 2MP</v>
      </c>
      <c r="C149" s="4" t="str">
        <f>IFERROR(__xludf.DUMMYFUNCTION("""COMPUTED_VALUE"""),"Domo IP 2MP Smart Hybrid Light con detección humano/vehículo, micrófono y carcasa antivandálica. 2.8 mm fixed lens")</f>
        <v>Domo IP 2MP Smart Hybrid Light con detección humano/vehículo, micrófono y carcasa antivandálica. 2.8 mm fixed lens</v>
      </c>
      <c r="D149" s="4" t="str">
        <f>IFERROR(__xludf.DUMMYFUNCTION("""COMPUTED_VALUE"""),"HIKVISION")</f>
        <v>HIKVISION</v>
      </c>
      <c r="E149" s="4" t="str">
        <f>IFERROR(__xludf.DUMMYFUNCTION("""COMPUTED_VALUE"""),"DS-2CD1123G2-LIU")</f>
        <v>DS-2CD1123G2-LIU</v>
      </c>
      <c r="F149" s="4" t="str">
        <f>IFERROR(__xludf.DUMMYFUNCTION("""COMPUTED_VALUE"""),"CCTV &gt; CAMARAS IP WIFI")</f>
        <v>CCTV &gt; CAMARAS IP WIFI</v>
      </c>
      <c r="G149" s="5"/>
      <c r="H149" s="6">
        <f>IFERROR(__xludf.DUMMYFUNCTION("""COMPUTED_VALUE"""),73.7)</f>
        <v>73.7</v>
      </c>
      <c r="I149" s="7">
        <f>IFERROR(__xludf.DUMMYFUNCTION("""COMPUTED_VALUE"""),21.0)</f>
        <v>21</v>
      </c>
      <c r="J149" s="6">
        <f>IFERROR(__xludf.DUMMYFUNCTION("""COMPUTED_VALUE"""),88.44)</f>
        <v>88.44</v>
      </c>
      <c r="K149" s="6">
        <f>IFERROR(__xludf.DUMMYFUNCTION("""COMPUTED_VALUE"""),103.18)</f>
        <v>103.18</v>
      </c>
      <c r="L149" s="3"/>
      <c r="M149" s="3"/>
    </row>
    <row r="150" ht="48.0" customHeight="1">
      <c r="A150" s="3" t="str">
        <f>IFERROR(__xludf.DUMMYFUNCTION("""COMPUTED_VALUE"""),"DS-2CD1127G2-L")</f>
        <v>DS-2CD1127G2-L</v>
      </c>
      <c r="B150" s="4" t="str">
        <f>IFERROR(__xludf.DUMMYFUNCTION("""COMPUTED_VALUE"""),"CAMARA DOMO COLORVU 2MP")</f>
        <v>CAMARA DOMO COLORVU 2MP</v>
      </c>
      <c r="C150" s="4" t="str">
        <f>IFERROR(__xludf.DUMMYFUNCTION("""COMPUTED_VALUE"""),"Domo IP 2MP ColorVu 1/2.7"" Progressive CMOS, ICR,1920 × 1080: 25fps(P)/30fps(N), H.265+/H.265/H.264+&amp;H.264, DWDR, 3D DNR, BLC, Warm light range: up to 30m, DC12V &amp; PoE, Support mobile monitoring via Hik-Connect, power supply is not included")</f>
        <v>Domo IP 2MP ColorVu 1/2.7" Progressive CMOS, ICR,1920 × 1080: 25fps(P)/30fps(N), H.265+/H.265/H.264+&amp;H.264, DWDR, 3D DNR, BLC, Warm light range: up to 30m, DC12V &amp; PoE, Support mobile monitoring via Hik-Connect, power supply is not included</v>
      </c>
      <c r="D150" s="4" t="str">
        <f>IFERROR(__xludf.DUMMYFUNCTION("""COMPUTED_VALUE"""),"HIKVISION")</f>
        <v>HIKVISION</v>
      </c>
      <c r="E150" s="4" t="str">
        <f>IFERROR(__xludf.DUMMYFUNCTION("""COMPUTED_VALUE"""),"DS-2CD1127G2-L")</f>
        <v>DS-2CD1127G2-L</v>
      </c>
      <c r="F150" s="4" t="str">
        <f>IFERROR(__xludf.DUMMYFUNCTION("""COMPUTED_VALUE"""),"CCTV &gt; CAMARAS IP WIFI")</f>
        <v>CCTV &gt; CAMARAS IP WIFI</v>
      </c>
      <c r="G150" s="5"/>
      <c r="H150" s="6">
        <f>IFERROR(__xludf.DUMMYFUNCTION("""COMPUTED_VALUE"""),103.4)</f>
        <v>103.4</v>
      </c>
      <c r="I150" s="7">
        <f>IFERROR(__xludf.DUMMYFUNCTION("""COMPUTED_VALUE"""),21.0)</f>
        <v>21</v>
      </c>
      <c r="J150" s="6">
        <f>IFERROR(__xludf.DUMMYFUNCTION("""COMPUTED_VALUE"""),124.08)</f>
        <v>124.08</v>
      </c>
      <c r="K150" s="6">
        <f>IFERROR(__xludf.DUMMYFUNCTION("""COMPUTED_VALUE"""),144.76)</f>
        <v>144.76</v>
      </c>
      <c r="L150" s="3"/>
      <c r="M150" s="3"/>
    </row>
    <row r="151" ht="48.0" customHeight="1">
      <c r="A151" s="3" t="str">
        <f>IFERROR(__xludf.DUMMYFUNCTION("""COMPUTED_VALUE"""),"DS-2CD1127G2H-LIU")</f>
        <v>DS-2CD1127G2H-LIU</v>
      </c>
      <c r="B151" s="4" t="str">
        <f>IFERROR(__xludf.DUMMYFUNCTION("""COMPUTED_VALUE"""),"CAMARA DOMO COLORVU 2MP")</f>
        <v>CAMARA DOMO COLORVU 2MP</v>
      </c>
      <c r="C151" s="4" t="str">
        <f>IFERROR(__xludf.DUMMYFUNCTION("""COMPUTED_VALUE"""),"Domo IP 2MP ColorVu con mic incorporado 1/2.7"" Progressive CMOS, ICR,1920 × 1080: 25fps(P)/30fps(N), H.265+/H.265/H.264+&amp;H.264, DWDR, 3D DNR, BLC, Warm light range: up to 30m, DC12V &amp; PoE, Support mobile monitoring via Hik-Connect, power supply is not in"&amp;"cluded")</f>
        <v>Domo IP 2MP ColorVu con mic incorporado 1/2.7" Progressive CMOS, ICR,1920 × 1080: 25fps(P)/30fps(N), H.265+/H.265/H.264+&amp;H.264, DWDR, 3D DNR, BLC, Warm light range: up to 30m, DC12V &amp; PoE, Support mobile monitoring via Hik-Connect, power supply is not included</v>
      </c>
      <c r="D151" s="4" t="str">
        <f>IFERROR(__xludf.DUMMYFUNCTION("""COMPUTED_VALUE"""),"HIKVISION")</f>
        <v>HIKVISION</v>
      </c>
      <c r="E151" s="4" t="str">
        <f>IFERROR(__xludf.DUMMYFUNCTION("""COMPUTED_VALUE"""),"DS-2CD1127G2H-LIU")</f>
        <v>DS-2CD1127G2H-LIU</v>
      </c>
      <c r="F151" s="4" t="str">
        <f>IFERROR(__xludf.DUMMYFUNCTION("""COMPUTED_VALUE"""),"CCTV &gt; CAMARAS IP WIFI")</f>
        <v>CCTV &gt; CAMARAS IP WIFI</v>
      </c>
      <c r="G151" s="5"/>
      <c r="H151" s="6">
        <f>IFERROR(__xludf.DUMMYFUNCTION("""COMPUTED_VALUE"""),107.8)</f>
        <v>107.8</v>
      </c>
      <c r="I151" s="7">
        <f>IFERROR(__xludf.DUMMYFUNCTION("""COMPUTED_VALUE"""),21.0)</f>
        <v>21</v>
      </c>
      <c r="J151" s="6">
        <f>IFERROR(__xludf.DUMMYFUNCTION("""COMPUTED_VALUE"""),129.36)</f>
        <v>129.36</v>
      </c>
      <c r="K151" s="6">
        <f>IFERROR(__xludf.DUMMYFUNCTION("""COMPUTED_VALUE"""),150.92)</f>
        <v>150.92</v>
      </c>
      <c r="L151" s="3"/>
      <c r="M151" s="3"/>
    </row>
    <row r="152" ht="48.0" customHeight="1">
      <c r="A152" s="3" t="str">
        <f>IFERROR(__xludf.DUMMYFUNCTION("""COMPUTED_VALUE"""),"DS-2CD1327G2-L")</f>
        <v>DS-2CD1327G2-L</v>
      </c>
      <c r="B152" s="4" t="str">
        <f>IFERROR(__xludf.DUMMYFUNCTION("""COMPUTED_VALUE"""),"CAMARA TURRET COLORVU 2MP")</f>
        <v>CAMARA TURRET COLORVU 2MP</v>
      </c>
      <c r="C152" s="4" t="str">
        <f>IFERROR(__xludf.DUMMYFUNCTION("""COMPUTED_VALUE"""),"Domo Turret IP 2MP ColorVu 1/2.7"" Progressive CMOS, ICR,1920 × 1080: 25fps(P)/30fps(N), H.265+/H.265/H.264+&amp;H.264, DWDR, 3D DNR, BLC, Warm light range: up to 30m, DC12V &amp; PoE, Support mobile monitoring via Hik-Connect power supply is not included")</f>
        <v>Domo Turret IP 2MP ColorVu 1/2.7" Progressive CMOS, ICR,1920 × 1080: 25fps(P)/30fps(N), H.265+/H.265/H.264+&amp;H.264, DWDR, 3D DNR, BLC, Warm light range: up to 30m, DC12V &amp; PoE, Support mobile monitoring via Hik-Connect power supply is not included</v>
      </c>
      <c r="D152" s="4" t="str">
        <f>IFERROR(__xludf.DUMMYFUNCTION("""COMPUTED_VALUE"""),"HIKVISION")</f>
        <v>HIKVISION</v>
      </c>
      <c r="E152" s="4" t="str">
        <f>IFERROR(__xludf.DUMMYFUNCTION("""COMPUTED_VALUE"""),"DS-2CD1327G2-L")</f>
        <v>DS-2CD1327G2-L</v>
      </c>
      <c r="F152" s="4" t="str">
        <f>IFERROR(__xludf.DUMMYFUNCTION("""COMPUTED_VALUE"""),"CCTV &gt; CAMARAS IP WIFI")</f>
        <v>CCTV &gt; CAMARAS IP WIFI</v>
      </c>
      <c r="G152" s="5"/>
      <c r="H152" s="6">
        <f>IFERROR(__xludf.DUMMYFUNCTION("""COMPUTED_VALUE"""),91.3)</f>
        <v>91.3</v>
      </c>
      <c r="I152" s="7">
        <f>IFERROR(__xludf.DUMMYFUNCTION("""COMPUTED_VALUE"""),21.0)</f>
        <v>21</v>
      </c>
      <c r="J152" s="6">
        <f>IFERROR(__xludf.DUMMYFUNCTION("""COMPUTED_VALUE"""),109.56)</f>
        <v>109.56</v>
      </c>
      <c r="K152" s="6">
        <f>IFERROR(__xludf.DUMMYFUNCTION("""COMPUTED_VALUE"""),127.82)</f>
        <v>127.82</v>
      </c>
      <c r="L152" s="3"/>
      <c r="M152" s="3"/>
    </row>
    <row r="153" ht="48.0" customHeight="1">
      <c r="A153" s="3" t="str">
        <f>IFERROR(__xludf.DUMMYFUNCTION("""COMPUTED_VALUE"""),"DS-2CD1327G2H-LIU")</f>
        <v>DS-2CD1327G2H-LIU</v>
      </c>
      <c r="B153" s="4" t="str">
        <f>IFERROR(__xludf.DUMMYFUNCTION("""COMPUTED_VALUE"""),"CAMARA TURRET COLORVU 2MP")</f>
        <v>CAMARA TURRET COLORVU 2MP</v>
      </c>
      <c r="C153" s="4" t="str">
        <f>IFERROR(__xludf.DUMMYFUNCTION("""COMPUTED_VALUE"""),"Domo Turret IP 2MP ColorVu con luz híbrida inteligente.Respaldar la detección de seres humanos y vehículos H.265+ Micrófono incorporado para seguridad de audio en tiempo real. Resistente al agua y al polvo (IP67)")</f>
        <v>Domo Turret IP 2MP ColorVu con luz híbrida inteligente.Respaldar la detección de seres humanos y vehículos H.265+ Micrófono incorporado para seguridad de audio en tiempo real. Resistente al agua y al polvo (IP67)</v>
      </c>
      <c r="D153" s="4" t="str">
        <f>IFERROR(__xludf.DUMMYFUNCTION("""COMPUTED_VALUE"""),"HIKVISION")</f>
        <v>HIKVISION</v>
      </c>
      <c r="E153" s="4" t="str">
        <f>IFERROR(__xludf.DUMMYFUNCTION("""COMPUTED_VALUE"""),"DS-2CD1327G2H-LIU")</f>
        <v>DS-2CD1327G2H-LIU</v>
      </c>
      <c r="F153" s="4" t="str">
        <f>IFERROR(__xludf.DUMMYFUNCTION("""COMPUTED_VALUE"""),"CCTV &gt; CAMARAS IP WIFI")</f>
        <v>CCTV &gt; CAMARAS IP WIFI</v>
      </c>
      <c r="G153" s="5"/>
      <c r="H153" s="6">
        <f>IFERROR(__xludf.DUMMYFUNCTION("""COMPUTED_VALUE"""),95.7)</f>
        <v>95.7</v>
      </c>
      <c r="I153" s="7">
        <f>IFERROR(__xludf.DUMMYFUNCTION("""COMPUTED_VALUE"""),21.0)</f>
        <v>21</v>
      </c>
      <c r="J153" s="6">
        <f>IFERROR(__xludf.DUMMYFUNCTION("""COMPUTED_VALUE"""),114.84)</f>
        <v>114.84</v>
      </c>
      <c r="K153" s="6">
        <f>IFERROR(__xludf.DUMMYFUNCTION("""COMPUTED_VALUE"""),133.98)</f>
        <v>133.98</v>
      </c>
      <c r="L153" s="3"/>
      <c r="M153" s="3"/>
    </row>
    <row r="154" ht="48.0" customHeight="1">
      <c r="A154" s="3" t="str">
        <f>IFERROR(__xludf.DUMMYFUNCTION("""COMPUTED_VALUE"""),"DS-2CD2121G0-I")</f>
        <v>DS-2CD2121G0-I</v>
      </c>
      <c r="B154" s="4" t="str">
        <f>IFERROR(__xludf.DUMMYFUNCTION("""COMPUTED_VALUE"""),"CAMARA DOMO 2MP")</f>
        <v>CAMARA DOMO 2MP</v>
      </c>
      <c r="C154" s="4" t="str">
        <f>IFERROR(__xludf.DUMMYFUNCTION("""COMPUTED_VALUE"""),"Domo IP 2MP, lente 2.8mm, H265+, IR 20m, IP67/IK10. Gira en 3 ejes")</f>
        <v>Domo IP 2MP, lente 2.8mm, H265+, IR 20m, IP67/IK10. Gira en 3 ejes</v>
      </c>
      <c r="D154" s="4" t="str">
        <f>IFERROR(__xludf.DUMMYFUNCTION("""COMPUTED_VALUE"""),"HIKVISION")</f>
        <v>HIKVISION</v>
      </c>
      <c r="E154" s="4" t="str">
        <f>IFERROR(__xludf.DUMMYFUNCTION("""COMPUTED_VALUE"""),"DS-2CD2121G0-I")</f>
        <v>DS-2CD2121G0-I</v>
      </c>
      <c r="F154" s="4" t="str">
        <f>IFERROR(__xludf.DUMMYFUNCTION("""COMPUTED_VALUE"""),"CCTV &gt; CAMARAS IP WIFI")</f>
        <v>CCTV &gt; CAMARAS IP WIFI</v>
      </c>
      <c r="G154" s="5"/>
      <c r="H154" s="6">
        <f>IFERROR(__xludf.DUMMYFUNCTION("""COMPUTED_VALUE"""),95.7)</f>
        <v>95.7</v>
      </c>
      <c r="I154" s="7">
        <f>IFERROR(__xludf.DUMMYFUNCTION("""COMPUTED_VALUE"""),21.0)</f>
        <v>21</v>
      </c>
      <c r="J154" s="6">
        <f>IFERROR(__xludf.DUMMYFUNCTION("""COMPUTED_VALUE"""),114.84)</f>
        <v>114.84</v>
      </c>
      <c r="K154" s="6">
        <f>IFERROR(__xludf.DUMMYFUNCTION("""COMPUTED_VALUE"""),133.98)</f>
        <v>133.98</v>
      </c>
      <c r="L154" s="3"/>
      <c r="M154" s="3"/>
    </row>
    <row r="155" ht="48.0" customHeight="1">
      <c r="A155" s="3" t="str">
        <f>IFERROR(__xludf.DUMMYFUNCTION("""COMPUTED_VALUE"""),"DS-2CD1723G0-IZ")</f>
        <v>DS-2CD1723G0-IZ</v>
      </c>
      <c r="B155" s="4" t="str">
        <f>IFERROR(__xludf.DUMMYFUNCTION("""COMPUTED_VALUE"""),"CAMARA DOMO 2MP")</f>
        <v>CAMARA DOMO 2MP</v>
      </c>
      <c r="C155" s="4" t="str">
        <f>IFERROR(__xludf.DUMMYFUNCTION("""COMPUTED_VALUE"""),"Domo IP 2MP Motorized Varifocal 2.8 to 12 mm, H265+, IR 30m, IP67")</f>
        <v>Domo IP 2MP Motorized Varifocal 2.8 to 12 mm, H265+, IR 30m, IP67</v>
      </c>
      <c r="D155" s="4" t="str">
        <f>IFERROR(__xludf.DUMMYFUNCTION("""COMPUTED_VALUE"""),"HIKVISION")</f>
        <v>HIKVISION</v>
      </c>
      <c r="E155" s="4" t="str">
        <f>IFERROR(__xludf.DUMMYFUNCTION("""COMPUTED_VALUE"""),"DS-2CD1723G0-IZ")</f>
        <v>DS-2CD1723G0-IZ</v>
      </c>
      <c r="F155" s="4" t="str">
        <f>IFERROR(__xludf.DUMMYFUNCTION("""COMPUTED_VALUE"""),"CCTV &gt; CAMARAS IP WIFI")</f>
        <v>CCTV &gt; CAMARAS IP WIFI</v>
      </c>
      <c r="G155" s="5"/>
      <c r="H155" s="6">
        <f>IFERROR(__xludf.DUMMYFUNCTION("""COMPUTED_VALUE"""),99.0)</f>
        <v>99</v>
      </c>
      <c r="I155" s="7">
        <f>IFERROR(__xludf.DUMMYFUNCTION("""COMPUTED_VALUE"""),21.0)</f>
        <v>21</v>
      </c>
      <c r="J155" s="6">
        <f>IFERROR(__xludf.DUMMYFUNCTION("""COMPUTED_VALUE"""),118.8)</f>
        <v>118.8</v>
      </c>
      <c r="K155" s="6">
        <f>IFERROR(__xludf.DUMMYFUNCTION("""COMPUTED_VALUE"""),138.6)</f>
        <v>138.6</v>
      </c>
      <c r="L155" s="3"/>
      <c r="M155" s="3"/>
    </row>
    <row r="156" ht="48.0" customHeight="1">
      <c r="A156" s="3" t="str">
        <f>IFERROR(__xludf.DUMMYFUNCTION("""COMPUTED_VALUE"""),"DS-2CD1723G2-IZ")</f>
        <v>DS-2CD1723G2-IZ</v>
      </c>
      <c r="B156" s="4" t="str">
        <f>IFERROR(__xludf.DUMMYFUNCTION("""COMPUTED_VALUE"""),"CAMARA DOMO 2MP")</f>
        <v>CAMARA DOMO 2MP</v>
      </c>
      <c r="C156" s="4" t="str">
        <f>IFERROR(__xludf.DUMMYFUNCTION("""COMPUTED_VALUE"""),"Domo IP 2MP Motorized Varifocal 2.8 to 12 mm, 1/3"" Progressive CMOS, ICR,1920 × 1080: 25fps(P)/30fps(N), H.265+/H.265/H.264+&amp;H.264, DWDR, 3D DNR, BLC, IR range: up to 50m, Build-in SD Card Slot (up to 256GB), DC12V &amp; PoE, Support mobile monitoring via Hi"&amp;"k-Connect Power supply is not included")</f>
        <v>Domo IP 2MP Motorized Varifocal 2.8 to 12 mm, 1/3" Progressive CMOS, ICR,1920 × 1080: 25fps(P)/30fps(N), H.265+/H.265/H.264+&amp;H.264, DWDR, 3D DNR, BLC, IR range: up to 50m, Build-in SD Card Slot (up to 256GB), DC12V &amp; PoE, Support mobile monitoring via Hik-Connect Power supply is not included</v>
      </c>
      <c r="D156" s="4" t="str">
        <f>IFERROR(__xludf.DUMMYFUNCTION("""COMPUTED_VALUE"""),"HIKVISION")</f>
        <v>HIKVISION</v>
      </c>
      <c r="E156" s="4" t="str">
        <f>IFERROR(__xludf.DUMMYFUNCTION("""COMPUTED_VALUE"""),"DS-2CD1723G2-IZ")</f>
        <v>DS-2CD1723G2-IZ</v>
      </c>
      <c r="F156" s="4" t="str">
        <f>IFERROR(__xludf.DUMMYFUNCTION("""COMPUTED_VALUE"""),"CCTV &gt; CAMARAS IP WIFI")</f>
        <v>CCTV &gt; CAMARAS IP WIFI</v>
      </c>
      <c r="G156" s="5"/>
      <c r="H156" s="6">
        <f>IFERROR(__xludf.DUMMYFUNCTION("""COMPUTED_VALUE"""),148.5)</f>
        <v>148.5</v>
      </c>
      <c r="I156" s="7">
        <f>IFERROR(__xludf.DUMMYFUNCTION("""COMPUTED_VALUE"""),21.0)</f>
        <v>21</v>
      </c>
      <c r="J156" s="6">
        <f>IFERROR(__xludf.DUMMYFUNCTION("""COMPUTED_VALUE"""),178.2)</f>
        <v>178.2</v>
      </c>
      <c r="K156" s="6">
        <f>IFERROR(__xludf.DUMMYFUNCTION("""COMPUTED_VALUE"""),207.9)</f>
        <v>207.9</v>
      </c>
      <c r="L156" s="3"/>
      <c r="M156" s="3"/>
    </row>
    <row r="157" ht="48.0" customHeight="1">
      <c r="A157" s="3" t="str">
        <f>IFERROR(__xludf.DUMMYFUNCTION("""COMPUTED_VALUE"""),"DS-2CD2123G2-IS")</f>
        <v>DS-2CD2123G2-IS</v>
      </c>
      <c r="B157" s="4" t="str">
        <f>IFERROR(__xludf.DUMMYFUNCTION("""COMPUTED_VALUE"""),"CAMARA DOMO ACUSENSE 2MP")</f>
        <v>CAMARA DOMO ACUSENSE 2MP</v>
      </c>
      <c r="C157" s="4" t="str">
        <f>IFERROR(__xludf.DUMMYFUNCTION("""COMPUTED_VALUE"""),"Domo IP 2MP ACUSENSE, lente Varifocal 2.8mm, H265+, IP67, IK10, IR 30m, entrada de audio y Built-in micro SD/SDHC/SDXC slot")</f>
        <v>Domo IP 2MP ACUSENSE, lente Varifocal 2.8mm, H265+, IP67, IK10, IR 30m, entrada de audio y Built-in micro SD/SDHC/SDXC slot</v>
      </c>
      <c r="D157" s="4" t="str">
        <f>IFERROR(__xludf.DUMMYFUNCTION("""COMPUTED_VALUE"""),"HIKVISION")</f>
        <v>HIKVISION</v>
      </c>
      <c r="E157" s="4" t="str">
        <f>IFERROR(__xludf.DUMMYFUNCTION("""COMPUTED_VALUE"""),"DS-2CD2123G2-IS")</f>
        <v>DS-2CD2123G2-IS</v>
      </c>
      <c r="F157" s="4" t="str">
        <f>IFERROR(__xludf.DUMMYFUNCTION("""COMPUTED_VALUE"""),"CCTV &gt; CAMARAS IP WIFI")</f>
        <v>CCTV &gt; CAMARAS IP WIFI</v>
      </c>
      <c r="G157" s="5"/>
      <c r="H157" s="6">
        <f>IFERROR(__xludf.DUMMYFUNCTION("""COMPUTED_VALUE"""),234.3)</f>
        <v>234.3</v>
      </c>
      <c r="I157" s="7">
        <f>IFERROR(__xludf.DUMMYFUNCTION("""COMPUTED_VALUE"""),21.0)</f>
        <v>21</v>
      </c>
      <c r="J157" s="6">
        <f>IFERROR(__xludf.DUMMYFUNCTION("""COMPUTED_VALUE"""),281.16)</f>
        <v>281.16</v>
      </c>
      <c r="K157" s="6">
        <f>IFERROR(__xludf.DUMMYFUNCTION("""COMPUTED_VALUE"""),328.02)</f>
        <v>328.02</v>
      </c>
      <c r="L157" s="3"/>
      <c r="M157" s="3"/>
    </row>
    <row r="158" ht="48.0" customHeight="1">
      <c r="A158" s="3" t="str">
        <f>IFERROR(__xludf.DUMMYFUNCTION("""COMPUTED_VALUE"""),"DS-2CD2723G2-IZS")</f>
        <v>DS-2CD2723G2-IZS</v>
      </c>
      <c r="B158" s="4" t="str">
        <f>IFERROR(__xludf.DUMMYFUNCTION("""COMPUTED_VALUE"""),"CAMARA DOMO ACUSENSE 2MP")</f>
        <v>CAMARA DOMO ACUSENSE 2MP</v>
      </c>
      <c r="C158" s="4" t="str">
        <f>IFERROR(__xludf.DUMMYFUNCTION("""COMPUTED_VALUE"""),"Domo IP 2MP ACUSENSE, Motorized Varifocal 2.8 to 12 mm. 1/2.8"" Progressive Scan CMOS; H.265+/H.265/H.264+/H.264/MJPEG; Color: 0.005 Lux @ (F1.6, AGC ON), 0 lux with IR; 25fps/30fps(1920×1080); EXIR, up to 40m; Audio/Alarm IO; DC12V&amp;PoE; Built-in micro SD"&amp;"/SDHC/SDXC slot; HIK-Connect cloud service. Water and dust resistant (IP67) and vandal proof (IK10)")</f>
        <v>Domo IP 2MP ACUSENSE, Motorized Varifocal 2.8 to 12 mm. 1/2.8" Progressive Scan CMOS; H.265+/H.265/H.264+/H.264/MJPEG; Color: 0.005 Lux @ (F1.6, AGC ON), 0 lux with IR; 25fps/30fps(1920×1080); EXIR, up to 40m; Audio/Alarm IO; DC12V&amp;PoE; Built-in micro SD/SDHC/SDXC slot; HIK-Connect cloud service. Water and dust resistant (IP67) and vandal proof (IK10)</v>
      </c>
      <c r="D158" s="4" t="str">
        <f>IFERROR(__xludf.DUMMYFUNCTION("""COMPUTED_VALUE"""),"HIKVISION")</f>
        <v>HIKVISION</v>
      </c>
      <c r="E158" s="4" t="str">
        <f>IFERROR(__xludf.DUMMYFUNCTION("""COMPUTED_VALUE"""),"DS-2CD2723G2-IZS")</f>
        <v>DS-2CD2723G2-IZS</v>
      </c>
      <c r="F158" s="4" t="str">
        <f>IFERROR(__xludf.DUMMYFUNCTION("""COMPUTED_VALUE"""),"CCTV &gt; CAMARAS IP WIFI")</f>
        <v>CCTV &gt; CAMARAS IP WIFI</v>
      </c>
      <c r="G158" s="5"/>
      <c r="H158" s="6">
        <f>IFERROR(__xludf.DUMMYFUNCTION("""COMPUTED_VALUE"""),393.8)</f>
        <v>393.8</v>
      </c>
      <c r="I158" s="7">
        <f>IFERROR(__xludf.DUMMYFUNCTION("""COMPUTED_VALUE"""),21.0)</f>
        <v>21</v>
      </c>
      <c r="J158" s="6">
        <f>IFERROR(__xludf.DUMMYFUNCTION("""COMPUTED_VALUE"""),472.56)</f>
        <v>472.56</v>
      </c>
      <c r="K158" s="6">
        <f>IFERROR(__xludf.DUMMYFUNCTION("""COMPUTED_VALUE"""),551.32)</f>
        <v>551.32</v>
      </c>
      <c r="L158" s="3"/>
      <c r="M158" s="3"/>
    </row>
    <row r="159" ht="48.0" customHeight="1">
      <c r="A159" s="3" t="str">
        <f>IFERROR(__xludf.DUMMYFUNCTION("""COMPUTED_VALUE"""),"DS-2CD2123G2-IU")</f>
        <v>DS-2CD2123G2-IU</v>
      </c>
      <c r="B159" s="4" t="str">
        <f>IFERROR(__xludf.DUMMYFUNCTION("""COMPUTED_VALUE"""),"CAMARA DOMO 2MP")</f>
        <v>CAMARA DOMO 2MP</v>
      </c>
      <c r="C159" s="4" t="str">
        <f>IFERROR(__xludf.DUMMYFUNCTION("""COMPUTED_VALUE"""),"Domo IP 2MP 1/2.8"" Progressive Scan CMOS; H.265+/H.265/H.264+/H.264/MJPEG; Color: 0.005 Lux @ (F1.6, AGC ON), 0 lux with IR; 25fps/30fps(1920×1080); VCA functions; 3 streams; 3D DNR; BLC/HLC; ICR; EXIR, up to 30m; DC12V&amp;PoE; Built-in micro SD/SDHC/SDXC s"&amp;"lot; HIK-Connect cloud service Built-in microphone")</f>
        <v>Domo IP 2MP 1/2.8" Progressive Scan CMOS; H.265+/H.265/H.264+/H.264/MJPEG; Color: 0.005 Lux @ (F1.6, AGC ON), 0 lux with IR; 25fps/30fps(1920×1080); VCA functions; 3 streams; 3D DNR; BLC/HLC; ICR; EXIR, up to 30m; DC12V&amp;PoE; Built-in micro SD/SDHC/SDXC slot; HIK-Connect cloud service Built-in microphone</v>
      </c>
      <c r="D159" s="4" t="str">
        <f>IFERROR(__xludf.DUMMYFUNCTION("""COMPUTED_VALUE"""),"HIKVISION")</f>
        <v>HIKVISION</v>
      </c>
      <c r="E159" s="4" t="str">
        <f>IFERROR(__xludf.DUMMYFUNCTION("""COMPUTED_VALUE"""),"DS-2CD2123G2-IU")</f>
        <v>DS-2CD2123G2-IU</v>
      </c>
      <c r="F159" s="4" t="str">
        <f>IFERROR(__xludf.DUMMYFUNCTION("""COMPUTED_VALUE"""),"CCTV &gt; CAMARAS IP WIFI")</f>
        <v>CCTV &gt; CAMARAS IP WIFI</v>
      </c>
      <c r="G159" s="5"/>
      <c r="H159" s="6">
        <f>IFERROR(__xludf.DUMMYFUNCTION("""COMPUTED_VALUE"""),229.9)</f>
        <v>229.9</v>
      </c>
      <c r="I159" s="7">
        <f>IFERROR(__xludf.DUMMYFUNCTION("""COMPUTED_VALUE"""),21.0)</f>
        <v>21</v>
      </c>
      <c r="J159" s="6">
        <f>IFERROR(__xludf.DUMMYFUNCTION("""COMPUTED_VALUE"""),275.88)</f>
        <v>275.88</v>
      </c>
      <c r="K159" s="6">
        <f>IFERROR(__xludf.DUMMYFUNCTION("""COMPUTED_VALUE"""),321.86)</f>
        <v>321.86</v>
      </c>
      <c r="L159" s="3"/>
      <c r="M159" s="3"/>
    </row>
    <row r="160" ht="48.0" customHeight="1">
      <c r="A160" s="3" t="str">
        <f>IFERROR(__xludf.DUMMYFUNCTION("""COMPUTED_VALUE"""),"DS-2CD1023G0E-I")</f>
        <v>DS-2CD1023G0E-I</v>
      </c>
      <c r="B160" s="4" t="str">
        <f>IFERROR(__xludf.DUMMYFUNCTION("""COMPUTED_VALUE"""),"CAMARA BULLET 2MP")</f>
        <v>CAMARA BULLET 2MP</v>
      </c>
      <c r="C160" s="4" t="str">
        <f>IFERROR(__xludf.DUMMYFUNCTION("""COMPUTED_VALUE"""),"Cámara IP Tipo Bullet 2MP 2MPX, 1/2.8"" progressive scan CMOS 1920 x 1080, IR30M 2.8 mm fixed lens")</f>
        <v>Cámara IP Tipo Bullet 2MP 2MPX, 1/2.8" progressive scan CMOS 1920 x 1080, IR30M 2.8 mm fixed lens</v>
      </c>
      <c r="D160" s="4" t="str">
        <f>IFERROR(__xludf.DUMMYFUNCTION("""COMPUTED_VALUE"""),"HIKVISION")</f>
        <v>HIKVISION</v>
      </c>
      <c r="E160" s="4" t="str">
        <f>IFERROR(__xludf.DUMMYFUNCTION("""COMPUTED_VALUE"""),"DS-2CD1023G0E-I")</f>
        <v>DS-2CD1023G0E-I</v>
      </c>
      <c r="F160" s="4" t="str">
        <f>IFERROR(__xludf.DUMMYFUNCTION("""COMPUTED_VALUE"""),"CCTV &gt; CAMARAS IP WIFI")</f>
        <v>CCTV &gt; CAMARAS IP WIFI</v>
      </c>
      <c r="G160" s="5"/>
      <c r="H160" s="6">
        <f>IFERROR(__xludf.DUMMYFUNCTION("""COMPUTED_VALUE"""),64.9)</f>
        <v>64.9</v>
      </c>
      <c r="I160" s="7">
        <f>IFERROR(__xludf.DUMMYFUNCTION("""COMPUTED_VALUE"""),21.0)</f>
        <v>21</v>
      </c>
      <c r="J160" s="6">
        <f>IFERROR(__xludf.DUMMYFUNCTION("""COMPUTED_VALUE"""),77.88)</f>
        <v>77.88</v>
      </c>
      <c r="K160" s="6">
        <f>IFERROR(__xludf.DUMMYFUNCTION("""COMPUTED_VALUE"""),90.86)</f>
        <v>90.86</v>
      </c>
      <c r="L160" s="3"/>
      <c r="M160" s="3"/>
    </row>
    <row r="161" ht="48.0" customHeight="1">
      <c r="A161" s="3" t="str">
        <f>IFERROR(__xludf.DUMMYFUNCTION("""COMPUTED_VALUE"""),"DS-2CD1023G2-I")</f>
        <v>DS-2CD1023G2-I</v>
      </c>
      <c r="B161" s="4" t="str">
        <f>IFERROR(__xludf.DUMMYFUNCTION("""COMPUTED_VALUE"""),"CAMARA BULLET 2MP")</f>
        <v>CAMARA BULLET 2MP</v>
      </c>
      <c r="C161" s="4" t="str">
        <f>IFERROR(__xludf.DUMMYFUNCTION("""COMPUTED_VALUE"""),"Cámara IP Tipo Bullet 2MP 1/3"" Progressive CMOS, ICR,1920 × 1080: 25fps(P)/30fps(N), H.265+/H.265/H.264+&amp;H.264, DWDR, 3D DNR, BLC, IR range: up to 30m, DC12V &amp; PoE, Support mobile monitoring via Hik-Connect ,power supply is not included")</f>
        <v>Cámara IP Tipo Bullet 2MP 1/3" Progressive CMOS, ICR,1920 × 1080: 25fps(P)/30fps(N), H.265+/H.265/H.264+&amp;H.264, DWDR, 3D DNR, BLC, IR range: up to 30m, DC12V &amp; PoE, Support mobile monitoring via Hik-Connect ,power supply is not included</v>
      </c>
      <c r="D161" s="4" t="str">
        <f>IFERROR(__xludf.DUMMYFUNCTION("""COMPUTED_VALUE"""),"HIKVISION")</f>
        <v>HIKVISION</v>
      </c>
      <c r="E161" s="4" t="str">
        <f>IFERROR(__xludf.DUMMYFUNCTION("""COMPUTED_VALUE"""),"DS-2CD1023G2-I")</f>
        <v>DS-2CD1023G2-I</v>
      </c>
      <c r="F161" s="4" t="str">
        <f>IFERROR(__xludf.DUMMYFUNCTION("""COMPUTED_VALUE"""),"CCTV &gt; CAMARAS IP WIFI")</f>
        <v>CCTV &gt; CAMARAS IP WIFI</v>
      </c>
      <c r="G161" s="5"/>
      <c r="H161" s="6">
        <f>IFERROR(__xludf.DUMMYFUNCTION("""COMPUTED_VALUE"""),71.5)</f>
        <v>71.5</v>
      </c>
      <c r="I161" s="7">
        <f>IFERROR(__xludf.DUMMYFUNCTION("""COMPUTED_VALUE"""),21.0)</f>
        <v>21</v>
      </c>
      <c r="J161" s="6">
        <f>IFERROR(__xludf.DUMMYFUNCTION("""COMPUTED_VALUE"""),85.8)</f>
        <v>85.8</v>
      </c>
      <c r="K161" s="6">
        <f>IFERROR(__xludf.DUMMYFUNCTION("""COMPUTED_VALUE"""),100.1)</f>
        <v>100.1</v>
      </c>
      <c r="L161" s="3"/>
      <c r="M161" s="3"/>
    </row>
    <row r="162" ht="48.0" customHeight="1">
      <c r="A162" s="3" t="str">
        <f>IFERROR(__xludf.DUMMYFUNCTION("""COMPUTED_VALUE"""),"DS-2CD1023G2-LIU")</f>
        <v>DS-2CD1023G2-LIU</v>
      </c>
      <c r="B162" s="4" t="str">
        <f>IFERROR(__xludf.DUMMYFUNCTION("""COMPUTED_VALUE"""),"CAMARA BULLET 2MP")</f>
        <v>CAMARA BULLET 2MP</v>
      </c>
      <c r="C162" s="4" t="str">
        <f>IFERROR(__xludf.DUMMYFUNCTION("""COMPUTED_VALUE"""),"Cámara IP Tipo Bullet 2MP 1/3"" Progressive CMOS, ICR,1920 × 1080: 25fps(P)/30fps(N), H.265+/H.265/H.264+&amp;H.264, DWDR, 3D DNR, BLC, IR range: up to 30m, DC12V &amp; PoE, Support mobile monitoring via Hik-Connect ,power supply is not included con audio")</f>
        <v>Cámara IP Tipo Bullet 2MP 1/3" Progressive CMOS, ICR,1920 × 1080: 25fps(P)/30fps(N), H.265+/H.265/H.264+&amp;H.264, DWDR, 3D DNR, BLC, IR range: up to 30m, DC12V &amp; PoE, Support mobile monitoring via Hik-Connect ,power supply is not included con audio</v>
      </c>
      <c r="D162" s="4" t="str">
        <f>IFERROR(__xludf.DUMMYFUNCTION("""COMPUTED_VALUE"""),"HIKVISION")</f>
        <v>HIKVISION</v>
      </c>
      <c r="E162" s="4" t="str">
        <f>IFERROR(__xludf.DUMMYFUNCTION("""COMPUTED_VALUE"""),"DS-2CD1023G2-LIU")</f>
        <v>DS-2CD1023G2-LIU</v>
      </c>
      <c r="F162" s="4" t="str">
        <f>IFERROR(__xludf.DUMMYFUNCTION("""COMPUTED_VALUE"""),"CCTV &gt; CAMARAS IP WIFI")</f>
        <v>CCTV &gt; CAMARAS IP WIFI</v>
      </c>
      <c r="G162" s="5"/>
      <c r="H162" s="6">
        <f>IFERROR(__xludf.DUMMYFUNCTION("""COMPUTED_VALUE"""),68.2)</f>
        <v>68.2</v>
      </c>
      <c r="I162" s="7">
        <f>IFERROR(__xludf.DUMMYFUNCTION("""COMPUTED_VALUE"""),21.0)</f>
        <v>21</v>
      </c>
      <c r="J162" s="6">
        <f>IFERROR(__xludf.DUMMYFUNCTION("""COMPUTED_VALUE"""),81.84)</f>
        <v>81.84</v>
      </c>
      <c r="K162" s="6">
        <f>IFERROR(__xludf.DUMMYFUNCTION("""COMPUTED_VALUE"""),95.48)</f>
        <v>95.48</v>
      </c>
      <c r="L162" s="3"/>
      <c r="M162" s="3"/>
    </row>
    <row r="163" ht="48.0" customHeight="1">
      <c r="A163" s="3" t="str">
        <f>IFERROR(__xludf.DUMMYFUNCTION("""COMPUTED_VALUE"""),"DS-2CD1027G2-L")</f>
        <v>DS-2CD1027G2-L</v>
      </c>
      <c r="B163" s="4" t="str">
        <f>IFERROR(__xludf.DUMMYFUNCTION("""COMPUTED_VALUE"""),"CAMARA BULLET COLORVU 2MP")</f>
        <v>CAMARA BULLET COLORVU 2MP</v>
      </c>
      <c r="C163" s="4" t="str">
        <f>IFERROR(__xludf.DUMMYFUNCTION("""COMPUTED_VALUE"""),"Cámara IP Tipo Bullet 2MP 1/2.7"" ColorVu Progressive CMOS, ICR,1920 × 1080: 25fps(P)/30fps(N), H.265+/H.265/H.264+&amp;H.264, DWDR, 3D DNR, BLC, Warm light range: up to 30m, DC12V &amp; PoE, Support mobile monitoring via Hik-Connect, Power supply is not included")</f>
        <v>Cámara IP Tipo Bullet 2MP 1/2.7" ColorVu Progressive CMOS, ICR,1920 × 1080: 25fps(P)/30fps(N), H.265+/H.265/H.264+&amp;H.264, DWDR, 3D DNR, BLC, Warm light range: up to 30m, DC12V &amp; PoE, Support mobile monitoring via Hik-Connect, Power supply is not included</v>
      </c>
      <c r="D163" s="4" t="str">
        <f>IFERROR(__xludf.DUMMYFUNCTION("""COMPUTED_VALUE"""),"HIKVISION")</f>
        <v>HIKVISION</v>
      </c>
      <c r="E163" s="4" t="str">
        <f>IFERROR(__xludf.DUMMYFUNCTION("""COMPUTED_VALUE"""),"DS-2CD1027G2-L")</f>
        <v>DS-2CD1027G2-L</v>
      </c>
      <c r="F163" s="4" t="str">
        <f>IFERROR(__xludf.DUMMYFUNCTION("""COMPUTED_VALUE"""),"CCTV &gt; CAMARAS IP WIFI")</f>
        <v>CCTV &gt; CAMARAS IP WIFI</v>
      </c>
      <c r="G163" s="5"/>
      <c r="H163" s="6">
        <f>IFERROR(__xludf.DUMMYFUNCTION("""COMPUTED_VALUE"""),91.3)</f>
        <v>91.3</v>
      </c>
      <c r="I163" s="7">
        <f>IFERROR(__xludf.DUMMYFUNCTION("""COMPUTED_VALUE"""),21.0)</f>
        <v>21</v>
      </c>
      <c r="J163" s="6">
        <f>IFERROR(__xludf.DUMMYFUNCTION("""COMPUTED_VALUE"""),109.56)</f>
        <v>109.56</v>
      </c>
      <c r="K163" s="6">
        <f>IFERROR(__xludf.DUMMYFUNCTION("""COMPUTED_VALUE"""),127.82)</f>
        <v>127.82</v>
      </c>
      <c r="L163" s="3"/>
      <c r="M163" s="3"/>
    </row>
    <row r="164" ht="48.0" customHeight="1">
      <c r="A164" s="3" t="str">
        <f>IFERROR(__xludf.DUMMYFUNCTION("""COMPUTED_VALUE"""),"DS-2CD2021G1-I")</f>
        <v>DS-2CD2021G1-I</v>
      </c>
      <c r="B164" s="4" t="str">
        <f>IFERROR(__xludf.DUMMYFUNCTION("""COMPUTED_VALUE"""),"CAMARA BULLET 2MP")</f>
        <v>CAMARA BULLET 2MP</v>
      </c>
      <c r="C164" s="4" t="str">
        <f>IFERROR(__xludf.DUMMYFUNCTION("""COMPUTED_VALUE"""),"Cámara IP Tipo Bullet 2MP, 2 Mpx, lente 2.8mm, H265+, IP67, IR 30m")</f>
        <v>Cámara IP Tipo Bullet 2MP, 2 Mpx, lente 2.8mm, H265+, IP67, IR 30m</v>
      </c>
      <c r="D164" s="4" t="str">
        <f>IFERROR(__xludf.DUMMYFUNCTION("""COMPUTED_VALUE"""),"HIKVISION")</f>
        <v>HIKVISION</v>
      </c>
      <c r="E164" s="4" t="str">
        <f>IFERROR(__xludf.DUMMYFUNCTION("""COMPUTED_VALUE"""),"DS-2CD2021G1-I")</f>
        <v>DS-2CD2021G1-I</v>
      </c>
      <c r="F164" s="4" t="str">
        <f>IFERROR(__xludf.DUMMYFUNCTION("""COMPUTED_VALUE"""),"CCTV &gt; CAMARAS IP WIFI")</f>
        <v>CCTV &gt; CAMARAS IP WIFI</v>
      </c>
      <c r="G164" s="5"/>
      <c r="H164" s="6">
        <f>IFERROR(__xludf.DUMMYFUNCTION("""COMPUTED_VALUE"""),95.7)</f>
        <v>95.7</v>
      </c>
      <c r="I164" s="7">
        <f>IFERROR(__xludf.DUMMYFUNCTION("""COMPUTED_VALUE"""),21.0)</f>
        <v>21</v>
      </c>
      <c r="J164" s="6">
        <f>IFERROR(__xludf.DUMMYFUNCTION("""COMPUTED_VALUE"""),114.84)</f>
        <v>114.84</v>
      </c>
      <c r="K164" s="6">
        <f>IFERROR(__xludf.DUMMYFUNCTION("""COMPUTED_VALUE"""),133.98)</f>
        <v>133.98</v>
      </c>
      <c r="L164" s="3"/>
      <c r="M164" s="3"/>
    </row>
    <row r="165" ht="48.0" customHeight="1">
      <c r="A165" s="3" t="str">
        <f>IFERROR(__xludf.DUMMYFUNCTION("""COMPUTED_VALUE"""),"DS-2CD2023G2-I")</f>
        <v>DS-2CD2023G2-I</v>
      </c>
      <c r="B165" s="4" t="str">
        <f>IFERROR(__xludf.DUMMYFUNCTION("""COMPUTED_VALUE"""),"CAMARA BULLET 2MP")</f>
        <v>CAMARA BULLET 2MP</v>
      </c>
      <c r="C165" s="4" t="str">
        <f>IFERROR(__xludf.DUMMYFUNCTION("""COMPUTED_VALUE"""),"Cámara IP Tipo Bullet 2MP 1/2.8"" Progressive Scan CMOS; H.265+/H.265/H.264+/H.264/MJPEG; Color: 0.005 Lux @ (F1.6, AGC ON), 0 lux with IR; 25fps/30fps(1920×1080); VCA functions; 3 streams; 3D DNR; BLC/HLC; ICR; EXIR, up to 40m; DC12V&amp;PoE; SD/SDHC/SDXC sl"&amp;"ot; HIK-Connect cloud service")</f>
        <v>Cámara IP Tipo Bullet 2MP 1/2.8" Progressive Scan CMOS; H.265+/H.265/H.264+/H.264/MJPEG; Color: 0.005 Lux @ (F1.6, AGC ON), 0 lux with IR; 25fps/30fps(1920×1080); VCA functions; 3 streams; 3D DNR; BLC/HLC; ICR; EXIR, up to 40m; DC12V&amp;PoE; SD/SDHC/SDXC slot; HIK-Connect cloud service</v>
      </c>
      <c r="D165" s="4" t="str">
        <f>IFERROR(__xludf.DUMMYFUNCTION("""COMPUTED_VALUE"""),"HIKVISION")</f>
        <v>HIKVISION</v>
      </c>
      <c r="E165" s="4" t="str">
        <f>IFERROR(__xludf.DUMMYFUNCTION("""COMPUTED_VALUE"""),"DS-2CD2023G2-I")</f>
        <v>DS-2CD2023G2-I</v>
      </c>
      <c r="F165" s="4" t="str">
        <f>IFERROR(__xludf.DUMMYFUNCTION("""COMPUTED_VALUE"""),"CCTV &gt; CAMARAS IP WIFI")</f>
        <v>CCTV &gt; CAMARAS IP WIFI</v>
      </c>
      <c r="G165" s="5"/>
      <c r="H165" s="6">
        <f>IFERROR(__xludf.DUMMYFUNCTION("""COMPUTED_VALUE"""),220.0)</f>
        <v>220</v>
      </c>
      <c r="I165" s="7">
        <f>IFERROR(__xludf.DUMMYFUNCTION("""COMPUTED_VALUE"""),21.0)</f>
        <v>21</v>
      </c>
      <c r="J165" s="6">
        <f>IFERROR(__xludf.DUMMYFUNCTION("""COMPUTED_VALUE"""),264.0)</f>
        <v>264</v>
      </c>
      <c r="K165" s="6">
        <f>IFERROR(__xludf.DUMMYFUNCTION("""COMPUTED_VALUE"""),308.0)</f>
        <v>308</v>
      </c>
      <c r="L165" s="3"/>
      <c r="M165" s="3"/>
    </row>
    <row r="166" ht="48.0" customHeight="1">
      <c r="A166" s="3" t="str">
        <f>IFERROR(__xludf.DUMMYFUNCTION("""COMPUTED_VALUE"""),"DS-2CD2T23G2-2I")</f>
        <v>DS-2CD2T23G2-2I</v>
      </c>
      <c r="B166" s="4" t="str">
        <f>IFERROR(__xludf.DUMMYFUNCTION("""COMPUTED_VALUE"""),"CAMARA BULLET 2MP")</f>
        <v>CAMARA BULLET 2MP</v>
      </c>
      <c r="C166" s="4" t="str">
        <f>IFERROR(__xludf.DUMMYFUNCTION("""COMPUTED_VALUE"""),"Cámara IP Tipo Bullet 2MP 1/2.8"" Progressive Scan CMOS; H.265+/H.265/H.264+/H.264/MJPEG; Color: 0.005 Lux @ (F1.6, AGC ON), 0 lux with IR; 25fps/30fps(1920×1080); VCA functions; 3 streams; 3D DNR; BLC/HLC; ICR; DC12V&amp;PoE; Built-in micro SD/SDHC/SDXC slot"&amp;"; HIK-Connect cloud service up to 60m IR distance")</f>
        <v>Cámara IP Tipo Bullet 2MP 1/2.8" Progressive Scan CMOS; H.265+/H.265/H.264+/H.264/MJPEG; Color: 0.005 Lux @ (F1.6, AGC ON), 0 lux with IR; 25fps/30fps(1920×1080); VCA functions; 3 streams; 3D DNR; BLC/HLC; ICR; DC12V&amp;PoE; Built-in micro SD/SDHC/SDXC slot; HIK-Connect cloud service up to 60m IR distance</v>
      </c>
      <c r="D166" s="4" t="str">
        <f>IFERROR(__xludf.DUMMYFUNCTION("""COMPUTED_VALUE"""),"HIKVISION")</f>
        <v>HIKVISION</v>
      </c>
      <c r="E166" s="4" t="str">
        <f>IFERROR(__xludf.DUMMYFUNCTION("""COMPUTED_VALUE"""),"DS-2CD2T23G2-2I")</f>
        <v>DS-2CD2T23G2-2I</v>
      </c>
      <c r="F166" s="4" t="str">
        <f>IFERROR(__xludf.DUMMYFUNCTION("""COMPUTED_VALUE"""),"CCTV &gt; CAMARAS IP WIFI")</f>
        <v>CCTV &gt; CAMARAS IP WIFI</v>
      </c>
      <c r="G166" s="5"/>
      <c r="H166" s="6">
        <f>IFERROR(__xludf.DUMMYFUNCTION("""COMPUTED_VALUE"""),251.9)</f>
        <v>251.9</v>
      </c>
      <c r="I166" s="7">
        <f>IFERROR(__xludf.DUMMYFUNCTION("""COMPUTED_VALUE"""),21.0)</f>
        <v>21</v>
      </c>
      <c r="J166" s="6">
        <f>IFERROR(__xludf.DUMMYFUNCTION("""COMPUTED_VALUE"""),302.28)</f>
        <v>302.28</v>
      </c>
      <c r="K166" s="6">
        <f>IFERROR(__xludf.DUMMYFUNCTION("""COMPUTED_VALUE"""),352.66)</f>
        <v>352.66</v>
      </c>
      <c r="L166" s="3"/>
      <c r="M166" s="3"/>
    </row>
    <row r="167" ht="48.0" customHeight="1">
      <c r="A167" s="3" t="str">
        <f>IFERROR(__xludf.DUMMYFUNCTION("""COMPUTED_VALUE"""),"DS-2CD1623G0-IZ")</f>
        <v>DS-2CD1623G0-IZ</v>
      </c>
      <c r="B167" s="4" t="str">
        <f>IFERROR(__xludf.DUMMYFUNCTION("""COMPUTED_VALUE"""),"CAMARA BULLET 2MP")</f>
        <v>CAMARA BULLET 2MP</v>
      </c>
      <c r="C167" s="4" t="str">
        <f>IFERROR(__xludf.DUMMYFUNCTION("""COMPUTED_VALUE"""),"Cámara IP Tipo Bullet 2MP 2Mpx, Varifocal motorizada. 2.8-12mm, H265+, IR 30m, IP67")</f>
        <v>Cámara IP Tipo Bullet 2MP 2Mpx, Varifocal motorizada. 2.8-12mm, H265+, IR 30m, IP67</v>
      </c>
      <c r="D167" s="4" t="str">
        <f>IFERROR(__xludf.DUMMYFUNCTION("""COMPUTED_VALUE"""),"HIKVISION")</f>
        <v>HIKVISION</v>
      </c>
      <c r="E167" s="4" t="str">
        <f>IFERROR(__xludf.DUMMYFUNCTION("""COMPUTED_VALUE"""),"DS-2CD1623G0-IZ")</f>
        <v>DS-2CD1623G0-IZ</v>
      </c>
      <c r="F167" s="4" t="str">
        <f>IFERROR(__xludf.DUMMYFUNCTION("""COMPUTED_VALUE"""),"CCTV &gt; CAMARAS IP WIFI")</f>
        <v>CCTV &gt; CAMARAS IP WIFI</v>
      </c>
      <c r="G167" s="5"/>
      <c r="H167" s="6">
        <f>IFERROR(__xludf.DUMMYFUNCTION("""COMPUTED_VALUE"""),134.2)</f>
        <v>134.2</v>
      </c>
      <c r="I167" s="7">
        <f>IFERROR(__xludf.DUMMYFUNCTION("""COMPUTED_VALUE"""),21.0)</f>
        <v>21</v>
      </c>
      <c r="J167" s="6">
        <f>IFERROR(__xludf.DUMMYFUNCTION("""COMPUTED_VALUE"""),161.04)</f>
        <v>161.04</v>
      </c>
      <c r="K167" s="6">
        <f>IFERROR(__xludf.DUMMYFUNCTION("""COMPUTED_VALUE"""),187.88)</f>
        <v>187.88</v>
      </c>
      <c r="L167" s="3"/>
      <c r="M167" s="3"/>
    </row>
    <row r="168" ht="48.0" customHeight="1">
      <c r="A168" s="3" t="str">
        <f>IFERROR(__xludf.DUMMYFUNCTION("""COMPUTED_VALUE"""),"DS-2CD1623G2-IZ")</f>
        <v>DS-2CD1623G2-IZ</v>
      </c>
      <c r="B168" s="4" t="str">
        <f>IFERROR(__xludf.DUMMYFUNCTION("""COMPUTED_VALUE"""),"CAMARA BULLET 2MP")</f>
        <v>CAMARA BULLET 2MP</v>
      </c>
      <c r="C168" s="4" t="str">
        <f>IFERROR(__xludf.DUMMYFUNCTION("""COMPUTED_VALUE"""),"Cámara IP Tipo Bullet 2MP 2.8 to 12 mm motorized varifocal lens 1/3"" Progressive CMOS, ICR,1920 × 1080: 25fps(P)/30fps(N), H.265+/H.265/H.264+&amp;H.264, DWDR, 3D DNR, BLC, IR range: up to 50m, Build-in SD Card Slot (up to 256GB), DC12V &amp; PoE.")</f>
        <v>Cámara IP Tipo Bullet 2MP 2.8 to 12 mm motorized varifocal lens 1/3" Progressive CMOS, ICR,1920 × 1080: 25fps(P)/30fps(N), H.265+/H.265/H.264+&amp;H.264, DWDR, 3D DNR, BLC, IR range: up to 50m, Build-in SD Card Slot (up to 256GB), DC12V &amp; PoE.</v>
      </c>
      <c r="D168" s="4" t="str">
        <f>IFERROR(__xludf.DUMMYFUNCTION("""COMPUTED_VALUE"""),"HIKVISION")</f>
        <v>HIKVISION</v>
      </c>
      <c r="E168" s="4" t="str">
        <f>IFERROR(__xludf.DUMMYFUNCTION("""COMPUTED_VALUE"""),"DS-2CD1623G2-IZ")</f>
        <v>DS-2CD1623G2-IZ</v>
      </c>
      <c r="F168" s="4" t="str">
        <f>IFERROR(__xludf.DUMMYFUNCTION("""COMPUTED_VALUE"""),"CCTV &gt; CAMARAS IP WIFI")</f>
        <v>CCTV &gt; CAMARAS IP WIFI</v>
      </c>
      <c r="G168" s="5"/>
      <c r="H168" s="6">
        <f>IFERROR(__xludf.DUMMYFUNCTION("""COMPUTED_VALUE"""),148.5)</f>
        <v>148.5</v>
      </c>
      <c r="I168" s="7">
        <f>IFERROR(__xludf.DUMMYFUNCTION("""COMPUTED_VALUE"""),21.0)</f>
        <v>21</v>
      </c>
      <c r="J168" s="6">
        <f>IFERROR(__xludf.DUMMYFUNCTION("""COMPUTED_VALUE"""),178.2)</f>
        <v>178.2</v>
      </c>
      <c r="K168" s="6">
        <f>IFERROR(__xludf.DUMMYFUNCTION("""COMPUTED_VALUE"""),207.9)</f>
        <v>207.9</v>
      </c>
      <c r="L168" s="3"/>
      <c r="M168" s="3"/>
    </row>
    <row r="169" ht="48.0" customHeight="1">
      <c r="A169" s="3" t="str">
        <f>IFERROR(__xludf.DUMMYFUNCTION("""COMPUTED_VALUE"""),"DS2CD1623G0I")</f>
        <v>DS2CD1623G0I</v>
      </c>
      <c r="B169" s="4" t="str">
        <f>IFERROR(__xludf.DUMMYFUNCTION("""COMPUTED_VALUE"""),"CAMARA BULLET 2MP")</f>
        <v>CAMARA BULLET 2MP</v>
      </c>
      <c r="C169" s="4" t="str">
        <f>IFERROR(__xludf.DUMMYFUNCTION("""COMPUTED_VALUE"""),"Cámara IP Tipo Bullet 2MP 1/2.8"" progressive scan CMOS BLC/3D DNR/ROI 1920, 1080@30fps Up to 30 m IR range 2.8 mm to 12 mm varifocal lens IP67 H.265+, H.265, H.264+, H.264 Digital WDR Color: 0.01 Lux @ (F1.2, AGC ON), 0.018 Lux @ (F1.6, AGC ON) Built-in "&amp;"micro SD/SDHC/SDXC card slot, up to 128 GB")</f>
        <v>Cámara IP Tipo Bullet 2MP 1/2.8" progressive scan CMOS BLC/3D DNR/ROI 1920, 1080@30fps Up to 30 m IR range 2.8 mm to 12 mm varifocal lens IP67 H.265+, H.265, H.264+, H.264 Digital WDR Color: 0.01 Lux @ (F1.2, AGC ON), 0.018 Lux @ (F1.6, AGC ON) Built-in micro SD/SDHC/SDXC card slot, up to 128 GB</v>
      </c>
      <c r="D169" s="4" t="str">
        <f>IFERROR(__xludf.DUMMYFUNCTION("""COMPUTED_VALUE"""),"HIKVISION")</f>
        <v>HIKVISION</v>
      </c>
      <c r="E169" s="4" t="str">
        <f>IFERROR(__xludf.DUMMYFUNCTION("""COMPUTED_VALUE"""),"DS2CD1623G0I")</f>
        <v>DS2CD1623G0I</v>
      </c>
      <c r="F169" s="4" t="str">
        <f>IFERROR(__xludf.DUMMYFUNCTION("""COMPUTED_VALUE"""),"CCTV &gt; CAMARAS IP WIFI")</f>
        <v>CCTV &gt; CAMARAS IP WIFI</v>
      </c>
      <c r="G169" s="5"/>
      <c r="H169" s="6">
        <f>IFERROR(__xludf.DUMMYFUNCTION("""COMPUTED_VALUE"""),135.3)</f>
        <v>135.3</v>
      </c>
      <c r="I169" s="7">
        <f>IFERROR(__xludf.DUMMYFUNCTION("""COMPUTED_VALUE"""),21.0)</f>
        <v>21</v>
      </c>
      <c r="J169" s="6">
        <f>IFERROR(__xludf.DUMMYFUNCTION("""COMPUTED_VALUE"""),162.36)</f>
        <v>162.36</v>
      </c>
      <c r="K169" s="6">
        <f>IFERROR(__xludf.DUMMYFUNCTION("""COMPUTED_VALUE"""),189.42)</f>
        <v>189.42</v>
      </c>
      <c r="L169" s="3"/>
      <c r="M169" s="3"/>
    </row>
    <row r="170" ht="48.0" customHeight="1">
      <c r="A170" s="3" t="str">
        <f>IFERROR(__xludf.DUMMYFUNCTION("""COMPUTED_VALUE"""),"DS-2CD2027G2-L")</f>
        <v>DS-2CD2027G2-L</v>
      </c>
      <c r="B170" s="4" t="str">
        <f>IFERROR(__xludf.DUMMYFUNCTION("""COMPUTED_VALUE"""),"CAMARA BULLET COLORVU 2MP")</f>
        <v>CAMARA BULLET COLORVU 2MP</v>
      </c>
      <c r="C170" s="4" t="str">
        <f>IFERROR(__xludf.DUMMYFUNCTION("""COMPUTED_VALUE"""),"Cámara IP Tipo Bullet 2MP ColorVu High quality imaging with 2 MP resolution. Efficient H.265+ compression technology. Clear imaging against strong back light due to 120 dB WDR. Technology 24/7 colorful imaging. Focus on human and vehicle classification ba"&amp;"sed on deeplearning. Water and dust resistant (IP67)")</f>
        <v>Cámara IP Tipo Bullet 2MP ColorVu High quality imaging with 2 MP resolution. Efficient H.265+ compression technology. Clear imaging against strong back light due to 120 dB WDR. Technology 24/7 colorful imaging. Focus on human and vehicle classification based on deeplearning. Water and dust resistant (IP67)</v>
      </c>
      <c r="D170" s="4" t="str">
        <f>IFERROR(__xludf.DUMMYFUNCTION("""COMPUTED_VALUE"""),"HIKVISION")</f>
        <v>HIKVISION</v>
      </c>
      <c r="E170" s="4" t="str">
        <f>IFERROR(__xludf.DUMMYFUNCTION("""COMPUTED_VALUE"""),"DS-2CD2027G2-L")</f>
        <v>DS-2CD2027G2-L</v>
      </c>
      <c r="F170" s="4" t="str">
        <f>IFERROR(__xludf.DUMMYFUNCTION("""COMPUTED_VALUE"""),"CCTV &gt; CAMARAS IP WIFI")</f>
        <v>CCTV &gt; CAMARAS IP WIFI</v>
      </c>
      <c r="G170" s="5"/>
      <c r="H170" s="6">
        <f>IFERROR(__xludf.DUMMYFUNCTION("""COMPUTED_VALUE"""),243.1)</f>
        <v>243.1</v>
      </c>
      <c r="I170" s="7">
        <f>IFERROR(__xludf.DUMMYFUNCTION("""COMPUTED_VALUE"""),21.0)</f>
        <v>21</v>
      </c>
      <c r="J170" s="6">
        <f>IFERROR(__xludf.DUMMYFUNCTION("""COMPUTED_VALUE"""),291.72)</f>
        <v>291.72</v>
      </c>
      <c r="K170" s="6">
        <f>IFERROR(__xludf.DUMMYFUNCTION("""COMPUTED_VALUE"""),340.34)</f>
        <v>340.34</v>
      </c>
      <c r="L170" s="3"/>
      <c r="M170" s="3"/>
    </row>
    <row r="171" ht="48.0" customHeight="1">
      <c r="A171" s="3" t="str">
        <f>IFERROR(__xludf.DUMMYFUNCTION("""COMPUTED_VALUE"""),"DS2CD2027G2LU")</f>
        <v>DS2CD2027G2LU</v>
      </c>
      <c r="B171" s="4" t="str">
        <f>IFERROR(__xludf.DUMMYFUNCTION("""COMPUTED_VALUE"""),"CAMARA BULLET COLORVU 2MP")</f>
        <v>CAMARA BULLET COLORVU 2MP</v>
      </c>
      <c r="C171" s="4" t="str">
        <f>IFERROR(__xludf.DUMMYFUNCTION("""COMPUTED_VALUE"""),"Cámara IP Tipo Bullet 2MP ColorVu Sensor De Imagen 1/2.8"" Progressive Scan CMOS. Máxima resolución 1920 × 1080. Iluminación Mínima: 0.0005 Lux @ (F1.0, AGC ON), 0 Lux con luz blanca. Ajuste De Ángulo: Pan: 0° to 360°, tilt: 0° to 90°, rotate: 0° to 360°."&amp;" Lente fija 2.8mm. horizontal FOV 107°, vertical FOV 56°, diagonal FOV 127°. Iluminador: luz blanca, hasta 40 metros. Compresión De Video: H.265/H.264/H.265+/H.264+. WDR 120 dB. Ethernet Interface")</f>
        <v>Cámara IP Tipo Bullet 2MP ColorVu Sensor De Imagen 1/2.8" Progressive Scan CMOS. Máxima resolución 1920 × 1080. Iluminación Mínima: 0.0005 Lux @ (F1.0, AGC ON), 0 Lux con luz blanca. Ajuste De Ángulo: Pan: 0° to 360°, tilt: 0° to 90°, rotate: 0° to 360°. Lente fija 2.8mm. horizontal FOV 107°, vertical FOV 56°, diagonal FOV 127°. Iluminador: luz blanca, hasta 40 metros. Compresión De Video: H.265/H.264/H.265+/H.264+. WDR 120 dB. Ethernet Interface</v>
      </c>
      <c r="D171" s="4" t="str">
        <f>IFERROR(__xludf.DUMMYFUNCTION("""COMPUTED_VALUE"""),"HIKVISION")</f>
        <v>HIKVISION</v>
      </c>
      <c r="E171" s="4" t="str">
        <f>IFERROR(__xludf.DUMMYFUNCTION("""COMPUTED_VALUE"""),"DS2CD2027G2LU")</f>
        <v>DS2CD2027G2LU</v>
      </c>
      <c r="F171" s="4" t="str">
        <f>IFERROR(__xludf.DUMMYFUNCTION("""COMPUTED_VALUE"""),"CCTV &gt; CAMARAS IP WIFI")</f>
        <v>CCTV &gt; CAMARAS IP WIFI</v>
      </c>
      <c r="G171" s="5"/>
      <c r="H171" s="6">
        <f>IFERROR(__xludf.DUMMYFUNCTION("""COMPUTED_VALUE"""),250.8)</f>
        <v>250.8</v>
      </c>
      <c r="I171" s="7">
        <f>IFERROR(__xludf.DUMMYFUNCTION("""COMPUTED_VALUE"""),21.0)</f>
        <v>21</v>
      </c>
      <c r="J171" s="6">
        <f>IFERROR(__xludf.DUMMYFUNCTION("""COMPUTED_VALUE"""),300.96)</f>
        <v>300.96</v>
      </c>
      <c r="K171" s="6">
        <f>IFERROR(__xludf.DUMMYFUNCTION("""COMPUTED_VALUE"""),351.12)</f>
        <v>351.12</v>
      </c>
      <c r="L171" s="3"/>
      <c r="M171" s="3"/>
    </row>
    <row r="172" ht="48.0" customHeight="1">
      <c r="A172" s="3" t="str">
        <f>IFERROR(__xludf.DUMMYFUNCTION("""COMPUTED_VALUE"""),"DS-2CD1141G0-I")</f>
        <v>DS-2CD1141G0-I</v>
      </c>
      <c r="B172" s="4" t="str">
        <f>IFERROR(__xludf.DUMMYFUNCTION("""COMPUTED_VALUE"""),"CAMARA DOMO 4MP")</f>
        <v>CAMARA DOMO 4MP</v>
      </c>
      <c r="C172" s="4" t="str">
        <f>IFERROR(__xludf.DUMMYFUNCTION("""COMPUTED_VALUE"""),"Domo IP 4MP lente 2,8mm con sensor de imagen 1/3"" Progressive CMOS. Máxima resolución 2560 × 1440 @20fps. Lente fija 2.8mm. Compresión H.265+/H.265/H.264+H.264. DWDR. IR hasta 20metros. Alimentación DC12V / PoE.")</f>
        <v>Domo IP 4MP lente 2,8mm con sensor de imagen 1/3" Progressive CMOS. Máxima resolución 2560 × 1440 @20fps. Lente fija 2.8mm. Compresión H.265+/H.265/H.264+H.264. DWDR. IR hasta 20metros. Alimentación DC12V / PoE.</v>
      </c>
      <c r="D172" s="4" t="str">
        <f>IFERROR(__xludf.DUMMYFUNCTION("""COMPUTED_VALUE"""),"HIKVISION")</f>
        <v>HIKVISION</v>
      </c>
      <c r="E172" s="4" t="str">
        <f>IFERROR(__xludf.DUMMYFUNCTION("""COMPUTED_VALUE"""),"DS-2CD1141G0-I")</f>
        <v>DS-2CD1141G0-I</v>
      </c>
      <c r="F172" s="4" t="str">
        <f>IFERROR(__xludf.DUMMYFUNCTION("""COMPUTED_VALUE"""),"CCTV &gt; CAMARAS IP WIFI")</f>
        <v>CCTV &gt; CAMARAS IP WIFI</v>
      </c>
      <c r="G172" s="5"/>
      <c r="H172" s="6">
        <f>IFERROR(__xludf.DUMMYFUNCTION("""COMPUTED_VALUE"""),60.5)</f>
        <v>60.5</v>
      </c>
      <c r="I172" s="7">
        <f>IFERROR(__xludf.DUMMYFUNCTION("""COMPUTED_VALUE"""),21.0)</f>
        <v>21</v>
      </c>
      <c r="J172" s="6">
        <f>IFERROR(__xludf.DUMMYFUNCTION("""COMPUTED_VALUE"""),72.6)</f>
        <v>72.6</v>
      </c>
      <c r="K172" s="6">
        <f>IFERROR(__xludf.DUMMYFUNCTION("""COMPUTED_VALUE"""),84.7)</f>
        <v>84.7</v>
      </c>
      <c r="L172" s="3"/>
      <c r="M172" s="3"/>
    </row>
    <row r="173" ht="48.0" customHeight="1">
      <c r="A173" s="3" t="str">
        <f>IFERROR(__xludf.DUMMYFUNCTION("""COMPUTED_VALUE"""),"DS-2CD1341G0-I")</f>
        <v>DS-2CD1341G0-I</v>
      </c>
      <c r="B173" s="4" t="str">
        <f>IFERROR(__xludf.DUMMYFUNCTION("""COMPUTED_VALUE"""),"CAMARA TURRET 4MP")</f>
        <v>CAMARA TURRET 4MP</v>
      </c>
      <c r="C173" s="4" t="str">
        <f>IFERROR(__xludf.DUMMYFUNCTION("""COMPUTED_VALUE"""),"Domo Turret IP 4MP lente 2,8mm High quality imaging with 4 MP resolution. DWDR. Efficient H.265+ compression technology. Advanced infrared technology with long IR range 20m")</f>
        <v>Domo Turret IP 4MP lente 2,8mm High quality imaging with 4 MP resolution. DWDR. Efficient H.265+ compression technology. Advanced infrared technology with long IR range 20m</v>
      </c>
      <c r="D173" s="4" t="str">
        <f>IFERROR(__xludf.DUMMYFUNCTION("""COMPUTED_VALUE"""),"HIKVISION")</f>
        <v>HIKVISION</v>
      </c>
      <c r="E173" s="4" t="str">
        <f>IFERROR(__xludf.DUMMYFUNCTION("""COMPUTED_VALUE"""),"DS-2CD1341G0-I")</f>
        <v>DS-2CD1341G0-I</v>
      </c>
      <c r="F173" s="4" t="str">
        <f>IFERROR(__xludf.DUMMYFUNCTION("""COMPUTED_VALUE"""),"CCTV &gt; CAMARAS IP WIFI")</f>
        <v>CCTV &gt; CAMARAS IP WIFI</v>
      </c>
      <c r="G173" s="5"/>
      <c r="H173" s="6">
        <f>IFERROR(__xludf.DUMMYFUNCTION("""COMPUTED_VALUE"""),64.9)</f>
        <v>64.9</v>
      </c>
      <c r="I173" s="7">
        <f>IFERROR(__xludf.DUMMYFUNCTION("""COMPUTED_VALUE"""),21.0)</f>
        <v>21</v>
      </c>
      <c r="J173" s="6">
        <f>IFERROR(__xludf.DUMMYFUNCTION("""COMPUTED_VALUE"""),77.88)</f>
        <v>77.88</v>
      </c>
      <c r="K173" s="6">
        <f>IFERROR(__xludf.DUMMYFUNCTION("""COMPUTED_VALUE"""),90.86)</f>
        <v>90.86</v>
      </c>
      <c r="L173" s="3"/>
      <c r="M173" s="3"/>
    </row>
    <row r="174" ht="48.0" customHeight="1">
      <c r="A174" s="3" t="str">
        <f>IFERROR(__xludf.DUMMYFUNCTION("""COMPUTED_VALUE"""),"DS-2CD1343G2-I")</f>
        <v>DS-2CD1343G2-I</v>
      </c>
      <c r="B174" s="4" t="str">
        <f>IFERROR(__xludf.DUMMYFUNCTION("""COMPUTED_VALUE"""),"CAMARA TURRET 4MP")</f>
        <v>CAMARA TURRET 4MP</v>
      </c>
      <c r="C174" s="4" t="str">
        <f>IFERROR(__xludf.DUMMYFUNCTION("""COMPUTED_VALUE"""),"Domo Turret IP 4MP lente 2,8mm High quality imaging with 4 MP resolution. Support Human and Vehicle Detection. Water and dust resistant (IP67). Clear imaging even with strong back lighting due to 120 dB WDR. Efficient H.265+ compression technology. EXIR 2"&amp;".0: advanced infrared technology with long IR range")</f>
        <v>Domo Turret IP 4MP lente 2,8mm High quality imaging with 4 MP resolution. Support Human and Vehicle Detection. Water and dust resistant (IP67). Clear imaging even with strong back lighting due to 120 dB WDR. Efficient H.265+ compression technology. EXIR 2.0: advanced infrared technology with long IR range</v>
      </c>
      <c r="D174" s="4" t="str">
        <f>IFERROR(__xludf.DUMMYFUNCTION("""COMPUTED_VALUE"""),"HIKVISION")</f>
        <v>HIKVISION</v>
      </c>
      <c r="E174" s="4" t="str">
        <f>IFERROR(__xludf.DUMMYFUNCTION("""COMPUTED_VALUE"""),"DS-2CD1343G2-I")</f>
        <v>DS-2CD1343G2-I</v>
      </c>
      <c r="F174" s="4" t="str">
        <f>IFERROR(__xludf.DUMMYFUNCTION("""COMPUTED_VALUE"""),"CCTV &gt; CAMARAS IP WIFI")</f>
        <v>CCTV &gt; CAMARAS IP WIFI</v>
      </c>
      <c r="G174" s="5"/>
      <c r="H174" s="6">
        <f>IFERROR(__xludf.DUMMYFUNCTION("""COMPUTED_VALUE"""),102.3)</f>
        <v>102.3</v>
      </c>
      <c r="I174" s="7">
        <f>IFERROR(__xludf.DUMMYFUNCTION("""COMPUTED_VALUE"""),21.0)</f>
        <v>21</v>
      </c>
      <c r="J174" s="6">
        <f>IFERROR(__xludf.DUMMYFUNCTION("""COMPUTED_VALUE"""),122.76)</f>
        <v>122.76</v>
      </c>
      <c r="K174" s="6">
        <f>IFERROR(__xludf.DUMMYFUNCTION("""COMPUTED_VALUE"""),143.22)</f>
        <v>143.22</v>
      </c>
      <c r="L174" s="3"/>
      <c r="M174" s="3"/>
    </row>
    <row r="175" ht="48.0" customHeight="1">
      <c r="A175" s="3" t="str">
        <f>IFERROR(__xludf.DUMMYFUNCTION("""COMPUTED_VALUE"""),"DS-2CD1343G2-LIU")</f>
        <v>DS-2CD1343G2-LIU</v>
      </c>
      <c r="B175" s="4" t="str">
        <f>IFERROR(__xludf.DUMMYFUNCTION("""COMPUTED_VALUE"""),"CAMARA TURRET 4MP")</f>
        <v>CAMARA TURRET 4MP</v>
      </c>
      <c r="C175" s="4" t="str">
        <f>IFERROR(__xludf.DUMMYFUNCTION("""COMPUTED_VALUE"""),"Domo Turret IP 4MP lente 2,8mm IR, White Light Supplement Light Range Up to 30 m. Support Human and Vehicle Detection Built-in microphone for real-time audio security, Efficient H.265+ compression technology, Water and dust resistant (IP67)")</f>
        <v>Domo Turret IP 4MP lente 2,8mm IR, White Light Supplement Light Range Up to 30 m. Support Human and Vehicle Detection Built-in microphone for real-time audio security, Efficient H.265+ compression technology, Water and dust resistant (IP67)</v>
      </c>
      <c r="D175" s="4" t="str">
        <f>IFERROR(__xludf.DUMMYFUNCTION("""COMPUTED_VALUE"""),"HIKVISION")</f>
        <v>HIKVISION</v>
      </c>
      <c r="E175" s="4" t="str">
        <f>IFERROR(__xludf.DUMMYFUNCTION("""COMPUTED_VALUE"""),"DS-2CD1343G2-LIU")</f>
        <v>DS-2CD1343G2-LIU</v>
      </c>
      <c r="F175" s="4" t="str">
        <f>IFERROR(__xludf.DUMMYFUNCTION("""COMPUTED_VALUE"""),"CCTV &gt; CAMARAS IP WIFI")</f>
        <v>CCTV &gt; CAMARAS IP WIFI</v>
      </c>
      <c r="G175" s="5"/>
      <c r="H175" s="6">
        <f>IFERROR(__xludf.DUMMYFUNCTION("""COMPUTED_VALUE"""),102.3)</f>
        <v>102.3</v>
      </c>
      <c r="I175" s="7">
        <f>IFERROR(__xludf.DUMMYFUNCTION("""COMPUTED_VALUE"""),21.0)</f>
        <v>21</v>
      </c>
      <c r="J175" s="6">
        <f>IFERROR(__xludf.DUMMYFUNCTION("""COMPUTED_VALUE"""),122.76)</f>
        <v>122.76</v>
      </c>
      <c r="K175" s="6">
        <f>IFERROR(__xludf.DUMMYFUNCTION("""COMPUTED_VALUE"""),143.22)</f>
        <v>143.22</v>
      </c>
      <c r="L175" s="3"/>
      <c r="M175" s="3"/>
    </row>
    <row r="176" ht="48.0" customHeight="1">
      <c r="A176" s="3" t="str">
        <f>IFERROR(__xludf.DUMMYFUNCTION("""COMPUTED_VALUE"""),"DS-2CD1143G2-I")</f>
        <v>DS-2CD1143G2-I</v>
      </c>
      <c r="B176" s="4" t="str">
        <f>IFERROR(__xludf.DUMMYFUNCTION("""COMPUTED_VALUE"""),"CAMARA DOMO 4MP")</f>
        <v>CAMARA DOMO 4MP</v>
      </c>
      <c r="C176" s="4" t="str">
        <f>IFERROR(__xludf.DUMMYFUNCTION("""COMPUTED_VALUE"""),"Domo IP 4MP lente 2,8mmy (2560x1400 @ 20IPS). Compresión H.265+/H.265/H.264+/H.264. Sensor CMOS 1/2.8"" de escaneado progresivo. Conmutación día/noche mediante filtro mecánico. Nivel de protección: IP67. Antivandálico IK10")</f>
        <v>Domo IP 4MP lente 2,8mmy (2560x1400 @ 20IPS). Compresión H.265+/H.265/H.264+/H.264. Sensor CMOS 1/2.8" de escaneado progresivo. Conmutación día/noche mediante filtro mecánico. Nivel de protección: IP67. Antivandálico IK10</v>
      </c>
      <c r="D176" s="4" t="str">
        <f>IFERROR(__xludf.DUMMYFUNCTION("""COMPUTED_VALUE"""),"HIKVISION")</f>
        <v>HIKVISION</v>
      </c>
      <c r="E176" s="4" t="str">
        <f>IFERROR(__xludf.DUMMYFUNCTION("""COMPUTED_VALUE"""),"DS-2CD1143G2-I")</f>
        <v>DS-2CD1143G2-I</v>
      </c>
      <c r="F176" s="4" t="str">
        <f>IFERROR(__xludf.DUMMYFUNCTION("""COMPUTED_VALUE"""),"CCTV &gt; CAMARAS IP WIFI")</f>
        <v>CCTV &gt; CAMARAS IP WIFI</v>
      </c>
      <c r="G176" s="5"/>
      <c r="H176" s="6">
        <f>IFERROR(__xludf.DUMMYFUNCTION("""COMPUTED_VALUE"""),106.7)</f>
        <v>106.7</v>
      </c>
      <c r="I176" s="7">
        <f>IFERROR(__xludf.DUMMYFUNCTION("""COMPUTED_VALUE"""),21.0)</f>
        <v>21</v>
      </c>
      <c r="J176" s="6">
        <f>IFERROR(__xludf.DUMMYFUNCTION("""COMPUTED_VALUE"""),128.04)</f>
        <v>128.04</v>
      </c>
      <c r="K176" s="6">
        <f>IFERROR(__xludf.DUMMYFUNCTION("""COMPUTED_VALUE"""),149.38)</f>
        <v>149.38</v>
      </c>
      <c r="L176" s="3"/>
      <c r="M176" s="3"/>
    </row>
    <row r="177" ht="48.0" customHeight="1">
      <c r="A177" s="3" t="str">
        <f>IFERROR(__xludf.DUMMYFUNCTION("""COMPUTED_VALUE"""),"DS-2CD1143G2-LIUF")</f>
        <v>DS-2CD1143G2-LIUF</v>
      </c>
      <c r="B177" s="4" t="str">
        <f>IFERROR(__xludf.DUMMYFUNCTION("""COMPUTED_VALUE"""),"CAMARA DOMO 4MP")</f>
        <v>CAMARA DOMO 4MP</v>
      </c>
      <c r="C177" s="4" t="str">
        <f>IFERROR(__xludf.DUMMYFUNCTION("""COMPUTED_VALUE"""),"Domo IP 4MP lente 2,8mmy. Built-in microphone. Compresión H.265+/H.265/H.264+/H.264. Sensor CMOS 1/2.8"" de escaneado progresivo. Conmutación día/noche mediante filtro mecánico. Nivel de protección: IP67. Antivandálico IK10. Support on-board storage up to"&amp;" 512 GB")</f>
        <v>Domo IP 4MP lente 2,8mmy. Built-in microphone. Compresión H.265+/H.265/H.264+/H.264. Sensor CMOS 1/2.8" de escaneado progresivo. Conmutación día/noche mediante filtro mecánico. Nivel de protección: IP67. Antivandálico IK10. Support on-board storage up to 512 GB</v>
      </c>
      <c r="D177" s="4" t="str">
        <f>IFERROR(__xludf.DUMMYFUNCTION("""COMPUTED_VALUE"""),"HIKVISION")</f>
        <v>HIKVISION</v>
      </c>
      <c r="E177" s="4" t="str">
        <f>IFERROR(__xludf.DUMMYFUNCTION("""COMPUTED_VALUE"""),"DS-2CD1143G2-LIUF")</f>
        <v>DS-2CD1143G2-LIUF</v>
      </c>
      <c r="F177" s="4" t="str">
        <f>IFERROR(__xludf.DUMMYFUNCTION("""COMPUTED_VALUE"""),"CCTV &gt; CAMARAS IP WIFI")</f>
        <v>CCTV &gt; CAMARAS IP WIFI</v>
      </c>
      <c r="G177" s="5"/>
      <c r="H177" s="6">
        <f>IFERROR(__xludf.DUMMYFUNCTION("""COMPUTED_VALUE"""),107.8)</f>
        <v>107.8</v>
      </c>
      <c r="I177" s="7">
        <f>IFERROR(__xludf.DUMMYFUNCTION("""COMPUTED_VALUE"""),21.0)</f>
        <v>21</v>
      </c>
      <c r="J177" s="6">
        <f>IFERROR(__xludf.DUMMYFUNCTION("""COMPUTED_VALUE"""),129.36)</f>
        <v>129.36</v>
      </c>
      <c r="K177" s="6">
        <f>IFERROR(__xludf.DUMMYFUNCTION("""COMPUTED_VALUE"""),150.92)</f>
        <v>150.92</v>
      </c>
      <c r="L177" s="3"/>
      <c r="M177" s="3"/>
    </row>
    <row r="178" ht="48.0" customHeight="1">
      <c r="A178" s="3" t="str">
        <f>IFERROR(__xludf.DUMMYFUNCTION("""COMPUTED_VALUE"""),"DS-2CD1347G2-L")</f>
        <v>DS-2CD1347G2-L</v>
      </c>
      <c r="B178" s="4" t="str">
        <f>IFERROR(__xludf.DUMMYFUNCTION("""COMPUTED_VALUE"""),"CAMARA TURRET COLORVU 4MP")</f>
        <v>CAMARA TURRET COLORVU 4MP</v>
      </c>
      <c r="C178" s="4" t="str">
        <f>IFERROR(__xludf.DUMMYFUNCTION("""COMPUTED_VALUE"""),"Domo Turret IP 4MP ColorVu, lente de 2,8mm, distancia luz blanca 30m H.265+.BLC, HLC, 3D DNR, WDR 12VDC PoE IP67.")</f>
        <v>Domo Turret IP 4MP ColorVu, lente de 2,8mm, distancia luz blanca 30m H.265+.BLC, HLC, 3D DNR, WDR 12VDC PoE IP67.</v>
      </c>
      <c r="D178" s="4" t="str">
        <f>IFERROR(__xludf.DUMMYFUNCTION("""COMPUTED_VALUE"""),"HIKVISION")</f>
        <v>HIKVISION</v>
      </c>
      <c r="E178" s="4" t="str">
        <f>IFERROR(__xludf.DUMMYFUNCTION("""COMPUTED_VALUE"""),"DS-2CD1347G2-L")</f>
        <v>DS-2CD1347G2-L</v>
      </c>
      <c r="F178" s="4" t="str">
        <f>IFERROR(__xludf.DUMMYFUNCTION("""COMPUTED_VALUE"""),"CCTV &gt; CAMARAS IP WIFI")</f>
        <v>CCTV &gt; CAMARAS IP WIFI</v>
      </c>
      <c r="G178" s="5"/>
      <c r="H178" s="6">
        <f>IFERROR(__xludf.DUMMYFUNCTION("""COMPUTED_VALUE"""),139.7)</f>
        <v>139.7</v>
      </c>
      <c r="I178" s="7">
        <f>IFERROR(__xludf.DUMMYFUNCTION("""COMPUTED_VALUE"""),21.0)</f>
        <v>21</v>
      </c>
      <c r="J178" s="6">
        <f>IFERROR(__xludf.DUMMYFUNCTION("""COMPUTED_VALUE"""),167.64)</f>
        <v>167.64</v>
      </c>
      <c r="K178" s="6">
        <f>IFERROR(__xludf.DUMMYFUNCTION("""COMPUTED_VALUE"""),195.58)</f>
        <v>195.58</v>
      </c>
      <c r="L178" s="3"/>
      <c r="M178" s="3"/>
    </row>
    <row r="179" ht="48.0" customHeight="1">
      <c r="A179" s="3" t="str">
        <f>IFERROR(__xludf.DUMMYFUNCTION("""COMPUTED_VALUE"""),"DS-2CD1743G2-IZ")</f>
        <v>DS-2CD1743G2-IZ</v>
      </c>
      <c r="B179" s="4" t="str">
        <f>IFERROR(__xludf.DUMMYFUNCTION("""COMPUTED_VALUE"""),"CAMARA DOMO 4MP")</f>
        <v>CAMARA DOMO 4MP</v>
      </c>
      <c r="C179" s="4" t="str">
        <f>IFERROR(__xludf.DUMMYFUNCTION("""COMPUTED_VALUE"""),"Domo IP 4MP lente motorizado varifocal 2,8 - 12mm. Support Human and Vehicle Detection. Up to 256 GB SD card slot for storage. Water and dust resistant (IP67) and vandal proof (IK10). EXIR 2.0: advanced infrared technology with long IR range. Clear imagin"&amp;"g even with strong back lighting due to 120 dB WDR technology. Efficient H.265+ compression technology")</f>
        <v>Domo IP 4MP lente motorizado varifocal 2,8 - 12mm. Support Human and Vehicle Detection. Up to 256 GB SD card slot for storage. Water and dust resistant (IP67) and vandal proof (IK10). EXIR 2.0: advanced infrared technology with long IR range. Clear imaging even with strong back lighting due to 120 dB WDR technology. Efficient H.265+ compression technology</v>
      </c>
      <c r="D179" s="4" t="str">
        <f>IFERROR(__xludf.DUMMYFUNCTION("""COMPUTED_VALUE"""),"HIKVISION")</f>
        <v>HIKVISION</v>
      </c>
      <c r="E179" s="4" t="str">
        <f>IFERROR(__xludf.DUMMYFUNCTION("""COMPUTED_VALUE"""),"DS-2CD1743G2-IZ")</f>
        <v>DS-2CD1743G2-IZ</v>
      </c>
      <c r="F179" s="4" t="str">
        <f>IFERROR(__xludf.DUMMYFUNCTION("""COMPUTED_VALUE"""),"CCTV &gt; CAMARAS IP WIFI")</f>
        <v>CCTV &gt; CAMARAS IP WIFI</v>
      </c>
      <c r="G179" s="5"/>
      <c r="H179" s="6">
        <f>IFERROR(__xludf.DUMMYFUNCTION("""COMPUTED_VALUE"""),162.8)</f>
        <v>162.8</v>
      </c>
      <c r="I179" s="7">
        <f>IFERROR(__xludf.DUMMYFUNCTION("""COMPUTED_VALUE"""),21.0)</f>
        <v>21</v>
      </c>
      <c r="J179" s="6">
        <f>IFERROR(__xludf.DUMMYFUNCTION("""COMPUTED_VALUE"""),195.36)</f>
        <v>195.36</v>
      </c>
      <c r="K179" s="6">
        <f>IFERROR(__xludf.DUMMYFUNCTION("""COMPUTED_VALUE"""),227.92)</f>
        <v>227.92</v>
      </c>
      <c r="L179" s="3"/>
      <c r="M179" s="3"/>
    </row>
    <row r="180" ht="48.0" customHeight="1">
      <c r="A180" s="3" t="str">
        <f>IFERROR(__xludf.DUMMYFUNCTION("""COMPUTED_VALUE"""),"DS2CD3741G0IZSUHK")</f>
        <v>DS2CD3741G0IZSUHK</v>
      </c>
      <c r="B180" s="4" t="str">
        <f>IFERROR(__xludf.DUMMYFUNCTION("""COMPUTED_VALUE"""),"CAMARA DOMO")</f>
        <v>CAMARA DOMO</v>
      </c>
      <c r="C180" s="4" t="str">
        <f>IFERROR(__xludf.DUMMYFUNCTION("""COMPUTED_VALUE"""),"Domo IP 4 MEGAPIXEL Varifocal, INTERFAZ DE AUDIO Y ALARMA, IR HASTA 40M, IP67, IK10, 2.7-13.5MM, H.265+, WDR, DC12V &amp; POE, 3D DNR. Analíticas de cruce de línea y detección de intrusión.")</f>
        <v>Domo IP 4 MEGAPIXEL Varifocal, INTERFAZ DE AUDIO Y ALARMA, IR HASTA 40M, IP67, IK10, 2.7-13.5MM, H.265+, WDR, DC12V &amp; POE, 3D DNR. Analíticas de cruce de línea y detección de intrusión.</v>
      </c>
      <c r="D180" s="4" t="str">
        <f>IFERROR(__xludf.DUMMYFUNCTION("""COMPUTED_VALUE"""),"HIKVISION")</f>
        <v>HIKVISION</v>
      </c>
      <c r="E180" s="4" t="str">
        <f>IFERROR(__xludf.DUMMYFUNCTION("""COMPUTED_VALUE"""),"DS2CD3741G0IZSUHK")</f>
        <v>DS2CD3741G0IZSUHK</v>
      </c>
      <c r="F180" s="4" t="str">
        <f>IFERROR(__xludf.DUMMYFUNCTION("""COMPUTED_VALUE"""),"CCTV &gt; CAMARAS IP WIFI")</f>
        <v>CCTV &gt; CAMARAS IP WIFI</v>
      </c>
      <c r="G180" s="5"/>
      <c r="H180" s="6">
        <f>IFERROR(__xludf.DUMMYFUNCTION("""COMPUTED_VALUE"""),159.5)</f>
        <v>159.5</v>
      </c>
      <c r="I180" s="7">
        <f>IFERROR(__xludf.DUMMYFUNCTION("""COMPUTED_VALUE"""),21.0)</f>
        <v>21</v>
      </c>
      <c r="J180" s="6">
        <f>IFERROR(__xludf.DUMMYFUNCTION("""COMPUTED_VALUE"""),191.4)</f>
        <v>191.4</v>
      </c>
      <c r="K180" s="6">
        <f>IFERROR(__xludf.DUMMYFUNCTION("""COMPUTED_VALUE"""),223.3)</f>
        <v>223.3</v>
      </c>
      <c r="L180" s="3"/>
      <c r="M180" s="3"/>
    </row>
    <row r="181" ht="48.0" customHeight="1">
      <c r="A181" s="3" t="str">
        <f>IFERROR(__xludf.DUMMYFUNCTION("""COMPUTED_VALUE"""),"DS-2CD3751G0-IZS")</f>
        <v>DS-2CD3751G0-IZS</v>
      </c>
      <c r="B181" s="4" t="str">
        <f>IFERROR(__xludf.DUMMYFUNCTION("""COMPUTED_VALUE"""),"CAMARA DOMO 5MP")</f>
        <v>CAMARA DOMO 5MP</v>
      </c>
      <c r="C181" s="4" t="str">
        <f>IFERROR(__xludf.DUMMYFUNCTION("""COMPUTED_VALUE"""),"Domo IP 5Mpx varifocal motorizado (2.7-13.5mm). IR hasta 40 metros. WDR 120 dB. Eventos: cruce de línea y detección de intrusión. Slot para tarjeta MicroSD/SDHC/SDXC (hasta 128G, no incluida). Conexión x1 RJ45 10M/100M. Salida 1 Vp-p Video Compuesto (75O/"&amp;"BNC). Temperatura de operación -30 °C a +60 °C, humedad 95% o menor (sin condensación). Alimentación 12 VDC ± 25% (no incluida) / PoE: 802.3af, class 3. Protección IP67, IK10.")</f>
        <v>Domo IP 5Mpx varifocal motorizado (2.7-13.5mm). IR hasta 40 metros. WDR 120 dB. Eventos: cruce de línea y detección de intrusión. Slot para tarjeta MicroSD/SDHC/SDXC (hasta 128G, no incluida). Conexión x1 RJ45 10M/100M. Salida 1 Vp-p Video Compuesto (75O/BNC). Temperatura de operación -30 °C a +60 °C, humedad 95% o menor (sin condensación). Alimentación 12 VDC ± 25% (no incluida) / PoE: 802.3af, class 3. Protección IP67, IK10.</v>
      </c>
      <c r="D181" s="4" t="str">
        <f>IFERROR(__xludf.DUMMYFUNCTION("""COMPUTED_VALUE"""),"HIKVISION")</f>
        <v>HIKVISION</v>
      </c>
      <c r="E181" s="4" t="str">
        <f>IFERROR(__xludf.DUMMYFUNCTION("""COMPUTED_VALUE"""),"DS-2CD3751G0-IZS")</f>
        <v>DS-2CD3751G0-IZS</v>
      </c>
      <c r="F181" s="4" t="str">
        <f>IFERROR(__xludf.DUMMYFUNCTION("""COMPUTED_VALUE"""),"CCTV &gt; CAMARAS TERMICAS")</f>
        <v>CCTV &gt; CAMARAS TERMICAS</v>
      </c>
      <c r="G181" s="5" t="s">
        <v>1</v>
      </c>
      <c r="H181" s="6">
        <f>IFERROR(__xludf.DUMMYFUNCTION("""COMPUTED_VALUE"""),187.0)</f>
        <v>187</v>
      </c>
      <c r="I181" s="7">
        <f>IFERROR(__xludf.DUMMYFUNCTION("""COMPUTED_VALUE"""),21.0)</f>
        <v>21</v>
      </c>
      <c r="J181" s="6">
        <f>IFERROR(__xludf.DUMMYFUNCTION("""COMPUTED_VALUE"""),224.4)</f>
        <v>224.4</v>
      </c>
      <c r="K181" s="6">
        <f>IFERROR(__xludf.DUMMYFUNCTION("""COMPUTED_VALUE"""),261.8)</f>
        <v>261.8</v>
      </c>
      <c r="L181" s="3"/>
      <c r="M181" s="3"/>
    </row>
    <row r="182" ht="48.0" customHeight="1">
      <c r="A182" s="3" t="str">
        <f>IFERROR(__xludf.DUMMYFUNCTION("""COMPUTED_VALUE"""),"DS-2CD1183G2-LIUF")</f>
        <v>DS-2CD1183G2-LIUF</v>
      </c>
      <c r="B182" s="4" t="str">
        <f>IFERROR(__xludf.DUMMYFUNCTION("""COMPUTED_VALUE"""),"CAMARA DOMO 8MP")</f>
        <v>CAMARA DOMO 8MP</v>
      </c>
      <c r="C182" s="4" t="str">
        <f>IFERROR(__xludf.DUMMYFUNCTION("""COMPUTED_VALUE"""),"Domo IP 8Mpx. Luz híbrida inteligente: tecnología avanzada con largo alcance. Admite almacenamiento integrado de hasta 512 GB (ranura para tarjeta SD). Micrófono incorporado para seguridad de audio en tiempo real Resistente al agua y al polvo (IP67) y a l"&amp;"os vándalos (IK08)")</f>
        <v>Domo IP 8Mpx. Luz híbrida inteligente: tecnología avanzada con largo alcance. Admite almacenamiento integrado de hasta 512 GB (ranura para tarjeta SD). Micrófono incorporado para seguridad de audio en tiempo real Resistente al agua y al polvo (IP67) y a los vándalos (IK08)</v>
      </c>
      <c r="D182" s="4" t="str">
        <f>IFERROR(__xludf.DUMMYFUNCTION("""COMPUTED_VALUE"""),"HIKVISION")</f>
        <v>HIKVISION</v>
      </c>
      <c r="E182" s="4" t="str">
        <f>IFERROR(__xludf.DUMMYFUNCTION("""COMPUTED_VALUE"""),"DS-2CD1183G2-LIUF")</f>
        <v>DS-2CD1183G2-LIUF</v>
      </c>
      <c r="F182" s="4" t="str">
        <f>IFERROR(__xludf.DUMMYFUNCTION("""COMPUTED_VALUE"""),"CCTV &gt; CAMARAS IP WIFI")</f>
        <v>CCTV &gt; CAMARAS IP WIFI</v>
      </c>
      <c r="G182" s="5" t="s">
        <v>1</v>
      </c>
      <c r="H182" s="6">
        <f>IFERROR(__xludf.DUMMYFUNCTION("""COMPUTED_VALUE"""),126.5)</f>
        <v>126.5</v>
      </c>
      <c r="I182" s="7">
        <f>IFERROR(__xludf.DUMMYFUNCTION("""COMPUTED_VALUE"""),21.0)</f>
        <v>21</v>
      </c>
      <c r="J182" s="6">
        <f>IFERROR(__xludf.DUMMYFUNCTION("""COMPUTED_VALUE"""),151.8)</f>
        <v>151.8</v>
      </c>
      <c r="K182" s="6">
        <f>IFERROR(__xludf.DUMMYFUNCTION("""COMPUTED_VALUE"""),177.1)</f>
        <v>177.1</v>
      </c>
      <c r="L182" s="3"/>
      <c r="M182" s="3"/>
    </row>
    <row r="183" ht="48.0" customHeight="1">
      <c r="A183" s="3" t="str">
        <f>IFERROR(__xludf.DUMMYFUNCTION("""COMPUTED_VALUE"""),"DS-2CD1041G0-I")</f>
        <v>DS-2CD1041G0-I</v>
      </c>
      <c r="B183" s="4" t="str">
        <f>IFERROR(__xludf.DUMMYFUNCTION("""COMPUTED_VALUE"""),"CAMARA BULLET 4MP")</f>
        <v>CAMARA BULLET 4MP</v>
      </c>
      <c r="C183" s="4" t="str">
        <f>IFERROR(__xludf.DUMMYFUNCTION("""COMPUTED_VALUE"""),"Cámara IP Tipo Bullet 4 MEGAPIXEL High quality imaging with 4 MP resolution Easy installation with Power over Ethernet (PoE) technology Water and dust resistant (IP67)")</f>
        <v>Cámara IP Tipo Bullet 4 MEGAPIXEL High quality imaging with 4 MP resolution Easy installation with Power over Ethernet (PoE) technology Water and dust resistant (IP67)</v>
      </c>
      <c r="D183" s="4" t="str">
        <f>IFERROR(__xludf.DUMMYFUNCTION("""COMPUTED_VALUE"""),"HIKVISION")</f>
        <v>HIKVISION</v>
      </c>
      <c r="E183" s="4" t="str">
        <f>IFERROR(__xludf.DUMMYFUNCTION("""COMPUTED_VALUE"""),"DS-2CD1041G0-I")</f>
        <v>DS-2CD1041G0-I</v>
      </c>
      <c r="F183" s="4" t="str">
        <f>IFERROR(__xludf.DUMMYFUNCTION("""COMPUTED_VALUE"""),"CCTV &gt; CAMARAS IP WIFI")</f>
        <v>CCTV &gt; CAMARAS IP WIFI</v>
      </c>
      <c r="G183" s="5"/>
      <c r="H183" s="6">
        <f>IFERROR(__xludf.DUMMYFUNCTION("""COMPUTED_VALUE"""),60.5)</f>
        <v>60.5</v>
      </c>
      <c r="I183" s="7">
        <f>IFERROR(__xludf.DUMMYFUNCTION("""COMPUTED_VALUE"""),21.0)</f>
        <v>21</v>
      </c>
      <c r="J183" s="6">
        <f>IFERROR(__xludf.DUMMYFUNCTION("""COMPUTED_VALUE"""),72.6)</f>
        <v>72.6</v>
      </c>
      <c r="K183" s="6">
        <f>IFERROR(__xludf.DUMMYFUNCTION("""COMPUTED_VALUE"""),84.7)</f>
        <v>84.7</v>
      </c>
      <c r="L183" s="3"/>
      <c r="M183" s="3"/>
    </row>
    <row r="184" ht="48.0" customHeight="1">
      <c r="A184" s="3" t="str">
        <f>IFERROR(__xludf.DUMMYFUNCTION("""COMPUTED_VALUE"""),"DS-2CD1043G2-I")</f>
        <v>DS-2CD1043G2-I</v>
      </c>
      <c r="B184" s="4" t="str">
        <f>IFERROR(__xludf.DUMMYFUNCTION("""COMPUTED_VALUE"""),"CAMARA BULLET")</f>
        <v>CAMARA BULLET</v>
      </c>
      <c r="C184" s="4" t="str">
        <f>IFERROR(__xludf.DUMMYFUNCTION("""COMPUTED_VALUE"""),"Cámara IP Tipo Bullet 4 MEGAPIXEL IR Network Bullet Camera 1/3"" progressive scan CMOS. 2560 x 1440@20fps.-2.8 mm fixed lens. -H265 -Dual stream. 120 dB WDR (Wide Dynamic Range). 3D DNR (Digital Noise Reduction) Up to 30 m IR range. PoE (Power over Ethern"&amp;"et). IP67.")</f>
        <v>Cámara IP Tipo Bullet 4 MEGAPIXEL IR Network Bullet Camera 1/3" progressive scan CMOS. 2560 x 1440@20fps.-2.8 mm fixed lens. -H265 -Dual stream. 120 dB WDR (Wide Dynamic Range). 3D DNR (Digital Noise Reduction) Up to 30 m IR range. PoE (Power over Ethernet). IP67.</v>
      </c>
      <c r="D184" s="4" t="str">
        <f>IFERROR(__xludf.DUMMYFUNCTION("""COMPUTED_VALUE"""),"HIKVISION")</f>
        <v>HIKVISION</v>
      </c>
      <c r="E184" s="4" t="str">
        <f>IFERROR(__xludf.DUMMYFUNCTION("""COMPUTED_VALUE"""),"DS-2CD1043G2-I")</f>
        <v>DS-2CD1043G2-I</v>
      </c>
      <c r="F184" s="4" t="str">
        <f>IFERROR(__xludf.DUMMYFUNCTION("""COMPUTED_VALUE"""),"CCTV &gt; CAMARAS IP WIFI")</f>
        <v>CCTV &gt; CAMARAS IP WIFI</v>
      </c>
      <c r="G184" s="5"/>
      <c r="H184" s="6">
        <f>IFERROR(__xludf.DUMMYFUNCTION("""COMPUTED_VALUE"""),102.3)</f>
        <v>102.3</v>
      </c>
      <c r="I184" s="7">
        <f>IFERROR(__xludf.DUMMYFUNCTION("""COMPUTED_VALUE"""),21.0)</f>
        <v>21</v>
      </c>
      <c r="J184" s="6">
        <f>IFERROR(__xludf.DUMMYFUNCTION("""COMPUTED_VALUE"""),122.76)</f>
        <v>122.76</v>
      </c>
      <c r="K184" s="6">
        <f>IFERROR(__xludf.DUMMYFUNCTION("""COMPUTED_VALUE"""),143.22)</f>
        <v>143.22</v>
      </c>
      <c r="L184" s="3"/>
      <c r="M184" s="3"/>
    </row>
    <row r="185" ht="48.0" customHeight="1">
      <c r="A185" s="3" t="str">
        <f>IFERROR(__xludf.DUMMYFUNCTION("""COMPUTED_VALUE"""),"DS-2CD1043G2-LIU")</f>
        <v>DS-2CD1043G2-LIU</v>
      </c>
      <c r="B185" s="4" t="str">
        <f>IFERROR(__xludf.DUMMYFUNCTION("""COMPUTED_VALUE"""),"CAMARA BULLET")</f>
        <v>CAMARA BULLET</v>
      </c>
      <c r="C185" s="4" t="str">
        <f>IFERROR(__xludf.DUMMYFUNCTION("""COMPUTED_VALUE"""),"Cámara IP Tipo Bullet 4 MEGAPIXEL IR Network Bullet Camera 1/3"" progressive scan CMOS. 2560 x 1440@20fps.-2.8 mm fixed lens. -H265 -Dual stream. 120 dB WDR (Wide Dynamic Range). 3D DNR (Digital Noise Reduction) Up to 30 m IR range. PoE (Power over Ethern"&amp;"et). IP67. Audio")</f>
        <v>Cámara IP Tipo Bullet 4 MEGAPIXEL IR Network Bullet Camera 1/3" progressive scan CMOS. 2560 x 1440@20fps.-2.8 mm fixed lens. -H265 -Dual stream. 120 dB WDR (Wide Dynamic Range). 3D DNR (Digital Noise Reduction) Up to 30 m IR range. PoE (Power over Ethernet). IP67. Audio</v>
      </c>
      <c r="D185" s="4" t="str">
        <f>IFERROR(__xludf.DUMMYFUNCTION("""COMPUTED_VALUE"""),"HIKVISION")</f>
        <v>HIKVISION</v>
      </c>
      <c r="E185" s="4" t="str">
        <f>IFERROR(__xludf.DUMMYFUNCTION("""COMPUTED_VALUE"""),"DS-2CD1043G2-LIU")</f>
        <v>DS-2CD1043G2-LIU</v>
      </c>
      <c r="F185" s="4" t="str">
        <f>IFERROR(__xludf.DUMMYFUNCTION("""COMPUTED_VALUE"""),"CCTV &gt; CAMARAS IP WIFI")</f>
        <v>CCTV &gt; CAMARAS IP WIFI</v>
      </c>
      <c r="G185" s="5"/>
      <c r="H185" s="6">
        <f>IFERROR(__xludf.DUMMYFUNCTION("""COMPUTED_VALUE"""),102.3)</f>
        <v>102.3</v>
      </c>
      <c r="I185" s="7">
        <f>IFERROR(__xludf.DUMMYFUNCTION("""COMPUTED_VALUE"""),21.0)</f>
        <v>21</v>
      </c>
      <c r="J185" s="6">
        <f>IFERROR(__xludf.DUMMYFUNCTION("""COMPUTED_VALUE"""),122.76)</f>
        <v>122.76</v>
      </c>
      <c r="K185" s="6">
        <f>IFERROR(__xludf.DUMMYFUNCTION("""COMPUTED_VALUE"""),143.22)</f>
        <v>143.22</v>
      </c>
      <c r="L185" s="3"/>
      <c r="M185" s="3"/>
    </row>
    <row r="186" ht="48.0" customHeight="1">
      <c r="A186" s="3" t="str">
        <f>IFERROR(__xludf.DUMMYFUNCTION("""COMPUTED_VALUE"""),"DS-2CD1047G2H-LIU")</f>
        <v>DS-2CD1047G2H-LIU</v>
      </c>
      <c r="B186" s="4" t="str">
        <f>IFERROR(__xludf.DUMMYFUNCTION("""COMPUTED_VALUE"""),"CAMARA COLORVU EXTERIOR 4MP")</f>
        <v>CAMARA COLORVU EXTERIOR 4MP</v>
      </c>
      <c r="C186" s="4" t="str">
        <f>IFERROR(__xludf.DUMMYFUNCTION("""COMPUTED_VALUE"""),"Cámara IP Tipo, 4 Mpx, ColorVu Lente 2.8 mm, 30m IR + Luz Blanca, Micrófono, Exterior IP67")</f>
        <v>Cámara IP Tipo, 4 Mpx, ColorVu Lente 2.8 mm, 30m IR + Luz Blanca, Micrófono, Exterior IP67</v>
      </c>
      <c r="D186" s="4" t="str">
        <f>IFERROR(__xludf.DUMMYFUNCTION("""COMPUTED_VALUE"""),"HIKVISION")</f>
        <v>HIKVISION</v>
      </c>
      <c r="E186" s="4" t="str">
        <f>IFERROR(__xludf.DUMMYFUNCTION("""COMPUTED_VALUE"""),"DS-2CD1047G2H-LIU")</f>
        <v>DS-2CD1047G2H-LIU</v>
      </c>
      <c r="F186" s="4" t="str">
        <f>IFERROR(__xludf.DUMMYFUNCTION("""COMPUTED_VALUE"""),"CCTV &gt; CAMARAS IP WIFI")</f>
        <v>CCTV &gt; CAMARAS IP WIFI</v>
      </c>
      <c r="G186" s="5"/>
      <c r="H186" s="6">
        <f>IFERROR(__xludf.DUMMYFUNCTION("""COMPUTED_VALUE"""),147.4)</f>
        <v>147.4</v>
      </c>
      <c r="I186" s="7">
        <f>IFERROR(__xludf.DUMMYFUNCTION("""COMPUTED_VALUE"""),21.0)</f>
        <v>21</v>
      </c>
      <c r="J186" s="6">
        <f>IFERROR(__xludf.DUMMYFUNCTION("""COMPUTED_VALUE"""),176.88)</f>
        <v>176.88</v>
      </c>
      <c r="K186" s="6">
        <f>IFERROR(__xludf.DUMMYFUNCTION("""COMPUTED_VALUE"""),206.36)</f>
        <v>206.36</v>
      </c>
      <c r="L186" s="3"/>
      <c r="M186" s="3"/>
    </row>
    <row r="187" ht="48.0" customHeight="1">
      <c r="A187" s="3" t="str">
        <f>IFERROR(__xludf.DUMMYFUNCTION("""COMPUTED_VALUE"""),"DS-2CD1043G2-LIUF")</f>
        <v>DS-2CD1043G2-LIUF</v>
      </c>
      <c r="B187" s="4" t="str">
        <f>IFERROR(__xludf.DUMMYFUNCTION("""COMPUTED_VALUE"""),"CAMARA BULLET")</f>
        <v>CAMARA BULLET</v>
      </c>
      <c r="C187" s="4" t="str">
        <f>IFERROR(__xludf.DUMMYFUNCTION("""COMPUTED_VALUE"""),"Cámara IP Tipo Bullet 4 MEGAPIXEL Smart Hybrid Light Detección de humanos y vehículos. Micrófono incorporado para seguridad de audio en tiempo real Resistente al agua y al polvo (IP67) Tecnología de compresión eficiente H.265+ Admite almacenamiento integr"&amp;"ado de hasta 512 GB (ranura para tarjeta SD)(opcional)")</f>
        <v>Cámara IP Tipo Bullet 4 MEGAPIXEL Smart Hybrid Light Detección de humanos y vehículos. Micrófono incorporado para seguridad de audio en tiempo real Resistente al agua y al polvo (IP67) Tecnología de compresión eficiente H.265+ Admite almacenamiento integrado de hasta 512 GB (ranura para tarjeta SD)(opcional)</v>
      </c>
      <c r="D187" s="4" t="str">
        <f>IFERROR(__xludf.DUMMYFUNCTION("""COMPUTED_VALUE"""),"HIKVISION")</f>
        <v>HIKVISION</v>
      </c>
      <c r="E187" s="4" t="str">
        <f>IFERROR(__xludf.DUMMYFUNCTION("""COMPUTED_VALUE"""),"DS-2CD1043G2-LIUF")</f>
        <v>DS-2CD1043G2-LIUF</v>
      </c>
      <c r="F187" s="4" t="str">
        <f>IFERROR(__xludf.DUMMYFUNCTION("""COMPUTED_VALUE"""),"CCTV &gt; CAMARAS IP WIFI")</f>
        <v>CCTV &gt; CAMARAS IP WIFI</v>
      </c>
      <c r="G187" s="5"/>
      <c r="H187" s="6">
        <f>IFERROR(__xludf.DUMMYFUNCTION("""COMPUTED_VALUE"""),102.3)</f>
        <v>102.3</v>
      </c>
      <c r="I187" s="7">
        <f>IFERROR(__xludf.DUMMYFUNCTION("""COMPUTED_VALUE"""),21.0)</f>
        <v>21</v>
      </c>
      <c r="J187" s="6">
        <f>IFERROR(__xludf.DUMMYFUNCTION("""COMPUTED_VALUE"""),122.76)</f>
        <v>122.76</v>
      </c>
      <c r="K187" s="6">
        <f>IFERROR(__xludf.DUMMYFUNCTION("""COMPUTED_VALUE"""),143.22)</f>
        <v>143.22</v>
      </c>
      <c r="L187" s="3"/>
      <c r="M187" s="3"/>
    </row>
    <row r="188" ht="48.0" customHeight="1">
      <c r="A188" s="3" t="str">
        <f>IFERROR(__xludf.DUMMYFUNCTION("""COMPUTED_VALUE"""),"DS-2CD2043G2-I")</f>
        <v>DS-2CD2043G2-I</v>
      </c>
      <c r="B188" s="4" t="str">
        <f>IFERROR(__xludf.DUMMYFUNCTION("""COMPUTED_VALUE"""),"CAMARA BULLET ACUSENSE 4MP")</f>
        <v>CAMARA BULLET ACUSENSE 4MP</v>
      </c>
      <c r="C188" s="4" t="str">
        <f>IFERROR(__xludf.DUMMYFUNCTION("""COMPUTED_VALUE"""),"Cámara IP Tipo Bullet, ACUSENSE bullet, 4 Mpx, lente 2.8mm, H265+, IP67, IR 30m")</f>
        <v>Cámara IP Tipo Bullet, ACUSENSE bullet, 4 Mpx, lente 2.8mm, H265+, IP67, IR 30m</v>
      </c>
      <c r="D188" s="4" t="str">
        <f>IFERROR(__xludf.DUMMYFUNCTION("""COMPUTED_VALUE"""),"HIKVISION")</f>
        <v>HIKVISION</v>
      </c>
      <c r="E188" s="4" t="str">
        <f>IFERROR(__xludf.DUMMYFUNCTION("""COMPUTED_VALUE"""),"DS-2CD2043G2-I")</f>
        <v>DS-2CD2043G2-I</v>
      </c>
      <c r="F188" s="4" t="str">
        <f>IFERROR(__xludf.DUMMYFUNCTION("""COMPUTED_VALUE"""),"CCTV &gt; CAMARAS IP WIFI")</f>
        <v>CCTV &gt; CAMARAS IP WIFI</v>
      </c>
      <c r="G188" s="5"/>
      <c r="H188" s="6">
        <f>IFERROR(__xludf.DUMMYFUNCTION("""COMPUTED_VALUE"""),234.3)</f>
        <v>234.3</v>
      </c>
      <c r="I188" s="7">
        <f>IFERROR(__xludf.DUMMYFUNCTION("""COMPUTED_VALUE"""),21.0)</f>
        <v>21</v>
      </c>
      <c r="J188" s="6">
        <f>IFERROR(__xludf.DUMMYFUNCTION("""COMPUTED_VALUE"""),281.16)</f>
        <v>281.16</v>
      </c>
      <c r="K188" s="6">
        <f>IFERROR(__xludf.DUMMYFUNCTION("""COMPUTED_VALUE"""),328.02)</f>
        <v>328.02</v>
      </c>
      <c r="L188" s="3"/>
      <c r="M188" s="3"/>
    </row>
    <row r="189" ht="48.0" customHeight="1">
      <c r="A189" s="3" t="str">
        <f>IFERROR(__xludf.DUMMYFUNCTION("""COMPUTED_VALUE"""),"DS-2CD2046G2-IU")</f>
        <v>DS-2CD2046G2-IU</v>
      </c>
      <c r="B189" s="4" t="str">
        <f>IFERROR(__xludf.DUMMYFUNCTION("""COMPUTED_VALUE"""),"CAMARA BULLET ACUSENSE 4MP")</f>
        <v>CAMARA BULLET ACUSENSE 4MP</v>
      </c>
      <c r="C189" s="4" t="str">
        <f>IFERROR(__xludf.DUMMYFUNCTION("""COMPUTED_VALUE"""),"Cámara IP Tipo Bullet, ACUSENSE bullet, 4 Mpx, lente 2.8mm, H265+, IP67, IR 40m -U model: Built-in microphone")</f>
        <v>Cámara IP Tipo Bullet, ACUSENSE bullet, 4 Mpx, lente 2.8mm, H265+, IP67, IR 40m -U model: Built-in microphone</v>
      </c>
      <c r="D189" s="4" t="str">
        <f>IFERROR(__xludf.DUMMYFUNCTION("""COMPUTED_VALUE"""),"HIKVISION")</f>
        <v>HIKVISION</v>
      </c>
      <c r="E189" s="4" t="str">
        <f>IFERROR(__xludf.DUMMYFUNCTION("""COMPUTED_VALUE"""),"DS-2CD2046G2-IU")</f>
        <v>DS-2CD2046G2-IU</v>
      </c>
      <c r="F189" s="4" t="str">
        <f>IFERROR(__xludf.DUMMYFUNCTION("""COMPUTED_VALUE"""),"CCTV &gt; CAMARAS IP WIFI")</f>
        <v>CCTV &gt; CAMARAS IP WIFI</v>
      </c>
      <c r="G189" s="5"/>
      <c r="H189" s="6">
        <f>IFERROR(__xludf.DUMMYFUNCTION("""COMPUTED_VALUE"""),264.0)</f>
        <v>264</v>
      </c>
      <c r="I189" s="7">
        <f>IFERROR(__xludf.DUMMYFUNCTION("""COMPUTED_VALUE"""),21.0)</f>
        <v>21</v>
      </c>
      <c r="J189" s="6">
        <f>IFERROR(__xludf.DUMMYFUNCTION("""COMPUTED_VALUE"""),316.8)</f>
        <v>316.8</v>
      </c>
      <c r="K189" s="6">
        <f>IFERROR(__xludf.DUMMYFUNCTION("""COMPUTED_VALUE"""),369.6)</f>
        <v>369.6</v>
      </c>
      <c r="L189" s="3"/>
      <c r="M189" s="3"/>
    </row>
    <row r="190" ht="48.0" customHeight="1">
      <c r="A190" s="3" t="str">
        <f>IFERROR(__xludf.DUMMYFUNCTION("""COMPUTED_VALUE"""),"DS-2CD1643G2-IZS")</f>
        <v>DS-2CD1643G2-IZS</v>
      </c>
      <c r="B190" s="4" t="str">
        <f>IFERROR(__xludf.DUMMYFUNCTION("""COMPUTED_VALUE"""),"CAMARA BULLET 4MP")</f>
        <v>CAMARA BULLET 4MP</v>
      </c>
      <c r="C190" s="4" t="str">
        <f>IFERROR(__xludf.DUMMYFUNCTION("""COMPUTED_VALUE"""),"Cámara IP Tipo Bullet,, 4Mpx 1/3"" Progressive CMOS, ICR,2560 × 1440: 20fps(P)/(N), H.265+/H.265/H.264+&amp;H.264, WDR, 3D DNR, BLC, IR range: up to 50m, Build-in SD Card Slot (up to 256GB), DC12V &amp; PoE, Support mobile monitoring via Hik-Connect. Power supply"&amp;" is not included")</f>
        <v>Cámara IP Tipo Bullet,, 4Mpx 1/3" Progressive CMOS, ICR,2560 × 1440: 20fps(P)/(N), H.265+/H.265/H.264+&amp;H.264, WDR, 3D DNR, BLC, IR range: up to 50m, Build-in SD Card Slot (up to 256GB), DC12V &amp; PoE, Support mobile monitoring via Hik-Connect. Power supply is not included</v>
      </c>
      <c r="D190" s="4" t="str">
        <f>IFERROR(__xludf.DUMMYFUNCTION("""COMPUTED_VALUE"""),"HIKVISION")</f>
        <v>HIKVISION</v>
      </c>
      <c r="E190" s="4" t="str">
        <f>IFERROR(__xludf.DUMMYFUNCTION("""COMPUTED_VALUE"""),"DS-2CD1643G2-IZS")</f>
        <v>DS-2CD1643G2-IZS</v>
      </c>
      <c r="F190" s="4" t="str">
        <f>IFERROR(__xludf.DUMMYFUNCTION("""COMPUTED_VALUE"""),"CCTV &gt; CAMARAS IP WIFI")</f>
        <v>CCTV &gt; CAMARAS IP WIFI</v>
      </c>
      <c r="G190" s="5"/>
      <c r="H190" s="6">
        <f>IFERROR(__xludf.DUMMYFUNCTION("""COMPUTED_VALUE"""),173.8)</f>
        <v>173.8</v>
      </c>
      <c r="I190" s="7">
        <f>IFERROR(__xludf.DUMMYFUNCTION("""COMPUTED_VALUE"""),21.0)</f>
        <v>21</v>
      </c>
      <c r="J190" s="6">
        <f>IFERROR(__xludf.DUMMYFUNCTION("""COMPUTED_VALUE"""),208.56)</f>
        <v>208.56</v>
      </c>
      <c r="K190" s="6">
        <f>IFERROR(__xludf.DUMMYFUNCTION("""COMPUTED_VALUE"""),243.32)</f>
        <v>243.32</v>
      </c>
      <c r="L190" s="3"/>
      <c r="M190" s="3"/>
    </row>
    <row r="191" ht="48.0" customHeight="1">
      <c r="A191" s="3" t="str">
        <f>IFERROR(__xludf.DUMMYFUNCTION("""COMPUTED_VALUE"""),"DS-2CD3651G0-IZS")</f>
        <v>DS-2CD3651G0-IZS</v>
      </c>
      <c r="B191" s="4" t="str">
        <f>IFERROR(__xludf.DUMMYFUNCTION("""COMPUTED_VALUE"""),"CAMARA BULLET 5MP")</f>
        <v>CAMARA BULLET 5MP</v>
      </c>
      <c r="C191" s="4" t="str">
        <f>IFERROR(__xludf.DUMMYFUNCTION("""COMPUTED_VALUE"""),"Cámara IP Tipo Bullet, 5Mpx varifocal motorizado(2.7-13.5mm)")</f>
        <v>Cámara IP Tipo Bullet, 5Mpx varifocal motorizado(2.7-13.5mm)</v>
      </c>
      <c r="D191" s="4" t="str">
        <f>IFERROR(__xludf.DUMMYFUNCTION("""COMPUTED_VALUE"""),"HIKVISION")</f>
        <v>HIKVISION</v>
      </c>
      <c r="E191" s="4" t="str">
        <f>IFERROR(__xludf.DUMMYFUNCTION("""COMPUTED_VALUE"""),"DS-2CD3651G0-IZS")</f>
        <v>DS-2CD3651G0-IZS</v>
      </c>
      <c r="F191" s="4" t="str">
        <f>IFERROR(__xludf.DUMMYFUNCTION("""COMPUTED_VALUE"""),"CCTV &gt; CAMARAS IP WIFI")</f>
        <v>CCTV &gt; CAMARAS IP WIFI</v>
      </c>
      <c r="G191" s="5"/>
      <c r="H191" s="6">
        <f>IFERROR(__xludf.DUMMYFUNCTION("""COMPUTED_VALUE"""),188.1)</f>
        <v>188.1</v>
      </c>
      <c r="I191" s="7">
        <f>IFERROR(__xludf.DUMMYFUNCTION("""COMPUTED_VALUE"""),21.0)</f>
        <v>21</v>
      </c>
      <c r="J191" s="6">
        <f>IFERROR(__xludf.DUMMYFUNCTION("""COMPUTED_VALUE"""),225.72)</f>
        <v>225.72</v>
      </c>
      <c r="K191" s="6">
        <f>IFERROR(__xludf.DUMMYFUNCTION("""COMPUTED_VALUE"""),263.34)</f>
        <v>263.34</v>
      </c>
      <c r="L191" s="3"/>
      <c r="M191" s="3"/>
    </row>
    <row r="192" ht="48.0" customHeight="1">
      <c r="A192" s="3" t="str">
        <f>IFERROR(__xludf.DUMMYFUNCTION("""COMPUTED_VALUE"""),"DS-2CD2646G2T-IZS")</f>
        <v>DS-2CD2646G2T-IZS</v>
      </c>
      <c r="B192" s="4" t="str">
        <f>IFERROR(__xludf.DUMMYFUNCTION("""COMPUTED_VALUE"""),"CAMARA BULLET ACUSENSE 4MP")</f>
        <v>CAMARA BULLET ACUSENSE 4MP</v>
      </c>
      <c r="C192" s="4" t="str">
        <f>IFERROR(__xludf.DUMMYFUNCTION("""COMPUTED_VALUE"""),"Cámara IP Tipo Bullet, 4MP ACUSENSE- DARKFIGHTER 2.8 to 12 mm motorized varifocal lens 1/3"" Progressive Scan CMOS((C) model); H.265+/H.265/H.264+/H.264/MJPEG; Powered by Darkfighter technology,Color: 0.003 lux @(F1.4, AGC ON), 0 lux with IR; 25fps/30fps("&amp;"2688×1520,1920×1080); VCA functions; 3 streams; 3D DNR; BLC; ICR; EXIR; DC12V&amp;PoE; Built-in micro SD/SDHC/SDXC slot; HIK-Connect cloud service; Audio/Alarm I/O *non-(C) model:1/2.7"" Progressive Scan CMOS")</f>
        <v>Cámara IP Tipo Bullet, 4MP ACUSENSE- DARKFIGHTER 2.8 to 12 mm motorized varifocal lens 1/3" Progressive Scan CMOS((C) model); H.265+/H.265/H.264+/H.264/MJPEG; Powered by Darkfighter technology,Color: 0.003 lux @(F1.4, AGC ON), 0 lux with IR; 25fps/30fps(2688×1520,1920×1080); VCA functions; 3 streams; 3D DNR; BLC; ICR; EXIR; DC12V&amp;PoE; Built-in micro SD/SDHC/SDXC slot; HIK-Connect cloud service; Audio/Alarm I/O *non-(C) model:1/2.7" Progressive Scan CMOS</v>
      </c>
      <c r="D192" s="4" t="str">
        <f>IFERROR(__xludf.DUMMYFUNCTION("""COMPUTED_VALUE"""),"HIKVISION")</f>
        <v>HIKVISION</v>
      </c>
      <c r="E192" s="4" t="str">
        <f>IFERROR(__xludf.DUMMYFUNCTION("""COMPUTED_VALUE"""),"DS-2CD2646G2T-IZS")</f>
        <v>DS-2CD2646G2T-IZS</v>
      </c>
      <c r="F192" s="4" t="str">
        <f>IFERROR(__xludf.DUMMYFUNCTION("""COMPUTED_VALUE"""),"CCTV &gt; CAMARAS IP WIFI")</f>
        <v>CCTV &gt; CAMARAS IP WIFI</v>
      </c>
      <c r="G192" s="5"/>
      <c r="H192" s="6">
        <f>IFERROR(__xludf.DUMMYFUNCTION("""COMPUTED_VALUE"""),476.3)</f>
        <v>476.3</v>
      </c>
      <c r="I192" s="7">
        <f>IFERROR(__xludf.DUMMYFUNCTION("""COMPUTED_VALUE"""),21.0)</f>
        <v>21</v>
      </c>
      <c r="J192" s="6">
        <f>IFERROR(__xludf.DUMMYFUNCTION("""COMPUTED_VALUE"""),571.56)</f>
        <v>571.56</v>
      </c>
      <c r="K192" s="6">
        <f>IFERROR(__xludf.DUMMYFUNCTION("""COMPUTED_VALUE"""),666.82)</f>
        <v>666.82</v>
      </c>
      <c r="L192" s="3"/>
      <c r="M192" s="3"/>
    </row>
    <row r="193" ht="48.0" customHeight="1">
      <c r="A193" s="3" t="str">
        <f>IFERROR(__xludf.DUMMYFUNCTION("""COMPUTED_VALUE"""),"DS-2CD3646G2-IZS")</f>
        <v>DS-2CD3646G2-IZS</v>
      </c>
      <c r="B193" s="4" t="str">
        <f>IFERROR(__xludf.DUMMYFUNCTION("""COMPUTED_VALUE"""),"CAMARA BULLET ACUSENSE 4MP")</f>
        <v>CAMARA BULLET ACUSENSE 4MP</v>
      </c>
      <c r="C193" s="4" t="str">
        <f>IFERROR(__xludf.DUMMYFUNCTION("""COMPUTED_VALUE"""),"Cámara IP Tipo Bullet 4 MP AcuSense Varifocal Supports Hikvision Embedded Open Platform (HEOP) and importing third party applications. Supports 1.5 Tops computing power, 60 MB system memory, 400 MB smart RAM, and 2 GB eMMC storage for sharing resources. D"&amp;"arkFighter technology. H.265+ compression. backlight due to 120 dB true WDR. False alarm reduction through human and vehicle target classification based on deep learning. Audio and alarm interface available. Motorized varifocal lens for easy installation."&amp;" Water and dust resistant (IP66) and vandal-resistant (IK10)")</f>
        <v>Cámara IP Tipo Bullet 4 MP AcuSense Varifocal Supports Hikvision Embedded Open Platform (HEOP) and importing third party applications. Supports 1.5 Tops computing power, 60 MB system memory, 400 MB smart RAM, and 2 GB eMMC storage for sharing resources. DarkFighter technology. H.265+ compression. backlight due to 120 dB true WDR. False alarm reduction through human and vehicle target classification based on deep learning. Audio and alarm interface available. Motorized varifocal lens for easy installation. Water and dust resistant (IP66) and vandal-resistant (IK10)</v>
      </c>
      <c r="D193" s="4" t="str">
        <f>IFERROR(__xludf.DUMMYFUNCTION("""COMPUTED_VALUE"""),"HIKVISION")</f>
        <v>HIKVISION</v>
      </c>
      <c r="E193" s="4" t="str">
        <f>IFERROR(__xludf.DUMMYFUNCTION("""COMPUTED_VALUE"""),"DS-2CD3646G2-IZS")</f>
        <v>DS-2CD3646G2-IZS</v>
      </c>
      <c r="F193" s="4" t="str">
        <f>IFERROR(__xludf.DUMMYFUNCTION("""COMPUTED_VALUE"""),"CCTV &gt; CAMARAS IP WIFI")</f>
        <v>CCTV &gt; CAMARAS IP WIFI</v>
      </c>
      <c r="G193" s="5"/>
      <c r="H193" s="6">
        <f>IFERROR(__xludf.DUMMYFUNCTION("""COMPUTED_VALUE"""),559.9)</f>
        <v>559.9</v>
      </c>
      <c r="I193" s="7">
        <f>IFERROR(__xludf.DUMMYFUNCTION("""COMPUTED_VALUE"""),21.0)</f>
        <v>21</v>
      </c>
      <c r="J193" s="6">
        <f>IFERROR(__xludf.DUMMYFUNCTION("""COMPUTED_VALUE"""),671.88)</f>
        <v>671.88</v>
      </c>
      <c r="K193" s="6">
        <f>IFERROR(__xludf.DUMMYFUNCTION("""COMPUTED_VALUE"""),783.86)</f>
        <v>783.86</v>
      </c>
      <c r="L193" s="3"/>
      <c r="M193" s="3"/>
    </row>
    <row r="194" ht="48.0" customHeight="1">
      <c r="A194" s="3" t="str">
        <f>IFERROR(__xludf.DUMMYFUNCTION("""COMPUTED_VALUE"""),"DS-TCG406-E")</f>
        <v>DS-TCG406-E</v>
      </c>
      <c r="B194" s="4" t="str">
        <f>IFERROR(__xludf.DUMMYFUNCTION("""COMPUTED_VALUE"""),"CAMARA 4MP")</f>
        <v>CAMARA 4MP</v>
      </c>
      <c r="C194" s="4" t="str">
        <f>IFERROR(__xludf.DUMMYFUNCTION("""COMPUTED_VALUE"""),"Cámara IP Tipo Bulle 4 MP ANPR (patentes) para Control de Acceso. Lente Motorizado 2.8 mm - 12 mm. IP67 / IK10 / PoE /Algoritmo intercambiable. DARKFIGHTER")</f>
        <v>Cámara IP Tipo Bulle 4 MP ANPR (patentes) para Control de Acceso. Lente Motorizado 2.8 mm - 12 mm. IP67 / IK10 / PoE /Algoritmo intercambiable. DARKFIGHTER</v>
      </c>
      <c r="D194" s="4" t="str">
        <f>IFERROR(__xludf.DUMMYFUNCTION("""COMPUTED_VALUE"""),"HIKVISION")</f>
        <v>HIKVISION</v>
      </c>
      <c r="E194" s="4" t="str">
        <f>IFERROR(__xludf.DUMMYFUNCTION("""COMPUTED_VALUE"""),"DS-TCG406-E")</f>
        <v>DS-TCG406-E</v>
      </c>
      <c r="F194" s="4" t="str">
        <f>IFERROR(__xludf.DUMMYFUNCTION("""COMPUTED_VALUE"""),"CCTV &gt; CAMARAS IP WIFI")</f>
        <v>CCTV &gt; CAMARAS IP WIFI</v>
      </c>
      <c r="G194" s="5"/>
      <c r="H194" s="6">
        <f>IFERROR(__xludf.DUMMYFUNCTION("""COMPUTED_VALUE"""),1085.7)</f>
        <v>1085.7</v>
      </c>
      <c r="I194" s="7">
        <f>IFERROR(__xludf.DUMMYFUNCTION("""COMPUTED_VALUE"""),21.0)</f>
        <v>21</v>
      </c>
      <c r="J194" s="6">
        <f>IFERROR(__xludf.DUMMYFUNCTION("""COMPUTED_VALUE"""),1302.84)</f>
        <v>1302.84</v>
      </c>
      <c r="K194" s="6">
        <f>IFERROR(__xludf.DUMMYFUNCTION("""COMPUTED_VALUE"""),1519.98)</f>
        <v>1519.98</v>
      </c>
      <c r="L194" s="3"/>
      <c r="M194" s="3"/>
    </row>
    <row r="195" ht="48.0" customHeight="1">
      <c r="A195" s="3" t="str">
        <f>IFERROR(__xludf.DUMMYFUNCTION("""COMPUTED_VALUE"""),"iDS-2CD7A46G0-P-IZHSY")</f>
        <v>iDS-2CD7A46G0-P-IZHSY</v>
      </c>
      <c r="B195" s="4" t="str">
        <f>IFERROR(__xludf.DUMMYFUNCTION("""COMPUTED_VALUE"""),"CAMARA BULLET 4MP")</f>
        <v>CAMARA BULLET 4MP</v>
      </c>
      <c r="C195" s="4" t="str">
        <f>IFERROR(__xludf.DUMMYFUNCTION("""COMPUTED_VALUE"""),"Cámara IP Tipo Bullet, varifocal DeepinView ANPR DarkFighter de 4MP, Lente de 2.8 a 12 mm, WDR de 140 dB, BLC, HLC, Defog, 3D DNR H.265+,Ranura para micro SD hasta 256GB, 1E/1S audio 2E/2S alarma RS-485 Reset-KEY /P-Y: 1 Wiegand (CardID 26bit, SHA-1 26bit"&amp;", Hik 34bit, NEWG 72bit). (IP67), (IK10),12 VDC,PoE analiticas: Detección de cambios de escena, excepciones de audio, desenfoque cruce de línea,intrusos, entrada de región y salida de región, Protección perimetral, Lista negra y lista blanca: hasta 10 000"&amp;" registros Captura vehículo que no tiene patente reconocimiento de matrículas de motocicletas Admite la detección de atributos de vehículo, incluido el tipo de vehículo, el color, la marca.")</f>
        <v>Cámara IP Tipo Bullet, varifocal DeepinView ANPR DarkFighter de 4MP, Lente de 2.8 a 12 mm, WDR de 140 dB, BLC, HLC, Defog, 3D DNR H.265+,Ranura para micro SD hasta 256GB, 1E/1S audio 2E/2S alarma RS-485 Reset-KEY /P-Y: 1 Wiegand (CardID 26bit, SHA-1 26bit, Hik 34bit, NEWG 72bit). (IP67), (IK10),12 VDC,PoE analiticas: Detección de cambios de escena, excepciones de audio, desenfoque cruce de línea,intrusos, entrada de región y salida de región, Protección perimetral, Lista negra y lista blanca: hasta 10 000 registros Captura vehículo que no tiene patente reconocimiento de matrículas de motocicletas Admite la detección de atributos de vehículo, incluido el tipo de vehículo, el color, la marca.</v>
      </c>
      <c r="D195" s="4" t="str">
        <f>IFERROR(__xludf.DUMMYFUNCTION("""COMPUTED_VALUE"""),"HIKVISION")</f>
        <v>HIKVISION</v>
      </c>
      <c r="E195" s="4" t="str">
        <f>IFERROR(__xludf.DUMMYFUNCTION("""COMPUTED_VALUE"""),"iDS-2CD7A46G0-P-IZHSY")</f>
        <v>iDS-2CD7A46G0-P-IZHSY</v>
      </c>
      <c r="F195" s="4" t="str">
        <f>IFERROR(__xludf.DUMMYFUNCTION("""COMPUTED_VALUE"""),"CCTV &gt; CAMARAS IP WIFI")</f>
        <v>CCTV &gt; CAMARAS IP WIFI</v>
      </c>
      <c r="G195" s="5" t="s">
        <v>1</v>
      </c>
      <c r="H195" s="6">
        <f>IFERROR(__xludf.DUMMYFUNCTION("""COMPUTED_VALUE"""),1266.1)</f>
        <v>1266.1</v>
      </c>
      <c r="I195" s="7">
        <f>IFERROR(__xludf.DUMMYFUNCTION("""COMPUTED_VALUE"""),21.0)</f>
        <v>21</v>
      </c>
      <c r="J195" s="6">
        <f>IFERROR(__xludf.DUMMYFUNCTION("""COMPUTED_VALUE"""),1519.32)</f>
        <v>1519.32</v>
      </c>
      <c r="K195" s="6">
        <f>IFERROR(__xludf.DUMMYFUNCTION("""COMPUTED_VALUE"""),1772.54)</f>
        <v>1772.54</v>
      </c>
      <c r="L195" s="3"/>
      <c r="M195" s="3"/>
    </row>
    <row r="196" ht="48.0" customHeight="1">
      <c r="A196" s="3" t="str">
        <f>IFERROR(__xludf.DUMMYFUNCTION("""COMPUTED_VALUE"""),"DSIDS2CD7A46G0PIZHSY")</f>
        <v>DSIDS2CD7A46G0PIZHSY</v>
      </c>
      <c r="B196" s="4" t="str">
        <f>IFERROR(__xludf.DUMMYFUNCTION("""COMPUTED_VALUE"""),"CAMARA BULLET 4MP")</f>
        <v>CAMARA BULLET 4MP</v>
      </c>
      <c r="C196" s="4" t="str">
        <f>IFERROR(__xludf.DUMMYFUNCTION("""COMPUTED_VALUE"""),"iDS-2CD7A46G0/P-IZHSY Cámara IP Tipo Bullet, varifocal DeepinView ANPR DarkFighter de 4MP, Lente de 8 a 32 mm, 1/1.8"" Progressive Scan CMOS, WDR de 140 dB, BLC, HLC, Defog, 3D DNR H.265+,Ranura para micro SD hasta 256GB, 1E/1S audio 2E/2S alarma RS-485 R"&amp;"eset-KEY /P-Y: 1 Wiegand (CardID 26bit, SHA-1 26bit, Hik 34bit, NEWG 72bit). (IP67), (IK10),12 VDC,PoE analiticas: Detección de cambios de escena, excepciones de audio, desenfoque cruce de línea,intrusos, entrada de región y salida de región, Protección p"&amp;"erimetral, Lista negra y lista blanca: hasta 10 000 registros Captura vehículo que no tiene patente reconocimiento de matrículas de motocicletas Admite la detección de atributos de vehículo, incluido el tipo de vehículo, el color, la marca.")</f>
        <v>iDS-2CD7A46G0/P-IZHSY Cámara IP Tipo Bullet, varifocal DeepinView ANPR DarkFighter de 4MP, Lente de 8 a 32 mm, 1/1.8" Progressive Scan CMOS, WDR de 140 dB, BLC, HLC, Defog, 3D DNR H.265+,Ranura para micro SD hasta 256GB, 1E/1S audio 2E/2S alarma RS-485 Reset-KEY /P-Y: 1 Wiegand (CardID 26bit, SHA-1 26bit, Hik 34bit, NEWG 72bit). (IP67), (IK10),12 VDC,PoE analiticas: Detección de cambios de escena, excepciones de audio, desenfoque cruce de línea,intrusos, entrada de región y salida de región, Protección perimetral, Lista negra y lista blanca: hasta 10 000 registros Captura vehículo que no tiene patente reconocimiento de matrículas de motocicletas Admite la detección de atributos de vehículo, incluido el tipo de vehículo, el color, la marca.</v>
      </c>
      <c r="D196" s="4" t="str">
        <f>IFERROR(__xludf.DUMMYFUNCTION("""COMPUTED_VALUE"""),"HIKVISION")</f>
        <v>HIKVISION</v>
      </c>
      <c r="E196" s="4" t="str">
        <f>IFERROR(__xludf.DUMMYFUNCTION("""COMPUTED_VALUE"""),"DSIDS2CD7A46G0PIZHSY")</f>
        <v>DSIDS2CD7A46G0PIZHSY</v>
      </c>
      <c r="F196" s="4" t="str">
        <f>IFERROR(__xludf.DUMMYFUNCTION("""COMPUTED_VALUE"""),"CCTV &gt; CAMARAS IP WIFI")</f>
        <v>CCTV &gt; CAMARAS IP WIFI</v>
      </c>
      <c r="G196" s="5" t="s">
        <v>1</v>
      </c>
      <c r="H196" s="6">
        <f>IFERROR(__xludf.DUMMYFUNCTION("""COMPUTED_VALUE"""),1379.4)</f>
        <v>1379.4</v>
      </c>
      <c r="I196" s="7">
        <f>IFERROR(__xludf.DUMMYFUNCTION("""COMPUTED_VALUE"""),21.0)</f>
        <v>21</v>
      </c>
      <c r="J196" s="6">
        <f>IFERROR(__xludf.DUMMYFUNCTION("""COMPUTED_VALUE"""),1655.28)</f>
        <v>1655.28</v>
      </c>
      <c r="K196" s="6">
        <f>IFERROR(__xludf.DUMMYFUNCTION("""COMPUTED_VALUE"""),1931.16)</f>
        <v>1931.16</v>
      </c>
      <c r="L196" s="3"/>
      <c r="M196" s="3"/>
    </row>
    <row r="197" ht="48.0" customHeight="1">
      <c r="A197" s="3" t="str">
        <f>IFERROR(__xludf.DUMMYFUNCTION("""COMPUTED_VALUE"""),"HM-TD2638-25/G0/T1Y")</f>
        <v>HM-TD2638-25/G0/T1Y</v>
      </c>
      <c r="B197" s="4" t="str">
        <f>IFERROR(__xludf.DUMMYFUNCTION("""COMPUTED_VALUE"""),"CAMARA BULLET")</f>
        <v>CAMARA BULLET</v>
      </c>
      <c r="C197" s="4" t="str">
        <f>IFERROR(__xludf.DUMMYFUNCTION("""COMPUTED_VALUE"""),"Cámara IP Tipo Bullet, Térmica y óptica Bi-spectrum Network Bullet Camera 384 × 288 resolution, 12 μm, VOx UFPA, NETD ≤ 25 mK (25°C, F1.0) Video content analysis 3.0 (VCA3.0): high accuracy vehicle/human detection and classification Temperature exception "&amp;"alarm for fire prevention, -20°C to 150°C (-4°F to 302°F), ± 8°C (± 14.4°F) Fire detection Algorithm Support sun-reflection filter algorithm Built-in TPM2.0 encryption module for cybersecurity Image processing technology: linear, histogram, self-adaptive "&amp;"thermal AGC mode, DDE, 3D DNR")</f>
        <v>Cámara IP Tipo Bullet, Térmica y óptica Bi-spectrum Network Bullet Camera 384 × 288 resolution, 12 μm, VOx UFPA, NETD ≤ 25 mK (25°C, F1.0) Video content analysis 3.0 (VCA3.0): high accuracy vehicle/human detection and classification Temperature exception alarm for fire prevention, -20°C to 150°C (-4°F to 302°F), ± 8°C (± 14.4°F) Fire detection Algorithm Support sun-reflection filter algorithm Built-in TPM2.0 encryption module for cybersecurity Image processing technology: linear, histogram, self-adaptive thermal AGC mode, DDE, 3D DNR</v>
      </c>
      <c r="D197" s="4" t="str">
        <f>IFERROR(__xludf.DUMMYFUNCTION("""COMPUTED_VALUE"""),"HIKVISION")</f>
        <v>HIKVISION</v>
      </c>
      <c r="E197" s="4" t="str">
        <f>IFERROR(__xludf.DUMMYFUNCTION("""COMPUTED_VALUE"""),"HM-TD2638-25/G0/T1Y")</f>
        <v>HM-TD2638-25/G0/T1Y</v>
      </c>
      <c r="F197" s="4" t="str">
        <f>IFERROR(__xludf.DUMMYFUNCTION("""COMPUTED_VALUE"""),"CCTV &gt; CAMARAS TERMICAS")</f>
        <v>CCTV &gt; CAMARAS TERMICAS</v>
      </c>
      <c r="G197" s="5"/>
      <c r="H197" s="6">
        <f>IFERROR(__xludf.DUMMYFUNCTION("""COMPUTED_VALUE"""),4815.8)</f>
        <v>4815.8</v>
      </c>
      <c r="I197" s="7">
        <f>IFERROR(__xludf.DUMMYFUNCTION("""COMPUTED_VALUE"""),21.0)</f>
        <v>21</v>
      </c>
      <c r="J197" s="6">
        <f>IFERROR(__xludf.DUMMYFUNCTION("""COMPUTED_VALUE"""),5778.96)</f>
        <v>5778.96</v>
      </c>
      <c r="K197" s="6">
        <f>IFERROR(__xludf.DUMMYFUNCTION("""COMPUTED_VALUE"""),6742.12)</f>
        <v>6742.12</v>
      </c>
      <c r="L197" s="3"/>
      <c r="M197" s="3"/>
    </row>
    <row r="198" ht="48.0" customHeight="1">
      <c r="A198" s="3" t="str">
        <f>IFERROR(__xludf.DUMMYFUNCTION("""COMPUTED_VALUE"""),"DS2CD2F22FWDI")</f>
        <v>DS2CD2F22FWDI</v>
      </c>
      <c r="B198" s="4" t="str">
        <f>IFERROR(__xludf.DUMMYFUNCTION("""COMPUTED_VALUE"""),"CAMARA INTERIOR 1080P")</f>
        <v>CAMARA INTERIOR 1080P</v>
      </c>
      <c r="C198" s="4" t="str">
        <f>IFERROR(__xludf.DUMMYFUNCTION("""COMPUTED_VALUE"""),"PANT TILT IP DE INTERIOR CON IR DE 20 METROS, 2 MEGAPIXEL Sensor Progresive Scan 1080P Realtime, Lente 2,8mm (109,4º) compresion H.264+ por hardware, Dia:Color: 0.01 Lux@F1.2, 0 Lux con IR Noche:B/W: 0.01Lux@F1.2 Realtime, Dual Stream, BLC, 3D DNR, WDR, I"&amp;"CR (Flitro infrarrojo Real )Salida RJ45 (Red IP), 12V 5W . POE")</f>
        <v>PANT TILT IP DE INTERIOR CON IR DE 20 METROS, 2 MEGAPIXEL Sensor Progresive Scan 1080P Realtime, Lente 2,8mm (109,4º) compresion H.264+ por hardware, Dia:Color: 0.01 Lux@F1.2, 0 Lux con IR Noche:B/W: 0.01Lux@F1.2 Realtime, Dual Stream, BLC, 3D DNR, WDR, ICR (Flitro infrarrojo Real )Salida RJ45 (Red IP), 12V 5W . POE</v>
      </c>
      <c r="D198" s="4" t="str">
        <f>IFERROR(__xludf.DUMMYFUNCTION("""COMPUTED_VALUE"""),"HIKVISION")</f>
        <v>HIKVISION</v>
      </c>
      <c r="E198" s="4" t="str">
        <f>IFERROR(__xludf.DUMMYFUNCTION("""COMPUTED_VALUE"""),"DS2CD2F22FWDI")</f>
        <v>DS2CD2F22FWDI</v>
      </c>
      <c r="F198" s="4" t="str">
        <f>IFERROR(__xludf.DUMMYFUNCTION("""COMPUTED_VALUE"""),"CCTV &gt; CAMARAS IP WIFI")</f>
        <v>CCTV &gt; CAMARAS IP WIFI</v>
      </c>
      <c r="G198" s="5"/>
      <c r="H198" s="6">
        <f>IFERROR(__xludf.DUMMYFUNCTION("""COMPUTED_VALUE"""),71.5)</f>
        <v>71.5</v>
      </c>
      <c r="I198" s="7">
        <f>IFERROR(__xludf.DUMMYFUNCTION("""COMPUTED_VALUE"""),21.0)</f>
        <v>21</v>
      </c>
      <c r="J198" s="6">
        <f>IFERROR(__xludf.DUMMYFUNCTION("""COMPUTED_VALUE"""),85.8)</f>
        <v>85.8</v>
      </c>
      <c r="K198" s="6">
        <f>IFERROR(__xludf.DUMMYFUNCTION("""COMPUTED_VALUE"""),100.1)</f>
        <v>100.1</v>
      </c>
      <c r="L198" s="3"/>
      <c r="M198" s="3"/>
    </row>
    <row r="199" ht="48.0" customHeight="1">
      <c r="A199" s="3" t="str">
        <f>IFERROR(__xludf.DUMMYFUNCTION("""COMPUTED_VALUE"""),"DS-2DE2C400MWG-E")</f>
        <v>DS-2DE2C400MWG-E</v>
      </c>
      <c r="B199" s="4" t="str">
        <f>IFERROR(__xludf.DUMMYFUNCTION("""COMPUTED_VALUE"""),"CAMARA DOMO EXTERIOR 4MP")</f>
        <v>CAMARA DOMO EXTERIOR 4MP</v>
      </c>
      <c r="C199" s="4" t="str">
        <f>IFERROR(__xludf.DUMMYFUNCTION("""COMPUTED_VALUE"""),"Cámara Domo PT 4 MP con luz híbrida inteligente para exteriores . Detección humana y el seguimiento automático Lite Smart Hybrid Light. Servicio en la nube y aplicación Hik-Connect para administración remota y vistas de dispositivos Micrófono y altavoz in"&amp;"corporados. Ranura para tarjeta microSD/SDHC/SDXC, hasta 512 GB Resistente al agua y al polvo (IP66)")</f>
        <v>Cámara Domo PT 4 MP con luz híbrida inteligente para exteriores . Detección humana y el seguimiento automático Lite Smart Hybrid Light. Servicio en la nube y aplicación Hik-Connect para administración remota y vistas de dispositivos Micrófono y altavoz incorporados. Ranura para tarjeta microSD/SDHC/SDXC, hasta 512 GB Resistente al agua y al polvo (IP66)</v>
      </c>
      <c r="D199" s="4" t="str">
        <f>IFERROR(__xludf.DUMMYFUNCTION("""COMPUTED_VALUE"""),"HIKVISION")</f>
        <v>HIKVISION</v>
      </c>
      <c r="E199" s="4" t="str">
        <f>IFERROR(__xludf.DUMMYFUNCTION("""COMPUTED_VALUE"""),"DS-2DE2C400MWG-E")</f>
        <v>DS-2DE2C400MWG-E</v>
      </c>
      <c r="F199" s="4" t="str">
        <f>IFERROR(__xludf.DUMMYFUNCTION("""COMPUTED_VALUE"""),"CCTV &gt; CAMARAS IP WIFI")</f>
        <v>CCTV &gt; CAMARAS IP WIFI</v>
      </c>
      <c r="G199" s="5"/>
      <c r="H199" s="6">
        <f>IFERROR(__xludf.DUMMYFUNCTION("""COMPUTED_VALUE"""),81.4)</f>
        <v>81.4</v>
      </c>
      <c r="I199" s="7">
        <f>IFERROR(__xludf.DUMMYFUNCTION("""COMPUTED_VALUE"""),21.0)</f>
        <v>21</v>
      </c>
      <c r="J199" s="6">
        <f>IFERROR(__xludf.DUMMYFUNCTION("""COMPUTED_VALUE"""),97.68)</f>
        <v>97.68</v>
      </c>
      <c r="K199" s="6">
        <f>IFERROR(__xludf.DUMMYFUNCTION("""COMPUTED_VALUE"""),113.96)</f>
        <v>113.96</v>
      </c>
      <c r="L199" s="3"/>
      <c r="M199" s="3"/>
    </row>
    <row r="200" ht="48.0" customHeight="1">
      <c r="A200" s="3" t="str">
        <f>IFERROR(__xludf.DUMMYFUNCTION("""COMPUTED_VALUE"""),"DS-2DE4225IW-DE")</f>
        <v>DS-2DE4225IW-DE</v>
      </c>
      <c r="B200" s="4" t="str">
        <f>IFERROR(__xludf.DUMMYFUNCTION("""COMPUTED_VALUE"""),"CAMARA DOMO ACUSENSE 2MP")</f>
        <v>CAMARA DOMO ACUSENSE 2MP</v>
      </c>
      <c r="C200" s="4" t="str">
        <f>IFERROR(__xludf.DUMMYFUNCTION("""COMPUTED_VALUE"""),"Domo IP PTZ 2MP PTZ 4"", zoom 25X, IR 100m, IP66, ACUSENSE C/soporte")</f>
        <v>Domo IP PTZ 2MP PTZ 4", zoom 25X, IR 100m, IP66, ACUSENSE C/soporte</v>
      </c>
      <c r="D200" s="4" t="str">
        <f>IFERROR(__xludf.DUMMYFUNCTION("""COMPUTED_VALUE"""),"HIKVISION")</f>
        <v>HIKVISION</v>
      </c>
      <c r="E200" s="4" t="str">
        <f>IFERROR(__xludf.DUMMYFUNCTION("""COMPUTED_VALUE"""),"DS-2DE4225IW-DE")</f>
        <v>DS-2DE4225IW-DE</v>
      </c>
      <c r="F200" s="4" t="str">
        <f>IFERROR(__xludf.DUMMYFUNCTION("""COMPUTED_VALUE"""),"CCTV &gt; CAMARAS IP PTZ")</f>
        <v>CCTV &gt; CAMARAS IP PTZ</v>
      </c>
      <c r="G200" s="5"/>
      <c r="H200" s="6">
        <f>IFERROR(__xludf.DUMMYFUNCTION("""COMPUTED_VALUE"""),471.9)</f>
        <v>471.9</v>
      </c>
      <c r="I200" s="7">
        <f>IFERROR(__xludf.DUMMYFUNCTION("""COMPUTED_VALUE"""),21.0)</f>
        <v>21</v>
      </c>
      <c r="J200" s="6">
        <f>IFERROR(__xludf.DUMMYFUNCTION("""COMPUTED_VALUE"""),566.28)</f>
        <v>566.28</v>
      </c>
      <c r="K200" s="6">
        <f>IFERROR(__xludf.DUMMYFUNCTION("""COMPUTED_VALUE"""),660.66)</f>
        <v>660.66</v>
      </c>
      <c r="L200" s="3"/>
      <c r="M200" s="3"/>
    </row>
    <row r="201" ht="48.0" customHeight="1">
      <c r="A201" s="3" t="str">
        <f>IFERROR(__xludf.DUMMYFUNCTION("""COMPUTED_VALUE"""),"DS-2DE4425IW-DE")</f>
        <v>DS-2DE4425IW-DE</v>
      </c>
      <c r="B201" s="4" t="str">
        <f>IFERROR(__xludf.DUMMYFUNCTION("""COMPUTED_VALUE"""),"CAMARA DOMO 4MP")</f>
        <v>CAMARA DOMO 4MP</v>
      </c>
      <c r="C201" s="4" t="str">
        <f>IFERROR(__xludf.DUMMYFUNCTION("""COMPUTED_VALUE"""),"Domo IP PTZ 4-inch 4 MP 25X Powered by DarkFighter IR Network Speed Dome Focuses on human and vehicle targets classification based on deep learning · Support face capture. Up to 5 faces captured at the same time · 1/2.8"" progressive scan CMOS · High qual"&amp;"ity imaging with 4 MP resolution · Excellent low-light performance with powered-by-DarkFighter technology · 25× optical zoom and 16× digital zoom provide close up views over expansive areas · Expansive night view with up to 100 m IR distance · Support H.2"&amp;"65+/H.265 video compression")</f>
        <v>Domo IP PTZ 4-inch 4 MP 25X Powered by DarkFighter IR Network Speed Dome Focuses on human and vehicle targets classification based on deep learning · Support face capture. Up to 5 faces captured at the same time · 1/2.8" progressive scan CMOS · High quality imaging with 4 MP resolution · Excellent low-light performance with powered-by-DarkFighter technology · 25× optical zoom and 16× digital zoom provide close up views over expansive areas · Expansive night view with up to 100 m IR distance · Support H.265+/H.265 video compression</v>
      </c>
      <c r="D201" s="4" t="str">
        <f>IFERROR(__xludf.DUMMYFUNCTION("""COMPUTED_VALUE"""),"HIKVISION")</f>
        <v>HIKVISION</v>
      </c>
      <c r="E201" s="4" t="str">
        <f>IFERROR(__xludf.DUMMYFUNCTION("""COMPUTED_VALUE"""),"DS-2DE4425IW-DE")</f>
        <v>DS-2DE4425IW-DE</v>
      </c>
      <c r="F201" s="4" t="str">
        <f>IFERROR(__xludf.DUMMYFUNCTION("""COMPUTED_VALUE"""),"CCTV &gt; CAMARAS IP PTZ")</f>
        <v>CCTV &gt; CAMARAS IP PTZ</v>
      </c>
      <c r="G201" s="5"/>
      <c r="H201" s="6">
        <f>IFERROR(__xludf.DUMMYFUNCTION("""COMPUTED_VALUE"""),515.9)</f>
        <v>515.9</v>
      </c>
      <c r="I201" s="7">
        <f>IFERROR(__xludf.DUMMYFUNCTION("""COMPUTED_VALUE"""),21.0)</f>
        <v>21</v>
      </c>
      <c r="J201" s="6">
        <f>IFERROR(__xludf.DUMMYFUNCTION("""COMPUTED_VALUE"""),619.08)</f>
        <v>619.08</v>
      </c>
      <c r="K201" s="6">
        <f>IFERROR(__xludf.DUMMYFUNCTION("""COMPUTED_VALUE"""),722.26)</f>
        <v>722.26</v>
      </c>
      <c r="L201" s="3"/>
      <c r="M201" s="3"/>
    </row>
    <row r="202" ht="48.0" customHeight="1">
      <c r="A202" s="3" t="str">
        <f>IFERROR(__xludf.DUMMYFUNCTION("""COMPUTED_VALUE"""),"DS2DE5225IWAE")</f>
        <v>DS2DE5225IWAE</v>
      </c>
      <c r="B202" s="4" t="str">
        <f>IFERROR(__xludf.DUMMYFUNCTION("""COMPUTED_VALUE"""),"CAMARA DOMO 2MP")</f>
        <v>CAMARA DOMO 2MP</v>
      </c>
      <c r="C202" s="4" t="str">
        <f>IFERROR(__xludf.DUMMYFUNCTION("""COMPUTED_VALUE"""),"DS-2DE5225IW-AE Domo IP 2MP PTZ 5-inch 2 MP 25X Powered by DarkFighter IR 150 m Network Speed Dome 1/2.8"" Progressive Scan CMOS High quality imaging with 2 MP resolution Excellent low-light performance with powered-by-DarkFighter technology 2WDR, HLC, BL"&amp;"C, 3D DNR, defog, regional exposure, regional focus 24 VAC &amp; PoE (802.3at) Efficient H.265+/H.265 compression technology")</f>
        <v>DS-2DE5225IW-AE Domo IP 2MP PTZ 5-inch 2 MP 25X Powered by DarkFighter IR 150 m Network Speed Dome 1/2.8" Progressive Scan CMOS High quality imaging with 2 MP resolution Excellent low-light performance with powered-by-DarkFighter technology 2WDR, HLC, BLC, 3D DNR, defog, regional exposure, regional focus 24 VAC &amp; PoE (802.3at) Efficient H.265+/H.265 compression technology</v>
      </c>
      <c r="D202" s="4" t="str">
        <f>IFERROR(__xludf.DUMMYFUNCTION("""COMPUTED_VALUE"""),"HIKVISION")</f>
        <v>HIKVISION</v>
      </c>
      <c r="E202" s="4" t="str">
        <f>IFERROR(__xludf.DUMMYFUNCTION("""COMPUTED_VALUE"""),"DS2DE5225IWAE")</f>
        <v>DS2DE5225IWAE</v>
      </c>
      <c r="F202" s="4" t="str">
        <f>IFERROR(__xludf.DUMMYFUNCTION("""COMPUTED_VALUE"""),"CCTV &gt; CAMARAS IP PTZ")</f>
        <v>CCTV &gt; CAMARAS IP PTZ</v>
      </c>
      <c r="G202" s="5"/>
      <c r="H202" s="6">
        <f>IFERROR(__xludf.DUMMYFUNCTION("""COMPUTED_VALUE"""),811.8)</f>
        <v>811.8</v>
      </c>
      <c r="I202" s="7">
        <f>IFERROR(__xludf.DUMMYFUNCTION("""COMPUTED_VALUE"""),21.0)</f>
        <v>21</v>
      </c>
      <c r="J202" s="6">
        <f>IFERROR(__xludf.DUMMYFUNCTION("""COMPUTED_VALUE"""),974.16)</f>
        <v>974.16</v>
      </c>
      <c r="K202" s="6">
        <f>IFERROR(__xludf.DUMMYFUNCTION("""COMPUTED_VALUE"""),1136.52)</f>
        <v>1136.52</v>
      </c>
      <c r="L202" s="3"/>
      <c r="M202" s="3"/>
    </row>
    <row r="203" ht="48.0" customHeight="1">
      <c r="A203" s="3" t="str">
        <f>IFERROR(__xludf.DUMMYFUNCTION("""COMPUTED_VALUE"""),"DS2DE5432IWAE")</f>
        <v>DS2DE5432IWAE</v>
      </c>
      <c r="B203" s="4" t="str">
        <f>IFERROR(__xludf.DUMMYFUNCTION("""COMPUTED_VALUE"""),"CAMARA DOMO 4MP")</f>
        <v>CAMARA DOMO 4MP</v>
      </c>
      <c r="C203" s="4" t="str">
        <f>IFERROR(__xludf.DUMMYFUNCTION("""COMPUTED_VALUE"""),"DS-2DE5432IW-AE Domo IP PTZ 5-inch 4 MP 32X Powered by DarkFighter IR 150m Network Speed Dome 1/2.8"" Progressive Scan CMOS High quality imaging with 4 MP resolution Excellent low-light performance with powered-by-DarkFighter technology WDR, HLC, BLC, 3D "&amp;"DNR, Defog, Regional Exposure, Regional Focus, Accurate human and vehicle target classification, alarm, and linked tracking based on deep learning algorithm Face capture: Up to 5 faces captured at the same time")</f>
        <v>DS-2DE5432IW-AE Domo IP PTZ 5-inch 4 MP 32X Powered by DarkFighter IR 150m Network Speed Dome 1/2.8" Progressive Scan CMOS High quality imaging with 4 MP resolution Excellent low-light performance with powered-by-DarkFighter technology WDR, HLC, BLC, 3D DNR, Defog, Regional Exposure, Regional Focus, Accurate human and vehicle target classification, alarm, and linked tracking based on deep learning algorithm Face capture: Up to 5 faces captured at the same time</v>
      </c>
      <c r="D203" s="4" t="str">
        <f>IFERROR(__xludf.DUMMYFUNCTION("""COMPUTED_VALUE"""),"HIKVISION")</f>
        <v>HIKVISION</v>
      </c>
      <c r="E203" s="4" t="str">
        <f>IFERROR(__xludf.DUMMYFUNCTION("""COMPUTED_VALUE"""),"DS2DE5432IWAE")</f>
        <v>DS2DE5432IWAE</v>
      </c>
      <c r="F203" s="4" t="str">
        <f>IFERROR(__xludf.DUMMYFUNCTION("""COMPUTED_VALUE"""),"CCTV &gt; CAMARAS IP PTZ")</f>
        <v>CCTV &gt; CAMARAS IP PTZ</v>
      </c>
      <c r="G203" s="5"/>
      <c r="H203" s="6">
        <f>IFERROR(__xludf.DUMMYFUNCTION("""COMPUTED_VALUE"""),1199.0)</f>
        <v>1199</v>
      </c>
      <c r="I203" s="7">
        <f>IFERROR(__xludf.DUMMYFUNCTION("""COMPUTED_VALUE"""),21.0)</f>
        <v>21</v>
      </c>
      <c r="J203" s="6">
        <f>IFERROR(__xludf.DUMMYFUNCTION("""COMPUTED_VALUE"""),1438.8)</f>
        <v>1438.8</v>
      </c>
      <c r="K203" s="6">
        <f>IFERROR(__xludf.DUMMYFUNCTION("""COMPUTED_VALUE"""),1678.6)</f>
        <v>1678.6</v>
      </c>
      <c r="L203" s="3"/>
      <c r="M203" s="3"/>
    </row>
    <row r="204" ht="48.0" customHeight="1">
      <c r="A204" s="3" t="str">
        <f>IFERROR(__xludf.DUMMYFUNCTION("""COMPUTED_VALUE"""),"DS-2DE7A232IW-AEB")</f>
        <v>DS-2DE7A232IW-AEB</v>
      </c>
      <c r="B204" s="4" t="str">
        <f>IFERROR(__xludf.DUMMYFUNCTION("""COMPUTED_VALUE"""),"CAMARA DOMO ACUSENSE 2MP")</f>
        <v>CAMARA DOMO ACUSENSE 2MP</v>
      </c>
      <c r="C204" s="4" t="str">
        <f>IFERROR(__xludf.DUMMYFUNCTION("""COMPUTED_VALUE"""),"Domo IP PTZ 2MP, 7"", zoom 32x, 200 mts IR ACUSENSE, IP66")</f>
        <v>Domo IP PTZ 2MP, 7", zoom 32x, 200 mts IR ACUSENSE, IP66</v>
      </c>
      <c r="D204" s="4" t="str">
        <f>IFERROR(__xludf.DUMMYFUNCTION("""COMPUTED_VALUE"""),"HIKVISION")</f>
        <v>HIKVISION</v>
      </c>
      <c r="E204" s="4" t="str">
        <f>IFERROR(__xludf.DUMMYFUNCTION("""COMPUTED_VALUE"""),"DS-2DE7A232IW-AEB")</f>
        <v>DS-2DE7A232IW-AEB</v>
      </c>
      <c r="F204" s="4" t="str">
        <f>IFERROR(__xludf.DUMMYFUNCTION("""COMPUTED_VALUE"""),"CCTV &gt; CAMARAS IP PTZ")</f>
        <v>CCTV &gt; CAMARAS IP PTZ</v>
      </c>
      <c r="G204" s="5"/>
      <c r="H204" s="6">
        <f>IFERROR(__xludf.DUMMYFUNCTION("""COMPUTED_VALUE"""),1318.9)</f>
        <v>1318.9</v>
      </c>
      <c r="I204" s="7">
        <f>IFERROR(__xludf.DUMMYFUNCTION("""COMPUTED_VALUE"""),21.0)</f>
        <v>21</v>
      </c>
      <c r="J204" s="6">
        <f>IFERROR(__xludf.DUMMYFUNCTION("""COMPUTED_VALUE"""),1582.68)</f>
        <v>1582.68</v>
      </c>
      <c r="K204" s="6">
        <f>IFERROR(__xludf.DUMMYFUNCTION("""COMPUTED_VALUE"""),1846.46)</f>
        <v>1846.46</v>
      </c>
      <c r="L204" s="3"/>
      <c r="M204" s="3"/>
    </row>
    <row r="205" ht="48.0" customHeight="1">
      <c r="A205" s="3" t="str">
        <f>IFERROR(__xludf.DUMMYFUNCTION("""COMPUTED_VALUE"""),"DS-2DE7A432IW-AEB")</f>
        <v>DS-2DE7A432IW-AEB</v>
      </c>
      <c r="B205" s="4" t="str">
        <f>IFERROR(__xludf.DUMMYFUNCTION("""COMPUTED_VALUE"""),"CAMARA DOMO 4MP")</f>
        <v>CAMARA DOMO 4MP</v>
      </c>
      <c r="C205" s="4" t="str">
        <f>IFERROR(__xludf.DUMMYFUNCTION("""COMPUTED_VALUE"""),"Domo IP PTZ 7-inch 4 MP 32X Powered by DarkFighter IR Network Speed Dome. 1/1.8"" progressive scan CMOS. High quality imaging with 4 MP resolution. Excellent low-light performance with powered-by-DarkFighter technology. Audio visual alarm: The white flash"&amp;"ing light and audible warning can be triggered by certain events. 32× optical zoom and 16× digital zoom provide close up views over expansive areas. Expansive night view with up to 200 m IR distance. Focuses on human and vehicle targets classification bas"&amp;"ed on deep learning. Face capture: Up to 5 faces captured at the same time")</f>
        <v>Domo IP PTZ 7-inch 4 MP 32X Powered by DarkFighter IR Network Speed Dome. 1/1.8" progressive scan CMOS. High quality imaging with 4 MP resolution. Excellent low-light performance with powered-by-DarkFighter technology. Audio visual alarm: The white flashing light and audible warning can be triggered by certain events. 32× optical zoom and 16× digital zoom provide close up views over expansive areas. Expansive night view with up to 200 m IR distance. Focuses on human and vehicle targets classification based on deep learning. Face capture: Up to 5 faces captured at the same time</v>
      </c>
      <c r="D205" s="4" t="str">
        <f>IFERROR(__xludf.DUMMYFUNCTION("""COMPUTED_VALUE"""),"HIKVISION")</f>
        <v>HIKVISION</v>
      </c>
      <c r="E205" s="4" t="str">
        <f>IFERROR(__xludf.DUMMYFUNCTION("""COMPUTED_VALUE"""),"DS-2DE7A432IW-AEB")</f>
        <v>DS-2DE7A432IW-AEB</v>
      </c>
      <c r="F205" s="4" t="str">
        <f>IFERROR(__xludf.DUMMYFUNCTION("""COMPUTED_VALUE"""),"CCTV &gt; CAMARAS IP PTZ")</f>
        <v>CCTV &gt; CAMARAS IP PTZ</v>
      </c>
      <c r="G205" s="5"/>
      <c r="H205" s="6">
        <f>IFERROR(__xludf.DUMMYFUNCTION("""COMPUTED_VALUE"""),1393.7)</f>
        <v>1393.7</v>
      </c>
      <c r="I205" s="7">
        <f>IFERROR(__xludf.DUMMYFUNCTION("""COMPUTED_VALUE"""),21.0)</f>
        <v>21</v>
      </c>
      <c r="J205" s="6">
        <f>IFERROR(__xludf.DUMMYFUNCTION("""COMPUTED_VALUE"""),1672.44)</f>
        <v>1672.44</v>
      </c>
      <c r="K205" s="6">
        <f>IFERROR(__xludf.DUMMYFUNCTION("""COMPUTED_VALUE"""),1951.18)</f>
        <v>1951.18</v>
      </c>
      <c r="L205" s="3"/>
      <c r="M205" s="3"/>
    </row>
    <row r="206" ht="48.0" customHeight="1">
      <c r="A206" s="3" t="str">
        <f>IFERROR(__xludf.DUMMYFUNCTION("""COMPUTED_VALUE"""),"DS-2SE4C425MWG-E")</f>
        <v>DS-2SE4C425MWG-E</v>
      </c>
      <c r="B206" s="4" t="str">
        <f>IFERROR(__xludf.DUMMYFUNCTION("""COMPUTED_VALUE"""),"CAMARA COLORVU 4MP")</f>
        <v>CAMARA COLORVU 4MP</v>
      </c>
      <c r="C206" s="4" t="str">
        <f>IFERROR(__xludf.DUMMYFUNCTION("""COMPUTED_VALUE"""),"TandemVu 4-inch 4 MP 25X Colorful &amp; IR Network Speed Dome · Captures a large area and great details at the same time · High quality imaging with 4 MP resolution · Excellent low-light performance with powered-by-DarkFighter technology and ColorVu technolog"&amp;"y · Secures an expansive area with 25× optical zoom and 16× digital zoom · Supports WDR, HLC, BLC, 3D DNR, defog, regional exposure, regional focus · Expansive night view with up to 100 m IR distance &amp; 30 m white light · Supports 12V DC &amp; PoE+")</f>
        <v>TandemVu 4-inch 4 MP 25X Colorful &amp; IR Network Speed Dome · Captures a large area and great details at the same time · High quality imaging with 4 MP resolution · Excellent low-light performance with powered-by-DarkFighter technology and ColorVu technology · Secures an expansive area with 25× optical zoom and 16× digital zoom · Supports WDR, HLC, BLC, 3D DNR, defog, regional exposure, regional focus · Expansive night view with up to 100 m IR distance &amp; 30 m white light · Supports 12V DC &amp; PoE+</v>
      </c>
      <c r="D206" s="4" t="str">
        <f>IFERROR(__xludf.DUMMYFUNCTION("""COMPUTED_VALUE"""),"HIKVISION")</f>
        <v>HIKVISION</v>
      </c>
      <c r="E206" s="4" t="str">
        <f>IFERROR(__xludf.DUMMYFUNCTION("""COMPUTED_VALUE"""),"DS-2SE4C425MWG-E")</f>
        <v>DS-2SE4C425MWG-E</v>
      </c>
      <c r="F206" s="4" t="str">
        <f>IFERROR(__xludf.DUMMYFUNCTION("""COMPUTED_VALUE"""),"CCTV &gt; CAMARAS ANALOGICAS PTZ")</f>
        <v>CCTV &gt; CAMARAS ANALOGICAS PTZ</v>
      </c>
      <c r="G206" s="5"/>
      <c r="H206" s="6">
        <f>IFERROR(__xludf.DUMMYFUNCTION("""COMPUTED_VALUE"""),1025.2)</f>
        <v>1025.2</v>
      </c>
      <c r="I206" s="7">
        <f>IFERROR(__xludf.DUMMYFUNCTION("""COMPUTED_VALUE"""),21.0)</f>
        <v>21</v>
      </c>
      <c r="J206" s="6">
        <f>IFERROR(__xludf.DUMMYFUNCTION("""COMPUTED_VALUE"""),1230.24)</f>
        <v>1230.24</v>
      </c>
      <c r="K206" s="6">
        <f>IFERROR(__xludf.DUMMYFUNCTION("""COMPUTED_VALUE"""),1435.28)</f>
        <v>1435.28</v>
      </c>
      <c r="L206" s="3"/>
      <c r="M206" s="3"/>
    </row>
    <row r="207" ht="48.0" customHeight="1">
      <c r="A207" s="3" t="str">
        <f>IFERROR(__xludf.DUMMYFUNCTION("""COMPUTED_VALUE"""),"DS-2DE5232W-AE")</f>
        <v>DS-2DE5232W-AE</v>
      </c>
      <c r="B207" s="4" t="str">
        <f>IFERROR(__xludf.DUMMYFUNCTION("""COMPUTED_VALUE"""),"CAMARA DOMO 2MP")</f>
        <v>CAMARA DOMO 2MP</v>
      </c>
      <c r="C207" s="4" t="str">
        <f>IFERROR(__xludf.DUMMYFUNCTION("""COMPUTED_VALUE"""),"Domo IP PTZ 2 MP 32X Powered by DarkFighter Network Speed Dome· 1/2.8"" Progressive Scan CMOS · High quality imaging with 2 MP resolution · Excellent low-light performance with powered-by-DarkFighter technology · 32× optical zoom and 16× digital zoom prov"&amp;"ide close up views over expansive areas · WDR, HLC, BLC, 3D DNR, defog, regional exposure, regional focus · 24 VAC &amp; PoE (802.3at) · Efficient H.265+/H.265 compression technology")</f>
        <v>Domo IP PTZ 2 MP 32X Powered by DarkFighter Network Speed Dome· 1/2.8" Progressive Scan CMOS · High quality imaging with 2 MP resolution · Excellent low-light performance with powered-by-DarkFighter technology · 32× optical zoom and 16× digital zoom provide close up views over expansive areas · WDR, HLC, BLC, 3D DNR, defog, regional exposure, regional focus · 24 VAC &amp; PoE (802.3at) · Efficient H.265+/H.265 compression technology</v>
      </c>
      <c r="D207" s="4" t="str">
        <f>IFERROR(__xludf.DUMMYFUNCTION("""COMPUTED_VALUE"""),"HIKVISION")</f>
        <v>HIKVISION</v>
      </c>
      <c r="E207" s="4" t="str">
        <f>IFERROR(__xludf.DUMMYFUNCTION("""COMPUTED_VALUE"""),"DS-2DE5232W-AE")</f>
        <v>DS-2DE5232W-AE</v>
      </c>
      <c r="F207" s="4" t="str">
        <f>IFERROR(__xludf.DUMMYFUNCTION("""COMPUTED_VALUE"""),"CCTV &gt; CAMARAS IP PTZ")</f>
        <v>CCTV &gt; CAMARAS IP PTZ</v>
      </c>
      <c r="G207" s="5"/>
      <c r="H207" s="6">
        <f>IFERROR(__xludf.DUMMYFUNCTION("""COMPUTED_VALUE"""),641.3)</f>
        <v>641.3</v>
      </c>
      <c r="I207" s="7">
        <f>IFERROR(__xludf.DUMMYFUNCTION("""COMPUTED_VALUE"""),21.0)</f>
        <v>21</v>
      </c>
      <c r="J207" s="6">
        <f>IFERROR(__xludf.DUMMYFUNCTION("""COMPUTED_VALUE"""),769.56)</f>
        <v>769.56</v>
      </c>
      <c r="K207" s="6">
        <f>IFERROR(__xludf.DUMMYFUNCTION("""COMPUTED_VALUE"""),897.82)</f>
        <v>897.82</v>
      </c>
      <c r="L207" s="3"/>
      <c r="M207" s="3"/>
    </row>
    <row r="208" ht="48.0" customHeight="1">
      <c r="A208" s="3" t="str">
        <f>IFERROR(__xludf.DUMMYFUNCTION("""COMPUTED_VALUE"""),"DS-2DF6A436X-AELY")</f>
        <v>DS-2DF6A436X-AELY</v>
      </c>
      <c r="B208" s="4" t="str">
        <f>IFERROR(__xludf.DUMMYFUNCTION("""COMPUTED_VALUE"""),"CAMARA DOMO 4MP")</f>
        <v>CAMARA DOMO 4MP</v>
      </c>
      <c r="C208" s="4" t="str">
        <f>IFERROR(__xludf.DUMMYFUNCTION("""COMPUTED_VALUE"""),"Domo IP PTZ 6-inch 4MP 36X DarkFighter Network Speed Dome · 1/1.8"" Progressive Scan CMOS · High quality imaging with 4 MP resolution · Excellent low-light performance with powered-by-DarkFighter technology · 36× optical zoom and 16× digital zoom provide "&amp;"close up views over expansive areas · Supports rapid focus · Water and dust resistant (IP67) and vandal proof (IK10) · Supports face capture to detect, capture, grade, and select faces in motion · Supports road traffic to detect vehicles")</f>
        <v>Domo IP PTZ 6-inch 4MP 36X DarkFighter Network Speed Dome · 1/1.8" Progressive Scan CMOS · High quality imaging with 4 MP resolution · Excellent low-light performance with powered-by-DarkFighter technology · 36× optical zoom and 16× digital zoom provide close up views over expansive areas · Supports rapid focus · Water and dust resistant (IP67) and vandal proof (IK10) · Supports face capture to detect, capture, grade, and select faces in motion · Supports road traffic to detect vehicles</v>
      </c>
      <c r="D208" s="4" t="str">
        <f>IFERROR(__xludf.DUMMYFUNCTION("""COMPUTED_VALUE"""),"HIKVISION")</f>
        <v>HIKVISION</v>
      </c>
      <c r="E208" s="4" t="str">
        <f>IFERROR(__xludf.DUMMYFUNCTION("""COMPUTED_VALUE"""),"DS-2DF6A436X-AELY")</f>
        <v>DS-2DF6A436X-AELY</v>
      </c>
      <c r="F208" s="4" t="str">
        <f>IFERROR(__xludf.DUMMYFUNCTION("""COMPUTED_VALUE"""),"CCTV &gt; CAMARAS IP PTZ")</f>
        <v>CCTV &gt; CAMARAS IP PTZ</v>
      </c>
      <c r="G208" s="5"/>
      <c r="H208" s="6">
        <f>IFERROR(__xludf.DUMMYFUNCTION("""COMPUTED_VALUE"""),2736.8)</f>
        <v>2736.8</v>
      </c>
      <c r="I208" s="7">
        <f>IFERROR(__xludf.DUMMYFUNCTION("""COMPUTED_VALUE"""),21.0)</f>
        <v>21</v>
      </c>
      <c r="J208" s="6">
        <f>IFERROR(__xludf.DUMMYFUNCTION("""COMPUTED_VALUE"""),3284.16)</f>
        <v>3284.16</v>
      </c>
      <c r="K208" s="6">
        <f>IFERROR(__xludf.DUMMYFUNCTION("""COMPUTED_VALUE"""),3831.52)</f>
        <v>3831.52</v>
      </c>
      <c r="L208" s="3"/>
      <c r="M208" s="3"/>
    </row>
    <row r="209" ht="48.0" customHeight="1">
      <c r="A209" s="3" t="str">
        <f>IFERROR(__xludf.DUMMYFUNCTION("""COMPUTED_VALUE"""),"DS-2DF7A436IXG-ELY")</f>
        <v>DS-2DF7A436IXG-ELY</v>
      </c>
      <c r="B209" s="4" t="str">
        <f>IFERROR(__xludf.DUMMYFUNCTION("""COMPUTED_VALUE"""),"CAMARA DOMO 4MP")</f>
        <v>CAMARA DOMO 4MP</v>
      </c>
      <c r="C209" s="4" t="str">
        <f>IFERROR(__xludf.DUMMYFUNCTION("""COMPUTED_VALUE"""),"Domo IP 4MP PTZ Series 7A de 36X optical zoom and 16 × digital zoom DarkFighter IR Network Speed Dome 1/1.8"" Progressive Scan CMOS provide close up views over expansive areas Excellent low-light performance via DarkFighter 2.0 technology Clear imaging ag"&amp;"ainst strong back light due to 150 dB AWDR technology Supports rapid focus Smart Pan-Tilt Correction Built-in gyroscope to ensure stable image output Water and dust resistant (IP67), vandal proof (IK10) and corrosion resistant (NEMA 4X, optional)")</f>
        <v>Domo IP 4MP PTZ Series 7A de 36X optical zoom and 16 × digital zoom DarkFighter IR Network Speed Dome 1/1.8" Progressive Scan CMOS provide close up views over expansive areas Excellent low-light performance via DarkFighter 2.0 technology Clear imaging against strong back light due to 150 dB AWDR technology Supports rapid focus Smart Pan-Tilt Correction Built-in gyroscope to ensure stable image output Water and dust resistant (IP67), vandal proof (IK10) and corrosion resistant (NEMA 4X, optional)</v>
      </c>
      <c r="D209" s="4" t="str">
        <f>IFERROR(__xludf.DUMMYFUNCTION("""COMPUTED_VALUE"""),"HIKVISION")</f>
        <v>HIKVISION</v>
      </c>
      <c r="E209" s="4" t="str">
        <f>IFERROR(__xludf.DUMMYFUNCTION("""COMPUTED_VALUE"""),"DS-2DF7A436IXG-ELY")</f>
        <v>DS-2DF7A436IXG-ELY</v>
      </c>
      <c r="F209" s="4" t="str">
        <f>IFERROR(__xludf.DUMMYFUNCTION("""COMPUTED_VALUE"""),"CCTV &gt; CAMARAS IP PTZ")</f>
        <v>CCTV &gt; CAMARAS IP PTZ</v>
      </c>
      <c r="G209" s="5"/>
      <c r="H209" s="6">
        <f>IFERROR(__xludf.DUMMYFUNCTION("""COMPUTED_VALUE"""),3173.5)</f>
        <v>3173.5</v>
      </c>
      <c r="I209" s="7">
        <f>IFERROR(__xludf.DUMMYFUNCTION("""COMPUTED_VALUE"""),21.0)</f>
        <v>21</v>
      </c>
      <c r="J209" s="6">
        <f>IFERROR(__xludf.DUMMYFUNCTION("""COMPUTED_VALUE"""),3808.2)</f>
        <v>3808.2</v>
      </c>
      <c r="K209" s="6">
        <f>IFERROR(__xludf.DUMMYFUNCTION("""COMPUTED_VALUE"""),4442.9)</f>
        <v>4442.9</v>
      </c>
      <c r="L209" s="3"/>
      <c r="M209" s="3"/>
    </row>
    <row r="210" ht="48.0" customHeight="1">
      <c r="A210" s="3" t="str">
        <f>IFERROR(__xludf.DUMMYFUNCTION("""COMPUTED_VALUE"""),"DS2XS2T41G0ID4GC04S05")</f>
        <v>DS2XS2T41G0ID4GC04S05</v>
      </c>
      <c r="B210" s="4" t="str">
        <f>IFERROR(__xludf.DUMMYFUNCTION("""COMPUTED_VALUE"""),"CAMARA SOLAR EXTERIOR 4MP")</f>
        <v>CAMARA SOLAR EXTERIOR 4MP</v>
      </c>
      <c r="C210" s="4" t="str">
        <f>IFERROR(__xludf.DUMMYFUNCTION("""COMPUTED_VALUE"""),"DS-2XS2T41G0-ID/4G/C04S05 Camara 4 MP @ 15 fps lente 4mm. Apata para exterior IP66, temperatura de trabajo de 0 – 40°C. Incluye Panel Solar de 5 W tiempo de carga total entre 1 y 2 dias. Incluye bateria recargable de 40 WH. Incluye comunicador 4G (LTE-TDD"&amp;"/LTE-FDD/TD-SCDMA/EVDO) module ;ISAPI; ISUP.")</f>
        <v>DS-2XS2T41G0-ID/4G/C04S05 Camara 4 MP @ 15 fps lente 4mm. Apata para exterior IP66, temperatura de trabajo de 0 – 40°C. Incluye Panel Solar de 5 W tiempo de carga total entre 1 y 2 dias. Incluye bateria recargable de 40 WH. Incluye comunicador 4G (LTE-TDD/LTE-FDD/TD-SCDMA/EVDO) module ;ISAPI; ISUP.</v>
      </c>
      <c r="D210" s="4" t="str">
        <f>IFERROR(__xludf.DUMMYFUNCTION("""COMPUTED_VALUE"""),"HIKVISION")</f>
        <v>HIKVISION</v>
      </c>
      <c r="E210" s="4" t="str">
        <f>IFERROR(__xludf.DUMMYFUNCTION("""COMPUTED_VALUE"""),"DS2XS2T41G0ID4GC04S05")</f>
        <v>DS2XS2T41G0ID4GC04S05</v>
      </c>
      <c r="F210" s="4" t="str">
        <f>IFERROR(__xludf.DUMMYFUNCTION("""COMPUTED_VALUE"""),"CCTV &gt; CAMARAS TERMICAS")</f>
        <v>CCTV &gt; CAMARAS TERMICAS</v>
      </c>
      <c r="G210" s="5"/>
      <c r="H210" s="6">
        <f>IFERROR(__xludf.DUMMYFUNCTION("""COMPUTED_VALUE"""),247.5)</f>
        <v>247.5</v>
      </c>
      <c r="I210" s="7">
        <f>IFERROR(__xludf.DUMMYFUNCTION("""COMPUTED_VALUE"""),21.0)</f>
        <v>21</v>
      </c>
      <c r="J210" s="6">
        <f>IFERROR(__xludf.DUMMYFUNCTION("""COMPUTED_VALUE"""),297.0)</f>
        <v>297</v>
      </c>
      <c r="K210" s="6">
        <f>IFERROR(__xludf.DUMMYFUNCTION("""COMPUTED_VALUE"""),346.5)</f>
        <v>346.5</v>
      </c>
      <c r="L210" s="3"/>
      <c r="M210" s="3"/>
    </row>
    <row r="211" ht="48.0" customHeight="1">
      <c r="A211" s="3" t="str">
        <f>IFERROR(__xludf.DUMMYFUNCTION("""COMPUTED_VALUE"""),"DS-2XS2T47G1-LDH/4G/C18S")</f>
        <v>DS-2XS2T47G1-LDH/4G/C18S</v>
      </c>
      <c r="B211" s="4" t="str">
        <f>IFERROR(__xludf.DUMMYFUNCTION("""COMPUTED_VALUE"""),"CAMARA COLORVU SOLAR 4MP")</f>
        <v>CAMARA COLORVU SOLAR 4MP</v>
      </c>
      <c r="C211" s="4" t="str">
        <f>IFERROR(__xludf.DUMMYFUNCTION("""COMPUTED_VALUE"""),"Cámara solar 4G Color VU 4MP 1/3"" Progressive CMOS; Color: 0.001 lux @(F1.0, AGC ON), 0 lux with LED on; 2688x1520:15fps(P)/(N), H.265+/H.265/H.264+&amp;H.264, WDR, 3D DNR, BLC, DC12V, Modular Battery &amp; Solar Panel, Build-in Micrphone &amp; Speaker, Built-in 64G"&amp;"B eMMC, Support SD card slot (up to 256GB) ,Built-in 4G LTE module, Support mobile monitoring via Hik-Connect *-20℃～+50℃ durable Battery; (LA): 4G Bands suitable for Latin America and South America")</f>
        <v>Cámara solar 4G Color VU 4MP 1/3" Progressive CMOS; Color: 0.001 lux @(F1.0, AGC ON), 0 lux with LED on; 2688x1520:15fps(P)/(N), H.265+/H.265/H.264+&amp;H.264, WDR, 3D DNR, BLC, DC12V, Modular Battery &amp; Solar Panel, Build-in Micrphone &amp; Speaker, Built-in 64GB eMMC, Support SD card slot (up to 256GB) ,Built-in 4G LTE module, Support mobile monitoring via Hik-Connect *-20℃～+50℃ durable Battery; (LA): 4G Bands suitable for Latin America and South America</v>
      </c>
      <c r="D211" s="4" t="str">
        <f>IFERROR(__xludf.DUMMYFUNCTION("""COMPUTED_VALUE"""),"HIKVISION")</f>
        <v>HIKVISION</v>
      </c>
      <c r="E211" s="4" t="str">
        <f>IFERROR(__xludf.DUMMYFUNCTION("""COMPUTED_VALUE"""),"DS-2XS2T47G1-LDH/4G/C18S")</f>
        <v>DS-2XS2T47G1-LDH/4G/C18S</v>
      </c>
      <c r="F211" s="4" t="str">
        <f>IFERROR(__xludf.DUMMYFUNCTION("""COMPUTED_VALUE"""),"CCTV &gt; CAMARAS IP SOLARES")</f>
        <v>CCTV &gt; CAMARAS IP SOLARES</v>
      </c>
      <c r="G211" s="5"/>
      <c r="H211" s="6">
        <f>IFERROR(__xludf.DUMMYFUNCTION("""COMPUTED_VALUE"""),1447.6)</f>
        <v>1447.6</v>
      </c>
      <c r="I211" s="7">
        <f>IFERROR(__xludf.DUMMYFUNCTION("""COMPUTED_VALUE"""),21.0)</f>
        <v>21</v>
      </c>
      <c r="J211" s="6">
        <f>IFERROR(__xludf.DUMMYFUNCTION("""COMPUTED_VALUE"""),1737.12)</f>
        <v>1737.12</v>
      </c>
      <c r="K211" s="6">
        <f>IFERROR(__xludf.DUMMYFUNCTION("""COMPUTED_VALUE"""),2026.64)</f>
        <v>2026.64</v>
      </c>
      <c r="L211" s="3"/>
      <c r="M211" s="3"/>
    </row>
    <row r="212" ht="48.0" customHeight="1">
      <c r="A212" s="3" t="str">
        <f>IFERROR(__xludf.DUMMYFUNCTION("""COMPUTED_VALUE"""),"DS2XS6A87G1LC32S80")</f>
        <v>DS2XS6A87G1LC32S80</v>
      </c>
      <c r="B212" s="4" t="str">
        <f>IFERROR(__xludf.DUMMYFUNCTION("""COMPUTED_VALUE"""),"CAMARA COLORVU ACUSENSE EXTERIOR 8MP")</f>
        <v>CAMARA COLORVU ACUSENSE EXTERIOR 8MP</v>
      </c>
      <c r="C212" s="4" t="str">
        <f>IFERROR(__xludf.DUMMYFUNCTION("""COMPUTED_VALUE"""),"DS-2XS6A87G1-L/C32S80 Camara 8 MP @ 15 fps lente 4mm. Color Vu. Tecnologia AcuSense. Iluminador de hasta 30 metros. Apata para exterior IP67, temperatura de trabajo de -20 – 55°C. Incluye Panel Solar de 80 W tiempo de carga total entre 1.5 y 4 dias. No In"&amp;"cluye bateria recargable de 40 WH. Incluye comunicador 4G (LTE-TDD/LTE-FDD/TD-SCDMA/EVDO) module ;ISAPI; ISUP.")</f>
        <v>DS-2XS6A87G1-L/C32S80 Camara 8 MP @ 15 fps lente 4mm. Color Vu. Tecnologia AcuSense. Iluminador de hasta 30 metros. Apata para exterior IP67, temperatura de trabajo de -20 – 55°C. Incluye Panel Solar de 80 W tiempo de carga total entre 1.5 y 4 dias. No Incluye bateria recargable de 40 WH. Incluye comunicador 4G (LTE-TDD/LTE-FDD/TD-SCDMA/EVDO) module ;ISAPI; ISUP.</v>
      </c>
      <c r="D212" s="4" t="str">
        <f>IFERROR(__xludf.DUMMYFUNCTION("""COMPUTED_VALUE"""),"HIKVISION")</f>
        <v>HIKVISION</v>
      </c>
      <c r="E212" s="4" t="str">
        <f>IFERROR(__xludf.DUMMYFUNCTION("""COMPUTED_VALUE"""),"DS2XS6A87G1LC32S80")</f>
        <v>DS2XS6A87G1LC32S80</v>
      </c>
      <c r="F212" s="4" t="str">
        <f>IFERROR(__xludf.DUMMYFUNCTION("""COMPUTED_VALUE"""),"CCTV &gt; CAMARAS TERMICAS")</f>
        <v>CCTV &gt; CAMARAS TERMICAS</v>
      </c>
      <c r="G212" s="5"/>
      <c r="H212" s="6">
        <f>IFERROR(__xludf.DUMMYFUNCTION("""COMPUTED_VALUE"""),2258.3)</f>
        <v>2258.3</v>
      </c>
      <c r="I212" s="7">
        <f>IFERROR(__xludf.DUMMYFUNCTION("""COMPUTED_VALUE"""),21.0)</f>
        <v>21</v>
      </c>
      <c r="J212" s="6">
        <f>IFERROR(__xludf.DUMMYFUNCTION("""COMPUTED_VALUE"""),2709.96)</f>
        <v>2709.96</v>
      </c>
      <c r="K212" s="6">
        <f>IFERROR(__xludf.DUMMYFUNCTION("""COMPUTED_VALUE"""),3161.62)</f>
        <v>3161.62</v>
      </c>
      <c r="L212" s="3"/>
      <c r="M212" s="3"/>
    </row>
    <row r="213" ht="48.0" customHeight="1">
      <c r="A213" s="3" t="str">
        <f>IFERROR(__xludf.DUMMYFUNCTION("""COMPUTED_VALUE"""),"DS2FSCH30")</f>
        <v>DS2FSCH30</v>
      </c>
      <c r="B213" s="4" t="str">
        <f>IFERROR(__xludf.DUMMYFUNCTION("""COMPUTED_VALUE"""),"CAMARA")</f>
        <v>CAMARA</v>
      </c>
      <c r="C213" s="4" t="str">
        <f>IFERROR(__xludf.DUMMYFUNCTION("""COMPUTED_VALUE"""),"Bateria recargable de 320 WH para camara DS-2XS6A87G1-L/C32S80 , Rechargeable battery; automatic recharging and power saving; Up to 7-day continuous power supply in proactive mode in cloudy/rainy days")</f>
        <v>Bateria recargable de 320 WH para camara DS-2XS6A87G1-L/C32S80 , Rechargeable battery; automatic recharging and power saving; Up to 7-day continuous power supply in proactive mode in cloudy/rainy days</v>
      </c>
      <c r="D213" s="4" t="str">
        <f>IFERROR(__xludf.DUMMYFUNCTION("""COMPUTED_VALUE"""),"HIKVISION")</f>
        <v>HIKVISION</v>
      </c>
      <c r="E213" s="4" t="str">
        <f>IFERROR(__xludf.DUMMYFUNCTION("""COMPUTED_VALUE"""),"DS2FSCH30")</f>
        <v>DS2FSCH30</v>
      </c>
      <c r="F213" s="4" t="str">
        <f>IFERROR(__xludf.DUMMYFUNCTION("""COMPUTED_VALUE"""),"CCTV &gt; CAMARAS IP SOLARES")</f>
        <v>CCTV &gt; CAMARAS IP SOLARES</v>
      </c>
      <c r="G213" s="5"/>
      <c r="H213" s="6">
        <f>IFERROR(__xludf.DUMMYFUNCTION("""COMPUTED_VALUE"""),753.5)</f>
        <v>753.5</v>
      </c>
      <c r="I213" s="7">
        <f>IFERROR(__xludf.DUMMYFUNCTION("""COMPUTED_VALUE"""),21.0)</f>
        <v>21</v>
      </c>
      <c r="J213" s="6">
        <f>IFERROR(__xludf.DUMMYFUNCTION("""COMPUTED_VALUE"""),904.2)</f>
        <v>904.2</v>
      </c>
      <c r="K213" s="6">
        <f>IFERROR(__xludf.DUMMYFUNCTION("""COMPUTED_VALUE"""),1054.9)</f>
        <v>1054.9</v>
      </c>
      <c r="L213" s="3"/>
      <c r="M213" s="3"/>
    </row>
    <row r="214" ht="48.0" customHeight="1">
      <c r="A214" s="3" t="str">
        <f>IFERROR(__xludf.DUMMYFUNCTION("""COMPUTED_VALUE"""),"DS2TD2636B15P")</f>
        <v>DS2TD2636B15P</v>
      </c>
      <c r="B214" s="4" t="str">
        <f>IFERROR(__xludf.DUMMYFUNCTION("""COMPUTED_VALUE"""),"CAMARA")</f>
        <v>CAMARA</v>
      </c>
      <c r="C214" s="4" t="str">
        <f>IFERROR(__xludf.DUMMYFUNCTION("""COMPUTED_VALUE"""),"DS-2TD2636B-15/P Cámara DUAL óptica y termica : Thermal：384 × 288；Lens: 15mm；FOV：24.2°×18.4°;Optical：2688 × 1520；Lens: 6mm；Video mode：Bi-spectrum image fusion；Accuracy：±0.5℃ Range：30-45℃ Working temperature：10~35℃")</f>
        <v>DS-2TD2636B-15/P Cámara DUAL óptica y termica : Thermal：384 × 288；Lens: 15mm；FOV：24.2°×18.4°;Optical：2688 × 1520；Lens: 6mm；Video mode：Bi-spectrum image fusion；Accuracy：±0.5℃ Range：30-45℃ Working temperature：10~35℃</v>
      </c>
      <c r="D214" s="4" t="str">
        <f>IFERROR(__xludf.DUMMYFUNCTION("""COMPUTED_VALUE"""),"HIKVISION")</f>
        <v>HIKVISION</v>
      </c>
      <c r="E214" s="4" t="str">
        <f>IFERROR(__xludf.DUMMYFUNCTION("""COMPUTED_VALUE"""),"DS2TD2636B15P")</f>
        <v>DS2TD2636B15P</v>
      </c>
      <c r="F214" s="4" t="str">
        <f>IFERROR(__xludf.DUMMYFUNCTION("""COMPUTED_VALUE"""),"CCTV &gt; CAMARAS TERMICAS")</f>
        <v>CCTV &gt; CAMARAS TERMICAS</v>
      </c>
      <c r="G214" s="5"/>
      <c r="H214" s="6">
        <f>IFERROR(__xludf.DUMMYFUNCTION("""COMPUTED_VALUE"""),6895.9)</f>
        <v>6895.9</v>
      </c>
      <c r="I214" s="7">
        <f>IFERROR(__xludf.DUMMYFUNCTION("""COMPUTED_VALUE"""),21.0)</f>
        <v>21</v>
      </c>
      <c r="J214" s="6">
        <f>IFERROR(__xludf.DUMMYFUNCTION("""COMPUTED_VALUE"""),8275.08)</f>
        <v>8275.08</v>
      </c>
      <c r="K214" s="6">
        <f>IFERROR(__xludf.DUMMYFUNCTION("""COMPUTED_VALUE"""),9654.26)</f>
        <v>9654.26</v>
      </c>
      <c r="L214" s="3"/>
      <c r="M214" s="3"/>
    </row>
    <row r="215" ht="48.0" customHeight="1">
      <c r="A215" s="3" t="str">
        <f>IFERROR(__xludf.DUMMYFUNCTION("""COMPUTED_VALUE"""),"DS2TD2617B6PA")</f>
        <v>DS2TD2617B6PA</v>
      </c>
      <c r="B215" s="4" t="str">
        <f>IFERROR(__xludf.DUMMYFUNCTION("""COMPUTED_VALUE"""),"CAMARA BULLET")</f>
        <v>CAMARA BULLET</v>
      </c>
      <c r="C215" s="4" t="str">
        <f>IFERROR(__xludf.DUMMYFUNCTION("""COMPUTED_VALUE"""),"DS-2TD2617B-6/PA Cámara DUAL óptica y termica bullet : Thermal：160 × 120；Lens: 6mm；FOV：25°×18.7°; Optical：2688 × 1520；Lens: 8mm；Video mode：Bi-spectrum image fusion；Accuracy：±0.5℃Range：30-45℃ Working temperature：10~35℃")</f>
        <v>DS-2TD2617B-6/PA Cámara DUAL óptica y termica bullet : Thermal：160 × 120；Lens: 6mm；FOV：25°×18.7°; Optical：2688 × 1520；Lens: 8mm；Video mode：Bi-spectrum image fusion；Accuracy：±0.5℃Range：30-45℃ Working temperature：10~35℃</v>
      </c>
      <c r="D215" s="4" t="str">
        <f>IFERROR(__xludf.DUMMYFUNCTION("""COMPUTED_VALUE"""),"HIKVISION")</f>
        <v>HIKVISION</v>
      </c>
      <c r="E215" s="4" t="str">
        <f>IFERROR(__xludf.DUMMYFUNCTION("""COMPUTED_VALUE"""),"DS2TD2617B6PA")</f>
        <v>DS2TD2617B6PA</v>
      </c>
      <c r="F215" s="4" t="str">
        <f>IFERROR(__xludf.DUMMYFUNCTION("""COMPUTED_VALUE"""),"CCTV &gt; CAMARAS TERMICAS")</f>
        <v>CCTV &gt; CAMARAS TERMICAS</v>
      </c>
      <c r="G215" s="5"/>
      <c r="H215" s="6">
        <f>IFERROR(__xludf.DUMMYFUNCTION("""COMPUTED_VALUE"""),2563.0)</f>
        <v>2563</v>
      </c>
      <c r="I215" s="7">
        <f>IFERROR(__xludf.DUMMYFUNCTION("""COMPUTED_VALUE"""),21.0)</f>
        <v>21</v>
      </c>
      <c r="J215" s="6">
        <f>IFERROR(__xludf.DUMMYFUNCTION("""COMPUTED_VALUE"""),3075.6)</f>
        <v>3075.6</v>
      </c>
      <c r="K215" s="6">
        <f>IFERROR(__xludf.DUMMYFUNCTION("""COMPUTED_VALUE"""),3588.2)</f>
        <v>3588.2</v>
      </c>
      <c r="L215" s="3"/>
      <c r="M215" s="3"/>
    </row>
    <row r="216" ht="48.0" customHeight="1">
      <c r="A216" s="3" t="str">
        <f>IFERROR(__xludf.DUMMYFUNCTION("""COMPUTED_VALUE"""),"DS2909ZJ")</f>
        <v>DS2909ZJ</v>
      </c>
      <c r="B216" s="4" t="str">
        <f>IFERROR(__xludf.DUMMYFUNCTION("""COMPUTED_VALUE"""),"CAMARA BULLET")</f>
        <v>CAMARA BULLET</v>
      </c>
      <c r="C216" s="4" t="str">
        <f>IFERROR(__xludf.DUMMYFUNCTION("""COMPUTED_VALUE"""),"DS-2909ZJ Soporte para montaje en tripode para camara bullet")</f>
        <v>DS-2909ZJ Soporte para montaje en tripode para camara bullet</v>
      </c>
      <c r="D216" s="4" t="str">
        <f>IFERROR(__xludf.DUMMYFUNCTION("""COMPUTED_VALUE"""),"HIKVISION")</f>
        <v>HIKVISION</v>
      </c>
      <c r="E216" s="4" t="str">
        <f>IFERROR(__xludf.DUMMYFUNCTION("""COMPUTED_VALUE"""),"DS2909ZJ")</f>
        <v>DS2909ZJ</v>
      </c>
      <c r="F216" s="4" t="str">
        <f>IFERROR(__xludf.DUMMYFUNCTION("""COMPUTED_VALUE"""),"CCTV &gt; CAMARAS TERMICAS")</f>
        <v>CCTV &gt; CAMARAS TERMICAS</v>
      </c>
      <c r="G216" s="5"/>
      <c r="H216" s="6">
        <f>IFERROR(__xludf.DUMMYFUNCTION("""COMPUTED_VALUE"""),29.15)</f>
        <v>29.15</v>
      </c>
      <c r="I216" s="7">
        <f>IFERROR(__xludf.DUMMYFUNCTION("""COMPUTED_VALUE"""),21.0)</f>
        <v>21</v>
      </c>
      <c r="J216" s="6">
        <f>IFERROR(__xludf.DUMMYFUNCTION("""COMPUTED_VALUE"""),34.98)</f>
        <v>34.98</v>
      </c>
      <c r="K216" s="6">
        <f>IFERROR(__xludf.DUMMYFUNCTION("""COMPUTED_VALUE"""),40.81)</f>
        <v>40.81</v>
      </c>
      <c r="L216" s="3"/>
      <c r="M216" s="3"/>
    </row>
    <row r="217" ht="48.0" customHeight="1">
      <c r="A217" s="3" t="str">
        <f>IFERROR(__xludf.DUMMYFUNCTION("""COMPUTED_VALUE"""),"DS2TD1217B6PA")</f>
        <v>DS2TD1217B6PA</v>
      </c>
      <c r="B217" s="4" t="str">
        <f>IFERROR(__xludf.DUMMYFUNCTION("""COMPUTED_VALUE"""),"CAMARA DOMO")</f>
        <v>CAMARA DOMO</v>
      </c>
      <c r="C217" s="4" t="str">
        <f>IFERROR(__xludf.DUMMYFUNCTION("""COMPUTED_VALUE"""),"DS-2TD1217-6/PA Cámara DUAL óptica y termica domo :Thermal：160 × 120；Lens: 6mm；FOV：25°×18.7°; Optical：2688 × 1520；Lens: 8mm；Video mode：Bi-spectrum image fusion；Accuracy：±0.5℃ Range：30-45℃ Working temperature：10~35℃")</f>
        <v>DS-2TD1217-6/PA Cámara DUAL óptica y termica domo :Thermal：160 × 120；Lens: 6mm；FOV：25°×18.7°; Optical：2688 × 1520；Lens: 8mm；Video mode：Bi-spectrum image fusion；Accuracy：±0.5℃ Range：30-45℃ Working temperature：10~35℃</v>
      </c>
      <c r="D217" s="4" t="str">
        <f>IFERROR(__xludf.DUMMYFUNCTION("""COMPUTED_VALUE"""),"HIKVISION")</f>
        <v>HIKVISION</v>
      </c>
      <c r="E217" s="4" t="str">
        <f>IFERROR(__xludf.DUMMYFUNCTION("""COMPUTED_VALUE"""),"DS2TD1217B6PA")</f>
        <v>DS2TD1217B6PA</v>
      </c>
      <c r="F217" s="4" t="str">
        <f>IFERROR(__xludf.DUMMYFUNCTION("""COMPUTED_VALUE"""),"CCTV &gt; CAMARAS TERMICAS")</f>
        <v>CCTV &gt; CAMARAS TERMICAS</v>
      </c>
      <c r="G217" s="5"/>
      <c r="H217" s="6">
        <f>IFERROR(__xludf.DUMMYFUNCTION("""COMPUTED_VALUE"""),3446.3)</f>
        <v>3446.3</v>
      </c>
      <c r="I217" s="7">
        <f>IFERROR(__xludf.DUMMYFUNCTION("""COMPUTED_VALUE"""),21.0)</f>
        <v>21</v>
      </c>
      <c r="J217" s="6">
        <f>IFERROR(__xludf.DUMMYFUNCTION("""COMPUTED_VALUE"""),4135.56)</f>
        <v>4135.56</v>
      </c>
      <c r="K217" s="6">
        <f>IFERROR(__xludf.DUMMYFUNCTION("""COMPUTED_VALUE"""),4824.82)</f>
        <v>4824.82</v>
      </c>
      <c r="L217" s="3"/>
      <c r="M217" s="3"/>
    </row>
    <row r="218" ht="48.0" customHeight="1">
      <c r="A218" s="3" t="str">
        <f>IFERROR(__xludf.DUMMYFUNCTION("""COMPUTED_VALUE"""),"DS2908ZJ")</f>
        <v>DS2908ZJ</v>
      </c>
      <c r="B218" s="4" t="str">
        <f>IFERROR(__xludf.DUMMYFUNCTION("""COMPUTED_VALUE"""),"CAMARA DOMO")</f>
        <v>CAMARA DOMO</v>
      </c>
      <c r="C218" s="4" t="str">
        <f>IFERROR(__xludf.DUMMYFUNCTION("""COMPUTED_VALUE"""),"DS-2908ZJ Soporte para montaje en tripode para camara domo")</f>
        <v>DS-2908ZJ Soporte para montaje en tripode para camara domo</v>
      </c>
      <c r="D218" s="4" t="str">
        <f>IFERROR(__xludf.DUMMYFUNCTION("""COMPUTED_VALUE"""),"HIKVISION")</f>
        <v>HIKVISION</v>
      </c>
      <c r="E218" s="4" t="str">
        <f>IFERROR(__xludf.DUMMYFUNCTION("""COMPUTED_VALUE"""),"DS2908ZJ")</f>
        <v>DS2908ZJ</v>
      </c>
      <c r="F218" s="4" t="str">
        <f>IFERROR(__xludf.DUMMYFUNCTION("""COMPUTED_VALUE"""),"CCTV &gt; CAMARAS TERMICAS")</f>
        <v>CCTV &gt; CAMARAS TERMICAS</v>
      </c>
      <c r="G218" s="5"/>
      <c r="H218" s="6">
        <f>IFERROR(__xludf.DUMMYFUNCTION("""COMPUTED_VALUE"""),29.37)</f>
        <v>29.37</v>
      </c>
      <c r="I218" s="7">
        <f>IFERROR(__xludf.DUMMYFUNCTION("""COMPUTED_VALUE"""),21.0)</f>
        <v>21</v>
      </c>
      <c r="J218" s="6">
        <f>IFERROR(__xludf.DUMMYFUNCTION("""COMPUTED_VALUE"""),35.24)</f>
        <v>35.24</v>
      </c>
      <c r="K218" s="6">
        <f>IFERROR(__xludf.DUMMYFUNCTION("""COMPUTED_VALUE"""),41.12)</f>
        <v>41.12</v>
      </c>
      <c r="L218" s="3"/>
      <c r="M218" s="3"/>
    </row>
    <row r="219" ht="48.0" customHeight="1">
      <c r="A219" s="3" t="str">
        <f>IFERROR(__xludf.DUMMYFUNCTION("""COMPUTED_VALUE"""),"AE-MD5043")</f>
        <v>AE-MD5043</v>
      </c>
      <c r="B219" s="4" t="str">
        <f>IFERROR(__xludf.DUMMYFUNCTION("""COMPUTED_VALUE"""),"DVR 4 CANALES")</f>
        <v>DVR 4 CANALES</v>
      </c>
      <c r="C219" s="4" t="str">
        <f>IFERROR(__xludf.DUMMYFUNCTION("""COMPUTED_VALUE"""),"DVR Móvil 1080p (2 Megapixel) de 4 Canales TURBO HD. Sensor G. Compatible IA. Soporta 2 HDD. Alarmas I/O / Salida de Video.")</f>
        <v>DVR Móvil 1080p (2 Megapixel) de 4 Canales TURBO HD. Sensor G. Compatible IA. Soporta 2 HDD. Alarmas I/O / Salida de Video.</v>
      </c>
      <c r="D219" s="4" t="str">
        <f>IFERROR(__xludf.DUMMYFUNCTION("""COMPUTED_VALUE"""),"HIKVISION")</f>
        <v>HIKVISION</v>
      </c>
      <c r="E219" s="4" t="str">
        <f>IFERROR(__xludf.DUMMYFUNCTION("""COMPUTED_VALUE"""),"AE-MD5043")</f>
        <v>AE-MD5043</v>
      </c>
      <c r="F219" s="4" t="str">
        <f>IFERROR(__xludf.DUMMYFUNCTION("""COMPUTED_VALUE"""),"CCTV &gt; GRABADORES DVR")</f>
        <v>CCTV &gt; GRABADORES DVR</v>
      </c>
      <c r="G219" s="5"/>
      <c r="H219" s="6">
        <f>IFERROR(__xludf.DUMMYFUNCTION("""COMPUTED_VALUE"""),944.9)</f>
        <v>944.9</v>
      </c>
      <c r="I219" s="7">
        <f>IFERROR(__xludf.DUMMYFUNCTION("""COMPUTED_VALUE"""),21.0)</f>
        <v>21</v>
      </c>
      <c r="J219" s="6">
        <f>IFERROR(__xludf.DUMMYFUNCTION("""COMPUTED_VALUE"""),1133.88)</f>
        <v>1133.88</v>
      </c>
      <c r="K219" s="6">
        <f>IFERROR(__xludf.DUMMYFUNCTION("""COMPUTED_VALUE"""),1322.86)</f>
        <v>1322.86</v>
      </c>
      <c r="L219" s="3"/>
      <c r="M219" s="3"/>
    </row>
    <row r="220" ht="48.0" customHeight="1">
      <c r="A220" s="3" t="str">
        <f>IFERROR(__xludf.DUMMYFUNCTION("""COMPUTED_VALUE"""),"AE-MD5043(1T)")</f>
        <v>AE-MD5043(1T)</v>
      </c>
      <c r="B220" s="4" t="str">
        <f>IFERROR(__xludf.DUMMYFUNCTION("""COMPUTED_VALUE"""),"DVR 4 CANALES")</f>
        <v>DVR 4 CANALES</v>
      </c>
      <c r="C220" s="4" t="str">
        <f>IFERROR(__xludf.DUMMYFUNCTION("""COMPUTED_VALUE"""),"DVR Móvil 1080p (2 Megapixel) de 4 Canales TURBO HD. Sensor G. Compatible IA. Soporta 2 HDD. Alarmas I/O / Salida de Video. Incluye 1 SSD de 1 TB")</f>
        <v>DVR Móvil 1080p (2 Megapixel) de 4 Canales TURBO HD. Sensor G. Compatible IA. Soporta 2 HDD. Alarmas I/O / Salida de Video. Incluye 1 SSD de 1 TB</v>
      </c>
      <c r="D220" s="4" t="str">
        <f>IFERROR(__xludf.DUMMYFUNCTION("""COMPUTED_VALUE"""),"HIKVISION")</f>
        <v>HIKVISION</v>
      </c>
      <c r="E220" s="4" t="str">
        <f>IFERROR(__xludf.DUMMYFUNCTION("""COMPUTED_VALUE"""),"AE-MD5043(1T)")</f>
        <v>AE-MD5043(1T)</v>
      </c>
      <c r="F220" s="4" t="str">
        <f>IFERROR(__xludf.DUMMYFUNCTION("""COMPUTED_VALUE"""),"CCTV &gt; GRABADORES DVR")</f>
        <v>CCTV &gt; GRABADORES DVR</v>
      </c>
      <c r="G220" s="5"/>
      <c r="H220" s="6">
        <f>IFERROR(__xludf.DUMMYFUNCTION("""COMPUTED_VALUE"""),1226.5)</f>
        <v>1226.5</v>
      </c>
      <c r="I220" s="7">
        <f>IFERROR(__xludf.DUMMYFUNCTION("""COMPUTED_VALUE"""),21.0)</f>
        <v>21</v>
      </c>
      <c r="J220" s="6">
        <f>IFERROR(__xludf.DUMMYFUNCTION("""COMPUTED_VALUE"""),1471.8)</f>
        <v>1471.8</v>
      </c>
      <c r="K220" s="6">
        <f>IFERROR(__xludf.DUMMYFUNCTION("""COMPUTED_VALUE"""),1717.1)</f>
        <v>1717.1</v>
      </c>
      <c r="L220" s="3"/>
      <c r="M220" s="3"/>
    </row>
    <row r="221" ht="48.0" customHeight="1">
      <c r="A221" s="3" t="str">
        <f>IFERROR(__xludf.DUMMYFUNCTION("""COMPUTED_VALUE"""),"AE-MD5043-SD/I/GLF/WI58")</f>
        <v>AE-MD5043-SD/I/GLF/WI58</v>
      </c>
      <c r="B221" s="4" t="str">
        <f>IFERROR(__xludf.DUMMYFUNCTION("""COMPUTED_VALUE"""),"DVR WIFI 4 CANALES")</f>
        <v>DVR WIFI 4 CANALES</v>
      </c>
      <c r="C221" s="4" t="str">
        <f>IFERROR(__xludf.DUMMYFUNCTION("""COMPUTED_VALUE"""),"DVR Móvil 2 Megapixel (1080p) de 4 Canales TURBO HD con Tecnología IA Integrada. Soporta 4G / WiFi / GPS / Sensor G / y admite hasta 2 Memorias SD (512 GB ). Posee Alarmas I/O")</f>
        <v>DVR Móvil 2 Megapixel (1080p) de 4 Canales TURBO HD con Tecnología IA Integrada. Soporta 4G / WiFi / GPS / Sensor G / y admite hasta 2 Memorias SD (512 GB ). Posee Alarmas I/O</v>
      </c>
      <c r="D221" s="4" t="str">
        <f>IFERROR(__xludf.DUMMYFUNCTION("""COMPUTED_VALUE"""),"HIKVISION")</f>
        <v>HIKVISION</v>
      </c>
      <c r="E221" s="4" t="str">
        <f>IFERROR(__xludf.DUMMYFUNCTION("""COMPUTED_VALUE"""),"AE-MD5043-SD/I/GLF/WI58")</f>
        <v>AE-MD5043-SD/I/GLF/WI58</v>
      </c>
      <c r="F221" s="4" t="str">
        <f>IFERROR(__xludf.DUMMYFUNCTION("""COMPUTED_VALUE"""),"CCTV &gt; GRABADORES DVR")</f>
        <v>CCTV &gt; GRABADORES DVR</v>
      </c>
      <c r="G221" s="5"/>
      <c r="H221" s="6">
        <f>IFERROR(__xludf.DUMMYFUNCTION("""COMPUTED_VALUE"""),966.9)</f>
        <v>966.9</v>
      </c>
      <c r="I221" s="7">
        <f>IFERROR(__xludf.DUMMYFUNCTION("""COMPUTED_VALUE"""),21.0)</f>
        <v>21</v>
      </c>
      <c r="J221" s="6">
        <f>IFERROR(__xludf.DUMMYFUNCTION("""COMPUTED_VALUE"""),1160.28)</f>
        <v>1160.28</v>
      </c>
      <c r="K221" s="6">
        <f>IFERROR(__xludf.DUMMYFUNCTION("""COMPUTED_VALUE"""),1353.66)</f>
        <v>1353.66</v>
      </c>
      <c r="L221" s="3"/>
      <c r="M221" s="3"/>
    </row>
    <row r="222" ht="48.0" customHeight="1">
      <c r="A222" s="3" t="str">
        <f>IFERROR(__xludf.DUMMYFUNCTION("""COMPUTED_VALUE"""),"AE-MP1460")</f>
        <v>AE-MP1460</v>
      </c>
      <c r="B222" s="4" t="str">
        <f>IFERROR(__xludf.DUMMYFUNCTION("""COMPUTED_VALUE"""),"MOBILE WIRELESS COMPONENT, IT CAN SUPPORT DS-M5504HM-T, DS-MP5504, DS-")</f>
        <v>MOBILE WIRELESS COMPONENT, IT CAN SUPPORT DS-M5504HM-T, DS-MP5504, DS-</v>
      </c>
      <c r="C222" s="4" t="str">
        <f>IFERROR(__xludf.DUMMYFUNCTION("""COMPUTED_VALUE"""),"Mobile wireless component, it can support DS-M5504HM-T, DS-MP5504, DS-MP5604, DS-MP5604N,DS-MP7516,DS-MP7608,DS-MP7608HN, DS-MP7608H and it can be arranged freely ,for example, 303302229 DS-MP7608HN + 307500110 DS-MP1460/GW can = DS-MP7608HN/GW --WI58: su"&amp;"pport Wi-Fi 5G (802.11AC) transmission, up to 70Mbps --GW means built-in 3G module that can be used all over the word. --GLF: means built-in 4G module * the exact 4G signal and frenquency might vary based on actural country and telecom.")</f>
        <v>Mobile wireless component, it can support DS-M5504HM-T, DS-MP5504, DS-MP5604, DS-MP5604N,DS-MP7516,DS-MP7608,DS-MP7608HN, DS-MP7608H and it can be arranged freely ,for example, 303302229 DS-MP7608HN + 307500110 DS-MP1460/GW can = DS-MP7608HN/GW --WI58: support Wi-Fi 5G (802.11AC) transmission, up to 70Mbps --GW means built-in 3G module that can be used all over the word. --GLF: means built-in 4G module * the exact 4G signal and frenquency might vary based on actural country and telecom.</v>
      </c>
      <c r="D222" s="4" t="str">
        <f>IFERROR(__xludf.DUMMYFUNCTION("""COMPUTED_VALUE"""),"HIKVISION")</f>
        <v>HIKVISION</v>
      </c>
      <c r="E222" s="4" t="str">
        <f>IFERROR(__xludf.DUMMYFUNCTION("""COMPUTED_VALUE"""),"AE-MP1460")</f>
        <v>AE-MP1460</v>
      </c>
      <c r="F222" s="4" t="str">
        <f>IFERROR(__xludf.DUMMYFUNCTION("""COMPUTED_VALUE"""),"CCTV &gt; ACCESORIOS MOVILES")</f>
        <v>CCTV &gt; ACCESORIOS MOVILES</v>
      </c>
      <c r="G222" s="5"/>
      <c r="H222" s="6">
        <f>IFERROR(__xludf.DUMMYFUNCTION("""COMPUTED_VALUE"""),359.7)</f>
        <v>359.7</v>
      </c>
      <c r="I222" s="7">
        <f>IFERROR(__xludf.DUMMYFUNCTION("""COMPUTED_VALUE"""),21.0)</f>
        <v>21</v>
      </c>
      <c r="J222" s="6">
        <f>IFERROR(__xludf.DUMMYFUNCTION("""COMPUTED_VALUE"""),431.64)</f>
        <v>431.64</v>
      </c>
      <c r="K222" s="6">
        <f>IFERROR(__xludf.DUMMYFUNCTION("""COMPUTED_VALUE"""),503.58)</f>
        <v>503.58</v>
      </c>
      <c r="L222" s="3"/>
      <c r="M222" s="3"/>
    </row>
    <row r="223" ht="48.0" customHeight="1">
      <c r="A223" s="3" t="str">
        <f>IFERROR(__xludf.DUMMYFUNCTION("""COMPUTED_VALUE"""),"AE-VC211T-IRS-28MM")</f>
        <v>AE-VC211T-IRS-28MM</v>
      </c>
      <c r="B223" s="4" t="str">
        <f>IFERROR(__xludf.DUMMYFUNCTION("""COMPUTED_VALUE"""),"CAMARA DOMO 1080P")</f>
        <v>CAMARA DOMO 1080P</v>
      </c>
      <c r="C223" s="4" t="str">
        <f>IFERROR(__xludf.DUMMYFUNCTION("""COMPUTED_VALUE"""),"Mini Domo 2 Megapixel (1080P) / Lente 2.8 mm / Conexión Tipo Aviación / Micrófono Integrado / 10 - 20 mts IR")</f>
        <v>Mini Domo 2 Megapixel (1080P) / Lente 2.8 mm / Conexión Tipo Aviación / Micrófono Integrado / 10 - 20 mts IR</v>
      </c>
      <c r="D223" s="4" t="str">
        <f>IFERROR(__xludf.DUMMYFUNCTION("""COMPUTED_VALUE"""),"HIKVISION")</f>
        <v>HIKVISION</v>
      </c>
      <c r="E223" s="4" t="str">
        <f>IFERROR(__xludf.DUMMYFUNCTION("""COMPUTED_VALUE"""),"AE-VC211T-IRS-28MM")</f>
        <v>AE-VC211T-IRS-28MM</v>
      </c>
      <c r="F223" s="4" t="str">
        <f>IFERROR(__xludf.DUMMYFUNCTION("""COMPUTED_VALUE"""),"CCTV &gt; CAMARAS MOVILES")</f>
        <v>CCTV &gt; CAMARAS MOVILES</v>
      </c>
      <c r="G223" s="5"/>
      <c r="H223" s="6">
        <f>IFERROR(__xludf.DUMMYFUNCTION("""COMPUTED_VALUE"""),137.5)</f>
        <v>137.5</v>
      </c>
      <c r="I223" s="7">
        <f>IFERROR(__xludf.DUMMYFUNCTION("""COMPUTED_VALUE"""),21.0)</f>
        <v>21</v>
      </c>
      <c r="J223" s="6">
        <f>IFERROR(__xludf.DUMMYFUNCTION("""COMPUTED_VALUE"""),165.0)</f>
        <v>165</v>
      </c>
      <c r="K223" s="6">
        <f>IFERROR(__xludf.DUMMYFUNCTION("""COMPUTED_VALUE"""),192.5)</f>
        <v>192.5</v>
      </c>
      <c r="L223" s="3"/>
      <c r="M223" s="3"/>
    </row>
    <row r="224" ht="48.0" customHeight="1">
      <c r="A224" s="3" t="str">
        <f>IFERROR(__xludf.DUMMYFUNCTION("""COMPUTED_VALUE"""),"AE-VC259T-21MM")</f>
        <v>AE-VC259T-21MM</v>
      </c>
      <c r="B224" s="4" t="str">
        <f>IFERROR(__xludf.DUMMYFUNCTION("""COMPUTED_VALUE"""),"CAMARA INTERIOR 1080P")</f>
        <v>CAMARA INTERIOR 1080P</v>
      </c>
      <c r="C224" s="4" t="str">
        <f>IFERROR(__xludf.DUMMYFUNCTION("""COMPUTED_VALUE"""),"Cámara Móvil TURBO 2 Megapixel (1080P) / Grabación del Camino Frontal / Lente 2.1 mm (Super Gran Angular) / Conector Tipo Aviación / Uso Interior")</f>
        <v>Cámara Móvil TURBO 2 Megapixel (1080P) / Grabación del Camino Frontal / Lente 2.1 mm (Super Gran Angular) / Conector Tipo Aviación / Uso Interior</v>
      </c>
      <c r="D224" s="4" t="str">
        <f>IFERROR(__xludf.DUMMYFUNCTION("""COMPUTED_VALUE"""),"HIKVISION")</f>
        <v>HIKVISION</v>
      </c>
      <c r="E224" s="4" t="str">
        <f>IFERROR(__xludf.DUMMYFUNCTION("""COMPUTED_VALUE"""),"AE-VC259T-21MM")</f>
        <v>AE-VC259T-21MM</v>
      </c>
      <c r="F224" s="4" t="str">
        <f>IFERROR(__xludf.DUMMYFUNCTION("""COMPUTED_VALUE"""),"CCTV &gt; CAMARAS MOVILES")</f>
        <v>CCTV &gt; CAMARAS MOVILES</v>
      </c>
      <c r="G224" s="5"/>
      <c r="H224" s="6">
        <f>IFERROR(__xludf.DUMMYFUNCTION("""COMPUTED_VALUE"""),85.8)</f>
        <v>85.8</v>
      </c>
      <c r="I224" s="7">
        <f>IFERROR(__xludf.DUMMYFUNCTION("""COMPUTED_VALUE"""),21.0)</f>
        <v>21</v>
      </c>
      <c r="J224" s="6">
        <f>IFERROR(__xludf.DUMMYFUNCTION("""COMPUTED_VALUE"""),102.96)</f>
        <v>102.96</v>
      </c>
      <c r="K224" s="6">
        <f>IFERROR(__xludf.DUMMYFUNCTION("""COMPUTED_VALUE"""),120.12)</f>
        <v>120.12</v>
      </c>
      <c r="L224" s="3"/>
      <c r="M224" s="3"/>
    </row>
    <row r="225" ht="48.0" customHeight="1">
      <c r="A225" s="3" t="str">
        <f>IFERROR(__xludf.DUMMYFUNCTION("""COMPUTED_VALUE"""),"DS-MP1301")</f>
        <v>DS-MP1301</v>
      </c>
      <c r="B225" s="4" t="str">
        <f>IFERROR(__xludf.DUMMYFUNCTION("""COMPUTED_VALUE"""),"DVR 3 CANALES")</f>
        <v>DVR 3 CANALES</v>
      </c>
      <c r="C225" s="4" t="str">
        <f>IFERROR(__xludf.DUMMYFUNCTION("""COMPUTED_VALUE"""),"Monitor LCD 7 Pulgadas TFT LCD Vista en vivo en tiempo real de la cámara de visión trasera cuando el vehículo retrocede y otra cámara conectada. Admite entrada de video de 3 canales, incluido un canal que se conecta al DVR móvil, un canal que se conecta a"&amp;" la cámara de visión trasera y un canal reservado que se conecta a la otra cámara. Admite entrada de alarma de 2 canales")</f>
        <v>Monitor LCD 7 Pulgadas TFT LCD Vista en vivo en tiempo real de la cámara de visión trasera cuando el vehículo retrocede y otra cámara conectada. Admite entrada de video de 3 canales, incluido un canal que se conecta al DVR móvil, un canal que se conecta a la cámara de visión trasera y un canal reservado que se conecta a la otra cámara. Admite entrada de alarma de 2 canales</v>
      </c>
      <c r="D225" s="4" t="str">
        <f>IFERROR(__xludf.DUMMYFUNCTION("""COMPUTED_VALUE"""),"HIKVISION")</f>
        <v>HIKVISION</v>
      </c>
      <c r="E225" s="4" t="str">
        <f>IFERROR(__xludf.DUMMYFUNCTION("""COMPUTED_VALUE"""),"DS-MP1301")</f>
        <v>DS-MP1301</v>
      </c>
      <c r="F225" s="4" t="str">
        <f>IFERROR(__xludf.DUMMYFUNCTION("""COMPUTED_VALUE"""),"CCTV &gt; GRABADORES DVR")</f>
        <v>CCTV &gt; GRABADORES DVR</v>
      </c>
      <c r="G225" s="5"/>
      <c r="H225" s="6">
        <f>IFERROR(__xludf.DUMMYFUNCTION("""COMPUTED_VALUE"""),372.9)</f>
        <v>372.9</v>
      </c>
      <c r="I225" s="7">
        <f>IFERROR(__xludf.DUMMYFUNCTION("""COMPUTED_VALUE"""),21.0)</f>
        <v>21</v>
      </c>
      <c r="J225" s="6">
        <f>IFERROR(__xludf.DUMMYFUNCTION("""COMPUTED_VALUE"""),447.48)</f>
        <v>447.48</v>
      </c>
      <c r="K225" s="6">
        <f>IFERROR(__xludf.DUMMYFUNCTION("""COMPUTED_VALUE"""),522.06)</f>
        <v>522.06</v>
      </c>
      <c r="L225" s="3"/>
      <c r="M225" s="3"/>
    </row>
    <row r="226" ht="48.0" customHeight="1">
      <c r="A226" s="3" t="str">
        <f>IFERROR(__xludf.DUMMYFUNCTION("""COMPUTED_VALUE"""),"DS-1530HMI")</f>
        <v>DS-1530HMI</v>
      </c>
      <c r="B226" s="4" t="str">
        <f>IFERROR(__xludf.DUMMYFUNCTION("""COMPUTED_VALUE"""),"CONTROL REMOTO PARA ACTIVACIÓN DE ALARMA DE EMERGENCIA")</f>
        <v>CONTROL REMOTO PARA ACTIVACIÓN DE ALARMA DE EMERGENCIA</v>
      </c>
      <c r="C226" s="4" t="str">
        <f>IFERROR(__xludf.DUMMYFUNCTION("""COMPUTED_VALUE"""),"Control Remoto para Activación de Alarma de Emergencia. Alarma rápida en caso de emergencia. Los LED muestran el estado del terminal de alarma. Giroscopio incorporado para detección de frenos. Sensor incorporado para capturar la aceleración en tiempo real"&amp;".")</f>
        <v>Control Remoto para Activación de Alarma de Emergencia. Alarma rápida en caso de emergencia. Los LED muestran el estado del terminal de alarma. Giroscopio incorporado para detección de frenos. Sensor incorporado para capturar la aceleración en tiempo real.</v>
      </c>
      <c r="D226" s="4" t="str">
        <f>IFERROR(__xludf.DUMMYFUNCTION("""COMPUTED_VALUE"""),"HIKVISION")</f>
        <v>HIKVISION</v>
      </c>
      <c r="E226" s="4" t="str">
        <f>IFERROR(__xludf.DUMMYFUNCTION("""COMPUTED_VALUE"""),"DS-1530HMI")</f>
        <v>DS-1530HMI</v>
      </c>
      <c r="F226" s="4" t="str">
        <f>IFERROR(__xludf.DUMMYFUNCTION("""COMPUTED_VALUE"""),"CCTV &gt; ACCESORIOS MOVILES")</f>
        <v>CCTV &gt; ACCESORIOS MOVILES</v>
      </c>
      <c r="G226" s="5"/>
      <c r="H226" s="6">
        <f>IFERROR(__xludf.DUMMYFUNCTION("""COMPUTED_VALUE"""),146.3)</f>
        <v>146.3</v>
      </c>
      <c r="I226" s="7">
        <f>IFERROR(__xludf.DUMMYFUNCTION("""COMPUTED_VALUE"""),21.0)</f>
        <v>21</v>
      </c>
      <c r="J226" s="6">
        <f>IFERROR(__xludf.DUMMYFUNCTION("""COMPUTED_VALUE"""),175.56)</f>
        <v>175.56</v>
      </c>
      <c r="K226" s="6">
        <f>IFERROR(__xludf.DUMMYFUNCTION("""COMPUTED_VALUE"""),204.82)</f>
        <v>204.82</v>
      </c>
      <c r="L226" s="3"/>
      <c r="M226" s="3"/>
    </row>
    <row r="227" ht="48.0" customHeight="1">
      <c r="A227" s="3" t="str">
        <f>IFERROR(__xludf.DUMMYFUNCTION("""COMPUTED_VALUE"""),"AE-MC0201-16")</f>
        <v>AE-MC0201-16</v>
      </c>
      <c r="B227" s="4" t="str">
        <f>IFERROR(__xludf.DUMMYFUNCTION("""COMPUTED_VALUE"""),"CABLE EXTENSOR TIPO AVIACION COMPATIBLE CON CAMARA MOVIL HIKVISION")</f>
        <v>CABLE EXTENSOR TIPO AVIACION COMPATIBLE CON CAMARA MOVIL HIKVISION</v>
      </c>
      <c r="C227" s="4" t="str">
        <f>IFERROR(__xludf.DUMMYFUNCTION("""COMPUTED_VALUE"""),"Cable extensor tipo aviacion compatible con camara movil HIKVISION. El mismo cable de 16 metros suministra alimentacion, envia video y audio.")</f>
        <v>Cable extensor tipo aviacion compatible con camara movil HIKVISION. El mismo cable de 16 metros suministra alimentacion, envia video y audio.</v>
      </c>
      <c r="D227" s="4" t="str">
        <f>IFERROR(__xludf.DUMMYFUNCTION("""COMPUTED_VALUE"""),"HIKVISION")</f>
        <v>HIKVISION</v>
      </c>
      <c r="E227" s="4" t="str">
        <f>IFERROR(__xludf.DUMMYFUNCTION("""COMPUTED_VALUE"""),"AE-MC0201-16")</f>
        <v>AE-MC0201-16</v>
      </c>
      <c r="F227" s="4" t="str">
        <f>IFERROR(__xludf.DUMMYFUNCTION("""COMPUTED_VALUE"""),"CCTV &gt; ACCESORIOS MOVILES")</f>
        <v>CCTV &gt; ACCESORIOS MOVILES</v>
      </c>
      <c r="G227" s="5"/>
      <c r="H227" s="6">
        <f>IFERROR(__xludf.DUMMYFUNCTION("""COMPUTED_VALUE"""),51.7)</f>
        <v>51.7</v>
      </c>
      <c r="I227" s="7">
        <f>IFERROR(__xludf.DUMMYFUNCTION("""COMPUTED_VALUE"""),21.0)</f>
        <v>21</v>
      </c>
      <c r="J227" s="6">
        <f>IFERROR(__xludf.DUMMYFUNCTION("""COMPUTED_VALUE"""),62.04)</f>
        <v>62.04</v>
      </c>
      <c r="K227" s="6">
        <f>IFERROR(__xludf.DUMMYFUNCTION("""COMPUTED_VALUE"""),72.38)</f>
        <v>72.38</v>
      </c>
      <c r="L227" s="3"/>
      <c r="M227" s="3"/>
    </row>
    <row r="228" ht="48.0" customHeight="1">
      <c r="A228" s="3" t="str">
        <f>IFERROR(__xludf.DUMMYFUNCTION("""COMPUTED_VALUE"""),"AE-MC0201-20")</f>
        <v>AE-MC0201-20</v>
      </c>
      <c r="B228" s="4" t="str">
        <f>IFERROR(__xludf.DUMMYFUNCTION("""COMPUTED_VALUE"""),"CABLE TIPO AVIACION COMPATIBLE CON CAMARA MOVIL HIKVISION")</f>
        <v>CABLE TIPO AVIACION COMPATIBLE CON CAMARA MOVIL HIKVISION</v>
      </c>
      <c r="C228" s="4" t="str">
        <f>IFERROR(__xludf.DUMMYFUNCTION("""COMPUTED_VALUE"""),"Cable tipo aviacion compatible con camara movil HIKVISION. El mismo cable de 20 metros suministra alimentacion, envia video y audio.")</f>
        <v>Cable tipo aviacion compatible con camara movil HIKVISION. El mismo cable de 20 metros suministra alimentacion, envia video y audio.</v>
      </c>
      <c r="D228" s="4" t="str">
        <f>IFERROR(__xludf.DUMMYFUNCTION("""COMPUTED_VALUE"""),"HIKVISION")</f>
        <v>HIKVISION</v>
      </c>
      <c r="E228" s="4" t="str">
        <f>IFERROR(__xludf.DUMMYFUNCTION("""COMPUTED_VALUE"""),"AE-MC0201-20")</f>
        <v>AE-MC0201-20</v>
      </c>
      <c r="F228" s="4" t="str">
        <f>IFERROR(__xludf.DUMMYFUNCTION("""COMPUTED_VALUE"""),"CCTV &gt; ACCESORIOS MOVILES")</f>
        <v>CCTV &gt; ACCESORIOS MOVILES</v>
      </c>
      <c r="G228" s="5"/>
      <c r="H228" s="6">
        <f>IFERROR(__xludf.DUMMYFUNCTION("""COMPUTED_VALUE"""),51.7)</f>
        <v>51.7</v>
      </c>
      <c r="I228" s="7">
        <f>IFERROR(__xludf.DUMMYFUNCTION("""COMPUTED_VALUE"""),21.0)</f>
        <v>21</v>
      </c>
      <c r="J228" s="6">
        <f>IFERROR(__xludf.DUMMYFUNCTION("""COMPUTED_VALUE"""),62.04)</f>
        <v>62.04</v>
      </c>
      <c r="K228" s="6">
        <f>IFERROR(__xludf.DUMMYFUNCTION("""COMPUTED_VALUE"""),72.38)</f>
        <v>72.38</v>
      </c>
      <c r="L228" s="3"/>
      <c r="M228" s="3"/>
    </row>
    <row r="229" ht="48.0" customHeight="1">
      <c r="A229" s="3" t="str">
        <f>IFERROR(__xludf.DUMMYFUNCTION("""COMPUTED_VALUE"""),"KIT1832HIK18")</f>
        <v>KIT1832HIK18</v>
      </c>
      <c r="B229" s="4" t="str">
        <f>IFERROR(__xludf.DUMMYFUNCTION("""COMPUTED_VALUE"""),"PANEL DSC1832 C/TECL 1555 + 3 INFRARROJO DS-PDP18-EG2 +")</f>
        <v>PANEL DSC1832 C/TECL 1555 + 3 INFRARROJO DS-PDP18-EG2 +</v>
      </c>
      <c r="C229" s="4" t="str">
        <f>IFERROR(__xludf.DUMMYFUNCTION("""COMPUTED_VALUE"""),"Panel DSC1832 c/tecl 1555 + 3 Infrarrojo DS-PDP18-EG2 + Sirena int 15W + Bateria 12v7A, incluye gabinete y transformador")</f>
        <v>Panel DSC1832 c/tecl 1555 + 3 Infrarrojo DS-PDP18-EG2 + Sirena int 15W + Bateria 12v7A, incluye gabinete y transformador</v>
      </c>
      <c r="D229" s="4" t="str">
        <f>IFERROR(__xludf.DUMMYFUNCTION("""COMPUTED_VALUE"""),"DSC")</f>
        <v>DSC</v>
      </c>
      <c r="E229" s="4" t="str">
        <f>IFERROR(__xludf.DUMMYFUNCTION("""COMPUTED_VALUE"""),"KIT1832HIK18")</f>
        <v>KIT1832HIK18</v>
      </c>
      <c r="F229" s="4" t="str">
        <f>IFERROR(__xludf.DUMMYFUNCTION("""COMPUTED_VALUE"""),"ALARMAS &gt; KITS PARA MONITOREO")</f>
        <v>ALARMAS &gt; KITS PARA MONITOREO</v>
      </c>
      <c r="G229" s="5"/>
      <c r="H229" s="6">
        <f>IFERROR(__xludf.DUMMYFUNCTION("""COMPUTED_VALUE"""),155.85)</f>
        <v>155.85</v>
      </c>
      <c r="I229" s="7">
        <f>IFERROR(__xludf.DUMMYFUNCTION("""COMPUTED_VALUE"""),21.0)</f>
        <v>21</v>
      </c>
      <c r="J229" s="6">
        <f>IFERROR(__xludf.DUMMYFUNCTION("""COMPUTED_VALUE"""),187.02)</f>
        <v>187.02</v>
      </c>
      <c r="K229" s="6">
        <f>IFERROR(__xludf.DUMMYFUNCTION("""COMPUTED_VALUE"""),218.19)</f>
        <v>218.19</v>
      </c>
      <c r="L229" s="3"/>
      <c r="M229" s="3"/>
    </row>
    <row r="230" ht="48.0" customHeight="1">
      <c r="A230" s="3" t="str">
        <f>IFERROR(__xludf.DUMMYFUNCTION("""COMPUTED_VALUE"""),"KIT1832HIK18/2")</f>
        <v>KIT1832HIK18/2</v>
      </c>
      <c r="B230" s="4" t="str">
        <f>IFERROR(__xludf.DUMMYFUNCTION("""COMPUTED_VALUE"""),"PANEL DSC1832 C/TECL 5501 + 3 INFRARROJO DS-PDP18-EG2 +")</f>
        <v>PANEL DSC1832 C/TECL 5501 + 3 INFRARROJO DS-PDP18-EG2 +</v>
      </c>
      <c r="C230" s="4" t="str">
        <f>IFERROR(__xludf.DUMMYFUNCTION("""COMPUTED_VALUE"""),"Panel DSC1832 c/tecl 5501 + 3 Infrarrojo DS-PDP18-EG2 + Sirena int 15W + Bateria 12v7A, incluye gabinete y transformador")</f>
        <v>Panel DSC1832 c/tecl 5501 + 3 Infrarrojo DS-PDP18-EG2 + Sirena int 15W + Bateria 12v7A, incluye gabinete y transformador</v>
      </c>
      <c r="D230" s="4" t="str">
        <f>IFERROR(__xludf.DUMMYFUNCTION("""COMPUTED_VALUE"""),"DSC")</f>
        <v>DSC</v>
      </c>
      <c r="E230" s="4" t="str">
        <f>IFERROR(__xludf.DUMMYFUNCTION("""COMPUTED_VALUE"""),"KIT1832HIK18/2")</f>
        <v>KIT1832HIK18/2</v>
      </c>
      <c r="F230" s="4" t="str">
        <f>IFERROR(__xludf.DUMMYFUNCTION("""COMPUTED_VALUE"""),"ALARMAS &gt; KITS PARA MONITOREO")</f>
        <v>ALARMAS &gt; KITS PARA MONITOREO</v>
      </c>
      <c r="G230" s="5"/>
      <c r="H230" s="6">
        <f>IFERROR(__xludf.DUMMYFUNCTION("""COMPUTED_VALUE"""),189.65)</f>
        <v>189.65</v>
      </c>
      <c r="I230" s="7">
        <f>IFERROR(__xludf.DUMMYFUNCTION("""COMPUTED_VALUE"""),21.0)</f>
        <v>21</v>
      </c>
      <c r="J230" s="6">
        <f>IFERROR(__xludf.DUMMYFUNCTION("""COMPUTED_VALUE"""),227.58)</f>
        <v>227.58</v>
      </c>
      <c r="K230" s="6">
        <f>IFERROR(__xludf.DUMMYFUNCTION("""COMPUTED_VALUE"""),265.51)</f>
        <v>265.51</v>
      </c>
      <c r="L230" s="3"/>
      <c r="M230" s="3"/>
    </row>
    <row r="231" ht="48.0" customHeight="1">
      <c r="A231" s="3" t="str">
        <f>IFERROR(__xludf.DUMMYFUNCTION("""COMPUTED_VALUE"""),"LX3NBQ40")</f>
        <v>LX3NBQ40</v>
      </c>
      <c r="B231" s="4" t="str">
        <f>IFERROR(__xludf.DUMMYFUNCTION("""COMPUTED_VALUE"""),"(SOLO VENTA EN KIT) TRANSMISOR UNIVERSAL CON TECNOLOGÍA 3G,")</f>
        <v>(SOLO VENTA EN KIT) TRANSMISOR UNIVERSAL CON TECNOLOGÍA 3G,</v>
      </c>
      <c r="C231" s="4" t="str">
        <f>IFERROR(__xludf.DUMMYFUNCTION("""COMPUTED_VALUE"""),"(SOLO VENTA EN KIT) Transmisor universal con tecnología 3G, GPRS compatible con cualquier sistema de alarma, soporta protocolo CID, transmisión 3G/GPRS/SMS, posee 8 entradas o salidas configurables")</f>
        <v>(SOLO VENTA EN KIT) Transmisor universal con tecnología 3G, GPRS compatible con cualquier sistema de alarma, soporta protocolo CID, transmisión 3G/GPRS/SMS, posee 8 entradas o salidas configurables</v>
      </c>
      <c r="D231" s="4" t="str">
        <f>IFERROR(__xludf.DUMMYFUNCTION("""COMPUTED_VALUE"""),"EBS")</f>
        <v>EBS</v>
      </c>
      <c r="E231" s="4" t="str">
        <f>IFERROR(__xludf.DUMMYFUNCTION("""COMPUTED_VALUE"""),"LX3NBQ40")</f>
        <v>LX3NBQ40</v>
      </c>
      <c r="F231" s="4" t="str">
        <f>IFERROR(__xludf.DUMMYFUNCTION("""COMPUTED_VALUE"""),"ALARMAS &gt; KITS PARA MONITOREO")</f>
        <v>ALARMAS &gt; KITS PARA MONITOREO</v>
      </c>
      <c r="G231" s="5"/>
      <c r="H231" s="6">
        <f>IFERROR(__xludf.DUMMYFUNCTION("""COMPUTED_VALUE"""),108.9)</f>
        <v>108.9</v>
      </c>
      <c r="I231" s="7">
        <f>IFERROR(__xludf.DUMMYFUNCTION("""COMPUTED_VALUE"""),10.5)</f>
        <v>10.5</v>
      </c>
      <c r="J231" s="6">
        <f>IFERROR(__xludf.DUMMYFUNCTION("""COMPUTED_VALUE"""),130.68)</f>
        <v>130.68</v>
      </c>
      <c r="K231" s="6">
        <f>IFERROR(__xludf.DUMMYFUNCTION("""COMPUTED_VALUE"""),152.46)</f>
        <v>152.46</v>
      </c>
      <c r="L231" s="3"/>
      <c r="M231" s="3"/>
    </row>
    <row r="232" ht="48.0" customHeight="1">
      <c r="A232" s="3" t="str">
        <f>IFERROR(__xludf.DUMMYFUNCTION("""COMPUTED_VALUE"""),"LX30BQ40T")</f>
        <v>LX30BQ40T</v>
      </c>
      <c r="B232" s="4" t="str">
        <f>IFERROR(__xludf.DUMMYFUNCTION("""COMPUTED_VALUE"""),"(SOLO VENTA EN KIT) TRANSMISOR UNIVERSAL CON TECNOLOGÍA 3G,")</f>
        <v>(SOLO VENTA EN KIT) TRANSMISOR UNIVERSAL CON TECNOLOGÍA 3G,</v>
      </c>
      <c r="C232" s="4" t="str">
        <f>IFERROR(__xludf.DUMMYFUNCTION("""COMPUTED_VALUE"""),"(SOLO VENTA EN KIT) Transmisor universal con tecnología 3G, GPRS compatible con cualquier sistema de alarma, soporta protocolo CID, transmisión 3G/GPRS/SMS,posee 8 entradas o salidas configurables y conexión al BUS de datos a centrales DSC, Paradox, Honey"&amp;"well")</f>
        <v>(SOLO VENTA EN KIT) Transmisor universal con tecnología 3G, GPRS compatible con cualquier sistema de alarma, soporta protocolo CID, transmisión 3G/GPRS/SMS,posee 8 entradas o salidas configurables y conexión al BUS de datos a centrales DSC, Paradox, Honeywell</v>
      </c>
      <c r="D232" s="4" t="str">
        <f>IFERROR(__xludf.DUMMYFUNCTION("""COMPUTED_VALUE"""),"EBS")</f>
        <v>EBS</v>
      </c>
      <c r="E232" s="4" t="str">
        <f>IFERROR(__xludf.DUMMYFUNCTION("""COMPUTED_VALUE"""),"LX30BQ40T")</f>
        <v>LX30BQ40T</v>
      </c>
      <c r="F232" s="4" t="str">
        <f>IFERROR(__xludf.DUMMYFUNCTION("""COMPUTED_VALUE"""),"ALARMAS &gt; KITS PARA MONITOREO")</f>
        <v>ALARMAS &gt; KITS PARA MONITOREO</v>
      </c>
      <c r="G232" s="5"/>
      <c r="H232" s="6">
        <f>IFERROR(__xludf.DUMMYFUNCTION("""COMPUTED_VALUE"""),119.9)</f>
        <v>119.9</v>
      </c>
      <c r="I232" s="7">
        <f>IFERROR(__xludf.DUMMYFUNCTION("""COMPUTED_VALUE"""),10.5)</f>
        <v>10.5</v>
      </c>
      <c r="J232" s="6">
        <f>IFERROR(__xludf.DUMMYFUNCTION("""COMPUTED_VALUE"""),143.88)</f>
        <v>143.88</v>
      </c>
      <c r="K232" s="6">
        <f>IFERROR(__xludf.DUMMYFUNCTION("""COMPUTED_VALUE"""),167.86)</f>
        <v>167.86</v>
      </c>
      <c r="L232" s="3"/>
      <c r="M232" s="3"/>
    </row>
    <row r="233" ht="48.0" customHeight="1">
      <c r="A233" s="3" t="str">
        <f>IFERROR(__xludf.DUMMYFUNCTION("""COMPUTED_VALUE"""),"KIT2032HIK18")</f>
        <v>KIT2032HIK18</v>
      </c>
      <c r="B233" s="4" t="str">
        <f>IFERROR(__xludf.DUMMYFUNCTION("""COMPUTED_VALUE"""),"PANEL DSCHS2032 C/TECL HS2ICN + 3 INFRARROJO DS-PDP18-EG2 +")</f>
        <v>PANEL DSCHS2032 C/TECL HS2ICN + 3 INFRARROJO DS-PDP18-EG2 +</v>
      </c>
      <c r="C233" s="4" t="str">
        <f>IFERROR(__xludf.DUMMYFUNCTION("""COMPUTED_VALUE"""),"Panel DSCHS2032 c/tecl HS2ICN + 3 Infrarrojo DS-PDP18-EG2 + Sirena int 15W + Bateria 12v7A, incluye gabinete y transformador")</f>
        <v>Panel DSCHS2032 c/tecl HS2ICN + 3 Infrarrojo DS-PDP18-EG2 + Sirena int 15W + Bateria 12v7A, incluye gabinete y transformador</v>
      </c>
      <c r="D233" s="4" t="str">
        <f>IFERROR(__xludf.DUMMYFUNCTION("""COMPUTED_VALUE"""),"DSC")</f>
        <v>DSC</v>
      </c>
      <c r="E233" s="4" t="str">
        <f>IFERROR(__xludf.DUMMYFUNCTION("""COMPUTED_VALUE"""),"KIT2032HIK18")</f>
        <v>KIT2032HIK18</v>
      </c>
      <c r="F233" s="4" t="str">
        <f>IFERROR(__xludf.DUMMYFUNCTION("""COMPUTED_VALUE"""),"ALARMAS &gt; KITS PARA MONITOREO")</f>
        <v>ALARMAS &gt; KITS PARA MONITOREO</v>
      </c>
      <c r="G233" s="5"/>
      <c r="H233" s="6">
        <f>IFERROR(__xludf.DUMMYFUNCTION("""COMPUTED_VALUE"""),158.02)</f>
        <v>158.02</v>
      </c>
      <c r="I233" s="7">
        <f>IFERROR(__xludf.DUMMYFUNCTION("""COMPUTED_VALUE"""),21.0)</f>
        <v>21</v>
      </c>
      <c r="J233" s="6">
        <f>IFERROR(__xludf.DUMMYFUNCTION("""COMPUTED_VALUE"""),189.62)</f>
        <v>189.62</v>
      </c>
      <c r="K233" s="6">
        <f>IFERROR(__xludf.DUMMYFUNCTION("""COMPUTED_VALUE"""),221.23)</f>
        <v>221.23</v>
      </c>
      <c r="L233" s="3"/>
      <c r="M233" s="3"/>
    </row>
    <row r="234" ht="48.0" customHeight="1">
      <c r="A234" s="3" t="str">
        <f>IFERROR(__xludf.DUMMYFUNCTION("""COMPUTED_VALUE"""),"KIT2032HIK18/2")</f>
        <v>KIT2032HIK18/2</v>
      </c>
      <c r="B234" s="4" t="str">
        <f>IFERROR(__xludf.DUMMYFUNCTION("""COMPUTED_VALUE"""),"PANEL DSCHS2032 C/TECL HS2LCD + 3 INFRARROJO DS-PDP18-EG2 +")</f>
        <v>PANEL DSCHS2032 C/TECL HS2LCD + 3 INFRARROJO DS-PDP18-EG2 +</v>
      </c>
      <c r="C234" s="4" t="str">
        <f>IFERROR(__xludf.DUMMYFUNCTION("""COMPUTED_VALUE"""),"Panel DSCHS2032 c/tecl HS2LCD + 3 Infrarrojo DS-PDP18-EG2 + Sirena int 15W + Bateria 12v7A, incluye gabinete y transformador")</f>
        <v>Panel DSCHS2032 c/tecl HS2LCD + 3 Infrarrojo DS-PDP18-EG2 + Sirena int 15W + Bateria 12v7A, incluye gabinete y transformador</v>
      </c>
      <c r="D234" s="4" t="str">
        <f>IFERROR(__xludf.DUMMYFUNCTION("""COMPUTED_VALUE"""),"DSC")</f>
        <v>DSC</v>
      </c>
      <c r="E234" s="4" t="str">
        <f>IFERROR(__xludf.DUMMYFUNCTION("""COMPUTED_VALUE"""),"KIT2032HIK18/2")</f>
        <v>KIT2032HIK18/2</v>
      </c>
      <c r="F234" s="4" t="str">
        <f>IFERROR(__xludf.DUMMYFUNCTION("""COMPUTED_VALUE"""),"ALARMAS &gt; KITS PARA MONITOREO")</f>
        <v>ALARMAS &gt; KITS PARA MONITOREO</v>
      </c>
      <c r="G234" s="5"/>
      <c r="H234" s="6">
        <f>IFERROR(__xludf.DUMMYFUNCTION("""COMPUTED_VALUE"""),191.02)</f>
        <v>191.02</v>
      </c>
      <c r="I234" s="7">
        <f>IFERROR(__xludf.DUMMYFUNCTION("""COMPUTED_VALUE"""),21.0)</f>
        <v>21</v>
      </c>
      <c r="J234" s="6">
        <f>IFERROR(__xludf.DUMMYFUNCTION("""COMPUTED_VALUE"""),229.22)</f>
        <v>229.22</v>
      </c>
      <c r="K234" s="6">
        <f>IFERROR(__xludf.DUMMYFUNCTION("""COMPUTED_VALUE"""),267.43)</f>
        <v>267.43</v>
      </c>
      <c r="L234" s="3"/>
      <c r="M234" s="3"/>
    </row>
    <row r="235" ht="48.0" customHeight="1">
      <c r="A235" s="3" t="str">
        <f>IFERROR(__xludf.DUMMYFUNCTION("""COMPUTED_VALUE"""),"KITPHA20/DSPKL/HIK18")</f>
        <v>KITPHA20/DSPKL/HIK18</v>
      </c>
      <c r="B235" s="4" t="str">
        <f>IFERROR(__xludf.DUMMYFUNCTION("""COMPUTED_VALUE"""),"KIT DE ALARMA COMPUESTO POR: PANEL DSPHA20 C/TECL LCD")</f>
        <v>KIT DE ALARMA COMPUESTO POR: PANEL DSPHA20 C/TECL LCD</v>
      </c>
      <c r="C235" s="4" t="str">
        <f>IFERROR(__xludf.DUMMYFUNCTION("""COMPUTED_VALUE"""),"KIT de Alarma compuesto por: Panel DSPHA20 c/tecl LCD DSPKL + 3 Infrarrojo DS-PDP18-EG2 + Sirena int 15W + Bateria 12v7A, incluye KITFUENTEALARMA")</f>
        <v>KIT de Alarma compuesto por: Panel DSPHA20 c/tecl LCD DSPKL + 3 Infrarrojo DS-PDP18-EG2 + Sirena int 15W + Bateria 12v7A, incluye KITFUENTEALARMA</v>
      </c>
      <c r="D235" s="4" t="str">
        <f>IFERROR(__xludf.DUMMYFUNCTION("""COMPUTED_VALUE"""),"HIKVISION")</f>
        <v>HIKVISION</v>
      </c>
      <c r="E235" s="4" t="str">
        <f>IFERROR(__xludf.DUMMYFUNCTION("""COMPUTED_VALUE"""),"KITPHA20/DSPKL/HIK18")</f>
        <v>KITPHA20/DSPKL/HIK18</v>
      </c>
      <c r="F235" s="4" t="str">
        <f>IFERROR(__xludf.DUMMYFUNCTION("""COMPUTED_VALUE"""),"ALARMAS &gt; KITS PARA MONITOREO")</f>
        <v>ALARMAS &gt; KITS PARA MONITOREO</v>
      </c>
      <c r="G235" s="5"/>
      <c r="H235" s="6">
        <f>IFERROR(__xludf.DUMMYFUNCTION("""COMPUTED_VALUE"""),160.47)</f>
        <v>160.47</v>
      </c>
      <c r="I235" s="7">
        <f>IFERROR(__xludf.DUMMYFUNCTION("""COMPUTED_VALUE"""),21.0)</f>
        <v>21</v>
      </c>
      <c r="J235" s="6">
        <f>IFERROR(__xludf.DUMMYFUNCTION("""COMPUTED_VALUE"""),192.56)</f>
        <v>192.56</v>
      </c>
      <c r="K235" s="6">
        <f>IFERROR(__xludf.DUMMYFUNCTION("""COMPUTED_VALUE"""),224.66)</f>
        <v>224.66</v>
      </c>
      <c r="L235" s="3"/>
      <c r="M235" s="3"/>
    </row>
    <row r="236" ht="48.0" customHeight="1">
      <c r="A236" s="3" t="str">
        <f>IFERROR(__xludf.DUMMYFUNCTION("""COMPUTED_VALUE"""),"KITPHA20/DSPKL/HIK18/3G")</f>
        <v>KITPHA20/DSPKL/HIK18/3G</v>
      </c>
      <c r="B236" s="4" t="str">
        <f>IFERROR(__xludf.DUMMYFUNCTION("""COMPUTED_VALUE"""),"KIT DE ALARMA COMPUESTO POR: PANEL DSPHA20 C/TECL LCD")</f>
        <v>KIT DE ALARMA COMPUESTO POR: PANEL DSPHA20 C/TECL LCD</v>
      </c>
      <c r="C236" s="4" t="str">
        <f>IFERROR(__xludf.DUMMYFUNCTION("""COMPUTED_VALUE"""),"KIT de Alarma compuesto por: Panel DSPHA20 c/tecl LCD DSPKL + 3 Infrarrojo DS-PDP18-EG2 + Sirena int 15W + Bateria 12v7A + Comunicador DSPMAS2 3G/4G, incluye KITFUENTEALARMA")</f>
        <v>KIT de Alarma compuesto por: Panel DSPHA20 c/tecl LCD DSPKL + 3 Infrarrojo DS-PDP18-EG2 + Sirena int 15W + Bateria 12v7A + Comunicador DSPMAS2 3G/4G, incluye KITFUENTEALARMA</v>
      </c>
      <c r="D236" s="4" t="str">
        <f>IFERROR(__xludf.DUMMYFUNCTION("""COMPUTED_VALUE"""),"HIKVISION")</f>
        <v>HIKVISION</v>
      </c>
      <c r="E236" s="4" t="str">
        <f>IFERROR(__xludf.DUMMYFUNCTION("""COMPUTED_VALUE"""),"KITPHA20/DSPKL/HIK18/3G")</f>
        <v>KITPHA20/DSPKL/HIK18/3G</v>
      </c>
      <c r="F236" s="4" t="str">
        <f>IFERROR(__xludf.DUMMYFUNCTION("""COMPUTED_VALUE"""),"ALARMAS &gt; KITS PARA MONITOREO")</f>
        <v>ALARMAS &gt; KITS PARA MONITOREO</v>
      </c>
      <c r="G236" s="5"/>
      <c r="H236" s="6">
        <f>IFERROR(__xludf.DUMMYFUNCTION("""COMPUTED_VALUE"""),228.12)</f>
        <v>228.12</v>
      </c>
      <c r="I236" s="7">
        <f>IFERROR(__xludf.DUMMYFUNCTION("""COMPUTED_VALUE"""),21.0)</f>
        <v>21</v>
      </c>
      <c r="J236" s="6">
        <f>IFERROR(__xludf.DUMMYFUNCTION("""COMPUTED_VALUE"""),273.74)</f>
        <v>273.74</v>
      </c>
      <c r="K236" s="6">
        <f>IFERROR(__xludf.DUMMYFUNCTION("""COMPUTED_VALUE"""),319.37)</f>
        <v>319.37</v>
      </c>
      <c r="L236" s="3"/>
      <c r="M236" s="3"/>
    </row>
    <row r="237" ht="48.0" customHeight="1">
      <c r="A237" s="3" t="str">
        <f>IFERROR(__xludf.DUMMYFUNCTION("""COMPUTED_VALUE"""),"KITPHA64/DSPKL/HIK18")</f>
        <v>KITPHA64/DSPKL/HIK18</v>
      </c>
      <c r="B237" s="4" t="str">
        <f>IFERROR(__xludf.DUMMYFUNCTION("""COMPUTED_VALUE"""),"KIT DE ALARMA COMPUESTO POR: PANEL DSPHA64 C/TECL LCD")</f>
        <v>KIT DE ALARMA COMPUESTO POR: PANEL DSPHA64 C/TECL LCD</v>
      </c>
      <c r="C237" s="4" t="str">
        <f>IFERROR(__xludf.DUMMYFUNCTION("""COMPUTED_VALUE"""),"KIT de Alarma compuesto por: Panel DSPHA64 c/tecl LCD DSPKL + 3 Infrarrojo DS-PDP18-EG2 + Sirena int 15W + Bateria 12v7A, incluye KITFUENTEALARMA")</f>
        <v>KIT de Alarma compuesto por: Panel DSPHA64 c/tecl LCD DSPKL + 3 Infrarrojo DS-PDP18-EG2 + Sirena int 15W + Bateria 12v7A, incluye KITFUENTEALARMA</v>
      </c>
      <c r="D237" s="4" t="str">
        <f>IFERROR(__xludf.DUMMYFUNCTION("""COMPUTED_VALUE"""),"HIKVISION")</f>
        <v>HIKVISION</v>
      </c>
      <c r="E237" s="4" t="str">
        <f>IFERROR(__xludf.DUMMYFUNCTION("""COMPUTED_VALUE"""),"KITPHA64/DSPKL/HIK18")</f>
        <v>KITPHA64/DSPKL/HIK18</v>
      </c>
      <c r="F237" s="4" t="str">
        <f>IFERROR(__xludf.DUMMYFUNCTION("""COMPUTED_VALUE"""),"ALARMAS &gt; KITS PARA MONITOREO")</f>
        <v>ALARMAS &gt; KITS PARA MONITOREO</v>
      </c>
      <c r="G237" s="5"/>
      <c r="H237" s="6">
        <f>IFERROR(__xludf.DUMMYFUNCTION("""COMPUTED_VALUE"""),164.16)</f>
        <v>164.16</v>
      </c>
      <c r="I237" s="7">
        <f>IFERROR(__xludf.DUMMYFUNCTION("""COMPUTED_VALUE"""),21.0)</f>
        <v>21</v>
      </c>
      <c r="J237" s="6">
        <f>IFERROR(__xludf.DUMMYFUNCTION("""COMPUTED_VALUE"""),196.99)</f>
        <v>196.99</v>
      </c>
      <c r="K237" s="6">
        <f>IFERROR(__xludf.DUMMYFUNCTION("""COMPUTED_VALUE"""),229.82)</f>
        <v>229.82</v>
      </c>
      <c r="L237" s="3"/>
      <c r="M237" s="3"/>
    </row>
    <row r="238" ht="48.0" customHeight="1">
      <c r="A238" s="3" t="str">
        <f>IFERROR(__xludf.DUMMYFUNCTION("""COMPUTED_VALUE"""),"KITPHA64/DSPKL/HIK18/3G")</f>
        <v>KITPHA64/DSPKL/HIK18/3G</v>
      </c>
      <c r="B238" s="4" t="str">
        <f>IFERROR(__xludf.DUMMYFUNCTION("""COMPUTED_VALUE"""),"KIT DE ALARMA COMPUESTO POR: PANEL DSPHA64 C/TECL LCD")</f>
        <v>KIT DE ALARMA COMPUESTO POR: PANEL DSPHA64 C/TECL LCD</v>
      </c>
      <c r="C238" s="4" t="str">
        <f>IFERROR(__xludf.DUMMYFUNCTION("""COMPUTED_VALUE"""),"KIT de Alarma compuesto por: Panel DSPHA64 c/tecl LCD DSPKL + 3 Infrarrojo DS-PDP18-EG2 + Sirena int 15W + Bateria 12v7A + Comunicador DSPMAS2 3G/4G, incluye KITFUENTEALARMA")</f>
        <v>KIT de Alarma compuesto por: Panel DSPHA64 c/tecl LCD DSPKL + 3 Infrarrojo DS-PDP18-EG2 + Sirena int 15W + Bateria 12v7A + Comunicador DSPMAS2 3G/4G, incluye KITFUENTEALARMA</v>
      </c>
      <c r="D238" s="4" t="str">
        <f>IFERROR(__xludf.DUMMYFUNCTION("""COMPUTED_VALUE"""),"HIKVISION")</f>
        <v>HIKVISION</v>
      </c>
      <c r="E238" s="4" t="str">
        <f>IFERROR(__xludf.DUMMYFUNCTION("""COMPUTED_VALUE"""),"KITPHA64/DSPKL/HIK18/3G")</f>
        <v>KITPHA64/DSPKL/HIK18/3G</v>
      </c>
      <c r="F238" s="4" t="str">
        <f>IFERROR(__xludf.DUMMYFUNCTION("""COMPUTED_VALUE"""),"ALARMAS &gt; KITS PARA MONITOREO")</f>
        <v>ALARMAS &gt; KITS PARA MONITOREO</v>
      </c>
      <c r="G238" s="5"/>
      <c r="H238" s="6">
        <f>IFERROR(__xludf.DUMMYFUNCTION("""COMPUTED_VALUE"""),231.81)</f>
        <v>231.81</v>
      </c>
      <c r="I238" s="7">
        <f>IFERROR(__xludf.DUMMYFUNCTION("""COMPUTED_VALUE"""),21.0)</f>
        <v>21</v>
      </c>
      <c r="J238" s="6">
        <f>IFERROR(__xludf.DUMMYFUNCTION("""COMPUTED_VALUE"""),278.17)</f>
        <v>278.17</v>
      </c>
      <c r="K238" s="6">
        <f>IFERROR(__xludf.DUMMYFUNCTION("""COMPUTED_VALUE"""),324.53)</f>
        <v>324.53</v>
      </c>
      <c r="L238" s="3"/>
      <c r="M238" s="3"/>
    </row>
    <row r="239" ht="48.0" customHeight="1">
      <c r="A239" s="3" t="str">
        <f>IFERROR(__xludf.DUMMYFUNCTION("""COMPUTED_VALUE"""),"KITHYBRID48/HIK18")</f>
        <v>KITHYBRID48/HIK18</v>
      </c>
      <c r="B239" s="4" t="str">
        <f>IFERROR(__xludf.DUMMYFUNCTION("""COMPUTED_VALUE"""),"KIT DE ALARMA COMPUESTO POR: PANEL DSPHA48EP C/TECLADO DSPK1LRTHWB")</f>
        <v>KIT DE ALARMA COMPUESTO POR: PANEL DSPHA48EP C/TECLADO DSPK1LRTHWB</v>
      </c>
      <c r="C239" s="4" t="str">
        <f>IFERROR(__xludf.DUMMYFUNCTION("""COMPUTED_VALUE"""),"KIT de Alarma compuesto por: Panel DSPHA48EP c/teclado DSPK1LRTHWB + 3 Infrarrojo DS-PDP18-EG2 + Sirena int 15W + Bateria 12v7A")</f>
        <v>KIT de Alarma compuesto por: Panel DSPHA48EP c/teclado DSPK1LRTHWB + 3 Infrarrojo DS-PDP18-EG2 + Sirena int 15W + Bateria 12v7A</v>
      </c>
      <c r="D239" s="4" t="str">
        <f>IFERROR(__xludf.DUMMYFUNCTION("""COMPUTED_VALUE"""),"HIKVISION")</f>
        <v>HIKVISION</v>
      </c>
      <c r="E239" s="4" t="str">
        <f>IFERROR(__xludf.DUMMYFUNCTION("""COMPUTED_VALUE"""),"KITHYBRID48/HIK18")</f>
        <v>KITHYBRID48/HIK18</v>
      </c>
      <c r="F239" s="4" t="str">
        <f>IFERROR(__xludf.DUMMYFUNCTION("""COMPUTED_VALUE"""),"ALARMAS &gt; KITS PARA MONITOREO")</f>
        <v>ALARMAS &gt; KITS PARA MONITOREO</v>
      </c>
      <c r="G239" s="5"/>
      <c r="H239" s="6">
        <f>IFERROR(__xludf.DUMMYFUNCTION("""COMPUTED_VALUE"""),236.72)</f>
        <v>236.72</v>
      </c>
      <c r="I239" s="7">
        <f>IFERROR(__xludf.DUMMYFUNCTION("""COMPUTED_VALUE"""),21.0)</f>
        <v>21</v>
      </c>
      <c r="J239" s="6">
        <f>IFERROR(__xludf.DUMMYFUNCTION("""COMPUTED_VALUE"""),284.06)</f>
        <v>284.06</v>
      </c>
      <c r="K239" s="6">
        <f>IFERROR(__xludf.DUMMYFUNCTION("""COMPUTED_VALUE"""),331.41)</f>
        <v>331.41</v>
      </c>
      <c r="L239" s="3"/>
      <c r="M239" s="3"/>
    </row>
    <row r="240" ht="48.0" customHeight="1">
      <c r="A240" s="3" t="str">
        <f>IFERROR(__xludf.DUMMYFUNCTION("""COMPUTED_VALUE"""),"KITHYBRID48/HIK18/4G")</f>
        <v>KITHYBRID48/HIK18/4G</v>
      </c>
      <c r="B240" s="4" t="str">
        <f>IFERROR(__xludf.DUMMYFUNCTION("""COMPUTED_VALUE"""),"KIT DE ALARMA COMPUESTO POR: PANEL DSPHA48EP C/TECLADO DSPK1LRTHWB")</f>
        <v>KIT DE ALARMA COMPUESTO POR: PANEL DSPHA48EP C/TECLADO DSPK1LRTHWB</v>
      </c>
      <c r="C240" s="4" t="str">
        <f>IFERROR(__xludf.DUMMYFUNCTION("""COMPUTED_VALUE"""),"KIT de Alarma compuesto por: Panel DSPHA48EP c/teclado DSPK1LRTHWB + 3 Infrarrojo DS-PDP18-EG2 + Sirena int 15W + Bateria 12v7A + Comunicador DSPM2S(AU)")</f>
        <v>KIT de Alarma compuesto por: Panel DSPHA48EP c/teclado DSPK1LRTHWB + 3 Infrarrojo DS-PDP18-EG2 + Sirena int 15W + Bateria 12v7A + Comunicador DSPM2S(AU)</v>
      </c>
      <c r="D240" s="4" t="str">
        <f>IFERROR(__xludf.DUMMYFUNCTION("""COMPUTED_VALUE"""),"HIKVISION")</f>
        <v>HIKVISION</v>
      </c>
      <c r="E240" s="4" t="str">
        <f>IFERROR(__xludf.DUMMYFUNCTION("""COMPUTED_VALUE"""),"KITHYBRID48/HIK18/4G")</f>
        <v>KITHYBRID48/HIK18/4G</v>
      </c>
      <c r="F240" s="4" t="str">
        <f>IFERROR(__xludf.DUMMYFUNCTION("""COMPUTED_VALUE"""),"ALARMAS &gt; KITS PARA MONITOREO")</f>
        <v>ALARMAS &gt; KITS PARA MONITOREO</v>
      </c>
      <c r="G240" s="5"/>
      <c r="H240" s="6">
        <f>IFERROR(__xludf.DUMMYFUNCTION("""COMPUTED_VALUE"""),326.26)</f>
        <v>326.26</v>
      </c>
      <c r="I240" s="7">
        <f>IFERROR(__xludf.DUMMYFUNCTION("""COMPUTED_VALUE"""),21.0)</f>
        <v>21</v>
      </c>
      <c r="J240" s="6">
        <f>IFERROR(__xludf.DUMMYFUNCTION("""COMPUTED_VALUE"""),391.51)</f>
        <v>391.51</v>
      </c>
      <c r="K240" s="6">
        <f>IFERROR(__xludf.DUMMYFUNCTION("""COMPUTED_VALUE"""),456.76)</f>
        <v>456.76</v>
      </c>
      <c r="L240" s="3"/>
      <c r="M240" s="3"/>
    </row>
    <row r="241" ht="48.0" customHeight="1">
      <c r="A241" s="3" t="str">
        <f>IFERROR(__xludf.DUMMYFUNCTION("""COMPUTED_VALUE"""),"KITHYBRID64/HIK18")</f>
        <v>KITHYBRID64/HIK18</v>
      </c>
      <c r="B241" s="4" t="str">
        <f>IFERROR(__xludf.DUMMYFUNCTION("""COMPUTED_VALUE"""),"KIT DE ALARMA COMPUESTO POR: PANEL DSPHA64LP C/TECLADO L")</f>
        <v>KIT DE ALARMA COMPUESTO POR: PANEL DSPHA64LP C/TECLADO L</v>
      </c>
      <c r="C241" s="4" t="str">
        <f>IFERROR(__xludf.DUMMYFUNCTION("""COMPUTED_VALUE"""),"KIT de Alarma compuesto por: Panel DSPHA64LP c/teclado l DSPK1LRTHWB + 3 Infrarrojo DS-PDP18-EG2 + Sirena int 15W + Bateria 12v7A")</f>
        <v>KIT de Alarma compuesto por: Panel DSPHA64LP c/teclado l DSPK1LRTHWB + 3 Infrarrojo DS-PDP18-EG2 + Sirena int 15W + Bateria 12v7A</v>
      </c>
      <c r="D241" s="4" t="str">
        <f>IFERROR(__xludf.DUMMYFUNCTION("""COMPUTED_VALUE"""),"HIKVISION")</f>
        <v>HIKVISION</v>
      </c>
      <c r="E241" s="4" t="str">
        <f>IFERROR(__xludf.DUMMYFUNCTION("""COMPUTED_VALUE"""),"KITHYBRID64/HIK18")</f>
        <v>KITHYBRID64/HIK18</v>
      </c>
      <c r="F241" s="4" t="str">
        <f>IFERROR(__xludf.DUMMYFUNCTION("""COMPUTED_VALUE"""),"ALARMAS &gt; KITS PARA MONITOREO")</f>
        <v>ALARMAS &gt; KITS PARA MONITOREO</v>
      </c>
      <c r="G241" s="5"/>
      <c r="H241" s="6">
        <f>IFERROR(__xludf.DUMMYFUNCTION("""COMPUTED_VALUE"""),250.58)</f>
        <v>250.58</v>
      </c>
      <c r="I241" s="7">
        <f>IFERROR(__xludf.DUMMYFUNCTION("""COMPUTED_VALUE"""),21.0)</f>
        <v>21</v>
      </c>
      <c r="J241" s="6">
        <f>IFERROR(__xludf.DUMMYFUNCTION("""COMPUTED_VALUE"""),300.7)</f>
        <v>300.7</v>
      </c>
      <c r="K241" s="6">
        <f>IFERROR(__xludf.DUMMYFUNCTION("""COMPUTED_VALUE"""),350.81)</f>
        <v>350.81</v>
      </c>
      <c r="L241" s="3"/>
      <c r="M241" s="3"/>
    </row>
    <row r="242" ht="48.0" customHeight="1">
      <c r="A242" s="3" t="str">
        <f>IFERROR(__xludf.DUMMYFUNCTION("""COMPUTED_VALUE"""),"KITHYBRID64/HIK18/4G")</f>
        <v>KITHYBRID64/HIK18/4G</v>
      </c>
      <c r="B242" s="4" t="str">
        <f>IFERROR(__xludf.DUMMYFUNCTION("""COMPUTED_VALUE"""),"KIT DE ALARMA COMPUESTO POR: PANEL DSPHA64LP C/TECLADO DSPK1LRTHWB")</f>
        <v>KIT DE ALARMA COMPUESTO POR: PANEL DSPHA64LP C/TECLADO DSPK1LRTHWB</v>
      </c>
      <c r="C242" s="4" t="str">
        <f>IFERROR(__xludf.DUMMYFUNCTION("""COMPUTED_VALUE"""),"KIT de Alarma compuesto por: Panel DSPHA64LP c/teclado DSPK1LRTHWB + 3 Infrarrojo DS-PDP18-EG2 + Sirena int 15W + Bateria 12v7A + Comunicador DSPM2S(AU)")</f>
        <v>KIT de Alarma compuesto por: Panel DSPHA64LP c/teclado DSPK1LRTHWB + 3 Infrarrojo DS-PDP18-EG2 + Sirena int 15W + Bateria 12v7A + Comunicador DSPM2S(AU)</v>
      </c>
      <c r="D242" s="4" t="str">
        <f>IFERROR(__xludf.DUMMYFUNCTION("""COMPUTED_VALUE"""),"HIKVISION")</f>
        <v>HIKVISION</v>
      </c>
      <c r="E242" s="4" t="str">
        <f>IFERROR(__xludf.DUMMYFUNCTION("""COMPUTED_VALUE"""),"KITHYBRID64/HIK18/4G")</f>
        <v>KITHYBRID64/HIK18/4G</v>
      </c>
      <c r="F242" s="4" t="str">
        <f>IFERROR(__xludf.DUMMYFUNCTION("""COMPUTED_VALUE"""),"ALARMAS &gt; KITS PARA MONITOREO")</f>
        <v>ALARMAS &gt; KITS PARA MONITOREO</v>
      </c>
      <c r="G242" s="5"/>
      <c r="H242" s="6">
        <f>IFERROR(__xludf.DUMMYFUNCTION("""COMPUTED_VALUE"""),340.12)</f>
        <v>340.12</v>
      </c>
      <c r="I242" s="7">
        <f>IFERROR(__xludf.DUMMYFUNCTION("""COMPUTED_VALUE"""),21.0)</f>
        <v>21</v>
      </c>
      <c r="J242" s="6">
        <f>IFERROR(__xludf.DUMMYFUNCTION("""COMPUTED_VALUE"""),408.14)</f>
        <v>408.14</v>
      </c>
      <c r="K242" s="6">
        <f>IFERROR(__xludf.DUMMYFUNCTION("""COMPUTED_VALUE"""),476.17)</f>
        <v>476.17</v>
      </c>
      <c r="L242" s="3"/>
      <c r="M242" s="3"/>
    </row>
    <row r="243" ht="48.0" customHeight="1">
      <c r="A243" s="3" t="str">
        <f>IFERROR(__xludf.DUMMYFUNCTION("""COMPUTED_VALUE"""),"DSPHA20B")</f>
        <v>DSPHA20B</v>
      </c>
      <c r="B243" s="4" t="str">
        <f>IFERROR(__xludf.DUMMYFUNCTION("""COMPUTED_VALUE"""),"CENTRAL DE ALARMA HÍBRIDA DE 4 ZONAS CABLEADAS EXPANDIBLE A 20 ZONAS")</f>
        <v>CENTRAL DE ALARMA HÍBRIDA DE 4 ZONAS CABLEADAS EXPANDIBLE A 20 ZONAS</v>
      </c>
      <c r="C243" s="4" t="str">
        <f>IFERROR(__xludf.DUMMYFUNCTION("""COMPUTED_VALUE"""),"Central de alarma Híbrida de 4 zonas cableadas expandible a 20 zonas. Posee 2 salidas onboard expandible a 20. soporta 9 Teclados, 8 Controles remotos, 2 sirenas inalámbricas. Cumunicador LAN incorporado, acepta módulos PSTN, GPRS y 3/4G. Soporta disposit"&amp;"ivos inalámbricos usando el módulo Transceptor DS-PM-RSWR, Requiere KITFUENTEALARMA")</f>
        <v>Central de alarma Híbrida de 4 zonas cableadas expandible a 20 zonas. Posee 2 salidas onboard expandible a 20. soporta 9 Teclados, 8 Controles remotos, 2 sirenas inalámbricas. Cumunicador LAN incorporado, acepta módulos PSTN, GPRS y 3/4G. Soporta dispositivos inalámbricos usando el módulo Transceptor DS-PM-RSWR, Requiere KITFUENTEALARMA</v>
      </c>
      <c r="D243" s="4" t="str">
        <f>IFERROR(__xludf.DUMMYFUNCTION("""COMPUTED_VALUE"""),"HIKVISION")</f>
        <v>HIKVISION</v>
      </c>
      <c r="E243" s="4" t="str">
        <f>IFERROR(__xludf.DUMMYFUNCTION("""COMPUTED_VALUE"""),"DSPHA20B")</f>
        <v>DSPHA20B</v>
      </c>
      <c r="F243" s="4" t="str">
        <f>IFERROR(__xludf.DUMMYFUNCTION("""COMPUTED_VALUE"""),"ALARMAS &gt; ALARMAS HIKVISION HIBRIDAS PHA")</f>
        <v>ALARMAS &gt; ALARMAS HIKVISION HIBRIDAS PHA</v>
      </c>
      <c r="G243" s="5"/>
      <c r="H243" s="6">
        <f>IFERROR(__xludf.DUMMYFUNCTION("""COMPUTED_VALUE"""),54.89)</f>
        <v>54.89</v>
      </c>
      <c r="I243" s="7">
        <f>IFERROR(__xludf.DUMMYFUNCTION("""COMPUTED_VALUE"""),21.0)</f>
        <v>21</v>
      </c>
      <c r="J243" s="6">
        <f>IFERROR(__xludf.DUMMYFUNCTION("""COMPUTED_VALUE"""),65.87)</f>
        <v>65.87</v>
      </c>
      <c r="K243" s="6">
        <f>IFERROR(__xludf.DUMMYFUNCTION("""COMPUTED_VALUE"""),76.85)</f>
        <v>76.85</v>
      </c>
      <c r="L243" s="3"/>
      <c r="M243" s="3"/>
    </row>
    <row r="244" ht="48.0" customHeight="1">
      <c r="A244" s="3" t="str">
        <f>IFERROR(__xludf.DUMMYFUNCTION("""COMPUTED_VALUE"""),"DSPHA64B")</f>
        <v>DSPHA64B</v>
      </c>
      <c r="B244" s="4" t="str">
        <f>IFERROR(__xludf.DUMMYFUNCTION("""COMPUTED_VALUE"""),"CENTRAL DE ALARMA HÍBRIDA DE 8 ZONAS CABLEADAS EXPANDIBLE A 64 ZONAS")</f>
        <v>CENTRAL DE ALARMA HÍBRIDA DE 8 ZONAS CABLEADAS EXPANDIBLE A 64 ZONAS</v>
      </c>
      <c r="C244" s="4" t="str">
        <f>IFERROR(__xludf.DUMMYFUNCTION("""COMPUTED_VALUE"""),"Central de alarma Híbrida de 8 zonas cableadas expandible a 64 zonas. Posee 4 salidas onboard expandible a 64 soporta 9 Teclados, 8 Controles remotos, 2 sirenas inalámbricas. Cumunicador LAN incorporado, acepta módulos PSTN, GPRS y 3/4G. Soporta dispositi"&amp;"vos inalámbricos usando el módulo Transceptor DS-PM-RSWR. No Incluye gabinete y fuente, Requiere KITFUENTEALARMA")</f>
        <v>Central de alarma Híbrida de 8 zonas cableadas expandible a 64 zonas. Posee 4 salidas onboard expandible a 64 soporta 9 Teclados, 8 Controles remotos, 2 sirenas inalámbricas. Cumunicador LAN incorporado, acepta módulos PSTN, GPRS y 3/4G. Soporta dispositivos inalámbricos usando el módulo Transceptor DS-PM-RSWR. No Incluye gabinete y fuente, Requiere KITFUENTEALARMA</v>
      </c>
      <c r="D244" s="4" t="str">
        <f>IFERROR(__xludf.DUMMYFUNCTION("""COMPUTED_VALUE"""),"HIKVISION")</f>
        <v>HIKVISION</v>
      </c>
      <c r="E244" s="4" t="str">
        <f>IFERROR(__xludf.DUMMYFUNCTION("""COMPUTED_VALUE"""),"DSPHA64B")</f>
        <v>DSPHA64B</v>
      </c>
      <c r="F244" s="4" t="str">
        <f>IFERROR(__xludf.DUMMYFUNCTION("""COMPUTED_VALUE"""),"ALARMAS &gt; ALARMAS HIKVISION HIBRIDAS PHA")</f>
        <v>ALARMAS &gt; ALARMAS HIKVISION HIBRIDAS PHA</v>
      </c>
      <c r="G244" s="5"/>
      <c r="H244" s="6">
        <f>IFERROR(__xludf.DUMMYFUNCTION("""COMPUTED_VALUE"""),59.51)</f>
        <v>59.51</v>
      </c>
      <c r="I244" s="7">
        <f>IFERROR(__xludf.DUMMYFUNCTION("""COMPUTED_VALUE"""),21.0)</f>
        <v>21</v>
      </c>
      <c r="J244" s="6">
        <f>IFERROR(__xludf.DUMMYFUNCTION("""COMPUTED_VALUE"""),71.41)</f>
        <v>71.41</v>
      </c>
      <c r="K244" s="6">
        <f>IFERROR(__xludf.DUMMYFUNCTION("""COMPUTED_VALUE"""),83.31)</f>
        <v>83.31</v>
      </c>
      <c r="L244" s="3"/>
      <c r="M244" s="3"/>
    </row>
    <row r="245" ht="48.0" customHeight="1">
      <c r="A245" s="3" t="str">
        <f>IFERROR(__xludf.DUMMYFUNCTION("""COMPUTED_VALUE"""),"KITFUENTEALARMA")</f>
        <v>KITFUENTEALARMA</v>
      </c>
      <c r="B245" s="4" t="str">
        <f>IFERROR(__xludf.DUMMYFUNCTION("""COMPUTED_VALUE"""),"KIT COMPUESTO POR GABINETE METÁLICO Y FUENTE DE ALIMENTACIÓN")</f>
        <v>KIT COMPUESTO POR GABINETE METÁLICO Y FUENTE DE ALIMENTACIÓN</v>
      </c>
      <c r="C245" s="4" t="str">
        <f>IFERROR(__xludf.DUMMYFUNCTION("""COMPUTED_VALUE"""),"Kit compuesto por gabinete metálico y fuente de alimentación para centrales híbridas DSPHA64B-DSPHA64W4B")</f>
        <v>Kit compuesto por gabinete metálico y fuente de alimentación para centrales híbridas DSPHA64B-DSPHA64W4B</v>
      </c>
      <c r="D245" s="4" t="str">
        <f>IFERROR(__xludf.DUMMYFUNCTION("""COMPUTED_VALUE"""),"GENERICO")</f>
        <v>GENERICO</v>
      </c>
      <c r="E245" s="4" t="str">
        <f>IFERROR(__xludf.DUMMYFUNCTION("""COMPUTED_VALUE"""),"KITFUENTEALARMA")</f>
        <v>KITFUENTEALARMA</v>
      </c>
      <c r="F245" s="4" t="str">
        <f>IFERROR(__xludf.DUMMYFUNCTION("""COMPUTED_VALUE"""),"ALARMAS &gt; ALARMAS HIKVISION HIBRIDAS PHA")</f>
        <v>ALARMAS &gt; ALARMAS HIKVISION HIBRIDAS PHA</v>
      </c>
      <c r="G245" s="5"/>
      <c r="H245" s="6">
        <f>IFERROR(__xludf.DUMMYFUNCTION("""COMPUTED_VALUE"""),38.5)</f>
        <v>38.5</v>
      </c>
      <c r="I245" s="7">
        <f>IFERROR(__xludf.DUMMYFUNCTION("""COMPUTED_VALUE"""),21.0)</f>
        <v>21</v>
      </c>
      <c r="J245" s="6">
        <f>IFERROR(__xludf.DUMMYFUNCTION("""COMPUTED_VALUE"""),46.2)</f>
        <v>46.2</v>
      </c>
      <c r="K245" s="6">
        <f>IFERROR(__xludf.DUMMYFUNCTION("""COMPUTED_VALUE"""),53.9)</f>
        <v>53.9</v>
      </c>
      <c r="L245" s="3"/>
      <c r="M245" s="3"/>
    </row>
    <row r="246" ht="48.0" customHeight="1">
      <c r="A246" s="3" t="str">
        <f>IFERROR(__xludf.DUMMYFUNCTION("""COMPUTED_VALUE"""),"DSPKL")</f>
        <v>DSPKL</v>
      </c>
      <c r="B246" s="4" t="str">
        <f>IFERROR(__xludf.DUMMYFUNCTION("""COMPUTED_VALUE"""),"TECLADO PARA PANELES PHA LCD")</f>
        <v>TECLADO PARA PANELES PHA LCD</v>
      </c>
      <c r="C246" s="4" t="str">
        <f>IFERROR(__xludf.DUMMYFUNCTION("""COMPUTED_VALUE"""),"Teclado para paneles PHA LCD")</f>
        <v>Teclado para paneles PHA LCD</v>
      </c>
      <c r="D246" s="4" t="str">
        <f>IFERROR(__xludf.DUMMYFUNCTION("""COMPUTED_VALUE"""),"HIKVISION")</f>
        <v>HIKVISION</v>
      </c>
      <c r="E246" s="4" t="str">
        <f>IFERROR(__xludf.DUMMYFUNCTION("""COMPUTED_VALUE"""),"DSPKL")</f>
        <v>DSPKL</v>
      </c>
      <c r="F246" s="4" t="str">
        <f>IFERROR(__xludf.DUMMYFUNCTION("""COMPUTED_VALUE"""),"ALARMAS &gt; ALARMAS HIKVISION HIBRIDAS PHA")</f>
        <v>ALARMAS &gt; ALARMAS HIKVISION HIBRIDAS PHA</v>
      </c>
      <c r="G246" s="5"/>
      <c r="H246" s="6">
        <f>IFERROR(__xludf.DUMMYFUNCTION("""COMPUTED_VALUE"""),45.87)</f>
        <v>45.87</v>
      </c>
      <c r="I246" s="7">
        <f>IFERROR(__xludf.DUMMYFUNCTION("""COMPUTED_VALUE"""),21.0)</f>
        <v>21</v>
      </c>
      <c r="J246" s="6">
        <f>IFERROR(__xludf.DUMMYFUNCTION("""COMPUTED_VALUE"""),55.04)</f>
        <v>55.04</v>
      </c>
      <c r="K246" s="6">
        <f>IFERROR(__xludf.DUMMYFUNCTION("""COMPUTED_VALUE"""),64.22)</f>
        <v>64.22</v>
      </c>
      <c r="L246" s="3"/>
      <c r="M246" s="3"/>
    </row>
    <row r="247" ht="48.0" customHeight="1">
      <c r="A247" s="3" t="str">
        <f>IFERROR(__xludf.DUMMYFUNCTION("""COMPUTED_VALUE"""),"DSPKLRT")</f>
        <v>DSPKLRT</v>
      </c>
      <c r="B247" s="4" t="str">
        <f>IFERROR(__xludf.DUMMYFUNCTION("""COMPUTED_VALUE"""),"TECLADO PARA PANELES PHA LCD, INCLUYE RECEPTOR INALAMBRICO PARA")</f>
        <v>TECLADO PARA PANELES PHA LCD, INCLUYE RECEPTOR INALAMBRICO PARA</v>
      </c>
      <c r="C247" s="4" t="str">
        <f>IFERROR(__xludf.DUMMYFUNCTION("""COMPUTED_VALUE"""),"Teclado para paneles PHA LCD, incluye receptor inalambrico para controles remotos DS19K00Y y posee lector Tag mifare y keyfob")</f>
        <v>Teclado para paneles PHA LCD, incluye receptor inalambrico para controles remotos DS19K00Y y posee lector Tag mifare y keyfob</v>
      </c>
      <c r="D247" s="4" t="str">
        <f>IFERROR(__xludf.DUMMYFUNCTION("""COMPUTED_VALUE"""),"HIKVISION")</f>
        <v>HIKVISION</v>
      </c>
      <c r="E247" s="4" t="str">
        <f>IFERROR(__xludf.DUMMYFUNCTION("""COMPUTED_VALUE"""),"DSPKLRT")</f>
        <v>DSPKLRT</v>
      </c>
      <c r="F247" s="4" t="str">
        <f>IFERROR(__xludf.DUMMYFUNCTION("""COMPUTED_VALUE"""),"ALARMAS &gt; ALARMAS HIKVISION HIBRIDAS PHA")</f>
        <v>ALARMAS &gt; ALARMAS HIKVISION HIBRIDAS PHA</v>
      </c>
      <c r="G247" s="5"/>
      <c r="H247" s="6">
        <f>IFERROR(__xludf.DUMMYFUNCTION("""COMPUTED_VALUE"""),53.9)</f>
        <v>53.9</v>
      </c>
      <c r="I247" s="7">
        <f>IFERROR(__xludf.DUMMYFUNCTION("""COMPUTED_VALUE"""),21.0)</f>
        <v>21</v>
      </c>
      <c r="J247" s="6">
        <f>IFERROR(__xludf.DUMMYFUNCTION("""COMPUTED_VALUE"""),64.68)</f>
        <v>64.68</v>
      </c>
      <c r="K247" s="6">
        <f>IFERROR(__xludf.DUMMYFUNCTION("""COMPUTED_VALUE"""),75.46)</f>
        <v>75.46</v>
      </c>
      <c r="L247" s="3"/>
      <c r="M247" s="3"/>
    </row>
    <row r="248" ht="48.0" customHeight="1">
      <c r="A248" s="3" t="str">
        <f>IFERROR(__xludf.DUMMYFUNCTION("""COMPUTED_VALUE"""),"DSPKAWLM433")</f>
        <v>DSPKAWLM433</v>
      </c>
      <c r="B248" s="4" t="str">
        <f>IFERROR(__xludf.DUMMYFUNCTION("""COMPUTED_VALUE"""),"TECLADO INALÁMBRICO SOLAMENTE COMPATIBLE CON LÍNEA DS-PWA32 TWO-WAY WI")</f>
        <v>TECLADO INALÁMBRICO SOLAMENTE COMPATIBLE CON LÍNEA DS-PWA32 TWO-WAY WI</v>
      </c>
      <c r="C248" s="4" t="str">
        <f>IFERROR(__xludf.DUMMYFUNCTION("""COMPUTED_VALUE"""),"Teclado Inalámbrico solamente compatible con línea DS-PWA32 Two-way wireless, AES-128 Encryption RF distance: 800m (open space) Requiere 4 x AA pilas (baterias no incluidas)")</f>
        <v>Teclado Inalámbrico solamente compatible con línea DS-PWA32 Two-way wireless, AES-128 Encryption RF distance: 800m (open space) Requiere 4 x AA pilas (baterias no incluidas)</v>
      </c>
      <c r="D248" s="4" t="str">
        <f>IFERROR(__xludf.DUMMYFUNCTION("""COMPUTED_VALUE"""),"HIKVISION")</f>
        <v>HIKVISION</v>
      </c>
      <c r="E248" s="4" t="str">
        <f>IFERROR(__xludf.DUMMYFUNCTION("""COMPUTED_VALUE"""),"DSPKAWLM433")</f>
        <v>DSPKAWLM433</v>
      </c>
      <c r="F248" s="4" t="str">
        <f>IFERROR(__xludf.DUMMYFUNCTION("""COMPUTED_VALUE"""),"ALARMAS &gt; ALARMAS HIKVISION HIBRIDAS PHA")</f>
        <v>ALARMAS &gt; ALARMAS HIKVISION HIBRIDAS PHA</v>
      </c>
      <c r="G248" s="5"/>
      <c r="H248" s="6">
        <f>IFERROR(__xludf.DUMMYFUNCTION("""COMPUTED_VALUE"""),40.15)</f>
        <v>40.15</v>
      </c>
      <c r="I248" s="7">
        <f>IFERROR(__xludf.DUMMYFUNCTION("""COMPUTED_VALUE"""),21.0)</f>
        <v>21</v>
      </c>
      <c r="J248" s="6">
        <f>IFERROR(__xludf.DUMMYFUNCTION("""COMPUTED_VALUE"""),48.18)</f>
        <v>48.18</v>
      </c>
      <c r="K248" s="6">
        <f>IFERROR(__xludf.DUMMYFUNCTION("""COMPUTED_VALUE"""),56.21)</f>
        <v>56.21</v>
      </c>
      <c r="L248" s="3"/>
      <c r="M248" s="3"/>
    </row>
    <row r="249" ht="48.0" customHeight="1">
      <c r="A249" s="3" t="str">
        <f>IFERROR(__xludf.DUMMYFUNCTION("""COMPUTED_VALUE"""),"DSPMAP")</f>
        <v>DSPMAP</v>
      </c>
      <c r="B249" s="4" t="str">
        <f>IFERROR(__xludf.DUMMYFUNCTION("""COMPUTED_VALUE"""),"MÓDULO PSTN PARA PANELES AX HIBRIDOS SERIE BOARD DSPHA20B")</f>
        <v>MÓDULO PSTN PARA PANELES AX HIBRIDOS SERIE BOARD DSPHA20B</v>
      </c>
      <c r="C249" s="4" t="str">
        <f>IFERROR(__xludf.DUMMYFUNCTION("""COMPUTED_VALUE"""),"Módulo PSTN para paneles AX Hibridos serie Board DSPHA20B / DSPHA20W2B / DSPHA64B /DSPHA64W4B")</f>
        <v>Módulo PSTN para paneles AX Hibridos serie Board DSPHA20B / DSPHA20W2B / DSPHA64B /DSPHA64W4B</v>
      </c>
      <c r="D249" s="4" t="str">
        <f>IFERROR(__xludf.DUMMYFUNCTION("""COMPUTED_VALUE"""),"HIKVISION")</f>
        <v>HIKVISION</v>
      </c>
      <c r="E249" s="4" t="str">
        <f>IFERROR(__xludf.DUMMYFUNCTION("""COMPUTED_VALUE"""),"DSPMAP")</f>
        <v>DSPMAP</v>
      </c>
      <c r="F249" s="4" t="str">
        <f>IFERROR(__xludf.DUMMYFUNCTION("""COMPUTED_VALUE"""),"ALARMAS &gt; ALARMAS HIKVISION HIBRIDAS PHA")</f>
        <v>ALARMAS &gt; ALARMAS HIKVISION HIBRIDAS PHA</v>
      </c>
      <c r="G249" s="5"/>
      <c r="H249" s="6">
        <f>IFERROR(__xludf.DUMMYFUNCTION("""COMPUTED_VALUE"""),16.5)</f>
        <v>16.5</v>
      </c>
      <c r="I249" s="7">
        <f>IFERROR(__xludf.DUMMYFUNCTION("""COMPUTED_VALUE"""),21.0)</f>
        <v>21</v>
      </c>
      <c r="J249" s="6">
        <f>IFERROR(__xludf.DUMMYFUNCTION("""COMPUTED_VALUE"""),19.8)</f>
        <v>19.8</v>
      </c>
      <c r="K249" s="6">
        <f>IFERROR(__xludf.DUMMYFUNCTION("""COMPUTED_VALUE"""),23.1)</f>
        <v>23.1</v>
      </c>
      <c r="L249" s="3"/>
      <c r="M249" s="3"/>
    </row>
    <row r="250" ht="48.0" customHeight="1">
      <c r="A250" s="3" t="str">
        <f>IFERROR(__xludf.DUMMYFUNCTION("""COMPUTED_VALUE"""),"DSPMAS2")</f>
        <v>DSPMAS2</v>
      </c>
      <c r="B250" s="4" t="str">
        <f>IFERROR(__xludf.DUMMYFUNCTION("""COMPUTED_VALUE"""),"MÓDULO 3G/4G PARA PANELES AX HIBRIDOS SERIE BOARD DSPHA20B")</f>
        <v>MÓDULO 3G/4G PARA PANELES AX HIBRIDOS SERIE BOARD DSPHA20B</v>
      </c>
      <c r="C250" s="4" t="str">
        <f>IFERROR(__xludf.DUMMYFUNCTION("""COMPUTED_VALUE"""),"Módulo 3G/4G para paneles AX Hibridos serie Board DSPHA20B / DSPHA20W2B / DSPHA64B /DSPHA64W4B")</f>
        <v>Módulo 3G/4G para paneles AX Hibridos serie Board DSPHA20B / DSPHA20W2B / DSPHA64B /DSPHA64W4B</v>
      </c>
      <c r="D250" s="4" t="str">
        <f>IFERROR(__xludf.DUMMYFUNCTION("""COMPUTED_VALUE"""),"HIKVISION")</f>
        <v>HIKVISION</v>
      </c>
      <c r="E250" s="4" t="str">
        <f>IFERROR(__xludf.DUMMYFUNCTION("""COMPUTED_VALUE"""),"DSPMAS2")</f>
        <v>DSPMAS2</v>
      </c>
      <c r="F250" s="4" t="str">
        <f>IFERROR(__xludf.DUMMYFUNCTION("""COMPUTED_VALUE"""),"ALARMAS &gt; ALARMAS HIKVISION HIBRIDAS PHA")</f>
        <v>ALARMAS &gt; ALARMAS HIKVISION HIBRIDAS PHA</v>
      </c>
      <c r="G250" s="5"/>
      <c r="H250" s="6">
        <f>IFERROR(__xludf.DUMMYFUNCTION("""COMPUTED_VALUE"""),84.15)</f>
        <v>84.15</v>
      </c>
      <c r="I250" s="7">
        <f>IFERROR(__xludf.DUMMYFUNCTION("""COMPUTED_VALUE"""),21.0)</f>
        <v>21</v>
      </c>
      <c r="J250" s="6">
        <f>IFERROR(__xludf.DUMMYFUNCTION("""COMPUTED_VALUE"""),100.98)</f>
        <v>100.98</v>
      </c>
      <c r="K250" s="6">
        <f>IFERROR(__xludf.DUMMYFUNCTION("""COMPUTED_VALUE"""),117.81)</f>
        <v>117.81</v>
      </c>
      <c r="L250" s="3"/>
      <c r="M250" s="3"/>
    </row>
    <row r="251" ht="48.0" customHeight="1">
      <c r="A251" s="3" t="str">
        <f>IFERROR(__xludf.DUMMYFUNCTION("""COMPUTED_VALUE"""),"DSPMAG2")</f>
        <v>DSPMAG2</v>
      </c>
      <c r="B251" s="4" t="str">
        <f>IFERROR(__xludf.DUMMYFUNCTION("""COMPUTED_VALUE"""),"MÓDULO GPRS 2G PARA PANELES AX HIBRIDOS SERIE BOARD")</f>
        <v>MÓDULO GPRS 2G PARA PANELES AX HIBRIDOS SERIE BOARD</v>
      </c>
      <c r="C251" s="4" t="str">
        <f>IFERROR(__xludf.DUMMYFUNCTION("""COMPUTED_VALUE"""),"Módulo GPRS 2G para paneles AX Hibridos serie Board DSPHA20B / DSPHA20W2B / DSPHA64B /DSPHA64W4B")</f>
        <v>Módulo GPRS 2G para paneles AX Hibridos serie Board DSPHA20B / DSPHA20W2B / DSPHA64B /DSPHA64W4B</v>
      </c>
      <c r="D251" s="4" t="str">
        <f>IFERROR(__xludf.DUMMYFUNCTION("""COMPUTED_VALUE"""),"HIKVISION")</f>
        <v>HIKVISION</v>
      </c>
      <c r="E251" s="4" t="str">
        <f>IFERROR(__xludf.DUMMYFUNCTION("""COMPUTED_VALUE"""),"DSPMAG2")</f>
        <v>DSPMAG2</v>
      </c>
      <c r="F251" s="4" t="str">
        <f>IFERROR(__xludf.DUMMYFUNCTION("""COMPUTED_VALUE"""),"ALARMAS &gt; ALARMAS HIKVISION HIBRIDAS PHA")</f>
        <v>ALARMAS &gt; ALARMAS HIKVISION HIBRIDAS PHA</v>
      </c>
      <c r="G251" s="5"/>
      <c r="H251" s="6">
        <f>IFERROR(__xludf.DUMMYFUNCTION("""COMPUTED_VALUE"""),29.37)</f>
        <v>29.37</v>
      </c>
      <c r="I251" s="7">
        <f>IFERROR(__xludf.DUMMYFUNCTION("""COMPUTED_VALUE"""),21.0)</f>
        <v>21</v>
      </c>
      <c r="J251" s="6">
        <f>IFERROR(__xludf.DUMMYFUNCTION("""COMPUTED_VALUE"""),35.24)</f>
        <v>35.24</v>
      </c>
      <c r="K251" s="6">
        <f>IFERROR(__xludf.DUMMYFUNCTION("""COMPUTED_VALUE"""),41.12)</f>
        <v>41.12</v>
      </c>
      <c r="L251" s="3"/>
      <c r="M251" s="3"/>
    </row>
    <row r="252" ht="48.0" customHeight="1">
      <c r="A252" s="3" t="str">
        <f>IFERROR(__xludf.DUMMYFUNCTION("""COMPUTED_VALUE"""),"DSPMRSO4")</f>
        <v>DSPMRSO4</v>
      </c>
      <c r="B252" s="4" t="str">
        <f>IFERROR(__xludf.DUMMYFUNCTION("""COMPUTED_VALUE"""),"MÓDULO EXPANSOR DE 4 SALIDAS RELE PARA PANELES AX")</f>
        <v>MÓDULO EXPANSOR DE 4 SALIDAS RELE PARA PANELES AX</v>
      </c>
      <c r="C252" s="4" t="str">
        <f>IFERROR(__xludf.DUMMYFUNCTION("""COMPUTED_VALUE"""),"Módulo expansor de 4 salidas Rele para paneles AX Hibridos conexión RS485. Alimentación 12V DC")</f>
        <v>Módulo expansor de 4 salidas Rele para paneles AX Hibridos conexión RS485. Alimentación 12V DC</v>
      </c>
      <c r="D252" s="4" t="str">
        <f>IFERROR(__xludf.DUMMYFUNCTION("""COMPUTED_VALUE"""),"HIKVISION")</f>
        <v>HIKVISION</v>
      </c>
      <c r="E252" s="4" t="str">
        <f>IFERROR(__xludf.DUMMYFUNCTION("""COMPUTED_VALUE"""),"DSPMRSO4")</f>
        <v>DSPMRSO4</v>
      </c>
      <c r="F252" s="4" t="str">
        <f>IFERROR(__xludf.DUMMYFUNCTION("""COMPUTED_VALUE"""),"ALARMAS &gt; ALARMAS HIKVISION HIBRIDAS PHA")</f>
        <v>ALARMAS &gt; ALARMAS HIKVISION HIBRIDAS PHA</v>
      </c>
      <c r="G252" s="5"/>
      <c r="H252" s="6">
        <f>IFERROR(__xludf.DUMMYFUNCTION("""COMPUTED_VALUE"""),34.54)</f>
        <v>34.54</v>
      </c>
      <c r="I252" s="7">
        <f>IFERROR(__xludf.DUMMYFUNCTION("""COMPUTED_VALUE"""),21.0)</f>
        <v>21</v>
      </c>
      <c r="J252" s="6">
        <f>IFERROR(__xludf.DUMMYFUNCTION("""COMPUTED_VALUE"""),41.45)</f>
        <v>41.45</v>
      </c>
      <c r="K252" s="6">
        <f>IFERROR(__xludf.DUMMYFUNCTION("""COMPUTED_VALUE"""),48.36)</f>
        <v>48.36</v>
      </c>
      <c r="L252" s="3"/>
      <c r="M252" s="3"/>
    </row>
    <row r="253" ht="48.0" customHeight="1">
      <c r="A253" s="3" t="str">
        <f>IFERROR(__xludf.DUMMYFUNCTION("""COMPUTED_VALUE"""),"DSPMRSO8")</f>
        <v>DSPMRSO8</v>
      </c>
      <c r="B253" s="4" t="str">
        <f>IFERROR(__xludf.DUMMYFUNCTION("""COMPUTED_VALUE"""),"MÓDULO EXPANSOR DE 8 SALIDAS RELE PARA PANELES AX")</f>
        <v>MÓDULO EXPANSOR DE 8 SALIDAS RELE PARA PANELES AX</v>
      </c>
      <c r="C253" s="4" t="str">
        <f>IFERROR(__xludf.DUMMYFUNCTION("""COMPUTED_VALUE"""),"Módulo expansor de 8 salidas Rele para paneles AX Hibridos conexión RS485. Alimentación 12V DC")</f>
        <v>Módulo expansor de 8 salidas Rele para paneles AX Hibridos conexión RS485. Alimentación 12V DC</v>
      </c>
      <c r="D253" s="4" t="str">
        <f>IFERROR(__xludf.DUMMYFUNCTION("""COMPUTED_VALUE"""),"HIKVISION")</f>
        <v>HIKVISION</v>
      </c>
      <c r="E253" s="4" t="str">
        <f>IFERROR(__xludf.DUMMYFUNCTION("""COMPUTED_VALUE"""),"DSPMRSO8")</f>
        <v>DSPMRSO8</v>
      </c>
      <c r="F253" s="4" t="str">
        <f>IFERROR(__xludf.DUMMYFUNCTION("""COMPUTED_VALUE"""),"ALARMAS &gt; ALARMAS HIKVISION HIBRIDAS PHA")</f>
        <v>ALARMAS &gt; ALARMAS HIKVISION HIBRIDAS PHA</v>
      </c>
      <c r="G253" s="5"/>
      <c r="H253" s="6">
        <f>IFERROR(__xludf.DUMMYFUNCTION("""COMPUTED_VALUE"""),48.4)</f>
        <v>48.4</v>
      </c>
      <c r="I253" s="7">
        <f>IFERROR(__xludf.DUMMYFUNCTION("""COMPUTED_VALUE"""),21.0)</f>
        <v>21</v>
      </c>
      <c r="J253" s="6">
        <f>IFERROR(__xludf.DUMMYFUNCTION("""COMPUTED_VALUE"""),58.08)</f>
        <v>58.08</v>
      </c>
      <c r="K253" s="6">
        <f>IFERROR(__xludf.DUMMYFUNCTION("""COMPUTED_VALUE"""),67.76)</f>
        <v>67.76</v>
      </c>
      <c r="L253" s="3"/>
      <c r="M253" s="3"/>
    </row>
    <row r="254" ht="48.0" customHeight="1">
      <c r="A254" s="3" t="str">
        <f>IFERROR(__xludf.DUMMYFUNCTION("""COMPUTED_VALUE"""),"DSPMRSI8")</f>
        <v>DSPMRSI8</v>
      </c>
      <c r="B254" s="4" t="str">
        <f>IFERROR(__xludf.DUMMYFUNCTION("""COMPUTED_VALUE"""),"MÓDULO EXPANSOR DE 8 ZONAS PARA PANELES AX HIBRIDOS CONEXIÓN RS485")</f>
        <v>MÓDULO EXPANSOR DE 8 ZONAS PARA PANELES AX HIBRIDOS CONEXIÓN RS485</v>
      </c>
      <c r="C254" s="4" t="str">
        <f>IFERROR(__xludf.DUMMYFUNCTION("""COMPUTED_VALUE"""),"Módulo expansor de 8 zonas para paneles AX Hibridos conexión RS485. Alimentación 12V DC")</f>
        <v>Módulo expansor de 8 zonas para paneles AX Hibridos conexión RS485. Alimentación 12V DC</v>
      </c>
      <c r="D254" s="4" t="str">
        <f>IFERROR(__xludf.DUMMYFUNCTION("""COMPUTED_VALUE"""),"HIKVISION")</f>
        <v>HIKVISION</v>
      </c>
      <c r="E254" s="4" t="str">
        <f>IFERROR(__xludf.DUMMYFUNCTION("""COMPUTED_VALUE"""),"DSPMRSI8")</f>
        <v>DSPMRSI8</v>
      </c>
      <c r="F254" s="4" t="str">
        <f>IFERROR(__xludf.DUMMYFUNCTION("""COMPUTED_VALUE"""),"ALARMAS &gt; ALARMAS HIKVISION HIBRIDAS PHA")</f>
        <v>ALARMAS &gt; ALARMAS HIKVISION HIBRIDAS PHA</v>
      </c>
      <c r="G254" s="5"/>
      <c r="H254" s="6">
        <f>IFERROR(__xludf.DUMMYFUNCTION("""COMPUTED_VALUE"""),38.61)</f>
        <v>38.61</v>
      </c>
      <c r="I254" s="7">
        <f>IFERROR(__xludf.DUMMYFUNCTION("""COMPUTED_VALUE"""),21.0)</f>
        <v>21</v>
      </c>
      <c r="J254" s="6">
        <f>IFERROR(__xludf.DUMMYFUNCTION("""COMPUTED_VALUE"""),46.33)</f>
        <v>46.33</v>
      </c>
      <c r="K254" s="6">
        <f>IFERROR(__xludf.DUMMYFUNCTION("""COMPUTED_VALUE"""),54.05)</f>
        <v>54.05</v>
      </c>
      <c r="L254" s="3"/>
      <c r="M254" s="3"/>
    </row>
    <row r="255" ht="48.0" customHeight="1">
      <c r="A255" s="3" t="str">
        <f>IFERROR(__xludf.DUMMYFUNCTION("""COMPUTED_VALUE"""),"DSPMRSWR433")</f>
        <v>DSPMRSWR433</v>
      </c>
      <c r="B255" s="4" t="str">
        <f>IFERROR(__xludf.DUMMYFUNCTION("""COMPUTED_VALUE"""),"RECEPTOR INALÁMBRICO PARA PANELES AX HIBRIDOS, CONEXIÓN RS485, 433MHZ")</f>
        <v>RECEPTOR INALÁMBRICO PARA PANELES AX HIBRIDOS, CONEXIÓN RS485, 433MHZ</v>
      </c>
      <c r="C255" s="4" t="str">
        <f>IFERROR(__xludf.DUMMYFUNCTION("""COMPUTED_VALUE"""),"Receptor inalámbrico para paneles AX Hibridos, conexión RS485, 433MHz Wireless Receiver, soporta 8 Wireless inputs, 32 Wireless Keyfob Power Supply: 12V DC")</f>
        <v>Receptor inalámbrico para paneles AX Hibridos, conexión RS485, 433MHz Wireless Receiver, soporta 8 Wireless inputs, 32 Wireless Keyfob Power Supply: 12V DC</v>
      </c>
      <c r="D255" s="4" t="str">
        <f>IFERROR(__xludf.DUMMYFUNCTION("""COMPUTED_VALUE"""),"HIKVISION")</f>
        <v>HIKVISION</v>
      </c>
      <c r="E255" s="4" t="str">
        <f>IFERROR(__xludf.DUMMYFUNCTION("""COMPUTED_VALUE"""),"DSPMRSWR433")</f>
        <v>DSPMRSWR433</v>
      </c>
      <c r="F255" s="4" t="str">
        <f>IFERROR(__xludf.DUMMYFUNCTION("""COMPUTED_VALUE"""),"ALARMAS &gt; ALARMAS HIKVISION HIBRIDAS PHA")</f>
        <v>ALARMAS &gt; ALARMAS HIKVISION HIBRIDAS PHA</v>
      </c>
      <c r="G255" s="5"/>
      <c r="H255" s="6">
        <f>IFERROR(__xludf.DUMMYFUNCTION("""COMPUTED_VALUE"""),36.3)</f>
        <v>36.3</v>
      </c>
      <c r="I255" s="7">
        <f>IFERROR(__xludf.DUMMYFUNCTION("""COMPUTED_VALUE"""),21.0)</f>
        <v>21</v>
      </c>
      <c r="J255" s="6">
        <f>IFERROR(__xludf.DUMMYFUNCTION("""COMPUTED_VALUE"""),43.56)</f>
        <v>43.56</v>
      </c>
      <c r="K255" s="6">
        <f>IFERROR(__xludf.DUMMYFUNCTION("""COMPUTED_VALUE"""),50.82)</f>
        <v>50.82</v>
      </c>
      <c r="L255" s="3"/>
      <c r="M255" s="3"/>
    </row>
    <row r="256" ht="48.0" customHeight="1">
      <c r="A256" s="3" t="str">
        <f>IFERROR(__xludf.DUMMYFUNCTION("""COMPUTED_VALUE"""),"DSPSGWI")</f>
        <v>DSPSGWI</v>
      </c>
      <c r="B256" s="4" t="str">
        <f>IFERROR(__xludf.DUMMYFUNCTION("""COMPUTED_VALUE"""),"SIRENA INTERIOR INALÁMBRICA 433MHZ RF TWO-WAY WIRELESS AES-128 ENCRYPT")</f>
        <v>SIRENA INTERIOR INALÁMBRICA 433MHZ RF TWO-WAY WIRELESS AES-128 ENCRYPT</v>
      </c>
      <c r="C256" s="4" t="str">
        <f>IFERROR(__xludf.DUMMYFUNCTION("""COMPUTED_VALUE"""),"Sirena interior inalámbrica 433MHz RF two-way wireless AES-128 Encryption Tamper alarm Communication distance: 800M (Open area) Indoor installation: IP54 Power Supply: Supports 4 x CR123A Battery or 12 VDC Requiere 4 baterias (baterias no incluidas)")</f>
        <v>Sirena interior inalámbrica 433MHz RF two-way wireless AES-128 Encryption Tamper alarm Communication distance: 800M (Open area) Indoor installation: IP54 Power Supply: Supports 4 x CR123A Battery or 12 VDC Requiere 4 baterias (baterias no incluidas)</v>
      </c>
      <c r="D256" s="4" t="str">
        <f>IFERROR(__xludf.DUMMYFUNCTION("""COMPUTED_VALUE"""),"HIKVISION")</f>
        <v>HIKVISION</v>
      </c>
      <c r="E256" s="4" t="str">
        <f>IFERROR(__xludf.DUMMYFUNCTION("""COMPUTED_VALUE"""),"DSPSGWI")</f>
        <v>DSPSGWI</v>
      </c>
      <c r="F256" s="4" t="str">
        <f>IFERROR(__xludf.DUMMYFUNCTION("""COMPUTED_VALUE"""),"ALARMAS &gt; ALARMAS HIKVISION HIBRIDAS PHA")</f>
        <v>ALARMAS &gt; ALARMAS HIKVISION HIBRIDAS PHA</v>
      </c>
      <c r="G256" s="5"/>
      <c r="H256" s="6">
        <f>IFERROR(__xludf.DUMMYFUNCTION("""COMPUTED_VALUE"""),32.78)</f>
        <v>32.78</v>
      </c>
      <c r="I256" s="7">
        <f>IFERROR(__xludf.DUMMYFUNCTION("""COMPUTED_VALUE"""),21.0)</f>
        <v>21</v>
      </c>
      <c r="J256" s="6">
        <f>IFERROR(__xludf.DUMMYFUNCTION("""COMPUTED_VALUE"""),39.34)</f>
        <v>39.34</v>
      </c>
      <c r="K256" s="6">
        <f>IFERROR(__xludf.DUMMYFUNCTION("""COMPUTED_VALUE"""),45.89)</f>
        <v>45.89</v>
      </c>
      <c r="L256" s="3"/>
      <c r="M256" s="3"/>
    </row>
    <row r="257" ht="48.0" customHeight="1">
      <c r="A257" s="3" t="str">
        <f>IFERROR(__xludf.DUMMYFUNCTION("""COMPUTED_VALUE"""),"DSPSGWO")</f>
        <v>DSPSGWO</v>
      </c>
      <c r="B257" s="4" t="str">
        <f>IFERROR(__xludf.DUMMYFUNCTION("""COMPUTED_VALUE"""),"SIRENA EXTERIOR INALÁMBRICA 433MHZ RF TWO-WAY WIRELESS AES-128 ENCRYPT")</f>
        <v>SIRENA EXTERIOR INALÁMBRICA 433MHZ RF TWO-WAY WIRELESS AES-128 ENCRYPT</v>
      </c>
      <c r="C257" s="4" t="str">
        <f>IFERROR(__xludf.DUMMYFUNCTION("""COMPUTED_VALUE"""),"Sirena Exterior inalámbrica 433MHz RF two-way wireless AES-128 Encryption Tamper alarm Communication distance: 800M (Open area) Outdoor installation: IP65 Power Supply: (baterias no incluidas) CR123A Batteries or 12 VDC (baterias no incluidas)")</f>
        <v>Sirena Exterior inalámbrica 433MHz RF two-way wireless AES-128 Encryption Tamper alarm Communication distance: 800M (Open area) Outdoor installation: IP65 Power Supply: (baterias no incluidas) CR123A Batteries or 12 VDC (baterias no incluidas)</v>
      </c>
      <c r="D257" s="4" t="str">
        <f>IFERROR(__xludf.DUMMYFUNCTION("""COMPUTED_VALUE"""),"HIKVISION")</f>
        <v>HIKVISION</v>
      </c>
      <c r="E257" s="4" t="str">
        <f>IFERROR(__xludf.DUMMYFUNCTION("""COMPUTED_VALUE"""),"DSPSGWO")</f>
        <v>DSPSGWO</v>
      </c>
      <c r="F257" s="4" t="str">
        <f>IFERROR(__xludf.DUMMYFUNCTION("""COMPUTED_VALUE"""),"ALARMAS &gt; ALARMAS HIKVISION HIBRIDAS PHA")</f>
        <v>ALARMAS &gt; ALARMAS HIKVISION HIBRIDAS PHA</v>
      </c>
      <c r="G257" s="5"/>
      <c r="H257" s="6">
        <f>IFERROR(__xludf.DUMMYFUNCTION("""COMPUTED_VALUE"""),63.47)</f>
        <v>63.47</v>
      </c>
      <c r="I257" s="7">
        <f>IFERROR(__xludf.DUMMYFUNCTION("""COMPUTED_VALUE"""),21.0)</f>
        <v>21</v>
      </c>
      <c r="J257" s="6">
        <f>IFERROR(__xludf.DUMMYFUNCTION("""COMPUTED_VALUE"""),76.16)</f>
        <v>76.16</v>
      </c>
      <c r="K257" s="6">
        <f>IFERROR(__xludf.DUMMYFUNCTION("""COMPUTED_VALUE"""),88.86)</f>
        <v>88.86</v>
      </c>
      <c r="L257" s="3"/>
      <c r="M257" s="3"/>
    </row>
    <row r="258" ht="48.0" customHeight="1">
      <c r="A258" s="3" t="str">
        <f>IFERROR(__xludf.DUMMYFUNCTION("""COMPUTED_VALUE"""),"DSPD2P10PWHT")</f>
        <v>DSPD2P10PWHT</v>
      </c>
      <c r="B258" s="4" t="str">
        <f>IFERROR(__xludf.DUMMYFUNCTION("""COMPUTED_VALUE"""),"DETECTOR DE INTERIOR ANTIMASCOTA INALÁMBRICO 433MHZ RF TWO-WAY WIRELES")</f>
        <v>DETECTOR DE INTERIOR ANTIMASCOTA INALÁMBRICO 433MHZ RF TWO-WAY WIRELES</v>
      </c>
      <c r="C258" s="4" t="str">
        <f>IFERROR(__xludf.DUMMYFUNCTION("""COMPUTED_VALUE"""),"Detector de interior antimascota inalámbrico 433MHz RF two-way wireless Power by battery AES-128 encryption Pet Immunity 24KG Detection range: 10M*10M, 85 degree Alarm: Tamper alarm, intruder alarm Communication distance: 800M (Open Space)")</f>
        <v>Detector de interior antimascota inalámbrico 433MHz RF two-way wireless Power by battery AES-128 encryption Pet Immunity 24KG Detection range: 10M*10M, 85 degree Alarm: Tamper alarm, intruder alarm Communication distance: 800M (Open Space)</v>
      </c>
      <c r="D258" s="4" t="str">
        <f>IFERROR(__xludf.DUMMYFUNCTION("""COMPUTED_VALUE"""),"HIKVISION")</f>
        <v>HIKVISION</v>
      </c>
      <c r="E258" s="4" t="str">
        <f>IFERROR(__xludf.DUMMYFUNCTION("""COMPUTED_VALUE"""),"DSPD2P10PWHT")</f>
        <v>DSPD2P10PWHT</v>
      </c>
      <c r="F258" s="4" t="str">
        <f>IFERROR(__xludf.DUMMYFUNCTION("""COMPUTED_VALUE"""),"ALARMAS &gt; ALARMAS HIKVISION HIBRIDAS PHA")</f>
        <v>ALARMAS &gt; ALARMAS HIKVISION HIBRIDAS PHA</v>
      </c>
      <c r="G258" s="5"/>
      <c r="H258" s="6">
        <f>IFERROR(__xludf.DUMMYFUNCTION("""COMPUTED_VALUE"""),35.31)</f>
        <v>35.31</v>
      </c>
      <c r="I258" s="7">
        <f>IFERROR(__xludf.DUMMYFUNCTION("""COMPUTED_VALUE"""),21.0)</f>
        <v>21</v>
      </c>
      <c r="J258" s="6">
        <f>IFERROR(__xludf.DUMMYFUNCTION("""COMPUTED_VALUE"""),42.37)</f>
        <v>42.37</v>
      </c>
      <c r="K258" s="6">
        <f>IFERROR(__xludf.DUMMYFUNCTION("""COMPUTED_VALUE"""),49.43)</f>
        <v>49.43</v>
      </c>
      <c r="L258" s="3"/>
      <c r="M258" s="3"/>
    </row>
    <row r="259" ht="48.0" customHeight="1">
      <c r="A259" s="3" t="str">
        <f>IFERROR(__xludf.DUMMYFUNCTION("""COMPUTED_VALUE"""),"DSPD2T12PWEL")</f>
        <v>DSPD2T12PWEL</v>
      </c>
      <c r="B259" s="4" t="str">
        <f>IFERROR(__xludf.DUMMYFUNCTION("""COMPUTED_VALUE"""),"DETECTOR DE EXTERIOR INALÁMBRICO 433MHZ RF TWO-WAY WIRELESS POWER")</f>
        <v>DETECTOR DE EXTERIOR INALÁMBRICO 433MHZ RF TWO-WAY WIRELESS POWER</v>
      </c>
      <c r="C259" s="4" t="str">
        <f>IFERROR(__xludf.DUMMYFUNCTION("""COMPUTED_VALUE"""),"Detector de exterior inalámbrico 433MHz RF two-way wireless Power by battery 2 PIR+Microwave AES-128 encryption Pet Immunity 24KG Detection range: 12M, 90 degree Anti-masking, anti-blocking Alarm: Tamper alarm, intruder alarm Communication distance: 800M")</f>
        <v>Detector de exterior inalámbrico 433MHz RF two-way wireless Power by battery 2 PIR+Microwave AES-128 encryption Pet Immunity 24KG Detection range: 12M, 90 degree Anti-masking, anti-blocking Alarm: Tamper alarm, intruder alarm Communication distance: 800M</v>
      </c>
      <c r="D259" s="4" t="str">
        <f>IFERROR(__xludf.DUMMYFUNCTION("""COMPUTED_VALUE"""),"HIKVISION")</f>
        <v>HIKVISION</v>
      </c>
      <c r="E259" s="4" t="str">
        <f>IFERROR(__xludf.DUMMYFUNCTION("""COMPUTED_VALUE"""),"DSPD2T12PWEL")</f>
        <v>DSPD2T12PWEL</v>
      </c>
      <c r="F259" s="4" t="str">
        <f>IFERROR(__xludf.DUMMYFUNCTION("""COMPUTED_VALUE"""),"ALARMAS &gt; ALARMAS HIKVISION HIBRIDAS PHA")</f>
        <v>ALARMAS &gt; ALARMAS HIKVISION HIBRIDAS PHA</v>
      </c>
      <c r="G259" s="5"/>
      <c r="H259" s="6">
        <f>IFERROR(__xludf.DUMMYFUNCTION("""COMPUTED_VALUE"""),151.91)</f>
        <v>151.91</v>
      </c>
      <c r="I259" s="7">
        <f>IFERROR(__xludf.DUMMYFUNCTION("""COMPUTED_VALUE"""),21.0)</f>
        <v>21</v>
      </c>
      <c r="J259" s="6">
        <f>IFERROR(__xludf.DUMMYFUNCTION("""COMPUTED_VALUE"""),182.29)</f>
        <v>182.29</v>
      </c>
      <c r="K259" s="6">
        <f>IFERROR(__xludf.DUMMYFUNCTION("""COMPUTED_VALUE"""),212.67)</f>
        <v>212.67</v>
      </c>
      <c r="L259" s="3"/>
      <c r="M259" s="3"/>
    </row>
    <row r="260" ht="48.0" customHeight="1">
      <c r="A260" s="3" t="str">
        <f>IFERROR(__xludf.DUMMYFUNCTION("""COMPUTED_VALUE"""),"DSPD2T10PWEH")</f>
        <v>DSPD2T10PWEH</v>
      </c>
      <c r="B260" s="4" t="str">
        <f>IFERROR(__xludf.DUMMYFUNCTION("""COMPUTED_VALUE"""),"DETECTOR DE EXTERIOR INALÁMBRICO 433MHZ RF TWO-WAY WIRELESS POWER")</f>
        <v>DETECTOR DE EXTERIOR INALÁMBRICO 433MHZ RF TWO-WAY WIRELESS POWER</v>
      </c>
      <c r="C260" s="4" t="str">
        <f>IFERROR(__xludf.DUMMYFUNCTION("""COMPUTED_VALUE"""),"Detector de exterior inalámbrico 433MHz RF two-way wireless Power by battery 2 PIR+Microwave AES-128 encryption Pet Immunity 10KG Detection range: 10M, 90 degree Anti-masking, anti-blocking Alarm: Tamper alarm, intruder alarm Communication distance: 800M")</f>
        <v>Detector de exterior inalámbrico 433MHz RF two-way wireless Power by battery 2 PIR+Microwave AES-128 encryption Pet Immunity 10KG Detection range: 10M, 90 degree Anti-masking, anti-blocking Alarm: Tamper alarm, intruder alarm Communication distance: 800M</v>
      </c>
      <c r="D260" s="4" t="str">
        <f>IFERROR(__xludf.DUMMYFUNCTION("""COMPUTED_VALUE"""),"HIKVISION")</f>
        <v>HIKVISION</v>
      </c>
      <c r="E260" s="4" t="str">
        <f>IFERROR(__xludf.DUMMYFUNCTION("""COMPUTED_VALUE"""),"DSPD2T10PWEH")</f>
        <v>DSPD2T10PWEH</v>
      </c>
      <c r="F260" s="4" t="str">
        <f>IFERROR(__xludf.DUMMYFUNCTION("""COMPUTED_VALUE"""),"ALARMAS &gt; ALARMAS HIKVISION HIBRIDAS PHA")</f>
        <v>ALARMAS &gt; ALARMAS HIKVISION HIBRIDAS PHA</v>
      </c>
      <c r="G260" s="5"/>
      <c r="H260" s="6">
        <f>IFERROR(__xludf.DUMMYFUNCTION("""COMPUTED_VALUE"""),123.2)</f>
        <v>123.2</v>
      </c>
      <c r="I260" s="7">
        <f>IFERROR(__xludf.DUMMYFUNCTION("""COMPUTED_VALUE"""),21.0)</f>
        <v>21</v>
      </c>
      <c r="J260" s="6">
        <f>IFERROR(__xludf.DUMMYFUNCTION("""COMPUTED_VALUE"""),147.84)</f>
        <v>147.84</v>
      </c>
      <c r="K260" s="6">
        <f>IFERROR(__xludf.DUMMYFUNCTION("""COMPUTED_VALUE"""),172.48)</f>
        <v>172.48</v>
      </c>
      <c r="L260" s="3"/>
      <c r="M260" s="3"/>
    </row>
    <row r="261" ht="48.0" customHeight="1">
      <c r="A261" s="3" t="str">
        <f>IFERROR(__xludf.DUMMYFUNCTION("""COMPUTED_VALUE"""),"DS19K00Y")</f>
        <v>DS19K00Y</v>
      </c>
      <c r="B261" s="4" t="str">
        <f>IFERROR(__xludf.DUMMYFUNCTION("""COMPUTED_VALUE"""),"CONTROL REMOTO BUTTON: ARM/DISARM/STAY ARM/ PANIC ALARM/ ALARM ELIMINA")</f>
        <v>CONTROL REMOTO BUTTON: ARM/DISARM/STAY ARM/ PANIC ALARM/ ALARM ELIMINA</v>
      </c>
      <c r="C261" s="4" t="str">
        <f>IFERROR(__xludf.DUMMYFUNCTION("""COMPUTED_VALUE"""),"Control remoto Button: Arm/Disarm/Stay Arm/ Panic Alarm/ Alarm Elimination Frequency: 433MHz Distance: 300m (Open area)")</f>
        <v>Control remoto Button: Arm/Disarm/Stay Arm/ Panic Alarm/ Alarm Elimination Frequency: 433MHz Distance: 300m (Open area)</v>
      </c>
      <c r="D261" s="4" t="str">
        <f>IFERROR(__xludf.DUMMYFUNCTION("""COMPUTED_VALUE"""),"HIKVISION")</f>
        <v>HIKVISION</v>
      </c>
      <c r="E261" s="4" t="str">
        <f>IFERROR(__xludf.DUMMYFUNCTION("""COMPUTED_VALUE"""),"DS19K00Y")</f>
        <v>DS19K00Y</v>
      </c>
      <c r="F261" s="4" t="str">
        <f>IFERROR(__xludf.DUMMYFUNCTION("""COMPUTED_VALUE"""),"ALARMAS &gt; ALARMAS HIKVISION HIBRIDAS PHA")</f>
        <v>ALARMAS &gt; ALARMAS HIKVISION HIBRIDAS PHA</v>
      </c>
      <c r="G261" s="5"/>
      <c r="H261" s="6">
        <f>IFERROR(__xludf.DUMMYFUNCTION("""COMPUTED_VALUE"""),17.27)</f>
        <v>17.27</v>
      </c>
      <c r="I261" s="7">
        <f>IFERROR(__xludf.DUMMYFUNCTION("""COMPUTED_VALUE"""),21.0)</f>
        <v>21</v>
      </c>
      <c r="J261" s="6">
        <f>IFERROR(__xludf.DUMMYFUNCTION("""COMPUTED_VALUE"""),20.72)</f>
        <v>20.72</v>
      </c>
      <c r="K261" s="6">
        <f>IFERROR(__xludf.DUMMYFUNCTION("""COMPUTED_VALUE"""),24.18)</f>
        <v>24.18</v>
      </c>
      <c r="L261" s="3"/>
      <c r="M261" s="3"/>
    </row>
    <row r="262" ht="48.0" customHeight="1">
      <c r="A262" s="3" t="str">
        <f>IFERROR(__xludf.DUMMYFUNCTION("""COMPUTED_VALUE"""),"DSPTAWL433")</f>
        <v>DSPTAWL433</v>
      </c>
      <c r="B262" s="4" t="str">
        <f>IFERROR(__xludf.DUMMYFUNCTION("""COMPUTED_VALUE"""),"LECTOR DE PROXIMIDAD INALÁMBRICO TWO-WAY WIRELESS, AES-128 ENCRYPTION")</f>
        <v>LECTOR DE PROXIMIDAD INALÁMBRICO TWO-WAY WIRELESS, AES-128 ENCRYPTION</v>
      </c>
      <c r="C262" s="4" t="str">
        <f>IFERROR(__xludf.DUMMYFUNCTION("""COMPUTED_VALUE"""),"Lector de proximidad inalámbrico Two-way wireless, AES-128 Encryption RF distance: 800m (open space) Power Supplu: 4 x AAA batteries (Batteries are not included) Outdoor installation: IP65")</f>
        <v>Lector de proximidad inalámbrico Two-way wireless, AES-128 Encryption RF distance: 800m (open space) Power Supplu: 4 x AAA batteries (Batteries are not included) Outdoor installation: IP65</v>
      </c>
      <c r="D262" s="4" t="str">
        <f>IFERROR(__xludf.DUMMYFUNCTION("""COMPUTED_VALUE"""),"HIKVISION")</f>
        <v>HIKVISION</v>
      </c>
      <c r="E262" s="4" t="str">
        <f>IFERROR(__xludf.DUMMYFUNCTION("""COMPUTED_VALUE"""),"DSPTAWL433")</f>
        <v>DSPTAWL433</v>
      </c>
      <c r="F262" s="4" t="str">
        <f>IFERROR(__xludf.DUMMYFUNCTION("""COMPUTED_VALUE"""),"ALARMAS &gt; ALARMAS HIKVISION HIBRIDAS PHA")</f>
        <v>ALARMAS &gt; ALARMAS HIKVISION HIBRIDAS PHA</v>
      </c>
      <c r="G262" s="5"/>
      <c r="H262" s="6">
        <f>IFERROR(__xludf.DUMMYFUNCTION("""COMPUTED_VALUE"""),38.28)</f>
        <v>38.28</v>
      </c>
      <c r="I262" s="7">
        <f>IFERROR(__xludf.DUMMYFUNCTION("""COMPUTED_VALUE"""),21.0)</f>
        <v>21</v>
      </c>
      <c r="J262" s="6">
        <f>IFERROR(__xludf.DUMMYFUNCTION("""COMPUTED_VALUE"""),45.94)</f>
        <v>45.94</v>
      </c>
      <c r="K262" s="6">
        <f>IFERROR(__xludf.DUMMYFUNCTION("""COMPUTED_VALUE"""),53.59)</f>
        <v>53.59</v>
      </c>
      <c r="L262" s="3"/>
      <c r="M262" s="3"/>
    </row>
    <row r="263" ht="48.0" customHeight="1">
      <c r="A263" s="3" t="str">
        <f>IFERROR(__xludf.DUMMYFUNCTION("""COMPUTED_VALUE"""),"DSPD1MCWWS")</f>
        <v>DSPD1MCWWS</v>
      </c>
      <c r="B263" s="4" t="str">
        <f>IFERROR(__xludf.DUMMYFUNCTION("""COMPUTED_VALUE"""),"SENSOR MAGNÉTICO 433MHZ RF TWO-WAY WIRELESS POWER BY BATTERY")</f>
        <v>SENSOR MAGNÉTICO 433MHZ RF TWO-WAY WIRELESS POWER BY BATTERY</v>
      </c>
      <c r="C263" s="4" t="str">
        <f>IFERROR(__xludf.DUMMYFUNCTION("""COMPUTED_VALUE"""),"Sensor magnético 433MHz RF two-way wireless Power by battery AES-128 encryption Alarm: Tamper alarm, intruder alarm Communication distance: 800M (Open area)")</f>
        <v>Sensor magnético 433MHz RF two-way wireless Power by battery AES-128 encryption Alarm: Tamper alarm, intruder alarm Communication distance: 800M (Open area)</v>
      </c>
      <c r="D263" s="4" t="str">
        <f>IFERROR(__xludf.DUMMYFUNCTION("""COMPUTED_VALUE"""),"HIKVISION")</f>
        <v>HIKVISION</v>
      </c>
      <c r="E263" s="4" t="str">
        <f>IFERROR(__xludf.DUMMYFUNCTION("""COMPUTED_VALUE"""),"DSPD1MCWWS")</f>
        <v>DSPD1MCWWS</v>
      </c>
      <c r="F263" s="4" t="str">
        <f>IFERROR(__xludf.DUMMYFUNCTION("""COMPUTED_VALUE"""),"ALARMAS &gt; ALARMAS HIKVISION HIBRIDAS PHA")</f>
        <v>ALARMAS &gt; ALARMAS HIKVISION HIBRIDAS PHA</v>
      </c>
      <c r="G263" s="5"/>
      <c r="H263" s="6">
        <f>IFERROR(__xludf.DUMMYFUNCTION("""COMPUTED_VALUE"""),20.68)</f>
        <v>20.68</v>
      </c>
      <c r="I263" s="7">
        <f>IFERROR(__xludf.DUMMYFUNCTION("""COMPUTED_VALUE"""),21.0)</f>
        <v>21</v>
      </c>
      <c r="J263" s="6">
        <f>IFERROR(__xludf.DUMMYFUNCTION("""COMPUTED_VALUE"""),24.82)</f>
        <v>24.82</v>
      </c>
      <c r="K263" s="6">
        <f>IFERROR(__xludf.DUMMYFUNCTION("""COMPUTED_VALUE"""),28.95)</f>
        <v>28.95</v>
      </c>
      <c r="L263" s="3"/>
      <c r="M263" s="3"/>
    </row>
    <row r="264" ht="48.0" customHeight="1">
      <c r="A264" s="3" t="str">
        <f>IFERROR(__xludf.DUMMYFUNCTION("""COMPUTED_VALUE"""),"DSPD1SMKW")</f>
        <v>DSPD1SMKW</v>
      </c>
      <c r="B264" s="4" t="str">
        <f>IFERROR(__xludf.DUMMYFUNCTION("""COMPUTED_VALUE"""),"DETECTOR DE HUMO INALÁMBRICO 433MHZ RF TWO-WAY WIRELESS POWER")</f>
        <v>DETECTOR DE HUMO INALÁMBRICO 433MHZ RF TWO-WAY WIRELESS POWER</v>
      </c>
      <c r="C264" s="4" t="str">
        <f>IFERROR(__xludf.DUMMYFUNCTION("""COMPUTED_VALUE"""),"Detector de humo inalámbrico 433MHz RF two-way wireless Power by battery AES-128 encryption Alarm: Tamper alarm, smoke alarm Communication distance: 800M")</f>
        <v>Detector de humo inalámbrico 433MHz RF two-way wireless Power by battery AES-128 encryption Alarm: Tamper alarm, smoke alarm Communication distance: 800M</v>
      </c>
      <c r="D264" s="4" t="str">
        <f>IFERROR(__xludf.DUMMYFUNCTION("""COMPUTED_VALUE"""),"HIKVISION")</f>
        <v>HIKVISION</v>
      </c>
      <c r="E264" s="4" t="str">
        <f>IFERROR(__xludf.DUMMYFUNCTION("""COMPUTED_VALUE"""),"DSPD1SMKW")</f>
        <v>DSPD1SMKW</v>
      </c>
      <c r="F264" s="4" t="str">
        <f>IFERROR(__xludf.DUMMYFUNCTION("""COMPUTED_VALUE"""),"ALARMAS &gt; ALARMAS HIKVISION HIBRIDAS PHA")</f>
        <v>ALARMAS &gt; ALARMAS HIKVISION HIBRIDAS PHA</v>
      </c>
      <c r="G264" s="5"/>
      <c r="H264" s="6">
        <f>IFERROR(__xludf.DUMMYFUNCTION("""COMPUTED_VALUE"""),41.25)</f>
        <v>41.25</v>
      </c>
      <c r="I264" s="7">
        <f>IFERROR(__xludf.DUMMYFUNCTION("""COMPUTED_VALUE"""),21.0)</f>
        <v>21</v>
      </c>
      <c r="J264" s="6">
        <f>IFERROR(__xludf.DUMMYFUNCTION("""COMPUTED_VALUE"""),49.5)</f>
        <v>49.5</v>
      </c>
      <c r="K264" s="6">
        <f>IFERROR(__xludf.DUMMYFUNCTION("""COMPUTED_VALUE"""),57.75)</f>
        <v>57.75</v>
      </c>
      <c r="L264" s="3"/>
      <c r="M264" s="3"/>
    </row>
    <row r="265" ht="48.0" customHeight="1">
      <c r="A265" s="3" t="str">
        <f>IFERROR(__xludf.DUMMYFUNCTION("""COMPUTED_VALUE"""),"DSPMWI1")</f>
        <v>DSPMWI1</v>
      </c>
      <c r="B265" s="4" t="str">
        <f>IFERROR(__xludf.DUMMYFUNCTION("""COMPUTED_VALUE"""),"EXPANSOR UNIVERSAL INALÁMBRICO DE UNA ENTRADA TWO-WAY WIRELESS, 1")</f>
        <v>EXPANSOR UNIVERSAL INALÁMBRICO DE UNA ENTRADA TWO-WAY WIRELESS, 1</v>
      </c>
      <c r="C265" s="4" t="str">
        <f>IFERROR(__xludf.DUMMYFUNCTION("""COMPUTED_VALUE"""),"Expansor universal inalámbrico de una entrada Two-way wireless, 1 input expander RF distance: 800m (open space) Applied to all the AX series wireless control panel to connect wired detector")</f>
        <v>Expansor universal inalámbrico de una entrada Two-way wireless, 1 input expander RF distance: 800m (open space) Applied to all the AX series wireless control panel to connect wired detector</v>
      </c>
      <c r="D265" s="4" t="str">
        <f>IFERROR(__xludf.DUMMYFUNCTION("""COMPUTED_VALUE"""),"HIKVISION")</f>
        <v>HIKVISION</v>
      </c>
      <c r="E265" s="4" t="str">
        <f>IFERROR(__xludf.DUMMYFUNCTION("""COMPUTED_VALUE"""),"DSPMWI1")</f>
        <v>DSPMWI1</v>
      </c>
      <c r="F265" s="4" t="str">
        <f>IFERROR(__xludf.DUMMYFUNCTION("""COMPUTED_VALUE"""),"ALARMAS &gt; ALARMAS HIKVISION HIBRIDAS PHA")</f>
        <v>ALARMAS &gt; ALARMAS HIKVISION HIBRIDAS PHA</v>
      </c>
      <c r="G265" s="5"/>
      <c r="H265" s="6">
        <f>IFERROR(__xludf.DUMMYFUNCTION("""COMPUTED_VALUE"""),17.16)</f>
        <v>17.16</v>
      </c>
      <c r="I265" s="7">
        <f>IFERROR(__xludf.DUMMYFUNCTION("""COMPUTED_VALUE"""),21.0)</f>
        <v>21</v>
      </c>
      <c r="J265" s="6">
        <f>IFERROR(__xludf.DUMMYFUNCTION("""COMPUTED_VALUE"""),20.59)</f>
        <v>20.59</v>
      </c>
      <c r="K265" s="6">
        <f>IFERROR(__xludf.DUMMYFUNCTION("""COMPUTED_VALUE"""),24.02)</f>
        <v>24.02</v>
      </c>
      <c r="L265" s="3"/>
      <c r="M265" s="3"/>
    </row>
    <row r="266" ht="48.0" customHeight="1">
      <c r="A266" s="3" t="str">
        <f>IFERROR(__xludf.DUMMYFUNCTION("""COMPUTED_VALUE"""),"DSPMWO2")</f>
        <v>DSPMWO2</v>
      </c>
      <c r="B266" s="4" t="str">
        <f>IFERROR(__xludf.DUMMYFUNCTION("""COMPUTED_VALUE"""),"EXPANSOR UNIVERSAL INALÁMBRICO DE 2 SALIDAS TWO-WAY WIRELESS, 2-OUTPUT")</f>
        <v>EXPANSOR UNIVERSAL INALÁMBRICO DE 2 SALIDAS TWO-WAY WIRELESS, 2-OUTPUT</v>
      </c>
      <c r="C266" s="4" t="str">
        <f>IFERROR(__xludf.DUMMYFUNCTION("""COMPUTED_VALUE"""),"Expansor universal inalámbrico de 2 salidas Two-way wireless, 2-output expander RF distance: 800m (open space) Power Supply: 9 ~ 15V DC Applied to all the AX Series Wireless control panel to connect output devices")</f>
        <v>Expansor universal inalámbrico de 2 salidas Two-way wireless, 2-output expander RF distance: 800m (open space) Power Supply: 9 ~ 15V DC Applied to all the AX Series Wireless control panel to connect output devices</v>
      </c>
      <c r="D266" s="4" t="str">
        <f>IFERROR(__xludf.DUMMYFUNCTION("""COMPUTED_VALUE"""),"HIKVISION")</f>
        <v>HIKVISION</v>
      </c>
      <c r="E266" s="4" t="str">
        <f>IFERROR(__xludf.DUMMYFUNCTION("""COMPUTED_VALUE"""),"DSPMWO2")</f>
        <v>DSPMWO2</v>
      </c>
      <c r="F266" s="4" t="str">
        <f>IFERROR(__xludf.DUMMYFUNCTION("""COMPUTED_VALUE"""),"ALARMAS &gt; ALARMAS HIKVISION HIBRIDAS PHA")</f>
        <v>ALARMAS &gt; ALARMAS HIKVISION HIBRIDAS PHA</v>
      </c>
      <c r="G266" s="5"/>
      <c r="H266" s="6">
        <f>IFERROR(__xludf.DUMMYFUNCTION("""COMPUTED_VALUE"""),41.47)</f>
        <v>41.47</v>
      </c>
      <c r="I266" s="7">
        <f>IFERROR(__xludf.DUMMYFUNCTION("""COMPUTED_VALUE"""),21.0)</f>
        <v>21</v>
      </c>
      <c r="J266" s="6">
        <f>IFERROR(__xludf.DUMMYFUNCTION("""COMPUTED_VALUE"""),49.76)</f>
        <v>49.76</v>
      </c>
      <c r="K266" s="6">
        <f>IFERROR(__xludf.DUMMYFUNCTION("""COMPUTED_VALUE"""),58.06)</f>
        <v>58.06</v>
      </c>
      <c r="L266" s="3"/>
      <c r="M266" s="3"/>
    </row>
    <row r="267" ht="48.0" customHeight="1">
      <c r="A267" s="3" t="str">
        <f>IFERROR(__xludf.DUMMYFUNCTION("""COMPUTED_VALUE"""),"DSPD1EBWR")</f>
        <v>DSPD1EBWR</v>
      </c>
      <c r="B267" s="4" t="str">
        <f>IFERROR(__xludf.DUMMYFUNCTION("""COMPUTED_VALUE"""),"PULSADOR DE PÁNICO INALÁMBRICO")</f>
        <v>PULSADOR DE PÁNICO INALÁMBRICO</v>
      </c>
      <c r="C267" s="4" t="str">
        <f>IFERROR(__xludf.DUMMYFUNCTION("""COMPUTED_VALUE"""),"Pulsador de pánico inalámbrico")</f>
        <v>Pulsador de pánico inalámbrico</v>
      </c>
      <c r="D267" s="4" t="str">
        <f>IFERROR(__xludf.DUMMYFUNCTION("""COMPUTED_VALUE"""),"HIKVISION")</f>
        <v>HIKVISION</v>
      </c>
      <c r="E267" s="4" t="str">
        <f>IFERROR(__xludf.DUMMYFUNCTION("""COMPUTED_VALUE"""),"DSPD1EBWR")</f>
        <v>DSPD1EBWR</v>
      </c>
      <c r="F267" s="4" t="str">
        <f>IFERROR(__xludf.DUMMYFUNCTION("""COMPUTED_VALUE"""),"ALARMAS &gt; ALARMAS HIKVISION HIBRIDAS PHA")</f>
        <v>ALARMAS &gt; ALARMAS HIKVISION HIBRIDAS PHA</v>
      </c>
      <c r="G267" s="5"/>
      <c r="H267" s="6">
        <f>IFERROR(__xludf.DUMMYFUNCTION("""COMPUTED_VALUE"""),11.99)</f>
        <v>11.99</v>
      </c>
      <c r="I267" s="7">
        <f>IFERROR(__xludf.DUMMYFUNCTION("""COMPUTED_VALUE"""),21.0)</f>
        <v>21</v>
      </c>
      <c r="J267" s="6">
        <f>IFERROR(__xludf.DUMMYFUNCTION("""COMPUTED_VALUE"""),14.39)</f>
        <v>14.39</v>
      </c>
      <c r="K267" s="6">
        <f>IFERROR(__xludf.DUMMYFUNCTION("""COMPUTED_VALUE"""),16.79)</f>
        <v>16.79</v>
      </c>
      <c r="L267" s="3"/>
      <c r="M267" s="3"/>
    </row>
    <row r="268" ht="48.0" customHeight="1">
      <c r="A268" s="3" t="str">
        <f>IFERROR(__xludf.DUMMYFUNCTION("""COMPUTED_VALUE"""),"DSPTSMF")</f>
        <v>DSPTSMF</v>
      </c>
      <c r="B268" s="4" t="str">
        <f>IFERROR(__xludf.DUMMYFUNCTION("""COMPUTED_VALUE"""),"TAG DE PROXIMIDAD MIFARE")</f>
        <v>TAG DE PROXIMIDAD MIFARE</v>
      </c>
      <c r="C268" s="4" t="str">
        <f>IFERROR(__xludf.DUMMYFUNCTION("""COMPUTED_VALUE"""),"Tag de proximidad Mifare")</f>
        <v>Tag de proximidad Mifare</v>
      </c>
      <c r="D268" s="4" t="str">
        <f>IFERROR(__xludf.DUMMYFUNCTION("""COMPUTED_VALUE"""),"HIKVISION")</f>
        <v>HIKVISION</v>
      </c>
      <c r="E268" s="4" t="str">
        <f>IFERROR(__xludf.DUMMYFUNCTION("""COMPUTED_VALUE"""),"DSPTSMF")</f>
        <v>DSPTSMF</v>
      </c>
      <c r="F268" s="4" t="str">
        <f>IFERROR(__xludf.DUMMYFUNCTION("""COMPUTED_VALUE"""),"ALARMAS &gt; ALARMAS HIKVISION HIBRIDAS PHA")</f>
        <v>ALARMAS &gt; ALARMAS HIKVISION HIBRIDAS PHA</v>
      </c>
      <c r="G268" s="5"/>
      <c r="H268" s="6">
        <f>IFERROR(__xludf.DUMMYFUNCTION("""COMPUTED_VALUE"""),2.31)</f>
        <v>2.31</v>
      </c>
      <c r="I268" s="7">
        <f>IFERROR(__xludf.DUMMYFUNCTION("""COMPUTED_VALUE"""),21.0)</f>
        <v>21</v>
      </c>
      <c r="J268" s="6">
        <f>IFERROR(__xludf.DUMMYFUNCTION("""COMPUTED_VALUE"""),2.77)</f>
        <v>2.77</v>
      </c>
      <c r="K268" s="6">
        <f>IFERROR(__xludf.DUMMYFUNCTION("""COMPUTED_VALUE"""),3.23)</f>
        <v>3.23</v>
      </c>
      <c r="L268" s="3"/>
      <c r="M268" s="3"/>
    </row>
    <row r="269" ht="48.0" customHeight="1">
      <c r="A269" s="3" t="str">
        <f>IFERROR(__xludf.DUMMYFUNCTION("""COMPUTED_VALUE"""),"DS-PA201P-Kit-16WB")</f>
        <v>DS-PA201P-Kit-16WB</v>
      </c>
      <c r="B269" s="4" t="str">
        <f>IFERROR(__xludf.DUMMYFUNCTION("""COMPUTED_VALUE"""),"KIT INALÁMBRICO CONTIENE 1 CENTRAL DE 16 ZONAS WIFI,")</f>
        <v>KIT INALÁMBRICO CONTIENE 1 CENTRAL DE 16 ZONAS WIFI,</v>
      </c>
      <c r="C269" s="4" t="str">
        <f>IFERROR(__xludf.DUMMYFUNCTION("""COMPUTED_VALUE"""),"KIT inalámbrico contiene 1 central de 16 zonas WIFI, un control remoto DS-PKF201-WB, un sensor magnético DS-PD201MC-WB y un detector de movimiento DS-PD201P10-WB.")</f>
        <v>KIT inalámbrico contiene 1 central de 16 zonas WIFI, un control remoto DS-PKF201-WB, un sensor magnético DS-PD201MC-WB y un detector de movimiento DS-PD201P10-WB.</v>
      </c>
      <c r="D269" s="4" t="str">
        <f>IFERROR(__xludf.DUMMYFUNCTION("""COMPUTED_VALUE"""),"HIKVISION")</f>
        <v>HIKVISION</v>
      </c>
      <c r="E269" s="4" t="str">
        <f>IFERROR(__xludf.DUMMYFUNCTION("""COMPUTED_VALUE"""),"DS-PA201P-Kit-16WB")</f>
        <v>DS-PA201P-Kit-16WB</v>
      </c>
      <c r="F269" s="4" t="str">
        <f>IFERROR(__xludf.DUMMYFUNCTION("""COMPUTED_VALUE"""),"ALARMAS &gt; ALARMAS HIKVISION AX-HOME")</f>
        <v>ALARMAS &gt; ALARMAS HIKVISION AX-HOME</v>
      </c>
      <c r="G269" s="5"/>
      <c r="H269" s="6">
        <f>IFERROR(__xludf.DUMMYFUNCTION("""COMPUTED_VALUE"""),127.6)</f>
        <v>127.6</v>
      </c>
      <c r="I269" s="7">
        <f>IFERROR(__xludf.DUMMYFUNCTION("""COMPUTED_VALUE"""),21.0)</f>
        <v>21</v>
      </c>
      <c r="J269" s="6">
        <f>IFERROR(__xludf.DUMMYFUNCTION("""COMPUTED_VALUE"""),153.12)</f>
        <v>153.12</v>
      </c>
      <c r="K269" s="6">
        <f>IFERROR(__xludf.DUMMYFUNCTION("""COMPUTED_VALUE"""),178.64)</f>
        <v>178.64</v>
      </c>
      <c r="L269" s="3"/>
      <c r="M269" s="3"/>
    </row>
    <row r="270" ht="48.0" customHeight="1">
      <c r="A270" s="3" t="str">
        <f>IFERROR(__xludf.DUMMYFUNCTION("""COMPUTED_VALUE"""),"DS-PA201PS-Kit-16WB")</f>
        <v>DS-PA201PS-Kit-16WB</v>
      </c>
      <c r="B270" s="4" t="str">
        <f>IFERROR(__xludf.DUMMYFUNCTION("""COMPUTED_VALUE"""),"KIT INALÁMBRICO CONTIENE 1 CENTRAL DE 16 ZONAS WIFI")</f>
        <v>KIT INALÁMBRICO CONTIENE 1 CENTRAL DE 16 ZONAS WIFI</v>
      </c>
      <c r="C270" s="4" t="str">
        <f>IFERROR(__xludf.DUMMYFUNCTION("""COMPUTED_VALUE"""),"KIT inalámbrico contiene 1 central de 16 zonas WIFI + 3G-4G, un control remoto DS-PKF201-WB, un sensor magnético DS-PD201MC-WB y un detector de movimiento DS-PD201P10-WB.")</f>
        <v>KIT inalámbrico contiene 1 central de 16 zonas WIFI + 3G-4G, un control remoto DS-PKF201-WB, un sensor magnético DS-PD201MC-WB y un detector de movimiento DS-PD201P10-WB.</v>
      </c>
      <c r="D270" s="4" t="str">
        <f>IFERROR(__xludf.DUMMYFUNCTION("""COMPUTED_VALUE"""),"HIKVISION")</f>
        <v>HIKVISION</v>
      </c>
      <c r="E270" s="4" t="str">
        <f>IFERROR(__xludf.DUMMYFUNCTION("""COMPUTED_VALUE"""),"DS-PA201PS-Kit-16WB")</f>
        <v>DS-PA201PS-Kit-16WB</v>
      </c>
      <c r="F270" s="4" t="str">
        <f>IFERROR(__xludf.DUMMYFUNCTION("""COMPUTED_VALUE"""),"ALARMAS &gt; ALARMAS HIKVISION AX-HOME")</f>
        <v>ALARMAS &gt; ALARMAS HIKVISION AX-HOME</v>
      </c>
      <c r="G270" s="5"/>
      <c r="H270" s="6">
        <f>IFERROR(__xludf.DUMMYFUNCTION("""COMPUTED_VALUE"""),192.5)</f>
        <v>192.5</v>
      </c>
      <c r="I270" s="7">
        <f>IFERROR(__xludf.DUMMYFUNCTION("""COMPUTED_VALUE"""),21.0)</f>
        <v>21</v>
      </c>
      <c r="J270" s="6">
        <f>IFERROR(__xludf.DUMMYFUNCTION("""COMPUTED_VALUE"""),231.0)</f>
        <v>231</v>
      </c>
      <c r="K270" s="6">
        <f>IFERROR(__xludf.DUMMYFUNCTION("""COMPUTED_VALUE"""),269.5)</f>
        <v>269.5</v>
      </c>
      <c r="L270" s="3"/>
      <c r="M270" s="3"/>
    </row>
    <row r="271" ht="48.0" customHeight="1">
      <c r="A271" s="3" t="str">
        <f>IFERROR(__xludf.DUMMYFUNCTION("""COMPUTED_VALUE"""),"DS-PK201B-WB")</f>
        <v>DS-PK201B-WB</v>
      </c>
      <c r="B271" s="4" t="str">
        <f>IFERROR(__xludf.DUMMYFUNCTION("""COMPUTED_VALUE"""),"TECLADO INALÁMBRICO")</f>
        <v>TECLADO INALÁMBRICO</v>
      </c>
      <c r="C271" s="4" t="str">
        <f>IFERROR(__xludf.DUMMYFUNCTION("""COMPUTED_VALUE"""),"Teclado inalámbrico. Voltaje de Operación 4 baterías AA")</f>
        <v>Teclado inalámbrico. Voltaje de Operación 4 baterías AA</v>
      </c>
      <c r="D271" s="4" t="str">
        <f>IFERROR(__xludf.DUMMYFUNCTION("""COMPUTED_VALUE"""),"HIKVISION")</f>
        <v>HIKVISION</v>
      </c>
      <c r="E271" s="4" t="str">
        <f>IFERROR(__xludf.DUMMYFUNCTION("""COMPUTED_VALUE"""),"DS-PK201B-WB")</f>
        <v>DS-PK201B-WB</v>
      </c>
      <c r="F271" s="4" t="str">
        <f>IFERROR(__xludf.DUMMYFUNCTION("""COMPUTED_VALUE"""),"ALARMAS &gt; ALARMAS HIKVISION AX-HOME")</f>
        <v>ALARMAS &gt; ALARMAS HIKVISION AX-HOME</v>
      </c>
      <c r="G271" s="5"/>
      <c r="H271" s="6">
        <f>IFERROR(__xludf.DUMMYFUNCTION("""COMPUTED_VALUE"""),38.5)</f>
        <v>38.5</v>
      </c>
      <c r="I271" s="7">
        <f>IFERROR(__xludf.DUMMYFUNCTION("""COMPUTED_VALUE"""),21.0)</f>
        <v>21</v>
      </c>
      <c r="J271" s="6">
        <f>IFERROR(__xludf.DUMMYFUNCTION("""COMPUTED_VALUE"""),46.2)</f>
        <v>46.2</v>
      </c>
      <c r="K271" s="6">
        <f>IFERROR(__xludf.DUMMYFUNCTION("""COMPUTED_VALUE"""),53.9)</f>
        <v>53.9</v>
      </c>
      <c r="L271" s="3"/>
      <c r="M271" s="3"/>
    </row>
    <row r="272" ht="48.0" customHeight="1">
      <c r="A272" s="3" t="str">
        <f>IFERROR(__xludf.DUMMYFUNCTION("""COMPUTED_VALUE"""),"DS-PS201-WB")</f>
        <v>DS-PS201-WB</v>
      </c>
      <c r="B272" s="4" t="str">
        <f>IFERROR(__xludf.DUMMYFUNCTION("""COMPUTED_VALUE"""),"SIRENA INALÁMBRICO, 4 TIPOS DE SONIDOS DE ALARMA: ALARMA")</f>
        <v>SIRENA INALÁMBRICO, 4 TIPOS DE SONIDOS DE ALARMA: ALARMA</v>
      </c>
      <c r="C272" s="4" t="str">
        <f>IFERROR(__xludf.DUMMYFUNCTION("""COMPUTED_VALUE"""),"Sirena inalámbrico, 4 tipos de sonidos de alarma: alarma de fuego, alarma de pánico, alarma medica y alarma de intrusión. Duración de la alarma: Ajustable entre 10 segundos a 15. Hasta 95 dB a 1 m de distancia. Voltaje de Operación 4 baterías AA")</f>
        <v>Sirena inalámbrico, 4 tipos de sonidos de alarma: alarma de fuego, alarma de pánico, alarma medica y alarma de intrusión. Duración de la alarma: Ajustable entre 10 segundos a 15. Hasta 95 dB a 1 m de distancia. Voltaje de Operación 4 baterías AA</v>
      </c>
      <c r="D272" s="4" t="str">
        <f>IFERROR(__xludf.DUMMYFUNCTION("""COMPUTED_VALUE"""),"HIKVISION")</f>
        <v>HIKVISION</v>
      </c>
      <c r="E272" s="4" t="str">
        <f>IFERROR(__xludf.DUMMYFUNCTION("""COMPUTED_VALUE"""),"DS-PS201-WB")</f>
        <v>DS-PS201-WB</v>
      </c>
      <c r="F272" s="4" t="str">
        <f>IFERROR(__xludf.DUMMYFUNCTION("""COMPUTED_VALUE"""),"ALARMAS &gt; ALARMAS HIKVISION AX-HOME")</f>
        <v>ALARMAS &gt; ALARMAS HIKVISION AX-HOME</v>
      </c>
      <c r="G272" s="5"/>
      <c r="H272" s="6">
        <f>IFERROR(__xludf.DUMMYFUNCTION("""COMPUTED_VALUE"""),37.4)</f>
        <v>37.4</v>
      </c>
      <c r="I272" s="7">
        <f>IFERROR(__xludf.DUMMYFUNCTION("""COMPUTED_VALUE"""),21.0)</f>
        <v>21</v>
      </c>
      <c r="J272" s="6">
        <f>IFERROR(__xludf.DUMMYFUNCTION("""COMPUTED_VALUE"""),44.88)</f>
        <v>44.88</v>
      </c>
      <c r="K272" s="6">
        <f>IFERROR(__xludf.DUMMYFUNCTION("""COMPUTED_VALUE"""),52.36)</f>
        <v>52.36</v>
      </c>
      <c r="L272" s="3"/>
      <c r="M272" s="3"/>
    </row>
    <row r="273" ht="48.0" customHeight="1">
      <c r="A273" s="3" t="str">
        <f>IFERROR(__xludf.DUMMYFUNCTION("""COMPUTED_VALUE"""),"DS-PKF201-WB")</f>
        <v>DS-PKF201-WB</v>
      </c>
      <c r="B273" s="4" t="str">
        <f>IFERROR(__xludf.DUMMYFUNCTION("""COMPUTED_VALUE"""),"CONTROL REMOTO INALÁMBRICO, FUNCIÓN ARMADO-DESARMADO Y POSEE DOS BOTON")</f>
        <v>CONTROL REMOTO INALÁMBRICO, FUNCIÓN ARMADO-DESARMADO Y POSEE DOS BOTON</v>
      </c>
      <c r="C273" s="4" t="str">
        <f>IFERROR(__xludf.DUMMYFUNCTION("""COMPUTED_VALUE"""),"Control remoto inalámbrico, función armado-desarmado y posee dos botones extras configurables. Voltaje de Operación 1 × CR2032")</f>
        <v>Control remoto inalámbrico, función armado-desarmado y posee dos botones extras configurables. Voltaje de Operación 1 × CR2032</v>
      </c>
      <c r="D273" s="4" t="str">
        <f>IFERROR(__xludf.DUMMYFUNCTION("""COMPUTED_VALUE"""),"HIKVISION")</f>
        <v>HIKVISION</v>
      </c>
      <c r="E273" s="4" t="str">
        <f>IFERROR(__xludf.DUMMYFUNCTION("""COMPUTED_VALUE"""),"DS-PKF201-WB")</f>
        <v>DS-PKF201-WB</v>
      </c>
      <c r="F273" s="4" t="str">
        <f>IFERROR(__xludf.DUMMYFUNCTION("""COMPUTED_VALUE"""),"ALARMAS &gt; ALARMAS HIKVISION AX-HOME")</f>
        <v>ALARMAS &gt; ALARMAS HIKVISION AX-HOME</v>
      </c>
      <c r="G273" s="5"/>
      <c r="H273" s="6">
        <f>IFERROR(__xludf.DUMMYFUNCTION("""COMPUTED_VALUE"""),18.48)</f>
        <v>18.48</v>
      </c>
      <c r="I273" s="7">
        <f>IFERROR(__xludf.DUMMYFUNCTION("""COMPUTED_VALUE"""),21.0)</f>
        <v>21</v>
      </c>
      <c r="J273" s="6">
        <f>IFERROR(__xludf.DUMMYFUNCTION("""COMPUTED_VALUE"""),22.18)</f>
        <v>22.18</v>
      </c>
      <c r="K273" s="6">
        <f>IFERROR(__xludf.DUMMYFUNCTION("""COMPUTED_VALUE"""),25.87)</f>
        <v>25.87</v>
      </c>
      <c r="L273" s="3"/>
      <c r="M273" s="3"/>
    </row>
    <row r="274" ht="48.0" customHeight="1">
      <c r="A274" s="3" t="str">
        <f>IFERROR(__xludf.DUMMYFUNCTION("""COMPUTED_VALUE"""),"DS-PD201P10-WB")</f>
        <v>DS-PD201P10-WB</v>
      </c>
      <c r="B274" s="4" t="str">
        <f>IFERROR(__xludf.DUMMYFUNCTION("""COMPUTED_VALUE"""),"DETECTOR DE MOVIMIENTO INALÁMBRICO ALCANCE 10 M / 90°")</f>
        <v>DETECTOR DE MOVIMIENTO INALÁMBRICO ALCANCE 10 M / 90°</v>
      </c>
      <c r="C274" s="4" t="str">
        <f>IFERROR(__xludf.DUMMYFUNCTION("""COMPUTED_VALUE"""),"Detector de movimiento inalámbrico alcance 10 m / 90°. Antimascotas de hasta 24 Kg. Voltaje de Operación 2 baterías AA")</f>
        <v>Detector de movimiento inalámbrico alcance 10 m / 90°. Antimascotas de hasta 24 Kg. Voltaje de Operación 2 baterías AA</v>
      </c>
      <c r="D274" s="4" t="str">
        <f>IFERROR(__xludf.DUMMYFUNCTION("""COMPUTED_VALUE"""),"HIKVISION")</f>
        <v>HIKVISION</v>
      </c>
      <c r="E274" s="4" t="str">
        <f>IFERROR(__xludf.DUMMYFUNCTION("""COMPUTED_VALUE"""),"DS-PD201P10-WB")</f>
        <v>DS-PD201P10-WB</v>
      </c>
      <c r="F274" s="4" t="str">
        <f>IFERROR(__xludf.DUMMYFUNCTION("""COMPUTED_VALUE"""),"ALARMAS &gt; ALARMAS HIKVISION AX-HOME")</f>
        <v>ALARMAS &gt; ALARMAS HIKVISION AX-HOME</v>
      </c>
      <c r="G274" s="5"/>
      <c r="H274" s="6">
        <f>IFERROR(__xludf.DUMMYFUNCTION("""COMPUTED_VALUE"""),30.36)</f>
        <v>30.36</v>
      </c>
      <c r="I274" s="7">
        <f>IFERROR(__xludf.DUMMYFUNCTION("""COMPUTED_VALUE"""),21.0)</f>
        <v>21</v>
      </c>
      <c r="J274" s="6">
        <f>IFERROR(__xludf.DUMMYFUNCTION("""COMPUTED_VALUE"""),36.43)</f>
        <v>36.43</v>
      </c>
      <c r="K274" s="6">
        <f>IFERROR(__xludf.DUMMYFUNCTION("""COMPUTED_VALUE"""),42.5)</f>
        <v>42.5</v>
      </c>
      <c r="L274" s="3"/>
      <c r="M274" s="3"/>
    </row>
    <row r="275" ht="48.0" customHeight="1">
      <c r="A275" s="3" t="str">
        <f>IFERROR(__xludf.DUMMYFUNCTION("""COMPUTED_VALUE"""),"DS-PD201PC10-WB")</f>
        <v>DS-PD201PC10-WB</v>
      </c>
      <c r="B275" s="4" t="str">
        <f>IFERROR(__xludf.DUMMYFUNCTION("""COMPUTED_VALUE"""),"DETECTOR PIR-CÁMARA INALÁMBRICO 10M/90°, CON INMUNIDAD A MASCOTAS HAST")</f>
        <v>DETECTOR PIR-CÁMARA INALÁMBRICO 10M/90°, CON INMUNIDAD A MASCOTAS HAST</v>
      </c>
      <c r="C275" s="4" t="str">
        <f>IFERROR(__xludf.DUMMYFUNCTION("""COMPUTED_VALUE"""),"Detector PIR-cámara inalámbrico 10m/90°, con inmunidad a mascotas hasta 24 kilos, uso en interior. Línea AXHOME.")</f>
        <v>Detector PIR-cámara inalámbrico 10m/90°, con inmunidad a mascotas hasta 24 kilos, uso en interior. Línea AXHOME.</v>
      </c>
      <c r="D275" s="4" t="str">
        <f>IFERROR(__xludf.DUMMYFUNCTION("""COMPUTED_VALUE"""),"HIKVISION")</f>
        <v>HIKVISION</v>
      </c>
      <c r="E275" s="4" t="str">
        <f>IFERROR(__xludf.DUMMYFUNCTION("""COMPUTED_VALUE"""),"DS-PD201PC10-WB")</f>
        <v>DS-PD201PC10-WB</v>
      </c>
      <c r="F275" s="4" t="str">
        <f>IFERROR(__xludf.DUMMYFUNCTION("""COMPUTED_VALUE"""),"ALARMAS &gt; ALARMAS HIKVISION AX-HOME")</f>
        <v>ALARMAS &gt; ALARMAS HIKVISION AX-HOME</v>
      </c>
      <c r="G275" s="5"/>
      <c r="H275" s="6">
        <f>IFERROR(__xludf.DUMMYFUNCTION("""COMPUTED_VALUE"""),64.9)</f>
        <v>64.9</v>
      </c>
      <c r="I275" s="7">
        <f>IFERROR(__xludf.DUMMYFUNCTION("""COMPUTED_VALUE"""),21.0)</f>
        <v>21</v>
      </c>
      <c r="J275" s="6">
        <f>IFERROR(__xludf.DUMMYFUNCTION("""COMPUTED_VALUE"""),77.88)</f>
        <v>77.88</v>
      </c>
      <c r="K275" s="6">
        <f>IFERROR(__xludf.DUMMYFUNCTION("""COMPUTED_VALUE"""),90.86)</f>
        <v>90.86</v>
      </c>
      <c r="L275" s="3"/>
      <c r="M275" s="3"/>
    </row>
    <row r="276" ht="48.0" customHeight="1">
      <c r="A276" s="3" t="str">
        <f>IFERROR(__xludf.DUMMYFUNCTION("""COMPUTED_VALUE"""),"DS-PD201MC-WB")</f>
        <v>DS-PD201MC-WB</v>
      </c>
      <c r="B276" s="4" t="str">
        <f>IFERROR(__xludf.DUMMYFUNCTION("""COMPUTED_VALUE"""),"DETECTOR MAGNÉTICO INALÁMBRICO")</f>
        <v>DETECTOR MAGNÉTICO INALÁMBRICO</v>
      </c>
      <c r="C276" s="4" t="str">
        <f>IFERROR(__xludf.DUMMYFUNCTION("""COMPUTED_VALUE"""),"Detector magnético inalámbrico. Voltaje de Operación 1 baterías AA")</f>
        <v>Detector magnético inalámbrico. Voltaje de Operación 1 baterías AA</v>
      </c>
      <c r="D276" s="4" t="str">
        <f>IFERROR(__xludf.DUMMYFUNCTION("""COMPUTED_VALUE"""),"HIKVISION")</f>
        <v>HIKVISION</v>
      </c>
      <c r="E276" s="4" t="str">
        <f>IFERROR(__xludf.DUMMYFUNCTION("""COMPUTED_VALUE"""),"DS-PD201MC-WB")</f>
        <v>DS-PD201MC-WB</v>
      </c>
      <c r="F276" s="4" t="str">
        <f>IFERROR(__xludf.DUMMYFUNCTION("""COMPUTED_VALUE"""),"ALARMAS &gt; ALARMAS HIKVISION AX-HOME")</f>
        <v>ALARMAS &gt; ALARMAS HIKVISION AX-HOME</v>
      </c>
      <c r="G276" s="5"/>
      <c r="H276" s="6">
        <f>IFERROR(__xludf.DUMMYFUNCTION("""COMPUTED_VALUE"""),24.2)</f>
        <v>24.2</v>
      </c>
      <c r="I276" s="7">
        <f>IFERROR(__xludf.DUMMYFUNCTION("""COMPUTED_VALUE"""),21.0)</f>
        <v>21</v>
      </c>
      <c r="J276" s="6">
        <f>IFERROR(__xludf.DUMMYFUNCTION("""COMPUTED_VALUE"""),29.04)</f>
        <v>29.04</v>
      </c>
      <c r="K276" s="6">
        <f>IFERROR(__xludf.DUMMYFUNCTION("""COMPUTED_VALUE"""),33.88)</f>
        <v>33.88</v>
      </c>
      <c r="L276" s="3"/>
      <c r="M276" s="3"/>
    </row>
    <row r="277" ht="48.0" customHeight="1">
      <c r="A277" s="3" t="str">
        <f>IFERROR(__xludf.DUMMYFUNCTION("""COMPUTED_VALUE"""),"DS-PC201N")</f>
        <v>DS-PC201N</v>
      </c>
      <c r="B277" s="4" t="str">
        <f>IFERROR(__xludf.DUMMYFUNCTION("""COMPUTED_VALUE"""),"COMUNICADOR LAN PARA PANELES AXHOME COMPATIBLE CON PANALES AX")</f>
        <v>COMUNICADOR LAN PARA PANELES AXHOME COMPATIBLE CON PANALES AX</v>
      </c>
      <c r="C277" s="4" t="str">
        <f>IFERROR(__xludf.DUMMYFUNCTION("""COMPUTED_VALUE"""),"Comunicador LAN para paneles AxHome Compatible con panales AX HOME DS-PA201P-16WB y DS-PA201PS-16WB. Velocidad de transmisión: Hasta 10Mbps.")</f>
        <v>Comunicador LAN para paneles AxHome Compatible con panales AX HOME DS-PA201P-16WB y DS-PA201PS-16WB. Velocidad de transmisión: Hasta 10Mbps.</v>
      </c>
      <c r="D277" s="4" t="str">
        <f>IFERROR(__xludf.DUMMYFUNCTION("""COMPUTED_VALUE"""),"HIKVISION")</f>
        <v>HIKVISION</v>
      </c>
      <c r="E277" s="4" t="str">
        <f>IFERROR(__xludf.DUMMYFUNCTION("""COMPUTED_VALUE"""),"DS-PC201N")</f>
        <v>DS-PC201N</v>
      </c>
      <c r="F277" s="4" t="str">
        <f>IFERROR(__xludf.DUMMYFUNCTION("""COMPUTED_VALUE"""),"ALARMAS &gt; ALARMAS HIKVISION AX-HOME")</f>
        <v>ALARMAS &gt; ALARMAS HIKVISION AX-HOME</v>
      </c>
      <c r="G277" s="5"/>
      <c r="H277" s="6">
        <f>IFERROR(__xludf.DUMMYFUNCTION("""COMPUTED_VALUE"""),9.79)</f>
        <v>9.79</v>
      </c>
      <c r="I277" s="7">
        <f>IFERROR(__xludf.DUMMYFUNCTION("""COMPUTED_VALUE"""),21.0)</f>
        <v>21</v>
      </c>
      <c r="J277" s="6">
        <f>IFERROR(__xludf.DUMMYFUNCTION("""COMPUTED_VALUE"""),11.75)</f>
        <v>11.75</v>
      </c>
      <c r="K277" s="6">
        <f>IFERROR(__xludf.DUMMYFUNCTION("""COMPUTED_VALUE"""),13.71)</f>
        <v>13.71</v>
      </c>
      <c r="L277" s="3"/>
      <c r="M277" s="3"/>
    </row>
    <row r="278" ht="48.0" customHeight="1">
      <c r="A278" s="3" t="str">
        <f>IFERROR(__xludf.DUMMYFUNCTION("""COMPUTED_VALUE"""),"DS-PWA48-KIT-WB")</f>
        <v>DS-PWA48-KIT-WB</v>
      </c>
      <c r="B278" s="4" t="str">
        <f>IFERROR(__xludf.DUMMYFUNCTION("""COMPUTED_VALUE"""),"KIT INALAMBRICO 48 ZONAS COMPUESTO POR CENTRAL DS-PWA48-E-WB COMUNICAC")</f>
        <v>KIT INALAMBRICO 48 ZONAS COMPUESTO POR CENTRAL DS-PWA48-E-WB COMUNICAC</v>
      </c>
      <c r="C278" s="4" t="str">
        <f>IFERROR(__xludf.DUMMYFUNCTION("""COMPUTED_VALUE"""),"Kit inalambrico 48 zonas compuesto por central DS-PWA48-E-WB comunicación Wi-Fi, TCP/IP (433MHz). Un-DS-PKF1-WB (control remoto inalámbrico). Un-DS-PDP15P-EG2-WB (PIR nalámbrico). Un DS-PDMC-EG2-WB (magnético inalámbrico). Capacidad 48 zonas/salidas inalá"&amp;"mbricas, hasta 16 controles remotos inalámbrico, 2 repetidores, 4 sirenas, 8 lectores de proximidad y teclados y 48 PIRCAMs")</f>
        <v>Kit inalambrico 48 zonas compuesto por central DS-PWA48-E-WB comunicación Wi-Fi, TCP/IP (433MHz). Un-DS-PKF1-WB (control remoto inalámbrico). Un-DS-PDP15P-EG2-WB (PIR nalámbrico). Un DS-PDMC-EG2-WB (magnético inalámbrico). Capacidad 48 zonas/salidas inalámbricas, hasta 16 controles remotos inalámbrico, 2 repetidores, 4 sirenas, 8 lectores de proximidad y teclados y 48 PIRCAMs</v>
      </c>
      <c r="D278" s="4" t="str">
        <f>IFERROR(__xludf.DUMMYFUNCTION("""COMPUTED_VALUE"""),"HIKVISION")</f>
        <v>HIKVISION</v>
      </c>
      <c r="E278" s="4" t="str">
        <f>IFERROR(__xludf.DUMMYFUNCTION("""COMPUTED_VALUE"""),"DS-PWA48-KIT-WB")</f>
        <v>DS-PWA48-KIT-WB</v>
      </c>
      <c r="F278" s="4" t="str">
        <f>IFERROR(__xludf.DUMMYFUNCTION("""COMPUTED_VALUE"""),"ALARMAS &gt; ALARMAS HIKVISION AXPRO")</f>
        <v>ALARMAS &gt; ALARMAS HIKVISION AXPRO</v>
      </c>
      <c r="G278" s="5"/>
      <c r="H278" s="6">
        <f>IFERROR(__xludf.DUMMYFUNCTION("""COMPUTED_VALUE"""),225.5)</f>
        <v>225.5</v>
      </c>
      <c r="I278" s="7">
        <f>IFERROR(__xludf.DUMMYFUNCTION("""COMPUTED_VALUE"""),21.0)</f>
        <v>21</v>
      </c>
      <c r="J278" s="6">
        <f>IFERROR(__xludf.DUMMYFUNCTION("""COMPUTED_VALUE"""),270.6)</f>
        <v>270.6</v>
      </c>
      <c r="K278" s="6">
        <f>IFERROR(__xludf.DUMMYFUNCTION("""COMPUTED_VALUE"""),315.7)</f>
        <v>315.7</v>
      </c>
      <c r="L278" s="3"/>
      <c r="M278" s="3"/>
    </row>
    <row r="279" ht="48.0" customHeight="1">
      <c r="A279" s="3" t="str">
        <f>IFERROR(__xludf.DUMMYFUNCTION("""COMPUTED_VALUE"""),"DS-PWA48-KIT-WB(ARG)")</f>
        <v>DS-PWA48-KIT-WB(ARG)</v>
      </c>
      <c r="B279" s="4" t="str">
        <f>IFERROR(__xludf.DUMMYFUNCTION("""COMPUTED_VALUE"""),"KIT INALAMBRICO 48 ZONAS COMPUESTO POR CENTRAL DS-PWA48-E-WB COMUNICAC")</f>
        <v>KIT INALAMBRICO 48 ZONAS COMPUESTO POR CENTRAL DS-PWA48-E-WB COMUNICAC</v>
      </c>
      <c r="C279" s="4" t="str">
        <f>IFERROR(__xludf.DUMMYFUNCTION("""COMPUTED_VALUE"""),"Kit inalambrico 48 zonas compuesto por central DS-PWA48-E-WB comunicación Wi-Fi, TCP/IP + comunicador 3G/4G (433MHz). Un-DS-PKF1-WB (control remoto inalámbrico). Un-DS-PDP15P-EG2-WB (PIR nalámbrico). Un DS-PDMC-EG2-WB (magnético inalámbrico). Capacidad 48"&amp;" wireless zonas/salidas, hasta 16 controles remotos inalámbrico, 2 repetidores, 4 sirenas, 8 lectores de proximidad y teclados y 48 PIRCAMs")</f>
        <v>Kit inalambrico 48 zonas compuesto por central DS-PWA48-E-WB comunicación Wi-Fi, TCP/IP + comunicador 3G/4G (433MHz). Un-DS-PKF1-WB (control remoto inalámbrico). Un-DS-PDP15P-EG2-WB (PIR nalámbrico). Un DS-PDMC-EG2-WB (magnético inalámbrico). Capacidad 48 wireless zonas/salidas, hasta 16 controles remotos inalámbrico, 2 repetidores, 4 sirenas, 8 lectores de proximidad y teclados y 48 PIRCAMs</v>
      </c>
      <c r="D279" s="4" t="str">
        <f>IFERROR(__xludf.DUMMYFUNCTION("""COMPUTED_VALUE"""),"HIKVISION")</f>
        <v>HIKVISION</v>
      </c>
      <c r="E279" s="4" t="str">
        <f>IFERROR(__xludf.DUMMYFUNCTION("""COMPUTED_VALUE"""),"DS-PWA48-KIT-WB(ARG)")</f>
        <v>DS-PWA48-KIT-WB(ARG)</v>
      </c>
      <c r="F279" s="4" t="str">
        <f>IFERROR(__xludf.DUMMYFUNCTION("""COMPUTED_VALUE"""),"ALARMAS &gt; ALARMAS HIKVISION AXPRO")</f>
        <v>ALARMAS &gt; ALARMAS HIKVISION AXPRO</v>
      </c>
      <c r="G279" s="5"/>
      <c r="H279" s="6">
        <f>IFERROR(__xludf.DUMMYFUNCTION("""COMPUTED_VALUE"""),298.1)</f>
        <v>298.1</v>
      </c>
      <c r="I279" s="7">
        <f>IFERROR(__xludf.DUMMYFUNCTION("""COMPUTED_VALUE"""),21.0)</f>
        <v>21</v>
      </c>
      <c r="J279" s="6">
        <f>IFERROR(__xludf.DUMMYFUNCTION("""COMPUTED_VALUE"""),357.72)</f>
        <v>357.72</v>
      </c>
      <c r="K279" s="6">
        <f>IFERROR(__xludf.DUMMYFUNCTION("""COMPUTED_VALUE"""),417.34)</f>
        <v>417.34</v>
      </c>
      <c r="L279" s="3"/>
      <c r="M279" s="3"/>
    </row>
    <row r="280" ht="48.0" customHeight="1">
      <c r="A280" s="3" t="str">
        <f>IFERROR(__xludf.DUMMYFUNCTION("""COMPUTED_VALUE"""),"DSPWA96KITWB")</f>
        <v>DSPWA96KITWB</v>
      </c>
      <c r="B280" s="4" t="str">
        <f>IFERROR(__xludf.DUMMYFUNCTION("""COMPUTED_VALUE"""),"KIT INALAMBRICO 96 ZONAS COMPUESTO POR CENTRAL DS-PWA96-M-WB COMUNICAC")</f>
        <v>KIT INALAMBRICO 96 ZONAS COMPUESTO POR CENTRAL DS-PWA96-M-WB COMUNICAC</v>
      </c>
      <c r="C280" s="4" t="str">
        <f>IFERROR(__xludf.DUMMYFUNCTION("""COMPUTED_VALUE"""),"Kit inalambrico 96 zonas compuesto por central DS-PWA96-M-WB comunicación Wi-Fi, TCP/IP + comunicador 3G/4G (433MHz). Un-DS-PKF1-WB (control remoto inalámbrico). Un-DS-PDP15P-EG2-WB (PIR nalámbrico). Un DS-PDMC-EG2-WB (magnético inalámbrico). Capacidad 96"&amp;" zonas/salidas inalámbricas, hasta 48 controles remotos inalámbricos, 4 repetidores, 6 sirenas, 8 lectores de proximidad y teclados, PIRCAMs")</f>
        <v>Kit inalambrico 96 zonas compuesto por central DS-PWA96-M-WB comunicación Wi-Fi, TCP/IP + comunicador 3G/4G (433MHz). Un-DS-PKF1-WB (control remoto inalámbrico). Un-DS-PDP15P-EG2-WB (PIR nalámbrico). Un DS-PDMC-EG2-WB (magnético inalámbrico). Capacidad 96 zonas/salidas inalámbricas, hasta 48 controles remotos inalámbricos, 4 repetidores, 6 sirenas, 8 lectores de proximidad y teclados, PIRCAMs</v>
      </c>
      <c r="D280" s="4" t="str">
        <f>IFERROR(__xludf.DUMMYFUNCTION("""COMPUTED_VALUE"""),"HIKVISION")</f>
        <v>HIKVISION</v>
      </c>
      <c r="E280" s="4" t="str">
        <f>IFERROR(__xludf.DUMMYFUNCTION("""COMPUTED_VALUE"""),"DSPWA96KITWB")</f>
        <v>DSPWA96KITWB</v>
      </c>
      <c r="F280" s="4" t="str">
        <f>IFERROR(__xludf.DUMMYFUNCTION("""COMPUTED_VALUE"""),"ALARMAS &gt; ALARMAS HIKVISION AXPRO")</f>
        <v>ALARMAS &gt; ALARMAS HIKVISION AXPRO</v>
      </c>
      <c r="G280" s="5"/>
      <c r="H280" s="6">
        <f>IFERROR(__xludf.DUMMYFUNCTION("""COMPUTED_VALUE"""),378.4)</f>
        <v>378.4</v>
      </c>
      <c r="I280" s="7">
        <f>IFERROR(__xludf.DUMMYFUNCTION("""COMPUTED_VALUE"""),21.0)</f>
        <v>21</v>
      </c>
      <c r="J280" s="6">
        <f>IFERROR(__xludf.DUMMYFUNCTION("""COMPUTED_VALUE"""),454.08)</f>
        <v>454.08</v>
      </c>
      <c r="K280" s="6">
        <f>IFERROR(__xludf.DUMMYFUNCTION("""COMPUTED_VALUE"""),529.76)</f>
        <v>529.76</v>
      </c>
      <c r="L280" s="3"/>
      <c r="M280" s="3"/>
    </row>
    <row r="281" ht="48.0" customHeight="1">
      <c r="A281" s="3" t="str">
        <f>IFERROR(__xludf.DUMMYFUNCTION("""COMPUTED_VALUE"""),"DS-PHA48-EP")</f>
        <v>DS-PHA48-EP</v>
      </c>
      <c r="B281" s="4" t="str">
        <f>IFERROR(__xludf.DUMMYFUNCTION("""COMPUTED_VALUE"""),"PANEL CABLEADO E INALAMBRICO 8/48 + VIDEO 2CH INCLUYE")</f>
        <v>PANEL CABLEADO E INALAMBRICO 8/48 + VIDEO 2CH INCLUYE</v>
      </c>
      <c r="C281" s="4" t="str">
        <f>IFERROR(__xludf.DUMMYFUNCTION("""COMPUTED_VALUE"""),"Panel Cableado e inalambrico 8/48 + video 2CH Incluye comunicador LAN")</f>
        <v>Panel Cableado e inalambrico 8/48 + video 2CH Incluye comunicador LAN</v>
      </c>
      <c r="D281" s="4" t="str">
        <f>IFERROR(__xludf.DUMMYFUNCTION("""COMPUTED_VALUE"""),"HIKVISION")</f>
        <v>HIKVISION</v>
      </c>
      <c r="E281" s="4" t="str">
        <f>IFERROR(__xludf.DUMMYFUNCTION("""COMPUTED_VALUE"""),"DS-PHA48-EP")</f>
        <v>DS-PHA48-EP</v>
      </c>
      <c r="F281" s="4" t="str">
        <f>IFERROR(__xludf.DUMMYFUNCTION("""COMPUTED_VALUE"""),"ALARMAS &gt; ALARMAS HIKVISION AXPRO HYBRID")</f>
        <v>ALARMAS &gt; ALARMAS HIKVISION AXPRO HYBRID</v>
      </c>
      <c r="G281" s="5"/>
      <c r="H281" s="6">
        <f>IFERROR(__xludf.DUMMYFUNCTION("""COMPUTED_VALUE"""),116.6)</f>
        <v>116.6</v>
      </c>
      <c r="I281" s="7">
        <f>IFERROR(__xludf.DUMMYFUNCTION("""COMPUTED_VALUE"""),21.0)</f>
        <v>21</v>
      </c>
      <c r="J281" s="6">
        <f>IFERROR(__xludf.DUMMYFUNCTION("""COMPUTED_VALUE"""),139.92)</f>
        <v>139.92</v>
      </c>
      <c r="K281" s="6">
        <f>IFERROR(__xludf.DUMMYFUNCTION("""COMPUTED_VALUE"""),163.24)</f>
        <v>163.24</v>
      </c>
      <c r="L281" s="3"/>
      <c r="M281" s="3"/>
    </row>
    <row r="282" ht="48.0" customHeight="1">
      <c r="A282" s="3" t="str">
        <f>IFERROR(__xludf.DUMMYFUNCTION("""COMPUTED_VALUE"""),"DS-PHA64-LP")</f>
        <v>DS-PHA64-LP</v>
      </c>
      <c r="B282" s="4" t="str">
        <f>IFERROR(__xludf.DUMMYFUNCTION("""COMPUTED_VALUE"""),"PANEL CABLEADO E INALAMBRICO 8 A 56 ZONAS +")</f>
        <v>PANEL CABLEADO E INALAMBRICO 8 A 56 ZONAS +</v>
      </c>
      <c r="C282" s="4" t="str">
        <f>IFERROR(__xludf.DUMMYFUNCTION("""COMPUTED_VALUE"""),"Panel Cableado e inalambrico 8 a 56 zonas + Video 4CH Incluye comunicador LAN + Wifi")</f>
        <v>Panel Cableado e inalambrico 8 a 56 zonas + Video 4CH Incluye comunicador LAN + Wifi</v>
      </c>
      <c r="D282" s="4" t="str">
        <f>IFERROR(__xludf.DUMMYFUNCTION("""COMPUTED_VALUE"""),"HIKVISION")</f>
        <v>HIKVISION</v>
      </c>
      <c r="E282" s="4" t="str">
        <f>IFERROR(__xludf.DUMMYFUNCTION("""COMPUTED_VALUE"""),"DS-PHA64-LP")</f>
        <v>DS-PHA64-LP</v>
      </c>
      <c r="F282" s="4" t="str">
        <f>IFERROR(__xludf.DUMMYFUNCTION("""COMPUTED_VALUE"""),"ALARMAS &gt; ALARMAS HIKVISION AXPRO HYBRID")</f>
        <v>ALARMAS &gt; ALARMAS HIKVISION AXPRO HYBRID</v>
      </c>
      <c r="G282" s="5"/>
      <c r="H282" s="6">
        <f>IFERROR(__xludf.DUMMYFUNCTION("""COMPUTED_VALUE"""),135.3)</f>
        <v>135.3</v>
      </c>
      <c r="I282" s="7">
        <f>IFERROR(__xludf.DUMMYFUNCTION("""COMPUTED_VALUE"""),21.0)</f>
        <v>21</v>
      </c>
      <c r="J282" s="6">
        <f>IFERROR(__xludf.DUMMYFUNCTION("""COMPUTED_VALUE"""),162.36)</f>
        <v>162.36</v>
      </c>
      <c r="K282" s="6">
        <f>IFERROR(__xludf.DUMMYFUNCTION("""COMPUTED_VALUE"""),189.42)</f>
        <v>189.42</v>
      </c>
      <c r="L282" s="3"/>
      <c r="M282" s="3"/>
    </row>
    <row r="283" ht="48.0" customHeight="1">
      <c r="A283" s="3" t="str">
        <f>IFERROR(__xludf.DUMMYFUNCTION("""COMPUTED_VALUE"""),"DSPWA96M2HWB")</f>
        <v>DSPWA96M2HWB</v>
      </c>
      <c r="B283" s="4" t="str">
        <f>IFERROR(__xludf.DUMMYFUNCTION("""COMPUTED_VALUE"""),"DS-PWA96-M2H-WB PANEL MIXTO INALÁMBRICO + CABLEADO + 4G")</f>
        <v>DS-PWA96-M2H-WB PANEL MIXTO INALÁMBRICO + CABLEADO + 4G</v>
      </c>
      <c r="C283" s="4" t="str">
        <f>IFERROR(__xludf.DUMMYFUNCTION("""COMPUTED_VALUE"""),"DS-PWA96-M2H-WB Panel Mixto inalámbrico + cableado + 4G. Incluye 16 zonas cableadas en placa, dos salidas rele y receptor inalambrico para recibir perifericos inalambricos. ( maxima expansion 16 zonas cableadas y hasta hasta 96 zonas inalambricas. Teclado"&amp;" compatible DS-PK1-E-WB")</f>
        <v>DS-PWA96-M2H-WB Panel Mixto inalámbrico + cableado + 4G. Incluye 16 zonas cableadas en placa, dos salidas rele y receptor inalambrico para recibir perifericos inalambricos. ( maxima expansion 16 zonas cableadas y hasta hasta 96 zonas inalambricas. Teclado compatible DS-PK1-E-WB</v>
      </c>
      <c r="D283" s="4" t="str">
        <f>IFERROR(__xludf.DUMMYFUNCTION("""COMPUTED_VALUE"""),"HIKVISION")</f>
        <v>HIKVISION</v>
      </c>
      <c r="E283" s="4" t="str">
        <f>IFERROR(__xludf.DUMMYFUNCTION("""COMPUTED_VALUE"""),"DSPWA96M2HWB")</f>
        <v>DSPWA96M2HWB</v>
      </c>
      <c r="F283" s="4" t="str">
        <f>IFERROR(__xludf.DUMMYFUNCTION("""COMPUTED_VALUE"""),"ALARMAS &gt; ALARMAS HIKVISION AXPRO HYBRID")</f>
        <v>ALARMAS &gt; ALARMAS HIKVISION AXPRO HYBRID</v>
      </c>
      <c r="G283" s="5"/>
      <c r="H283" s="6">
        <f>IFERROR(__xludf.DUMMYFUNCTION("""COMPUTED_VALUE"""),349.8)</f>
        <v>349.8</v>
      </c>
      <c r="I283" s="7">
        <f>IFERROR(__xludf.DUMMYFUNCTION("""COMPUTED_VALUE"""),21.0)</f>
        <v>21</v>
      </c>
      <c r="J283" s="6">
        <f>IFERROR(__xludf.DUMMYFUNCTION("""COMPUTED_VALUE"""),419.76)</f>
        <v>419.76</v>
      </c>
      <c r="K283" s="6">
        <f>IFERROR(__xludf.DUMMYFUNCTION("""COMPUTED_VALUE"""),489.72)</f>
        <v>489.72</v>
      </c>
      <c r="L283" s="3"/>
      <c r="M283" s="3"/>
    </row>
    <row r="284" ht="48.0" customHeight="1">
      <c r="A284" s="3" t="str">
        <f>IFERROR(__xludf.DUMMYFUNCTION("""COMPUTED_VALUE"""),"DS-PK1-LRT-HWB")</f>
        <v>DS-PK1-LRT-HWB</v>
      </c>
      <c r="B284" s="4" t="str">
        <f>IFERROR(__xludf.DUMMYFUNCTION("""COMPUTED_VALUE"""),"TECLADO LCD CABLEADO POSEE 2 ENTRADAS DE ALARMAS Y")</f>
        <v>TECLADO LCD CABLEADO POSEE 2 ENTRADAS DE ALARMAS Y</v>
      </c>
      <c r="C284" s="4" t="str">
        <f>IFERROR(__xludf.DUMMYFUNCTION("""COMPUTED_VALUE"""),"Teclado LCD cableado posee 2 entradas de alarmas y una salida de alarma, incluye un lector de tag y un receptor, transmisor para manejo de llaveros (armado/desarmado). Compatible con centrales. DS-PHA48-EP y DS-PHA64-LP")</f>
        <v>Teclado LCD cableado posee 2 entradas de alarmas y una salida de alarma, incluye un lector de tag y un receptor, transmisor para manejo de llaveros (armado/desarmado). Compatible con centrales. DS-PHA48-EP y DS-PHA64-LP</v>
      </c>
      <c r="D284" s="4" t="str">
        <f>IFERROR(__xludf.DUMMYFUNCTION("""COMPUTED_VALUE"""),"HIKVISION")</f>
        <v>HIKVISION</v>
      </c>
      <c r="E284" s="4" t="str">
        <f>IFERROR(__xludf.DUMMYFUNCTION("""COMPUTED_VALUE"""),"DS-PK1-LRT-HWB")</f>
        <v>DS-PK1-LRT-HWB</v>
      </c>
      <c r="F284" s="4" t="str">
        <f>IFERROR(__xludf.DUMMYFUNCTION("""COMPUTED_VALUE"""),"ALARMAS &gt; ALARMAS HIKVISION AXPRO HYBRID")</f>
        <v>ALARMAS &gt; ALARMAS HIKVISION AXPRO HYBRID</v>
      </c>
      <c r="G284" s="5"/>
      <c r="H284" s="6">
        <f>IFERROR(__xludf.DUMMYFUNCTION("""COMPUTED_VALUE"""),60.5)</f>
        <v>60.5</v>
      </c>
      <c r="I284" s="7">
        <f>IFERROR(__xludf.DUMMYFUNCTION("""COMPUTED_VALUE"""),21.0)</f>
        <v>21</v>
      </c>
      <c r="J284" s="6">
        <f>IFERROR(__xludf.DUMMYFUNCTION("""COMPUTED_VALUE"""),72.6)</f>
        <v>72.6</v>
      </c>
      <c r="K284" s="6">
        <f>IFERROR(__xludf.DUMMYFUNCTION("""COMPUTED_VALUE"""),84.7)</f>
        <v>84.7</v>
      </c>
      <c r="L284" s="3"/>
      <c r="M284" s="3"/>
    </row>
    <row r="285" ht="48.0" customHeight="1">
      <c r="A285" s="3" t="str">
        <f>IFERROR(__xludf.DUMMYFUNCTION("""COMPUTED_VALUE"""),"DS-PM2-S(AU)")</f>
        <v>DS-PM2-S(AU)</v>
      </c>
      <c r="B285" s="4" t="str">
        <f>IFERROR(__xludf.DUMMYFUNCTION("""COMPUTED_VALUE"""),"MÓDULO 3G/4G PARA PANELES AXPRO HYBRID")</f>
        <v>MÓDULO 3G/4G PARA PANELES AXPRO HYBRID</v>
      </c>
      <c r="C285" s="4" t="str">
        <f>IFERROR(__xludf.DUMMYFUNCTION("""COMPUTED_VALUE"""),"Módulo 3G/4G para paneles Axpro Hybrid")</f>
        <v>Módulo 3G/4G para paneles Axpro Hybrid</v>
      </c>
      <c r="D285" s="4" t="str">
        <f>IFERROR(__xludf.DUMMYFUNCTION("""COMPUTED_VALUE"""),"HIKVISION")</f>
        <v>HIKVISION</v>
      </c>
      <c r="E285" s="4" t="str">
        <f>IFERROR(__xludf.DUMMYFUNCTION("""COMPUTED_VALUE"""),"DS-PM2-S(AU)")</f>
        <v>DS-PM2-S(AU)</v>
      </c>
      <c r="F285" s="4" t="str">
        <f>IFERROR(__xludf.DUMMYFUNCTION("""COMPUTED_VALUE"""),"ALARMAS &gt; ALARMAS HIKVISION AXPRO HYBRID")</f>
        <v>ALARMAS &gt; ALARMAS HIKVISION AXPRO HYBRID</v>
      </c>
      <c r="G285" s="5"/>
      <c r="H285" s="6">
        <f>IFERROR(__xludf.DUMMYFUNCTION("""COMPUTED_VALUE"""),100.1)</f>
        <v>100.1</v>
      </c>
      <c r="I285" s="7">
        <f>IFERROR(__xludf.DUMMYFUNCTION("""COMPUTED_VALUE"""),21.0)</f>
        <v>21</v>
      </c>
      <c r="J285" s="6">
        <f>IFERROR(__xludf.DUMMYFUNCTION("""COMPUTED_VALUE"""),120.12)</f>
        <v>120.12</v>
      </c>
      <c r="K285" s="6">
        <f>IFERROR(__xludf.DUMMYFUNCTION("""COMPUTED_VALUE"""),140.14)</f>
        <v>140.14</v>
      </c>
      <c r="L285" s="3"/>
      <c r="M285" s="3"/>
    </row>
    <row r="286" ht="48.0" customHeight="1">
      <c r="A286" s="3" t="str">
        <f>IFERROR(__xludf.DUMMYFUNCTION("""COMPUTED_VALUE"""),"DS-PM1-I8O2-H")</f>
        <v>DS-PM1-I8O2-H</v>
      </c>
      <c r="B286" s="4" t="str">
        <f>IFERROR(__xludf.DUMMYFUNCTION("""COMPUTED_VALUE"""),"MÓDULO EXPANSOR DE 8 ZONAS + 2 PGM")</f>
        <v>MÓDULO EXPANSOR DE 8 ZONAS + 2 PGM</v>
      </c>
      <c r="C286" s="4" t="str">
        <f>IFERROR(__xludf.DUMMYFUNCTION("""COMPUTED_VALUE"""),"Módulo expansor de 8 Zonas + 2 PGM")</f>
        <v>Módulo expansor de 8 Zonas + 2 PGM</v>
      </c>
      <c r="D286" s="4" t="str">
        <f>IFERROR(__xludf.DUMMYFUNCTION("""COMPUTED_VALUE"""),"HIKVISION")</f>
        <v>HIKVISION</v>
      </c>
      <c r="E286" s="4" t="str">
        <f>IFERROR(__xludf.DUMMYFUNCTION("""COMPUTED_VALUE"""),"DS-PM1-I8O2-H")</f>
        <v>DS-PM1-I8O2-H</v>
      </c>
      <c r="F286" s="4" t="str">
        <f>IFERROR(__xludf.DUMMYFUNCTION("""COMPUTED_VALUE"""),"ALARMAS &gt; ALARMAS HIKVISION AXPRO HYBRID")</f>
        <v>ALARMAS &gt; ALARMAS HIKVISION AXPRO HYBRID</v>
      </c>
      <c r="G286" s="5"/>
      <c r="H286" s="6">
        <f>IFERROR(__xludf.DUMMYFUNCTION("""COMPUTED_VALUE"""),48.4)</f>
        <v>48.4</v>
      </c>
      <c r="I286" s="7">
        <f>IFERROR(__xludf.DUMMYFUNCTION("""COMPUTED_VALUE"""),21.0)</f>
        <v>21</v>
      </c>
      <c r="J286" s="6">
        <f>IFERROR(__xludf.DUMMYFUNCTION("""COMPUTED_VALUE"""),58.08)</f>
        <v>58.08</v>
      </c>
      <c r="K286" s="6">
        <f>IFERROR(__xludf.DUMMYFUNCTION("""COMPUTED_VALUE"""),67.76)</f>
        <v>67.76</v>
      </c>
      <c r="L286" s="3"/>
      <c r="M286" s="3"/>
    </row>
    <row r="287" ht="48.0" customHeight="1">
      <c r="A287" s="3" t="str">
        <f>IFERROR(__xludf.DUMMYFUNCTION("""COMPUTED_VALUE"""),"DS-PM1-O4L-H")</f>
        <v>DS-PM1-O4L-H</v>
      </c>
      <c r="B287" s="4" t="str">
        <f>IFERROR(__xludf.DUMMYFUNCTION("""COMPUTED_VALUE"""),"MODULO DE RELE CABLEADO 4 ON-BOARD LOW CURRENT RELAYS,")</f>
        <v>MODULO DE RELE CABLEADO 4 ON-BOARD LOW CURRENT RELAYS,</v>
      </c>
      <c r="C287" s="4" t="str">
        <f>IFERROR(__xludf.DUMMYFUNCTION("""COMPUTED_VALUE"""),"Modulo de rele cableado 4 on-board low current relays, supporting 6-30V and up to 5A current, 1 power output, maximum 500mA, Powered by Speed-X technology，supporting expander cascading with 1 uplink Speed-X port and 1 downlink Speed-X port")</f>
        <v>Modulo de rele cableado 4 on-board low current relays, supporting 6-30V and up to 5A current, 1 power output, maximum 500mA, Powered by Speed-X technology，supporting expander cascading with 1 uplink Speed-X port and 1 downlink Speed-X port</v>
      </c>
      <c r="D287" s="4" t="str">
        <f>IFERROR(__xludf.DUMMYFUNCTION("""COMPUTED_VALUE"""),"HIKVISION")</f>
        <v>HIKVISION</v>
      </c>
      <c r="E287" s="4" t="str">
        <f>IFERROR(__xludf.DUMMYFUNCTION("""COMPUTED_VALUE"""),"DS-PM1-O4L-H")</f>
        <v>DS-PM1-O4L-H</v>
      </c>
      <c r="F287" s="4" t="str">
        <f>IFERROR(__xludf.DUMMYFUNCTION("""COMPUTED_VALUE"""),"ALARMAS &gt; ALARMAS HIKVISION AXPRO HYBRID")</f>
        <v>ALARMAS &gt; ALARMAS HIKVISION AXPRO HYBRID</v>
      </c>
      <c r="G287" s="5"/>
      <c r="H287" s="6">
        <f>IFERROR(__xludf.DUMMYFUNCTION("""COMPUTED_VALUE"""),53.9)</f>
        <v>53.9</v>
      </c>
      <c r="I287" s="7">
        <f>IFERROR(__xludf.DUMMYFUNCTION("""COMPUTED_VALUE"""),21.0)</f>
        <v>21</v>
      </c>
      <c r="J287" s="6">
        <f>IFERROR(__xludf.DUMMYFUNCTION("""COMPUTED_VALUE"""),64.68)</f>
        <v>64.68</v>
      </c>
      <c r="K287" s="6">
        <f>IFERROR(__xludf.DUMMYFUNCTION("""COMPUTED_VALUE"""),75.46)</f>
        <v>75.46</v>
      </c>
      <c r="L287" s="3"/>
      <c r="M287" s="3"/>
    </row>
    <row r="288" ht="48.0" customHeight="1">
      <c r="A288" s="3" t="str">
        <f>IFERROR(__xludf.DUMMYFUNCTION("""COMPUTED_VALUE"""),"DS-PM1-RT-HWB")</f>
        <v>DS-PM1-RT-HWB</v>
      </c>
      <c r="B288" s="4" t="str">
        <f>IFERROR(__xludf.DUMMYFUNCTION("""COMPUTED_VALUE"""),"RECEPTOR INALÁMBRICO ZONAS PARA PANELES AXPRO HYBRID, COMPATIBLE CON")</f>
        <v>RECEPTOR INALÁMBRICO ZONAS PARA PANELES AXPRO HYBRID, COMPATIBLE CON</v>
      </c>
      <c r="C288" s="4" t="str">
        <f>IFERROR(__xludf.DUMMYFUNCTION("""COMPUTED_VALUE"""),"Receptor inalámbrico Zonas para paneles Axpro Hybrid, compatible con DS-PS1-I-WB / DS-PS1-E-WB / DS-PM1-O1L-WB / DS-PM1-O1H-WB / DS-PDP15P-EG2-WB / DS-PDC15-EG2-WB / DS-PDD12P-EG2-WB / DS-PDMC-EG2-WB / DS-PDMCS-EG2-WB / DS-PDEB1-EG2-WB / DS-PDEBP1-EG2-WB "&amp;"/ DS-PDWL-E-WB / DS-PDPG12P-EG2-WB / DS-PDMCK-EG2-WB / DS-PDTPH-E-WB / DS-PDCL12-EG2-WB / DS-PDC10AM-EG2-WB / DS-PDC10DM-EGW-WB. Equipos NO compatibles DS-PDPC12PF-EG2-WB / DS-PDSMK-S-WB / DS-PK1-E-WB / DS-PDCM15PF-IR / DS-PDBG8-EG2-WB / DS-PDTT15AM-LM-WB"&amp;" /DS-PR1-WB / DS-PS1-II-WB")</f>
        <v>Receptor inalámbrico Zonas para paneles Axpro Hybrid, compatible con DS-PS1-I-WB / DS-PS1-E-WB / DS-PM1-O1L-WB / DS-PM1-O1H-WB / DS-PDP15P-EG2-WB / DS-PDC15-EG2-WB / DS-PDD12P-EG2-WB / DS-PDMC-EG2-WB / DS-PDMCS-EG2-WB / DS-PDEB1-EG2-WB / DS-PDEBP1-EG2-WB / DS-PDWL-E-WB / DS-PDPG12P-EG2-WB / DS-PDMCK-EG2-WB / DS-PDTPH-E-WB / DS-PDCL12-EG2-WB / DS-PDC10AM-EG2-WB / DS-PDC10DM-EGW-WB. Equipos NO compatibles DS-PDPC12PF-EG2-WB / DS-PDSMK-S-WB / DS-PK1-E-WB / DS-PDCM15PF-IR / DS-PDBG8-EG2-WB / DS-PDTT15AM-LM-WB /DS-PR1-WB / DS-PS1-II-WB</v>
      </c>
      <c r="D288" s="4" t="str">
        <f>IFERROR(__xludf.DUMMYFUNCTION("""COMPUTED_VALUE"""),"HIKVISION")</f>
        <v>HIKVISION</v>
      </c>
      <c r="E288" s="4" t="str">
        <f>IFERROR(__xludf.DUMMYFUNCTION("""COMPUTED_VALUE"""),"DS-PM1-RT-HWB")</f>
        <v>DS-PM1-RT-HWB</v>
      </c>
      <c r="F288" s="4" t="str">
        <f>IFERROR(__xludf.DUMMYFUNCTION("""COMPUTED_VALUE"""),"ALARMAS &gt; ALARMAS HIKVISION AXPRO HYBRID")</f>
        <v>ALARMAS &gt; ALARMAS HIKVISION AXPRO HYBRID</v>
      </c>
      <c r="G288" s="5"/>
      <c r="H288" s="6">
        <f>IFERROR(__xludf.DUMMYFUNCTION("""COMPUTED_VALUE"""),68.2)</f>
        <v>68.2</v>
      </c>
      <c r="I288" s="7">
        <f>IFERROR(__xludf.DUMMYFUNCTION("""COMPUTED_VALUE"""),21.0)</f>
        <v>21</v>
      </c>
      <c r="J288" s="6">
        <f>IFERROR(__xludf.DUMMYFUNCTION("""COMPUTED_VALUE"""),81.84)</f>
        <v>81.84</v>
      </c>
      <c r="K288" s="6">
        <f>IFERROR(__xludf.DUMMYFUNCTION("""COMPUTED_VALUE"""),95.48)</f>
        <v>95.48</v>
      </c>
      <c r="L288" s="3"/>
      <c r="M288" s="3"/>
    </row>
    <row r="289" ht="48.0" customHeight="1">
      <c r="A289" s="3" t="str">
        <f>IFERROR(__xludf.DUMMYFUNCTION("""COMPUTED_VALUE"""),"DSPDPC12PEG2")</f>
        <v>DSPDPC12PEG2</v>
      </c>
      <c r="B289" s="4" t="str">
        <f>IFERROR(__xludf.DUMMYFUNCTION("""COMPUTED_VALUE"""),"PIRCAM DETECTOR DE MOVIMIENTO CABLEADO CON CAMARA 12 METROS,")</f>
        <v>PIRCAM DETECTOR DE MOVIMIENTO CABLEADO CON CAMARA 12 METROS,</v>
      </c>
      <c r="C289" s="4" t="str">
        <f>IFERROR(__xludf.DUMMYFUNCTION("""COMPUTED_VALUE"""),"PIRCAM Detector de movimiento cableado con camara 12 metros, antimascotas 30 kilos")</f>
        <v>PIRCAM Detector de movimiento cableado con camara 12 metros, antimascotas 30 kilos</v>
      </c>
      <c r="D289" s="4" t="str">
        <f>IFERROR(__xludf.DUMMYFUNCTION("""COMPUTED_VALUE"""),"HIKVISION")</f>
        <v>HIKVISION</v>
      </c>
      <c r="E289" s="4" t="str">
        <f>IFERROR(__xludf.DUMMYFUNCTION("""COMPUTED_VALUE"""),"DSPDPC12PEG2")</f>
        <v>DSPDPC12PEG2</v>
      </c>
      <c r="F289" s="4" t="str">
        <f>IFERROR(__xludf.DUMMYFUNCTION("""COMPUTED_VALUE"""),"ALARMAS &gt; ALARMAS HIKVISION AXPRO HYBRID")</f>
        <v>ALARMAS &gt; ALARMAS HIKVISION AXPRO HYBRID</v>
      </c>
      <c r="G289" s="5"/>
      <c r="H289" s="6">
        <f>IFERROR(__xludf.DUMMYFUNCTION("""COMPUTED_VALUE"""),88.0)</f>
        <v>88</v>
      </c>
      <c r="I289" s="7">
        <f>IFERROR(__xludf.DUMMYFUNCTION("""COMPUTED_VALUE"""),21.0)</f>
        <v>21</v>
      </c>
      <c r="J289" s="6">
        <f>IFERROR(__xludf.DUMMYFUNCTION("""COMPUTED_VALUE"""),105.6)</f>
        <v>105.6</v>
      </c>
      <c r="K289" s="6">
        <f>IFERROR(__xludf.DUMMYFUNCTION("""COMPUTED_VALUE"""),123.2)</f>
        <v>123.2</v>
      </c>
      <c r="L289" s="3"/>
      <c r="M289" s="3"/>
    </row>
    <row r="290" ht="48.0" customHeight="1">
      <c r="A290" s="3" t="str">
        <f>IFERROR(__xludf.DUMMYFUNCTION("""COMPUTED_VALUE"""),"DS-PK1-E-WB")</f>
        <v>DS-PK1-E-WB</v>
      </c>
      <c r="B290" s="4" t="str">
        <f>IFERROR(__xludf.DUMMYFUNCTION("""COMPUTED_VALUE"""),"TECLADO INALAMBRICO (SOLO COMPATIBLE CON CENTRALES AXPRO)")</f>
        <v>TECLADO INALAMBRICO (SOLO COMPATIBLE CON CENTRALES AXPRO)</v>
      </c>
      <c r="C290" s="4" t="str">
        <f>IFERROR(__xludf.DUMMYFUNCTION("""COMPUTED_VALUE"""),"Teclado inalambrico (SOLO COMPATIBLE con centrales AXPRO)")</f>
        <v>Teclado inalambrico (SOLO COMPATIBLE con centrales AXPRO)</v>
      </c>
      <c r="D290" s="4" t="str">
        <f>IFERROR(__xludf.DUMMYFUNCTION("""COMPUTED_VALUE"""),"HIKVISION")</f>
        <v>HIKVISION</v>
      </c>
      <c r="E290" s="4" t="str">
        <f>IFERROR(__xludf.DUMMYFUNCTION("""COMPUTED_VALUE"""),"DS-PK1-E-WB")</f>
        <v>DS-PK1-E-WB</v>
      </c>
      <c r="F290" s="4" t="str">
        <f>IFERROR(__xludf.DUMMYFUNCTION("""COMPUTED_VALUE"""),"ALARMAS &gt; ACCESORIOS ALARMAS HIKVISION AXPRO/AXPRO HYBRID")</f>
        <v>ALARMAS &gt; ACCESORIOS ALARMAS HIKVISION AXPRO/AXPRO HYBRID</v>
      </c>
      <c r="G290" s="5"/>
      <c r="H290" s="6">
        <f>IFERROR(__xludf.DUMMYFUNCTION("""COMPUTED_VALUE"""),62.7)</f>
        <v>62.7</v>
      </c>
      <c r="I290" s="7">
        <f>IFERROR(__xludf.DUMMYFUNCTION("""COMPUTED_VALUE"""),21.0)</f>
        <v>21</v>
      </c>
      <c r="J290" s="6">
        <f>IFERROR(__xludf.DUMMYFUNCTION("""COMPUTED_VALUE"""),75.24)</f>
        <v>75.24</v>
      </c>
      <c r="K290" s="6">
        <f>IFERROR(__xludf.DUMMYFUNCTION("""COMPUTED_VALUE"""),87.78)</f>
        <v>87.78</v>
      </c>
      <c r="L290" s="3"/>
      <c r="M290" s="3"/>
    </row>
    <row r="291" ht="48.0" customHeight="1">
      <c r="A291" s="3" t="str">
        <f>IFERROR(__xludf.DUMMYFUNCTION("""COMPUTED_VALUE"""),"DS-PK1-LT-WB")</f>
        <v>DS-PK1-LT-WB</v>
      </c>
      <c r="B291" s="4" t="str">
        <f>IFERROR(__xludf.DUMMYFUNCTION("""COMPUTED_VALUE"""),"TECLADO LCD INALÁMBRICO")</f>
        <v>TECLADO LCD INALÁMBRICO</v>
      </c>
      <c r="C291" s="4" t="str">
        <f>IFERROR(__xludf.DUMMYFUNCTION("""COMPUTED_VALUE"""),"Teclado LCD inalámbrico. (SOLO COMPATIBLE con centrales AXPRO)")</f>
        <v>Teclado LCD inalámbrico. (SOLO COMPATIBLE con centrales AXPRO)</v>
      </c>
      <c r="D291" s="4" t="str">
        <f>IFERROR(__xludf.DUMMYFUNCTION("""COMPUTED_VALUE"""),"HIKVISION")</f>
        <v>HIKVISION</v>
      </c>
      <c r="E291" s="4" t="str">
        <f>IFERROR(__xludf.DUMMYFUNCTION("""COMPUTED_VALUE"""),"DS-PK1-LT-WB")</f>
        <v>DS-PK1-LT-WB</v>
      </c>
      <c r="F291" s="4" t="str">
        <f>IFERROR(__xludf.DUMMYFUNCTION("""COMPUTED_VALUE"""),"ALARMAS &gt; ACCESORIOS ALARMAS HIKVISION AXPRO/AXPRO HYBRID")</f>
        <v>ALARMAS &gt; ACCESORIOS ALARMAS HIKVISION AXPRO/AXPRO HYBRID</v>
      </c>
      <c r="G291" s="5"/>
      <c r="H291" s="6">
        <f>IFERROR(__xludf.DUMMYFUNCTION("""COMPUTED_VALUE"""),99.0)</f>
        <v>99</v>
      </c>
      <c r="I291" s="7">
        <f>IFERROR(__xludf.DUMMYFUNCTION("""COMPUTED_VALUE"""),21.0)</f>
        <v>21</v>
      </c>
      <c r="J291" s="6">
        <f>IFERROR(__xludf.DUMMYFUNCTION("""COMPUTED_VALUE"""),118.8)</f>
        <v>118.8</v>
      </c>
      <c r="K291" s="6">
        <f>IFERROR(__xludf.DUMMYFUNCTION("""COMPUTED_VALUE"""),138.6)</f>
        <v>138.6</v>
      </c>
      <c r="L291" s="3"/>
      <c r="M291" s="3"/>
    </row>
    <row r="292" ht="48.0" customHeight="1">
      <c r="A292" s="3" t="str">
        <f>IFERROR(__xludf.DUMMYFUNCTION("""COMPUTED_VALUE"""),"DS-PKF1-WB(B)")</f>
        <v>DS-PKF1-WB(B)</v>
      </c>
      <c r="B292" s="4" t="str">
        <f>IFERROR(__xludf.DUMMYFUNCTION("""COMPUTED_VALUE"""),"LLAVERO 4 BOTONES")</f>
        <v>LLAVERO 4 BOTONES</v>
      </c>
      <c r="C292" s="4" t="str">
        <f>IFERROR(__xludf.DUMMYFUNCTION("""COMPUTED_VALUE"""),"Llavero 4 botones")</f>
        <v>Llavero 4 botones</v>
      </c>
      <c r="D292" s="4" t="str">
        <f>IFERROR(__xludf.DUMMYFUNCTION("""COMPUTED_VALUE"""),"HIKVISION")</f>
        <v>HIKVISION</v>
      </c>
      <c r="E292" s="4" t="str">
        <f>IFERROR(__xludf.DUMMYFUNCTION("""COMPUTED_VALUE"""),"DS-PKF1-WB(B)")</f>
        <v>DS-PKF1-WB(B)</v>
      </c>
      <c r="F292" s="4" t="str">
        <f>IFERROR(__xludf.DUMMYFUNCTION("""COMPUTED_VALUE"""),"ALARMAS &gt; ACCESORIOS ALARMAS HIKVISION AXPRO/AXPRO HYBRID")</f>
        <v>ALARMAS &gt; ACCESORIOS ALARMAS HIKVISION AXPRO/AXPRO HYBRID</v>
      </c>
      <c r="G292" s="5"/>
      <c r="H292" s="6">
        <f>IFERROR(__xludf.DUMMYFUNCTION("""COMPUTED_VALUE"""),27.39)</f>
        <v>27.39</v>
      </c>
      <c r="I292" s="7">
        <f>IFERROR(__xludf.DUMMYFUNCTION("""COMPUTED_VALUE"""),21.0)</f>
        <v>21</v>
      </c>
      <c r="J292" s="6">
        <f>IFERROR(__xludf.DUMMYFUNCTION("""COMPUTED_VALUE"""),32.87)</f>
        <v>32.87</v>
      </c>
      <c r="K292" s="6">
        <f>IFERROR(__xludf.DUMMYFUNCTION("""COMPUTED_VALUE"""),38.35)</f>
        <v>38.35</v>
      </c>
      <c r="L292" s="3"/>
      <c r="M292" s="3"/>
    </row>
    <row r="293" ht="48.0" customHeight="1">
      <c r="A293" s="3" t="str">
        <f>IFERROR(__xludf.DUMMYFUNCTION("""COMPUTED_VALUE"""),"DS-PDMCS-EG2-WB")</f>
        <v>DS-PDMCS-EG2-WB</v>
      </c>
      <c r="B293" s="4" t="str">
        <f>IFERROR(__xludf.DUMMYFUNCTION("""COMPUTED_VALUE"""),"DETECTOR MAGNETICO INALAMBRICO BAJO PERFIL")</f>
        <v>DETECTOR MAGNETICO INALAMBRICO BAJO PERFIL</v>
      </c>
      <c r="C293" s="4" t="str">
        <f>IFERROR(__xludf.DUMMYFUNCTION("""COMPUTED_VALUE"""),"Detector magnetico inalambrico bajo perfil")</f>
        <v>Detector magnetico inalambrico bajo perfil</v>
      </c>
      <c r="D293" s="4" t="str">
        <f>IFERROR(__xludf.DUMMYFUNCTION("""COMPUTED_VALUE"""),"HIKVISION")</f>
        <v>HIKVISION</v>
      </c>
      <c r="E293" s="4" t="str">
        <f>IFERROR(__xludf.DUMMYFUNCTION("""COMPUTED_VALUE"""),"DS-PDMCS-EG2-WB")</f>
        <v>DS-PDMCS-EG2-WB</v>
      </c>
      <c r="F293" s="4" t="str">
        <f>IFERROR(__xludf.DUMMYFUNCTION("""COMPUTED_VALUE"""),"ALARMAS &gt; ACCESORIOS ALARMAS HIKVISION AXPRO/AXPRO HYBRID")</f>
        <v>ALARMAS &gt; ACCESORIOS ALARMAS HIKVISION AXPRO/AXPRO HYBRID</v>
      </c>
      <c r="G293" s="5"/>
      <c r="H293" s="6">
        <f>IFERROR(__xludf.DUMMYFUNCTION("""COMPUTED_VALUE"""),23.32)</f>
        <v>23.32</v>
      </c>
      <c r="I293" s="7">
        <f>IFERROR(__xludf.DUMMYFUNCTION("""COMPUTED_VALUE"""),21.0)</f>
        <v>21</v>
      </c>
      <c r="J293" s="6">
        <f>IFERROR(__xludf.DUMMYFUNCTION("""COMPUTED_VALUE"""),27.98)</f>
        <v>27.98</v>
      </c>
      <c r="K293" s="6">
        <f>IFERROR(__xludf.DUMMYFUNCTION("""COMPUTED_VALUE"""),32.65)</f>
        <v>32.65</v>
      </c>
      <c r="L293" s="3"/>
      <c r="M293" s="3"/>
    </row>
    <row r="294" ht="48.0" customHeight="1">
      <c r="A294" s="3" t="str">
        <f>IFERROR(__xludf.DUMMYFUNCTION("""COMPUTED_VALUE"""),"DS-PDMCS-EG2-WB(B)")</f>
        <v>DS-PDMCS-EG2-WB(B)</v>
      </c>
      <c r="B294" s="4" t="str">
        <f>IFERROR(__xludf.DUMMYFUNCTION("""COMPUTED_VALUE"""),"DETECTOR MAGNETICO INALAMBRICO BAJO PERFIL")</f>
        <v>DETECTOR MAGNETICO INALAMBRICO BAJO PERFIL</v>
      </c>
      <c r="C294" s="4" t="str">
        <f>IFERROR(__xludf.DUMMYFUNCTION("""COMPUTED_VALUE"""),"Detector magnetico inalambrico bajo perfil")</f>
        <v>Detector magnetico inalambrico bajo perfil</v>
      </c>
      <c r="D294" s="4" t="str">
        <f>IFERROR(__xludf.DUMMYFUNCTION("""COMPUTED_VALUE"""),"HIKVISION")</f>
        <v>HIKVISION</v>
      </c>
      <c r="E294" s="4" t="str">
        <f>IFERROR(__xludf.DUMMYFUNCTION("""COMPUTED_VALUE"""),"DS-PDMCS-EG2-WB(B)")</f>
        <v>DS-PDMCS-EG2-WB(B)</v>
      </c>
      <c r="F294" s="4" t="str">
        <f>IFERROR(__xludf.DUMMYFUNCTION("""COMPUTED_VALUE"""),"ALARMAS &gt; ACCESORIOS ALARMAS HIKVISION AXPRO/AXPRO HYBRID")</f>
        <v>ALARMAS &gt; ACCESORIOS ALARMAS HIKVISION AXPRO/AXPRO HYBRID</v>
      </c>
      <c r="G294" s="5"/>
      <c r="H294" s="6">
        <f>IFERROR(__xludf.DUMMYFUNCTION("""COMPUTED_VALUE"""),30.69)</f>
        <v>30.69</v>
      </c>
      <c r="I294" s="7">
        <f>IFERROR(__xludf.DUMMYFUNCTION("""COMPUTED_VALUE"""),21.0)</f>
        <v>21</v>
      </c>
      <c r="J294" s="6">
        <f>IFERROR(__xludf.DUMMYFUNCTION("""COMPUTED_VALUE"""),36.83)</f>
        <v>36.83</v>
      </c>
      <c r="K294" s="6">
        <f>IFERROR(__xludf.DUMMYFUNCTION("""COMPUTED_VALUE"""),42.97)</f>
        <v>42.97</v>
      </c>
      <c r="L294" s="3"/>
      <c r="M294" s="3"/>
    </row>
    <row r="295" ht="48.0" customHeight="1">
      <c r="A295" s="3" t="str">
        <f>IFERROR(__xludf.DUMMYFUNCTION("""COMPUTED_VALUE"""),"DS-PDMC-EG2-WB(B)")</f>
        <v>DS-PDMC-EG2-WB(B)</v>
      </c>
      <c r="B295" s="4" t="str">
        <f>IFERROR(__xludf.DUMMYFUNCTION("""COMPUTED_VALUE"""),"DETECTOR MAGNETICO INALAMBRICO CON ENTRADA AUXILIAR")</f>
        <v>DETECTOR MAGNETICO INALAMBRICO CON ENTRADA AUXILIAR</v>
      </c>
      <c r="C295" s="4" t="str">
        <f>IFERROR(__xludf.DUMMYFUNCTION("""COMPUTED_VALUE"""),"Detector magnetico inalambrico con entrada auxiliar")</f>
        <v>Detector magnetico inalambrico con entrada auxiliar</v>
      </c>
      <c r="D295" s="4" t="str">
        <f>IFERROR(__xludf.DUMMYFUNCTION("""COMPUTED_VALUE"""),"HIKVISION")</f>
        <v>HIKVISION</v>
      </c>
      <c r="E295" s="4" t="str">
        <f>IFERROR(__xludf.DUMMYFUNCTION("""COMPUTED_VALUE"""),"DS-PDMC-EG2-WB(B)")</f>
        <v>DS-PDMC-EG2-WB(B)</v>
      </c>
      <c r="F295" s="4" t="str">
        <f>IFERROR(__xludf.DUMMYFUNCTION("""COMPUTED_VALUE"""),"ALARMAS &gt; ACCESORIOS ALARMAS HIKVISION AXPRO/AXPRO HYBRID")</f>
        <v>ALARMAS &gt; ACCESORIOS ALARMAS HIKVISION AXPRO/AXPRO HYBRID</v>
      </c>
      <c r="G295" s="5"/>
      <c r="H295" s="6">
        <f>IFERROR(__xludf.DUMMYFUNCTION("""COMPUTED_VALUE"""),30.69)</f>
        <v>30.69</v>
      </c>
      <c r="I295" s="7">
        <f>IFERROR(__xludf.DUMMYFUNCTION("""COMPUTED_VALUE"""),21.0)</f>
        <v>21</v>
      </c>
      <c r="J295" s="6">
        <f>IFERROR(__xludf.DUMMYFUNCTION("""COMPUTED_VALUE"""),36.83)</f>
        <v>36.83</v>
      </c>
      <c r="K295" s="6">
        <f>IFERROR(__xludf.DUMMYFUNCTION("""COMPUTED_VALUE"""),42.97)</f>
        <v>42.97</v>
      </c>
      <c r="L295" s="3"/>
      <c r="M295" s="3"/>
    </row>
    <row r="296" ht="48.0" customHeight="1">
      <c r="A296" s="3" t="str">
        <f>IFERROR(__xludf.DUMMYFUNCTION("""COMPUTED_VALUE"""),"DS-PM1-O1L-WB")</f>
        <v>DS-PM1-O1L-WB</v>
      </c>
      <c r="B296" s="4" t="str">
        <f>IFERROR(__xludf.DUMMYFUNCTION("""COMPUTED_VALUE"""),"DS-PM1-O1L-WB(O-STD) MÓDULO DE RELE INALÁMBRICO DE 1 ENTRADA DE")</f>
        <v>DS-PM1-O1L-WB(O-STD) MÓDULO DE RELE INALÁMBRICO DE 1 ENTRADA DE</v>
      </c>
      <c r="C296" s="4" t="str">
        <f>IFERROR(__xludf.DUMMYFUNCTION("""COMPUTED_VALUE"""),"DS-PM1-O1L-WB(O-STD) Módulo de rele Inalámbrico de 1 Entrada de Alarma 24/7 / 1 Salida de Relevador 0 a 36 VCD (Max. 5 A)")</f>
        <v>DS-PM1-O1L-WB(O-STD) Módulo de rele Inalámbrico de 1 Entrada de Alarma 24/7 / 1 Salida de Relevador 0 a 36 VCD (Max. 5 A)</v>
      </c>
      <c r="D296" s="4" t="str">
        <f>IFERROR(__xludf.DUMMYFUNCTION("""COMPUTED_VALUE"""),"HIKVISION")</f>
        <v>HIKVISION</v>
      </c>
      <c r="E296" s="4" t="str">
        <f>IFERROR(__xludf.DUMMYFUNCTION("""COMPUTED_VALUE"""),"DS-PM1-O1L-WB")</f>
        <v>DS-PM1-O1L-WB</v>
      </c>
      <c r="F296" s="4" t="str">
        <f>IFERROR(__xludf.DUMMYFUNCTION("""COMPUTED_VALUE"""),"ALARMAS &gt; ACCESORIOS ALARMAS HIKVISION AXPRO/AXPRO HYBRID")</f>
        <v>ALARMAS &gt; ACCESORIOS ALARMAS HIKVISION AXPRO/AXPRO HYBRID</v>
      </c>
      <c r="G296" s="5"/>
      <c r="H296" s="6">
        <f>IFERROR(__xludf.DUMMYFUNCTION("""COMPUTED_VALUE"""),34.1)</f>
        <v>34.1</v>
      </c>
      <c r="I296" s="7">
        <f>IFERROR(__xludf.DUMMYFUNCTION("""COMPUTED_VALUE"""),21.0)</f>
        <v>21</v>
      </c>
      <c r="J296" s="6">
        <f>IFERROR(__xludf.DUMMYFUNCTION("""COMPUTED_VALUE"""),40.92)</f>
        <v>40.92</v>
      </c>
      <c r="K296" s="6">
        <f>IFERROR(__xludf.DUMMYFUNCTION("""COMPUTED_VALUE"""),47.74)</f>
        <v>47.74</v>
      </c>
      <c r="L296" s="3"/>
      <c r="M296" s="3"/>
    </row>
    <row r="297" ht="48.0" customHeight="1">
      <c r="A297" s="3" t="str">
        <f>IFERROR(__xludf.DUMMYFUNCTION("""COMPUTED_VALUE"""),"DS-PDP15P-EG2-WB(B)")</f>
        <v>DS-PDP15P-EG2-WB(B)</v>
      </c>
      <c r="B297" s="4" t="str">
        <f>IFERROR(__xludf.DUMMYFUNCTION("""COMPUTED_VALUE"""),"DETECTOR DE MOVIMIENTO INALAMBRICO ANTIMASCOTAS 30 KILOS ALCANCE 15")</f>
        <v>DETECTOR DE MOVIMIENTO INALAMBRICO ANTIMASCOTAS 30 KILOS ALCANCE 15</v>
      </c>
      <c r="C297" s="4" t="str">
        <f>IFERROR(__xludf.DUMMYFUNCTION("""COMPUTED_VALUE"""),"Detector de movimiento inalambrico antimascotas 30 kilos alcance 15 metros")</f>
        <v>Detector de movimiento inalambrico antimascotas 30 kilos alcance 15 metros</v>
      </c>
      <c r="D297" s="4" t="str">
        <f>IFERROR(__xludf.DUMMYFUNCTION("""COMPUTED_VALUE"""),"HIKVISION")</f>
        <v>HIKVISION</v>
      </c>
      <c r="E297" s="4" t="str">
        <f>IFERROR(__xludf.DUMMYFUNCTION("""COMPUTED_VALUE"""),"DS-PDP15P-EG2-WB(B)")</f>
        <v>DS-PDP15P-EG2-WB(B)</v>
      </c>
      <c r="F297" s="4" t="str">
        <f>IFERROR(__xludf.DUMMYFUNCTION("""COMPUTED_VALUE"""),"ALARMAS &gt; ACCESORIOS ALARMAS HIKVISION AXPRO/AXPRO HYBRID")</f>
        <v>ALARMAS &gt; ACCESORIOS ALARMAS HIKVISION AXPRO/AXPRO HYBRID</v>
      </c>
      <c r="G297" s="5"/>
      <c r="H297" s="6">
        <f>IFERROR(__xludf.DUMMYFUNCTION("""COMPUTED_VALUE"""),41.8)</f>
        <v>41.8</v>
      </c>
      <c r="I297" s="7">
        <f>IFERROR(__xludf.DUMMYFUNCTION("""COMPUTED_VALUE"""),21.0)</f>
        <v>21</v>
      </c>
      <c r="J297" s="6">
        <f>IFERROR(__xludf.DUMMYFUNCTION("""COMPUTED_VALUE"""),50.16)</f>
        <v>50.16</v>
      </c>
      <c r="K297" s="6">
        <f>IFERROR(__xludf.DUMMYFUNCTION("""COMPUTED_VALUE"""),58.52)</f>
        <v>58.52</v>
      </c>
      <c r="L297" s="3"/>
      <c r="M297" s="3"/>
    </row>
    <row r="298" ht="48.0" customHeight="1">
      <c r="A298" s="3" t="str">
        <f>IFERROR(__xludf.DUMMYFUNCTION("""COMPUTED_VALUE"""),"DS-PDD12P-EG2-WB")</f>
        <v>DS-PDD12P-EG2-WB</v>
      </c>
      <c r="B298" s="4" t="str">
        <f>IFERROR(__xludf.DUMMYFUNCTION("""COMPUTED_VALUE"""),"DETECTOR DE MOVIMIENTO INALAMBRICO CON MICROONDAS ANTIMASCOTAS 30 KILO")</f>
        <v>DETECTOR DE MOVIMIENTO INALAMBRICO CON MICROONDAS ANTIMASCOTAS 30 KILO</v>
      </c>
      <c r="C298" s="4" t="str">
        <f>IFERROR(__xludf.DUMMYFUNCTION("""COMPUTED_VALUE"""),"Detector de movimiento inalambrico con microondas antimascotas 30 kilos alcance 12 metros")</f>
        <v>Detector de movimiento inalambrico con microondas antimascotas 30 kilos alcance 12 metros</v>
      </c>
      <c r="D298" s="4" t="str">
        <f>IFERROR(__xludf.DUMMYFUNCTION("""COMPUTED_VALUE"""),"HIKVISION")</f>
        <v>HIKVISION</v>
      </c>
      <c r="E298" s="4" t="str">
        <f>IFERROR(__xludf.DUMMYFUNCTION("""COMPUTED_VALUE"""),"DS-PDD12P-EG2-WB")</f>
        <v>DS-PDD12P-EG2-WB</v>
      </c>
      <c r="F298" s="4" t="str">
        <f>IFERROR(__xludf.DUMMYFUNCTION("""COMPUTED_VALUE"""),"ALARMAS &gt; ACCESORIOS ALARMAS HIKVISION AXPRO/AXPRO HYBRID")</f>
        <v>ALARMAS &gt; ACCESORIOS ALARMAS HIKVISION AXPRO/AXPRO HYBRID</v>
      </c>
      <c r="G298" s="5"/>
      <c r="H298" s="6">
        <f>IFERROR(__xludf.DUMMYFUNCTION("""COMPUTED_VALUE"""),95.7)</f>
        <v>95.7</v>
      </c>
      <c r="I298" s="7">
        <f>IFERROR(__xludf.DUMMYFUNCTION("""COMPUTED_VALUE"""),21.0)</f>
        <v>21</v>
      </c>
      <c r="J298" s="6">
        <f>IFERROR(__xludf.DUMMYFUNCTION("""COMPUTED_VALUE"""),114.84)</f>
        <v>114.84</v>
      </c>
      <c r="K298" s="6">
        <f>IFERROR(__xludf.DUMMYFUNCTION("""COMPUTED_VALUE"""),133.98)</f>
        <v>133.98</v>
      </c>
      <c r="L298" s="3"/>
      <c r="M298" s="3"/>
    </row>
    <row r="299" ht="48.0" customHeight="1">
      <c r="A299" s="3" t="str">
        <f>IFERROR(__xludf.DUMMYFUNCTION("""COMPUTED_VALUE"""),"DS-PDPC12PF-EG2-WB(B)")</f>
        <v>DS-PDPC12PF-EG2-WB(B)</v>
      </c>
      <c r="B299" s="4" t="str">
        <f>IFERROR(__xludf.DUMMYFUNCTION("""COMPUTED_VALUE"""),"DETECTOR DE MOVIMIENTO INALAMBRICO CON CAMARA INTEGRADA PARA VIDEO")</f>
        <v>DETECTOR DE MOVIMIENTO INALAMBRICO CON CAMARA INTEGRADA PARA VIDEO</v>
      </c>
      <c r="C299" s="4" t="str">
        <f>IFERROR(__xludf.DUMMYFUNCTION("""COMPUTED_VALUE"""),"Detector de movimiento inalambrico con camara integrada para video verificacióna 12 metros, antimascotas 30 kilos (SOLO COMPATIBLE con centrales AXPRO)")</f>
        <v>Detector de movimiento inalambrico con camara integrada para video verificacióna 12 metros, antimascotas 30 kilos (SOLO COMPATIBLE con centrales AXPRO)</v>
      </c>
      <c r="D299" s="4" t="str">
        <f>IFERROR(__xludf.DUMMYFUNCTION("""COMPUTED_VALUE"""),"HIKVISION")</f>
        <v>HIKVISION</v>
      </c>
      <c r="E299" s="4" t="str">
        <f>IFERROR(__xludf.DUMMYFUNCTION("""COMPUTED_VALUE"""),"DS-PDPC12PF-EG2-WB(B)")</f>
        <v>DS-PDPC12PF-EG2-WB(B)</v>
      </c>
      <c r="F299" s="4" t="str">
        <f>IFERROR(__xludf.DUMMYFUNCTION("""COMPUTED_VALUE"""),"ALARMAS &gt; ACCESORIOS ALARMAS HIKVISION AXPRO/AXPRO HYBRID")</f>
        <v>ALARMAS &gt; ACCESORIOS ALARMAS HIKVISION AXPRO/AXPRO HYBRID</v>
      </c>
      <c r="G299" s="5"/>
      <c r="H299" s="6">
        <f>IFERROR(__xludf.DUMMYFUNCTION("""COMPUTED_VALUE"""),123.2)</f>
        <v>123.2</v>
      </c>
      <c r="I299" s="7">
        <f>IFERROR(__xludf.DUMMYFUNCTION("""COMPUTED_VALUE"""),21.0)</f>
        <v>21</v>
      </c>
      <c r="J299" s="6">
        <f>IFERROR(__xludf.DUMMYFUNCTION("""COMPUTED_VALUE"""),147.84)</f>
        <v>147.84</v>
      </c>
      <c r="K299" s="6">
        <f>IFERROR(__xludf.DUMMYFUNCTION("""COMPUTED_VALUE"""),172.48)</f>
        <v>172.48</v>
      </c>
      <c r="L299" s="3"/>
      <c r="M299" s="3"/>
    </row>
    <row r="300" ht="48.0" customHeight="1">
      <c r="A300" s="3" t="str">
        <f>IFERROR(__xludf.DUMMYFUNCTION("""COMPUTED_VALUE"""),"DS-PDC10AM-EG2-WB")</f>
        <v>DS-PDC10AM-EG2-WB</v>
      </c>
      <c r="B300" s="4" t="str">
        <f>IFERROR(__xludf.DUMMYFUNCTION("""COMPUTED_VALUE"""),"DS-PDC10AM-EG2-WB DETECTOR CORTINA INFRARROJO INALAMBRICO DE MOVIMIENT")</f>
        <v>DS-PDC10AM-EG2-WB DETECTOR CORTINA INFRARROJO INALAMBRICO DE MOVIMIENT</v>
      </c>
      <c r="C300" s="4" t="str">
        <f>IFERROR(__xludf.DUMMYFUNCTION("""COMPUTED_VALUE"""),"DS-PDC10AM-EG2-WB Detector Cortina Infrarrojo inalambrico de movimiento Antimasking. IP65 apto exterior, montaje en pared 10 metros y montaje en techo 5 metros, ángulo de deteccion 5º, inmunidad mascotas 12K solo en montaje en pared")</f>
        <v>DS-PDC10AM-EG2-WB Detector Cortina Infrarrojo inalambrico de movimiento Antimasking. IP65 apto exterior, montaje en pared 10 metros y montaje en techo 5 metros, ángulo de deteccion 5º, inmunidad mascotas 12K solo en montaje en pared</v>
      </c>
      <c r="D300" s="4" t="str">
        <f>IFERROR(__xludf.DUMMYFUNCTION("""COMPUTED_VALUE"""),"HIKVISION")</f>
        <v>HIKVISION</v>
      </c>
      <c r="E300" s="4" t="str">
        <f>IFERROR(__xludf.DUMMYFUNCTION("""COMPUTED_VALUE"""),"DS-PDC10AM-EG2-WB")</f>
        <v>DS-PDC10AM-EG2-WB</v>
      </c>
      <c r="F300" s="4" t="str">
        <f>IFERROR(__xludf.DUMMYFUNCTION("""COMPUTED_VALUE"""),"ALARMAS &gt; ACCESORIOS ALARMAS HIKVISION AXPRO/AXPRO HYBRID")</f>
        <v>ALARMAS &gt; ACCESORIOS ALARMAS HIKVISION AXPRO/AXPRO HYBRID</v>
      </c>
      <c r="G300" s="5"/>
      <c r="H300" s="6">
        <f>IFERROR(__xludf.DUMMYFUNCTION("""COMPUTED_VALUE"""),64.9)</f>
        <v>64.9</v>
      </c>
      <c r="I300" s="7">
        <f>IFERROR(__xludf.DUMMYFUNCTION("""COMPUTED_VALUE"""),21.0)</f>
        <v>21</v>
      </c>
      <c r="J300" s="6">
        <f>IFERROR(__xludf.DUMMYFUNCTION("""COMPUTED_VALUE"""),77.88)</f>
        <v>77.88</v>
      </c>
      <c r="K300" s="6">
        <f>IFERROR(__xludf.DUMMYFUNCTION("""COMPUTED_VALUE"""),90.86)</f>
        <v>90.86</v>
      </c>
      <c r="L300" s="3"/>
      <c r="M300" s="3"/>
    </row>
    <row r="301" ht="48.0" customHeight="1">
      <c r="A301" s="3" t="str">
        <f>IFERROR(__xludf.DUMMYFUNCTION("""COMPUTED_VALUE"""),"DS-PDC10DM-EG2-WB")</f>
        <v>DS-PDC10DM-EG2-WB</v>
      </c>
      <c r="B301" s="4" t="str">
        <f>IFERROR(__xludf.DUMMYFUNCTION("""COMPUTED_VALUE"""),"DS-PDC10DM-EG2-WB DETECTOR CORTINA INFRARROJO MAS MICROONDAS DE MOVIMI")</f>
        <v>DS-PDC10DM-EG2-WB DETECTOR CORTINA INFRARROJO MAS MICROONDAS DE MOVIMI</v>
      </c>
      <c r="C301" s="4" t="str">
        <f>IFERROR(__xludf.DUMMYFUNCTION("""COMPUTED_VALUE"""),"DS-PDC10DM-EG2-WB Detector Cortina Infrarrojo mas microondas de movimiento inalambrico. Antimasking IP65 apto exterior, montaje en pared 10 metros y montaje en techo 5 metros, ángulo de deteccion 5º, inmunidad mascotas 12K solo en montaje en pared")</f>
        <v>DS-PDC10DM-EG2-WB Detector Cortina Infrarrojo mas microondas de movimiento inalambrico. Antimasking IP65 apto exterior, montaje en pared 10 metros y montaje en techo 5 metros, ángulo de deteccion 5º, inmunidad mascotas 12K solo en montaje en pared</v>
      </c>
      <c r="D301" s="4" t="str">
        <f>IFERROR(__xludf.DUMMYFUNCTION("""COMPUTED_VALUE"""),"HIKVISION")</f>
        <v>HIKVISION</v>
      </c>
      <c r="E301" s="4" t="str">
        <f>IFERROR(__xludf.DUMMYFUNCTION("""COMPUTED_VALUE"""),"DS-PDC10DM-EG2-WB")</f>
        <v>DS-PDC10DM-EG2-WB</v>
      </c>
      <c r="F301" s="4" t="str">
        <f>IFERROR(__xludf.DUMMYFUNCTION("""COMPUTED_VALUE"""),"ALARMAS &gt; ACCESORIOS ALARMAS HIKVISION AXPRO/AXPRO HYBRID")</f>
        <v>ALARMAS &gt; ACCESORIOS ALARMAS HIKVISION AXPRO/AXPRO HYBRID</v>
      </c>
      <c r="G301" s="5"/>
      <c r="H301" s="6">
        <f>IFERROR(__xludf.DUMMYFUNCTION("""COMPUTED_VALUE"""),74.8)</f>
        <v>74.8</v>
      </c>
      <c r="I301" s="7">
        <f>IFERROR(__xludf.DUMMYFUNCTION("""COMPUTED_VALUE"""),21.0)</f>
        <v>21</v>
      </c>
      <c r="J301" s="6">
        <f>IFERROR(__xludf.DUMMYFUNCTION("""COMPUTED_VALUE"""),89.76)</f>
        <v>89.76</v>
      </c>
      <c r="K301" s="6">
        <f>IFERROR(__xludf.DUMMYFUNCTION("""COMPUTED_VALUE"""),104.72)</f>
        <v>104.72</v>
      </c>
      <c r="L301" s="3"/>
      <c r="M301" s="3"/>
    </row>
    <row r="302" ht="48.0" customHeight="1">
      <c r="A302" s="3" t="str">
        <f>IFERROR(__xludf.DUMMYFUNCTION("""COMPUTED_VALUE"""),"DS-PDBG8-EG2-WB")</f>
        <v>DS-PDBG8-EG2-WB</v>
      </c>
      <c r="B302" s="4" t="str">
        <f>IFERROR(__xludf.DUMMYFUNCTION("""COMPUTED_VALUE"""),"DETECTOR ROTURA DE VIDRIO INALÁMBRICO RANGO 8 METROS 120 GRADOS")</f>
        <v>DETECTOR ROTURA DE VIDRIO INALÁMBRICO RANGO 8 METROS 120 GRADOS</v>
      </c>
      <c r="C302" s="4" t="str">
        <f>IFERROR(__xludf.DUMMYFUNCTION("""COMPUTED_VALUE"""),"Detector rotura de vidrio inalámbrico rango 8 metros 120 grados. (SOLO COMPATIBLE con centrales AXPRO)")</f>
        <v>Detector rotura de vidrio inalámbrico rango 8 metros 120 grados. (SOLO COMPATIBLE con centrales AXPRO)</v>
      </c>
      <c r="D302" s="4" t="str">
        <f>IFERROR(__xludf.DUMMYFUNCTION("""COMPUTED_VALUE"""),"HIKVISION")</f>
        <v>HIKVISION</v>
      </c>
      <c r="E302" s="4" t="str">
        <f>IFERROR(__xludf.DUMMYFUNCTION("""COMPUTED_VALUE"""),"DS-PDBG8-EG2-WB")</f>
        <v>DS-PDBG8-EG2-WB</v>
      </c>
      <c r="F302" s="4" t="str">
        <f>IFERROR(__xludf.DUMMYFUNCTION("""COMPUTED_VALUE"""),"ALARMAS &gt; ACCESORIOS ALARMAS HIKVISION AXPRO/AXPRO HYBRID")</f>
        <v>ALARMAS &gt; ACCESORIOS ALARMAS HIKVISION AXPRO/AXPRO HYBRID</v>
      </c>
      <c r="G302" s="5"/>
      <c r="H302" s="6">
        <f>IFERROR(__xludf.DUMMYFUNCTION("""COMPUTED_VALUE"""),46.2)</f>
        <v>46.2</v>
      </c>
      <c r="I302" s="7">
        <f>IFERROR(__xludf.DUMMYFUNCTION("""COMPUTED_VALUE"""),21.0)</f>
        <v>21</v>
      </c>
      <c r="J302" s="6">
        <f>IFERROR(__xludf.DUMMYFUNCTION("""COMPUTED_VALUE"""),55.44)</f>
        <v>55.44</v>
      </c>
      <c r="K302" s="6">
        <f>IFERROR(__xludf.DUMMYFUNCTION("""COMPUTED_VALUE"""),64.68)</f>
        <v>64.68</v>
      </c>
      <c r="L302" s="3"/>
      <c r="M302" s="3"/>
    </row>
    <row r="303" ht="48.0" customHeight="1">
      <c r="A303" s="3" t="str">
        <f>IFERROR(__xludf.DUMMYFUNCTION("""COMPUTED_VALUE"""),"DS-PDP18-HM-WB")</f>
        <v>DS-PDP18-HM-WB</v>
      </c>
      <c r="B303" s="4" t="str">
        <f>IFERROR(__xludf.DUMMYFUNCTION("""COMPUTED_VALUE"""),"DETECTOR INALÁMBRICO BIDIRECCIONAL CON TECNOLOGÍA INFRARROJA, DUAL PIR")</f>
        <v>DETECTOR INALÁMBRICO BIDIRECCIONAL CON TECNOLOGÍA INFRARROJA, DUAL PIR</v>
      </c>
      <c r="C303" s="4" t="str">
        <f>IFERROR(__xludf.DUMMYFUNCTION("""COMPUTED_VALUE"""),"Detector inalámbrico bidireccional con tecnología infrarroja, dual PIR, compatible AxPro. Rango de detección: 18 m. Ángulo de detección: 90°. Inmunidad contra mascotas: 24Kg. Altura de instalación: Bajo de 08. a 1.2 metros / Alto de 2.5 a 3 metros. Apto e"&amp;"xterior, protección IP65.")</f>
        <v>Detector inalámbrico bidireccional con tecnología infrarroja, dual PIR, compatible AxPro. Rango de detección: 18 m. Ángulo de detección: 90°. Inmunidad contra mascotas: 24Kg. Altura de instalación: Bajo de 08. a 1.2 metros / Alto de 2.5 a 3 metros. Apto exterior, protección IP65.</v>
      </c>
      <c r="D303" s="4" t="str">
        <f>IFERROR(__xludf.DUMMYFUNCTION("""COMPUTED_VALUE"""),"HIKVISION")</f>
        <v>HIKVISION</v>
      </c>
      <c r="E303" s="4" t="str">
        <f>IFERROR(__xludf.DUMMYFUNCTION("""COMPUTED_VALUE"""),"DS-PDP18-HM-WB")</f>
        <v>DS-PDP18-HM-WB</v>
      </c>
      <c r="F303" s="4" t="str">
        <f>IFERROR(__xludf.DUMMYFUNCTION("""COMPUTED_VALUE"""),"ALARMAS &gt; ACCESORIOS ALARMAS HIKVISION AXPRO/AXPRO HYBRID")</f>
        <v>ALARMAS &gt; ACCESORIOS ALARMAS HIKVISION AXPRO/AXPRO HYBRID</v>
      </c>
      <c r="G303" s="5"/>
      <c r="H303" s="6">
        <f>IFERROR(__xludf.DUMMYFUNCTION("""COMPUTED_VALUE"""),70.4)</f>
        <v>70.4</v>
      </c>
      <c r="I303" s="7">
        <f>IFERROR(__xludf.DUMMYFUNCTION("""COMPUTED_VALUE"""),21.0)</f>
        <v>21</v>
      </c>
      <c r="J303" s="6">
        <f>IFERROR(__xludf.DUMMYFUNCTION("""COMPUTED_VALUE"""),84.48)</f>
        <v>84.48</v>
      </c>
      <c r="K303" s="6">
        <f>IFERROR(__xludf.DUMMYFUNCTION("""COMPUTED_VALUE"""),98.56)</f>
        <v>98.56</v>
      </c>
      <c r="L303" s="3"/>
      <c r="M303" s="3"/>
    </row>
    <row r="304" ht="48.0" customHeight="1">
      <c r="A304" s="3" t="str">
        <f>IFERROR(__xludf.DUMMYFUNCTION("""COMPUTED_VALUE"""),"DS-PDQP15AM-LM-WB")</f>
        <v>DS-PDQP15AM-LM-WB</v>
      </c>
      <c r="B304" s="4" t="str">
        <f>IFERROR(__xludf.DUMMYFUNCTION("""COMPUTED_VALUE"""),"DETECTOR INALÁMBRICO PANORÁMICO COBERTURA DE 180° ANTIENMASCARAMIENTO")</f>
        <v>DETECTOR INALÁMBRICO PANORÁMICO COBERTURA DE 180° ANTIENMASCARAMIENTO</v>
      </c>
      <c r="C304" s="4" t="str">
        <f>IFERROR(__xludf.DUMMYFUNCTION("""COMPUTED_VALUE"""),"Detector inalámbrico panorámico Cobertura de 180° Antienmascaramiento IR activo Resistencia a la intemperie IP65 para aplicaciones en exteriores Múltiples métodos de inscripción e instalación sencilla Salto de frecuencia contra atascamiento para una trans"&amp;"misión confiable")</f>
        <v>Detector inalámbrico panorámico Cobertura de 180° Antienmascaramiento IR activo Resistencia a la intemperie IP65 para aplicaciones en exteriores Múltiples métodos de inscripción e instalación sencilla Salto de frecuencia contra atascamiento para una transmisión confiable</v>
      </c>
      <c r="D304" s="4" t="str">
        <f>IFERROR(__xludf.DUMMYFUNCTION("""COMPUTED_VALUE"""),"HIKVISION")</f>
        <v>HIKVISION</v>
      </c>
      <c r="E304" s="4" t="str">
        <f>IFERROR(__xludf.DUMMYFUNCTION("""COMPUTED_VALUE"""),"DS-PDQP15AM-LM-WB")</f>
        <v>DS-PDQP15AM-LM-WB</v>
      </c>
      <c r="F304" s="4" t="str">
        <f>IFERROR(__xludf.DUMMYFUNCTION("""COMPUTED_VALUE"""),"ALARMAS &gt; ACCESORIOS ALARMAS HIKVISION AXPRO/AXPRO HYBRID")</f>
        <v>ALARMAS &gt; ACCESORIOS ALARMAS HIKVISION AXPRO/AXPRO HYBRID</v>
      </c>
      <c r="G304" s="5"/>
      <c r="H304" s="6">
        <f>IFERROR(__xludf.DUMMYFUNCTION("""COMPUTED_VALUE"""),297.0)</f>
        <v>297</v>
      </c>
      <c r="I304" s="7">
        <f>IFERROR(__xludf.DUMMYFUNCTION("""COMPUTED_VALUE"""),21.0)</f>
        <v>21</v>
      </c>
      <c r="J304" s="6">
        <f>IFERROR(__xludf.DUMMYFUNCTION("""COMPUTED_VALUE"""),356.4)</f>
        <v>356.4</v>
      </c>
      <c r="K304" s="6">
        <f>IFERROR(__xludf.DUMMYFUNCTION("""COMPUTED_VALUE"""),415.8)</f>
        <v>415.8</v>
      </c>
      <c r="L304" s="3"/>
      <c r="M304" s="3"/>
    </row>
    <row r="305" ht="48.0" customHeight="1">
      <c r="A305" s="3" t="str">
        <f>IFERROR(__xludf.DUMMYFUNCTION("""COMPUTED_VALUE"""),"DS-PDTT15AM-LM-WB")</f>
        <v>DS-PDTT15AM-LM-WB</v>
      </c>
      <c r="B305" s="4" t="str">
        <f>IFERROR(__xludf.DUMMYFUNCTION("""COMPUTED_VALUE"""),"DETECTOR TRIPLE TECNOLOGIA EXTERIO INFRARROJO MAS MICROONDAS DE MOVIMI")</f>
        <v>DETECTOR TRIPLE TECNOLOGIA EXTERIO INFRARROJO MAS MICROONDAS DE MOVIMI</v>
      </c>
      <c r="C305" s="4" t="str">
        <f>IFERROR(__xludf.DUMMYFUNCTION("""COMPUTED_VALUE"""),"Detector triple tecnologia exterio Infrarrojo mas microondas de movimiento inalambrico. Antimasking IP65 apto exterior. Cobertura 90°@180°. Antimascotas de hasta 40KG (SOLO COMPATIBLE con centrales AXPRO)")</f>
        <v>Detector triple tecnologia exterio Infrarrojo mas microondas de movimiento inalambrico. Antimasking IP65 apto exterior. Cobertura 90°@180°. Antimascotas de hasta 40KG (SOLO COMPATIBLE con centrales AXPRO)</v>
      </c>
      <c r="D305" s="4" t="str">
        <f>IFERROR(__xludf.DUMMYFUNCTION("""COMPUTED_VALUE"""),"HIKVISION")</f>
        <v>HIKVISION</v>
      </c>
      <c r="E305" s="4" t="str">
        <f>IFERROR(__xludf.DUMMYFUNCTION("""COMPUTED_VALUE"""),"DS-PDTT15AM-LM-WB")</f>
        <v>DS-PDTT15AM-LM-WB</v>
      </c>
      <c r="F305" s="4" t="str">
        <f>IFERROR(__xludf.DUMMYFUNCTION("""COMPUTED_VALUE"""),"ALARMAS &gt; ACCESORIOS ALARMAS HIKVISION AXPRO/AXPRO HYBRID")</f>
        <v>ALARMAS &gt; ACCESORIOS ALARMAS HIKVISION AXPRO/AXPRO HYBRID</v>
      </c>
      <c r="G305" s="5"/>
      <c r="H305" s="6">
        <f>IFERROR(__xludf.DUMMYFUNCTION("""COMPUTED_VALUE"""),191.4)</f>
        <v>191.4</v>
      </c>
      <c r="I305" s="7">
        <f>IFERROR(__xludf.DUMMYFUNCTION("""COMPUTED_VALUE"""),21.0)</f>
        <v>21</v>
      </c>
      <c r="J305" s="6">
        <f>IFERROR(__xludf.DUMMYFUNCTION("""COMPUTED_VALUE"""),229.68)</f>
        <v>229.68</v>
      </c>
      <c r="K305" s="6">
        <f>IFERROR(__xludf.DUMMYFUNCTION("""COMPUTED_VALUE"""),267.96)</f>
        <v>267.96</v>
      </c>
      <c r="L305" s="3"/>
      <c r="M305" s="3"/>
    </row>
    <row r="306" ht="48.0" customHeight="1">
      <c r="A306" s="3" t="str">
        <f>IFERROR(__xludf.DUMMYFUNCTION("""COMPUTED_VALUE"""),"DSPDCM15PFIR")</f>
        <v>DSPDCM15PFIR</v>
      </c>
      <c r="B306" s="4" t="str">
        <f>IFERROR(__xludf.DUMMYFUNCTION("""COMPUTED_VALUE"""),"DS-PDCM15PF-IR MODULO DE CAMARA RF ADICIONAL PARA DETECTOR DS-PDTT15AM")</f>
        <v>DS-PDCM15PF-IR MODULO DE CAMARA RF ADICIONAL PARA DETECTOR DS-PDTT15AM</v>
      </c>
      <c r="C306" s="4" t="str">
        <f>IFERROR(__xludf.DUMMYFUNCTION("""COMPUTED_VALUE"""),"DS-PDCM15PF-IR Modulo de camara RF adicional para detector DS-PDTT15AM-LM-WB. Resolucion 640*480 JPEG lente fijo 2.0 mm. Porteccion IP66. Uso video verificacion. (SOLO COMPATIBLE con centrales AXPRO)")</f>
        <v>DS-PDCM15PF-IR Modulo de camara RF adicional para detector DS-PDTT15AM-LM-WB. Resolucion 640*480 JPEG lente fijo 2.0 mm. Porteccion IP66. Uso video verificacion. (SOLO COMPATIBLE con centrales AXPRO)</v>
      </c>
      <c r="D306" s="4" t="str">
        <f>IFERROR(__xludf.DUMMYFUNCTION("""COMPUTED_VALUE"""),"HIKVISION")</f>
        <v>HIKVISION</v>
      </c>
      <c r="E306" s="4" t="str">
        <f>IFERROR(__xludf.DUMMYFUNCTION("""COMPUTED_VALUE"""),"DSPDCM15PFIR")</f>
        <v>DSPDCM15PFIR</v>
      </c>
      <c r="F306" s="4" t="str">
        <f>IFERROR(__xludf.DUMMYFUNCTION("""COMPUTED_VALUE"""),"ALARMAS &gt; ACCESORIOS ALARMAS HIKVISION AXPRO/AXPRO HYBRID")</f>
        <v>ALARMAS &gt; ACCESORIOS ALARMAS HIKVISION AXPRO/AXPRO HYBRID</v>
      </c>
      <c r="G306" s="5"/>
      <c r="H306" s="6">
        <f>IFERROR(__xludf.DUMMYFUNCTION("""COMPUTED_VALUE"""),104.5)</f>
        <v>104.5</v>
      </c>
      <c r="I306" s="7">
        <f>IFERROR(__xludf.DUMMYFUNCTION("""COMPUTED_VALUE"""),21.0)</f>
        <v>21</v>
      </c>
      <c r="J306" s="6">
        <f>IFERROR(__xludf.DUMMYFUNCTION("""COMPUTED_VALUE"""),125.4)</f>
        <v>125.4</v>
      </c>
      <c r="K306" s="6">
        <f>IFERROR(__xludf.DUMMYFUNCTION("""COMPUTED_VALUE"""),146.3)</f>
        <v>146.3</v>
      </c>
      <c r="L306" s="3"/>
      <c r="M306" s="3"/>
    </row>
    <row r="307" ht="48.0" customHeight="1">
      <c r="A307" s="3" t="str">
        <f>IFERROR(__xludf.DUMMYFUNCTION("""COMPUTED_VALUE"""),"DS-PDPC18-HM-WB")</f>
        <v>DS-PDPC18-HM-WB</v>
      </c>
      <c r="B307" s="4" t="str">
        <f>IFERROR(__xludf.DUMMYFUNCTION("""COMPUTED_VALUE"""),"DETECTOR INALÁMBRICO CON CÁMARA PARA EXTERIORES DOBLE PIR ALCANCE")</f>
        <v>DETECTOR INALÁMBRICO CON CÁMARA PARA EXTERIORES DOBLE PIR ALCANCE</v>
      </c>
      <c r="C307" s="4" t="str">
        <f>IFERROR(__xludf.DUMMYFUNCTION("""COMPUTED_VALUE"""),"Detector inalámbrico con cámara para exteriores doble PIR alcance de detección de 18m y ángulo de 90")</f>
        <v>Detector inalámbrico con cámara para exteriores doble PIR alcance de detección de 18m y ángulo de 90</v>
      </c>
      <c r="D307" s="4" t="str">
        <f>IFERROR(__xludf.DUMMYFUNCTION("""COMPUTED_VALUE"""),"HIKVISION")</f>
        <v>HIKVISION</v>
      </c>
      <c r="E307" s="4" t="str">
        <f>IFERROR(__xludf.DUMMYFUNCTION("""COMPUTED_VALUE"""),"DS-PDPC18-HM-WB")</f>
        <v>DS-PDPC18-HM-WB</v>
      </c>
      <c r="F307" s="4" t="str">
        <f>IFERROR(__xludf.DUMMYFUNCTION("""COMPUTED_VALUE"""),"ALARMAS &gt; ACCESORIOS ALARMAS HIKVISION AXPRO/AXPRO HYBRID")</f>
        <v>ALARMAS &gt; ACCESORIOS ALARMAS HIKVISION AXPRO/AXPRO HYBRID</v>
      </c>
      <c r="G307" s="5"/>
      <c r="H307" s="6">
        <f>IFERROR(__xludf.DUMMYFUNCTION("""COMPUTED_VALUE"""),207.9)</f>
        <v>207.9</v>
      </c>
      <c r="I307" s="7">
        <f>IFERROR(__xludf.DUMMYFUNCTION("""COMPUTED_VALUE"""),21.0)</f>
        <v>21</v>
      </c>
      <c r="J307" s="6">
        <f>IFERROR(__xludf.DUMMYFUNCTION("""COMPUTED_VALUE"""),249.48)</f>
        <v>249.48</v>
      </c>
      <c r="K307" s="6">
        <f>IFERROR(__xludf.DUMMYFUNCTION("""COMPUTED_VALUE"""),291.06)</f>
        <v>291.06</v>
      </c>
      <c r="L307" s="3"/>
      <c r="M307" s="3"/>
    </row>
    <row r="308" ht="48.0" customHeight="1">
      <c r="A308" s="3" t="str">
        <f>IFERROR(__xludf.DUMMYFUNCTION("""COMPUTED_VALUE"""),"DS-PDEB1-EG2-WB(B)")</f>
        <v>DS-PDEB1-EG2-WB(B)</v>
      </c>
      <c r="B308" s="4" t="str">
        <f>IFERROR(__xludf.DUMMYFUNCTION("""COMPUTED_VALUE"""),"PULSADOR DE EMERGENCIAS INALÁMBRICO IP66 WATERPROOF")</f>
        <v>PULSADOR DE EMERGENCIAS INALÁMBRICO IP66 WATERPROOF</v>
      </c>
      <c r="C308" s="4" t="str">
        <f>IFERROR(__xludf.DUMMYFUNCTION("""COMPUTED_VALUE"""),"Pulsador de emergencias inalámbrico IP66 waterproof")</f>
        <v>Pulsador de emergencias inalámbrico IP66 waterproof</v>
      </c>
      <c r="D308" s="4" t="str">
        <f>IFERROR(__xludf.DUMMYFUNCTION("""COMPUTED_VALUE"""),"HIKVISION")</f>
        <v>HIKVISION</v>
      </c>
      <c r="E308" s="4" t="str">
        <f>IFERROR(__xludf.DUMMYFUNCTION("""COMPUTED_VALUE"""),"DS-PDEB1-EG2-WB(B)")</f>
        <v>DS-PDEB1-EG2-WB(B)</v>
      </c>
      <c r="F308" s="4" t="str">
        <f>IFERROR(__xludf.DUMMYFUNCTION("""COMPUTED_VALUE"""),"ALARMAS &gt; ACCESORIOS ALARMAS HIKVISION AXPRO/AXPRO HYBRID")</f>
        <v>ALARMAS &gt; ACCESORIOS ALARMAS HIKVISION AXPRO/AXPRO HYBRID</v>
      </c>
      <c r="G308" s="5"/>
      <c r="H308" s="6">
        <f>IFERROR(__xludf.DUMMYFUNCTION("""COMPUTED_VALUE"""),22.22)</f>
        <v>22.22</v>
      </c>
      <c r="I308" s="7">
        <f>IFERROR(__xludf.DUMMYFUNCTION("""COMPUTED_VALUE"""),21.0)</f>
        <v>21</v>
      </c>
      <c r="J308" s="6">
        <f>IFERROR(__xludf.DUMMYFUNCTION("""COMPUTED_VALUE"""),26.66)</f>
        <v>26.66</v>
      </c>
      <c r="K308" s="6">
        <f>IFERROR(__xludf.DUMMYFUNCTION("""COMPUTED_VALUE"""),31.11)</f>
        <v>31.11</v>
      </c>
      <c r="L308" s="3"/>
      <c r="M308" s="3"/>
    </row>
    <row r="309" ht="48.0" customHeight="1">
      <c r="A309" s="3" t="str">
        <f>IFERROR(__xludf.DUMMYFUNCTION("""COMPUTED_VALUE"""),"DS-PDEBP1-EG2-WB")</f>
        <v>DS-PDEBP1-EG2-WB</v>
      </c>
      <c r="B309" s="4" t="str">
        <f>IFERROR(__xludf.DUMMYFUNCTION("""COMPUTED_VALUE"""),"PULSADOR DE PÁNICO INALÁMBRICO COLGANTE")</f>
        <v>PULSADOR DE PÁNICO INALÁMBRICO COLGANTE</v>
      </c>
      <c r="C309" s="4" t="str">
        <f>IFERROR(__xludf.DUMMYFUNCTION("""COMPUTED_VALUE"""),"Pulsador de pánico inalámbrico colgante")</f>
        <v>Pulsador de pánico inalámbrico colgante</v>
      </c>
      <c r="D309" s="4" t="str">
        <f>IFERROR(__xludf.DUMMYFUNCTION("""COMPUTED_VALUE"""),"HIKVISION")</f>
        <v>HIKVISION</v>
      </c>
      <c r="E309" s="4" t="str">
        <f>IFERROR(__xludf.DUMMYFUNCTION("""COMPUTED_VALUE"""),"DS-PDEBP1-EG2-WB")</f>
        <v>DS-PDEBP1-EG2-WB</v>
      </c>
      <c r="F309" s="4" t="str">
        <f>IFERROR(__xludf.DUMMYFUNCTION("""COMPUTED_VALUE"""),"ALARMAS &gt; ACCESORIOS ALARMAS HIKVISION AXPRO/AXPRO HYBRID")</f>
        <v>ALARMAS &gt; ACCESORIOS ALARMAS HIKVISION AXPRO/AXPRO HYBRID</v>
      </c>
      <c r="G309" s="5"/>
      <c r="H309" s="6">
        <f>IFERROR(__xludf.DUMMYFUNCTION("""COMPUTED_VALUE"""),24.42)</f>
        <v>24.42</v>
      </c>
      <c r="I309" s="7">
        <f>IFERROR(__xludf.DUMMYFUNCTION("""COMPUTED_VALUE"""),21.0)</f>
        <v>21</v>
      </c>
      <c r="J309" s="6">
        <f>IFERROR(__xludf.DUMMYFUNCTION("""COMPUTED_VALUE"""),29.3)</f>
        <v>29.3</v>
      </c>
      <c r="K309" s="6">
        <f>IFERROR(__xludf.DUMMYFUNCTION("""COMPUTED_VALUE"""),34.19)</f>
        <v>34.19</v>
      </c>
      <c r="L309" s="3"/>
      <c r="M309" s="3"/>
    </row>
    <row r="310" ht="48.0" customHeight="1">
      <c r="A310" s="3" t="str">
        <f>IFERROR(__xludf.DUMMYFUNCTION("""COMPUTED_VALUE"""),"DS-PDSMK-E-WB")</f>
        <v>DS-PDSMK-E-WB</v>
      </c>
      <c r="B310" s="4" t="str">
        <f>IFERROR(__xludf.DUMMYFUNCTION("""COMPUTED_VALUE"""),"DS-PDSMK-S-WB DETECTOR DE HUMO INALÁMBRICO (SOLO COMPATIBLE CON CENTRA")</f>
        <v>DS-PDSMK-S-WB DETECTOR DE HUMO INALÁMBRICO (SOLO COMPATIBLE CON CENTRA</v>
      </c>
      <c r="C310" s="4" t="str">
        <f>IFERROR(__xludf.DUMMYFUNCTION("""COMPUTED_VALUE"""),"DS-PDSMK-S-WB Detector de humo inalámbrico (SOLO COMPATIBLE con centrales AXPRO)")</f>
        <v>DS-PDSMK-S-WB Detector de humo inalámbrico (SOLO COMPATIBLE con centrales AXPRO)</v>
      </c>
      <c r="D310" s="4" t="str">
        <f>IFERROR(__xludf.DUMMYFUNCTION("""COMPUTED_VALUE"""),"HIKVISION")</f>
        <v>HIKVISION</v>
      </c>
      <c r="E310" s="4" t="str">
        <f>IFERROR(__xludf.DUMMYFUNCTION("""COMPUTED_VALUE"""),"DS-PDSMK-E-WB")</f>
        <v>DS-PDSMK-E-WB</v>
      </c>
      <c r="F310" s="4" t="str">
        <f>IFERROR(__xludf.DUMMYFUNCTION("""COMPUTED_VALUE"""),"ALARMAS &gt; ACCESORIOS ALARMAS HIKVISION AXPRO/AXPRO HYBRID")</f>
        <v>ALARMAS &gt; ACCESORIOS ALARMAS HIKVISION AXPRO/AXPRO HYBRID</v>
      </c>
      <c r="G310" s="5"/>
      <c r="H310" s="6">
        <f>IFERROR(__xludf.DUMMYFUNCTION("""COMPUTED_VALUE"""),66.0)</f>
        <v>66</v>
      </c>
      <c r="I310" s="7">
        <f>IFERROR(__xludf.DUMMYFUNCTION("""COMPUTED_VALUE"""),21.0)</f>
        <v>21</v>
      </c>
      <c r="J310" s="6">
        <f>IFERROR(__xludf.DUMMYFUNCTION("""COMPUTED_VALUE"""),79.2)</f>
        <v>79.2</v>
      </c>
      <c r="K310" s="6">
        <f>IFERROR(__xludf.DUMMYFUNCTION("""COMPUTED_VALUE"""),92.4)</f>
        <v>92.4</v>
      </c>
      <c r="L310" s="3"/>
      <c r="M310" s="3"/>
    </row>
    <row r="311" ht="48.0" customHeight="1">
      <c r="A311" s="3" t="str">
        <f>IFERROR(__xludf.DUMMYFUNCTION("""COMPUTED_VALUE"""),"DS-PDCL12-EG2-WB")</f>
        <v>DS-PDCL12-EG2-WB</v>
      </c>
      <c r="B311" s="4" t="str">
        <f>IFERROR(__xludf.DUMMYFUNCTION("""COMPUTED_VALUE"""),"SENSOR PIR DE MOVIMIENTO CON COBERTURA DE 360°, INALÁMBRICO,")</f>
        <v>SENSOR PIR DE MOVIMIENTO CON COBERTURA DE 360°, INALÁMBRICO,</v>
      </c>
      <c r="C311" s="4" t="str">
        <f>IFERROR(__xludf.DUMMYFUNCTION("""COMPUTED_VALUE"""),"Sensor PIR de Movimiento con Cobertura de 360°, Inalámbrico, Uso en Interior.")</f>
        <v>Sensor PIR de Movimiento con Cobertura de 360°, Inalámbrico, Uso en Interior.</v>
      </c>
      <c r="D311" s="4" t="str">
        <f>IFERROR(__xludf.DUMMYFUNCTION("""COMPUTED_VALUE"""),"HIKVISION")</f>
        <v>HIKVISION</v>
      </c>
      <c r="E311" s="4" t="str">
        <f>IFERROR(__xludf.DUMMYFUNCTION("""COMPUTED_VALUE"""),"DS-PDCL12-EG2-WB")</f>
        <v>DS-PDCL12-EG2-WB</v>
      </c>
      <c r="F311" s="4" t="str">
        <f>IFERROR(__xludf.DUMMYFUNCTION("""COMPUTED_VALUE"""),"ALARMAS &gt; ACCESORIOS ALARMAS HIKVISION AXPRO/AXPRO HYBRID")</f>
        <v>ALARMAS &gt; ACCESORIOS ALARMAS HIKVISION AXPRO/AXPRO HYBRID</v>
      </c>
      <c r="G311" s="5"/>
      <c r="H311" s="6">
        <f>IFERROR(__xludf.DUMMYFUNCTION("""COMPUTED_VALUE"""),38.5)</f>
        <v>38.5</v>
      </c>
      <c r="I311" s="7">
        <f>IFERROR(__xludf.DUMMYFUNCTION("""COMPUTED_VALUE"""),21.0)</f>
        <v>21</v>
      </c>
      <c r="J311" s="6">
        <f>IFERROR(__xludf.DUMMYFUNCTION("""COMPUTED_VALUE"""),46.2)</f>
        <v>46.2</v>
      </c>
      <c r="K311" s="6">
        <f>IFERROR(__xludf.DUMMYFUNCTION("""COMPUTED_VALUE"""),53.9)</f>
        <v>53.9</v>
      </c>
      <c r="L311" s="3"/>
      <c r="M311" s="3"/>
    </row>
    <row r="312" ht="48.0" customHeight="1">
      <c r="A312" s="3" t="str">
        <f>IFERROR(__xludf.DUMMYFUNCTION("""COMPUTED_VALUE"""),"DSPDTPHEWB")</f>
        <v>DSPDTPHEWB</v>
      </c>
      <c r="B312" s="4" t="str">
        <f>IFERROR(__xludf.DUMMYFUNCTION("""COMPUTED_VALUE"""),"DETECTOR DE TEMPERATURA Y DETECTOR DE HUMEDAD INALÁMBRICO / 2")</f>
        <v>DETECTOR DE TEMPERATURA Y DETECTOR DE HUMEDAD INALÁMBRICO / 2</v>
      </c>
      <c r="C312" s="4" t="str">
        <f>IFERROR(__xludf.DUMMYFUNCTION("""COMPUTED_VALUE"""),"Detector de Temperatura y Detector de Humedad Inalámbrico / 2.7'' de Tamaño / Uso en Interior / Rango de Detección desde -35°C hasta 99°C.")</f>
        <v>Detector de Temperatura y Detector de Humedad Inalámbrico / 2.7'' de Tamaño / Uso en Interior / Rango de Detección desde -35°C hasta 99°C.</v>
      </c>
      <c r="D312" s="4" t="str">
        <f>IFERROR(__xludf.DUMMYFUNCTION("""COMPUTED_VALUE"""),"HIKVISION")</f>
        <v>HIKVISION</v>
      </c>
      <c r="E312" s="4" t="str">
        <f>IFERROR(__xludf.DUMMYFUNCTION("""COMPUTED_VALUE"""),"DSPDTPHEWB")</f>
        <v>DSPDTPHEWB</v>
      </c>
      <c r="F312" s="4" t="str">
        <f>IFERROR(__xludf.DUMMYFUNCTION("""COMPUTED_VALUE"""),"ALARMAS &gt; ACCESORIOS ALARMAS HIKVISION AXPRO/AXPRO HYBRID")</f>
        <v>ALARMAS &gt; ACCESORIOS ALARMAS HIKVISION AXPRO/AXPRO HYBRID</v>
      </c>
      <c r="G312" s="5"/>
      <c r="H312" s="6">
        <f>IFERROR(__xludf.DUMMYFUNCTION("""COMPUTED_VALUE"""),58.3)</f>
        <v>58.3</v>
      </c>
      <c r="I312" s="7">
        <f>IFERROR(__xludf.DUMMYFUNCTION("""COMPUTED_VALUE"""),21.0)</f>
        <v>21</v>
      </c>
      <c r="J312" s="6">
        <f>IFERROR(__xludf.DUMMYFUNCTION("""COMPUTED_VALUE"""),69.96)</f>
        <v>69.96</v>
      </c>
      <c r="K312" s="6">
        <f>IFERROR(__xludf.DUMMYFUNCTION("""COMPUTED_VALUE"""),81.62)</f>
        <v>81.62</v>
      </c>
      <c r="L312" s="3"/>
      <c r="M312" s="3"/>
    </row>
    <row r="313" ht="48.0" customHeight="1">
      <c r="A313" s="3" t="str">
        <f>IFERROR(__xludf.DUMMYFUNCTION("""COMPUTED_VALUE"""),"DS-PS1-I-WB")</f>
        <v>DS-PS1-I-WB</v>
      </c>
      <c r="B313" s="4" t="str">
        <f>IFERROR(__xludf.DUMMYFUNCTION("""COMPUTED_VALUE"""),"SIRENA INTERIOR INALÁMBRICA BUZZER DECIBEL: 90 TO 110 DB")</f>
        <v>SIRENA INTERIOR INALÁMBRICA BUZZER DECIBEL: 90 TO 110 DB</v>
      </c>
      <c r="C313" s="4" t="str">
        <f>IFERROR(__xludf.DUMMYFUNCTION("""COMPUTED_VALUE"""),"Sirena interior inalámbrica Buzzer Decibel: 90 to 110 dB")</f>
        <v>Sirena interior inalámbrica Buzzer Decibel: 90 to 110 dB</v>
      </c>
      <c r="D313" s="4" t="str">
        <f>IFERROR(__xludf.DUMMYFUNCTION("""COMPUTED_VALUE"""),"HIKVISION")</f>
        <v>HIKVISION</v>
      </c>
      <c r="E313" s="4" t="str">
        <f>IFERROR(__xludf.DUMMYFUNCTION("""COMPUTED_VALUE"""),"DS-PS1-I-WB")</f>
        <v>DS-PS1-I-WB</v>
      </c>
      <c r="F313" s="4" t="str">
        <f>IFERROR(__xludf.DUMMYFUNCTION("""COMPUTED_VALUE"""),"ALARMAS &gt; ACCESORIOS ALARMAS HIKVISION AXPRO/AXPRO HYBRID")</f>
        <v>ALARMAS &gt; ACCESORIOS ALARMAS HIKVISION AXPRO/AXPRO HYBRID</v>
      </c>
      <c r="G313" s="5"/>
      <c r="H313" s="6">
        <f>IFERROR(__xludf.DUMMYFUNCTION("""COMPUTED_VALUE"""),53.9)</f>
        <v>53.9</v>
      </c>
      <c r="I313" s="7">
        <f>IFERROR(__xludf.DUMMYFUNCTION("""COMPUTED_VALUE"""),21.0)</f>
        <v>21</v>
      </c>
      <c r="J313" s="6">
        <f>IFERROR(__xludf.DUMMYFUNCTION("""COMPUTED_VALUE"""),64.68)</f>
        <v>64.68</v>
      </c>
      <c r="K313" s="6">
        <f>IFERROR(__xludf.DUMMYFUNCTION("""COMPUTED_VALUE"""),75.46)</f>
        <v>75.46</v>
      </c>
      <c r="L313" s="3"/>
      <c r="M313" s="3"/>
    </row>
    <row r="314" ht="48.0" customHeight="1">
      <c r="A314" s="3" t="str">
        <f>IFERROR(__xludf.DUMMYFUNCTION("""COMPUTED_VALUE"""),"DS-PS1-II-WB")</f>
        <v>DS-PS1-II-WB</v>
      </c>
      <c r="B314" s="4" t="str">
        <f>IFERROR(__xludf.DUMMYFUNCTION("""COMPUTED_VALUE"""),"WIRELESS INTERCOM SOUNDER 433 MHZ TWO-WAY WIRELESS COMMUNICATION")</f>
        <v>WIRELESS INTERCOM SOUNDER 433 MHZ TWO-WAY WIRELESS COMMUNICATION</v>
      </c>
      <c r="C314" s="4" t="str">
        <f>IFERROR(__xludf.DUMMYFUNCTION("""COMPUTED_VALUE"""),"Wireless Intercom Sounder 433 MHz two-way wireless communication. Configurable arming/disarming prompt sound and LED indicator. Two-way talk via RF transmission. Buzzer Decibel: 90 to 110 dB. Long battery life span. 3 kinds of alarm sounds: fire alarm, pa"&amp;"nic alarm, and intrusion alarm. Fully remote configurable through App. Multiple enrollment methods and easy installation design (SOLO COMPATIBLE con centrales AXPRO)")</f>
        <v>Wireless Intercom Sounder 433 MHz two-way wireless communication. Configurable arming/disarming prompt sound and LED indicator. Two-way talk via RF transmission. Buzzer Decibel: 90 to 110 dB. Long battery life span. 3 kinds of alarm sounds: fire alarm, panic alarm, and intrusion alarm. Fully remote configurable through App. Multiple enrollment methods and easy installation design (SOLO COMPATIBLE con centrales AXPRO)</v>
      </c>
      <c r="D314" s="4" t="str">
        <f>IFERROR(__xludf.DUMMYFUNCTION("""COMPUTED_VALUE"""),"HIKVISION")</f>
        <v>HIKVISION</v>
      </c>
      <c r="E314" s="4" t="str">
        <f>IFERROR(__xludf.DUMMYFUNCTION("""COMPUTED_VALUE"""),"DS-PS1-II-WB")</f>
        <v>DS-PS1-II-WB</v>
      </c>
      <c r="F314" s="4" t="str">
        <f>IFERROR(__xludf.DUMMYFUNCTION("""COMPUTED_VALUE"""),"ALARMAS &gt; ACCESORIOS ALARMAS HIKVISION AXPRO/AXPRO HYBRID")</f>
        <v>ALARMAS &gt; ACCESORIOS ALARMAS HIKVISION AXPRO/AXPRO HYBRID</v>
      </c>
      <c r="G314" s="5"/>
      <c r="H314" s="6">
        <f>IFERROR(__xludf.DUMMYFUNCTION("""COMPUTED_VALUE"""),92.4)</f>
        <v>92.4</v>
      </c>
      <c r="I314" s="7">
        <f>IFERROR(__xludf.DUMMYFUNCTION("""COMPUTED_VALUE"""),21.0)</f>
        <v>21</v>
      </c>
      <c r="J314" s="6">
        <f>IFERROR(__xludf.DUMMYFUNCTION("""COMPUTED_VALUE"""),110.88)</f>
        <v>110.88</v>
      </c>
      <c r="K314" s="6">
        <f>IFERROR(__xludf.DUMMYFUNCTION("""COMPUTED_VALUE"""),129.36)</f>
        <v>129.36</v>
      </c>
      <c r="L314" s="3"/>
      <c r="M314" s="3"/>
    </row>
    <row r="315" ht="48.0" customHeight="1">
      <c r="A315" s="3" t="str">
        <f>IFERROR(__xludf.DUMMYFUNCTION("""COMPUTED_VALUE"""),"DS-PS1-E-WB")</f>
        <v>DS-PS1-E-WB</v>
      </c>
      <c r="B315" s="4" t="str">
        <f>IFERROR(__xludf.DUMMYFUNCTION("""COMPUTED_VALUE"""),"DS-PS1-E-WB SIRENA EXTERIOR CON FLASH INALÁMBRICA COLOR DEL STROBO")</f>
        <v>DS-PS1-E-WB SIRENA EXTERIOR CON FLASH INALÁMBRICA COLOR DEL STROBO</v>
      </c>
      <c r="C315" s="4" t="str">
        <f>IFERROR(__xludf.DUMMYFUNCTION("""COMPUTED_VALUE"""),"DS-PS1-E-WB Sirena exterior con flash inalámbrica color del strobo azul")</f>
        <v>DS-PS1-E-WB Sirena exterior con flash inalámbrica color del strobo azul</v>
      </c>
      <c r="D315" s="4" t="str">
        <f>IFERROR(__xludf.DUMMYFUNCTION("""COMPUTED_VALUE"""),"HIKVISION")</f>
        <v>HIKVISION</v>
      </c>
      <c r="E315" s="4" t="str">
        <f>IFERROR(__xludf.DUMMYFUNCTION("""COMPUTED_VALUE"""),"DS-PS1-E-WB")</f>
        <v>DS-PS1-E-WB</v>
      </c>
      <c r="F315" s="4" t="str">
        <f>IFERROR(__xludf.DUMMYFUNCTION("""COMPUTED_VALUE"""),"ALARMAS &gt; ACCESORIOS ALARMAS HIKVISION AXPRO/AXPRO HYBRID")</f>
        <v>ALARMAS &gt; ACCESORIOS ALARMAS HIKVISION AXPRO/AXPRO HYBRID</v>
      </c>
      <c r="G315" s="5"/>
      <c r="H315" s="6">
        <f>IFERROR(__xludf.DUMMYFUNCTION("""COMPUTED_VALUE"""),73.7)</f>
        <v>73.7</v>
      </c>
      <c r="I315" s="7">
        <f>IFERROR(__xludf.DUMMYFUNCTION("""COMPUTED_VALUE"""),21.0)</f>
        <v>21</v>
      </c>
      <c r="J315" s="6">
        <f>IFERROR(__xludf.DUMMYFUNCTION("""COMPUTED_VALUE"""),88.44)</f>
        <v>88.44</v>
      </c>
      <c r="K315" s="6">
        <f>IFERROR(__xludf.DUMMYFUNCTION("""COMPUTED_VALUE"""),103.18)</f>
        <v>103.18</v>
      </c>
      <c r="L315" s="3"/>
      <c r="M315" s="3"/>
    </row>
    <row r="316" ht="48.0" customHeight="1">
      <c r="A316" s="3" t="str">
        <f>IFERROR(__xludf.DUMMYFUNCTION("""COMPUTED_VALUE"""),"DS-PR1-WB")</f>
        <v>DS-PR1-WB</v>
      </c>
      <c r="B316" s="4" t="str">
        <f>IFERROR(__xludf.DUMMYFUNCTION("""COMPUTED_VALUE"""),"DS-PR1-WB REPETIDOR INALÁMBRICO")</f>
        <v>DS-PR1-WB REPETIDOR INALÁMBRICO</v>
      </c>
      <c r="C316" s="4" t="str">
        <f>IFERROR(__xludf.DUMMYFUNCTION("""COMPUTED_VALUE"""),"DS-PR1-WB Repetidor inalámbrico. Comunicación inalámbrica bidireccional de 433MHz Pantalla LED, muestra los diferentes comentarios con fácil comprensión. Hasta 35 horas de batería de reserva después de la pérdida de la red eléctrica, sin preocuparse por l"&amp;"a comunicación. Encontrar y conectar hasta 8 detectores de humo o PIRCAM automáticamente, autoapareamiento inteligente. Fácil instalación con nueva estructura diseñada (SOLO COMPATIBLE con centrales AXPRO)")</f>
        <v>DS-PR1-WB Repetidor inalámbrico. Comunicación inalámbrica bidireccional de 433MHz Pantalla LED, muestra los diferentes comentarios con fácil comprensión. Hasta 35 horas de batería de reserva después de la pérdida de la red eléctrica, sin preocuparse por la comunicación. Encontrar y conectar hasta 8 detectores de humo o PIRCAM automáticamente, autoapareamiento inteligente. Fácil instalación con nueva estructura diseñada (SOLO COMPATIBLE con centrales AXPRO)</v>
      </c>
      <c r="D316" s="4" t="str">
        <f>IFERROR(__xludf.DUMMYFUNCTION("""COMPUTED_VALUE"""),"HIKVISION")</f>
        <v>HIKVISION</v>
      </c>
      <c r="E316" s="4" t="str">
        <f>IFERROR(__xludf.DUMMYFUNCTION("""COMPUTED_VALUE"""),"DS-PR1-WB")</f>
        <v>DS-PR1-WB</v>
      </c>
      <c r="F316" s="4" t="str">
        <f>IFERROR(__xludf.DUMMYFUNCTION("""COMPUTED_VALUE"""),"ALARMAS &gt; ACCESORIOS ALARMAS HIKVISION AXPRO/AXPRO HYBRID")</f>
        <v>ALARMAS &gt; ACCESORIOS ALARMAS HIKVISION AXPRO/AXPRO HYBRID</v>
      </c>
      <c r="G316" s="5"/>
      <c r="H316" s="6">
        <f>IFERROR(__xludf.DUMMYFUNCTION("""COMPUTED_VALUE"""),95.7)</f>
        <v>95.7</v>
      </c>
      <c r="I316" s="7">
        <f>IFERROR(__xludf.DUMMYFUNCTION("""COMPUTED_VALUE"""),21.0)</f>
        <v>21</v>
      </c>
      <c r="J316" s="6">
        <f>IFERROR(__xludf.DUMMYFUNCTION("""COMPUTED_VALUE"""),114.84)</f>
        <v>114.84</v>
      </c>
      <c r="K316" s="6">
        <f>IFERROR(__xludf.DUMMYFUNCTION("""COMPUTED_VALUE"""),133.98)</f>
        <v>133.98</v>
      </c>
      <c r="L316" s="3"/>
      <c r="M316" s="3"/>
    </row>
    <row r="317" ht="48.0" customHeight="1">
      <c r="A317" s="3" t="str">
        <f>IFERROR(__xludf.DUMMYFUNCTION("""COMPUTED_VALUE"""),"DS-PR1-WB(B)")</f>
        <v>DS-PR1-WB(B)</v>
      </c>
      <c r="B317" s="4" t="str">
        <f>IFERROR(__xludf.DUMMYFUNCTION("""COMPUTED_VALUE"""),"DS-PR1-WB REPETIDOR INALÁMBRICO")</f>
        <v>DS-PR1-WB REPETIDOR INALÁMBRICO</v>
      </c>
      <c r="C317" s="4" t="str">
        <f>IFERROR(__xludf.DUMMYFUNCTION("""COMPUTED_VALUE"""),"DS-PR1-WB Repetidor inalámbrico. Comunicación inalámbrica bidireccional de 433MHz Pantalla LED, muestra los diferentes comentarios con fácil comprensión. Hasta 35 horas de batería de reserva después de la pérdida de la red eléctrica, sin preocuparse por l"&amp;"a comunicación. Encontrar y conectar hasta 8 detectores de humo o PIRCAM automáticamente, autoapareamiento inteligente. Fácil instalación con nueva estructura diseñada (SOLO COMPATIBLE con centrales AXPRO)")</f>
        <v>DS-PR1-WB Repetidor inalámbrico. Comunicación inalámbrica bidireccional de 433MHz Pantalla LED, muestra los diferentes comentarios con fácil comprensión. Hasta 35 horas de batería de reserva después de la pérdida de la red eléctrica, sin preocuparse por la comunicación. Encontrar y conectar hasta 8 detectores de humo o PIRCAM automáticamente, autoapareamiento inteligente. Fácil instalación con nueva estructura diseñada (SOLO COMPATIBLE con centrales AXPRO)</v>
      </c>
      <c r="D317" s="4" t="str">
        <f>IFERROR(__xludf.DUMMYFUNCTION("""COMPUTED_VALUE"""),"HIKVISION")</f>
        <v>HIKVISION</v>
      </c>
      <c r="E317" s="4" t="str">
        <f>IFERROR(__xludf.DUMMYFUNCTION("""COMPUTED_VALUE"""),"DS-PR1-WB(B)")</f>
        <v>DS-PR1-WB(B)</v>
      </c>
      <c r="F317" s="4" t="str">
        <f>IFERROR(__xludf.DUMMYFUNCTION("""COMPUTED_VALUE"""),"ALARMAS &gt; ACCESORIOS ALARMAS HIKVISION AXPRO/AXPRO HYBRID")</f>
        <v>ALARMAS &gt; ACCESORIOS ALARMAS HIKVISION AXPRO/AXPRO HYBRID</v>
      </c>
      <c r="G317" s="5"/>
      <c r="H317" s="6">
        <f>IFERROR(__xludf.DUMMYFUNCTION("""COMPUTED_VALUE"""),88.0)</f>
        <v>88</v>
      </c>
      <c r="I317" s="7">
        <f>IFERROR(__xludf.DUMMYFUNCTION("""COMPUTED_VALUE"""),21.0)</f>
        <v>21</v>
      </c>
      <c r="J317" s="6">
        <f>IFERROR(__xludf.DUMMYFUNCTION("""COMPUTED_VALUE"""),105.6)</f>
        <v>105.6</v>
      </c>
      <c r="K317" s="6">
        <f>IFERROR(__xludf.DUMMYFUNCTION("""COMPUTED_VALUE"""),123.2)</f>
        <v>123.2</v>
      </c>
      <c r="L317" s="3"/>
      <c r="M317" s="3"/>
    </row>
    <row r="318" ht="48.0" customHeight="1">
      <c r="A318" s="3" t="str">
        <f>IFERROR(__xludf.DUMMYFUNCTION("""COMPUTED_VALUE"""),"DSPWA96DBWB")</f>
        <v>DSPWA96DBWB</v>
      </c>
      <c r="B318" s="4" t="str">
        <f>IFERROR(__xludf.DUMMYFUNCTION("""COMPUTED_VALUE"""),"KIT DEMO AXPRO")</f>
        <v>KIT DEMO AXPRO</v>
      </c>
      <c r="C318" s="4" t="str">
        <f>IFERROR(__xludf.DUMMYFUNCTION("""COMPUTED_VALUE"""),"KIT demo AXPRO")</f>
        <v>KIT demo AXPRO</v>
      </c>
      <c r="D318" s="4" t="str">
        <f>IFERROR(__xludf.DUMMYFUNCTION("""COMPUTED_VALUE"""),"HIKVISION")</f>
        <v>HIKVISION</v>
      </c>
      <c r="E318" s="4" t="str">
        <f>IFERROR(__xludf.DUMMYFUNCTION("""COMPUTED_VALUE"""),"DSPWA96DBWB")</f>
        <v>DSPWA96DBWB</v>
      </c>
      <c r="F318" s="4" t="str">
        <f>IFERROR(__xludf.DUMMYFUNCTION("""COMPUTED_VALUE"""),"ALARMAS &gt; ACCESORIOS ALARMAS HIKVISION AXPRO/AXPRO HYBRID")</f>
        <v>ALARMAS &gt; ACCESORIOS ALARMAS HIKVISION AXPRO/AXPRO HYBRID</v>
      </c>
      <c r="G318" s="5"/>
      <c r="H318" s="6">
        <f>IFERROR(__xludf.DUMMYFUNCTION("""COMPUTED_VALUE"""),1450.9)</f>
        <v>1450.9</v>
      </c>
      <c r="I318" s="7">
        <f>IFERROR(__xludf.DUMMYFUNCTION("""COMPUTED_VALUE"""),21.0)</f>
        <v>21</v>
      </c>
      <c r="J318" s="6">
        <f>IFERROR(__xludf.DUMMYFUNCTION("""COMPUTED_VALUE"""),1741.08)</f>
        <v>1741.08</v>
      </c>
      <c r="K318" s="6">
        <f>IFERROR(__xludf.DUMMYFUNCTION("""COMPUTED_VALUE"""),2031.26)</f>
        <v>2031.26</v>
      </c>
      <c r="L318" s="3"/>
      <c r="M318" s="3"/>
    </row>
    <row r="319" ht="48.0" customHeight="1">
      <c r="A319" s="3" t="str">
        <f>IFERROR(__xludf.DUMMYFUNCTION("""COMPUTED_VALUE"""),"DSPABAT")</f>
        <v>DSPABAT</v>
      </c>
      <c r="B319" s="4" t="str">
        <f>IFERROR(__xludf.DUMMYFUNCTION("""COMPUTED_VALUE"""),"BATERÍA RECARGABLE DE RESPALDO PARA PANELES DE ALARMA DE HIKVISION")</f>
        <v>BATERÍA RECARGABLE DE RESPALDO PARA PANELES DE ALARMA DE HIKVISION</v>
      </c>
      <c r="C319" s="4" t="str">
        <f>IFERROR(__xludf.DUMMYFUNCTION("""COMPUTED_VALUE"""),"Batería recargable de respaldo para Paneles de Alarma de Hikvision. 3.8VDC/4520mAh. Peso: 80 gramos. Dimensiones: 59 x 69 x 8 mm")</f>
        <v>Batería recargable de respaldo para Paneles de Alarma de Hikvision. 3.8VDC/4520mAh. Peso: 80 gramos. Dimensiones: 59 x 69 x 8 mm</v>
      </c>
      <c r="D319" s="4" t="str">
        <f>IFERROR(__xludf.DUMMYFUNCTION("""COMPUTED_VALUE"""),"HIKVISION")</f>
        <v>HIKVISION</v>
      </c>
      <c r="E319" s="4" t="str">
        <f>IFERROR(__xludf.DUMMYFUNCTION("""COMPUTED_VALUE"""),"DSPABAT")</f>
        <v>DSPABAT</v>
      </c>
      <c r="F319" s="4" t="str">
        <f>IFERROR(__xludf.DUMMYFUNCTION("""COMPUTED_VALUE"""),"ALARMAS &gt; ACCESORIOS ALARMAS HIKVISION AXPRO/AXPRO HYBRID")</f>
        <v>ALARMAS &gt; ACCESORIOS ALARMAS HIKVISION AXPRO/AXPRO HYBRID</v>
      </c>
      <c r="G319" s="5"/>
      <c r="H319" s="6">
        <f>IFERROR(__xludf.DUMMYFUNCTION("""COMPUTED_VALUE"""),34.1)</f>
        <v>34.1</v>
      </c>
      <c r="I319" s="7">
        <f>IFERROR(__xludf.DUMMYFUNCTION("""COMPUTED_VALUE"""),21.0)</f>
        <v>21</v>
      </c>
      <c r="J319" s="6">
        <f>IFERROR(__xludf.DUMMYFUNCTION("""COMPUTED_VALUE"""),40.92)</f>
        <v>40.92</v>
      </c>
      <c r="K319" s="6">
        <f>IFERROR(__xludf.DUMMYFUNCTION("""COMPUTED_VALUE"""),47.74)</f>
        <v>47.74</v>
      </c>
      <c r="L319" s="3"/>
      <c r="M319" s="3"/>
    </row>
    <row r="320" ht="48.0" customHeight="1">
      <c r="A320" s="3" t="str">
        <f>IFERROR(__xludf.DUMMYFUNCTION("""COMPUTED_VALUE"""),"INT-AMT1000")</f>
        <v>INT-AMT1000</v>
      </c>
      <c r="B320" s="4" t="str">
        <f>IFERROR(__xludf.DUMMYFUNCTION("""COMPUTED_VALUE"""),"CENTRAL DE ALARMA 8 ZONAS (4+4 + 24 INALAMBRICAS),")</f>
        <v>CENTRAL DE ALARMA 8 ZONAS (4+4 + 24 INALAMBRICAS),</v>
      </c>
      <c r="C320" s="4" t="str">
        <f>IFERROR(__xludf.DUMMYFUNCTION("""COMPUTED_VALUE"""),"Central de Alarma 8 zonas (4+4 + 24 inalambricas), Comunicación via LAN configuracion Remota desde APP Android/ios, Supervision de enlace LAN, 2 salidas PGM Activacion via remoto o APP, Soporta 2 teclados, Cloud QR en tapa Soporta hasta 128 dispositivos R"&amp;"F Y 2 Receptores XAR4000, Registro 256 Eventos con fecha y hora, Receptor inalambrico incorporado y Boton de apredisaje de dispositivos inalambricos en placa. Soporta modulos GSM modelo XG 2G y XG 4G")</f>
        <v>Central de Alarma 8 zonas (4+4 + 24 inalambricas), Comunicación via LAN configuracion Remota desde APP Android/ios, Supervision de enlace LAN, 2 salidas PGM Activacion via remoto o APP, Soporta 2 teclados, Cloud QR en tapa Soporta hasta 128 dispositivos RF Y 2 Receptores XAR4000, Registro 256 Eventos con fecha y hora, Receptor inalambrico incorporado y Boton de apredisaje de dispositivos inalambricos en placa. Soporta modulos GSM modelo XG 2G y XG 4G</v>
      </c>
      <c r="D320" s="4" t="str">
        <f>IFERROR(__xludf.DUMMYFUNCTION("""COMPUTED_VALUE"""),"INTELBRAS")</f>
        <v>INTELBRAS</v>
      </c>
      <c r="E320" s="4" t="str">
        <f>IFERROR(__xludf.DUMMYFUNCTION("""COMPUTED_VALUE"""),"INT-AMT1000")</f>
        <v>INT-AMT1000</v>
      </c>
      <c r="F320" s="4" t="str">
        <f>IFERROR(__xludf.DUMMYFUNCTION("""COMPUTED_VALUE"""),"ALARMAS &gt; ALARMAS INTELBRAS")</f>
        <v>ALARMAS &gt; ALARMAS INTELBRAS</v>
      </c>
      <c r="G320" s="5"/>
      <c r="H320" s="6">
        <f>IFERROR(__xludf.DUMMYFUNCTION("""COMPUTED_VALUE"""),99.17)</f>
        <v>99.17</v>
      </c>
      <c r="I320" s="7">
        <f>IFERROR(__xludf.DUMMYFUNCTION("""COMPUTED_VALUE"""),21.0)</f>
        <v>21</v>
      </c>
      <c r="J320" s="6">
        <f>IFERROR(__xludf.DUMMYFUNCTION("""COMPUTED_VALUE"""),119.0)</f>
        <v>119</v>
      </c>
      <c r="K320" s="6">
        <f>IFERROR(__xludf.DUMMYFUNCTION("""COMPUTED_VALUE"""),138.84)</f>
        <v>138.84</v>
      </c>
      <c r="L320" s="3"/>
      <c r="M320" s="3"/>
    </row>
    <row r="321" ht="48.0" customHeight="1">
      <c r="A321" s="3" t="str">
        <f>IFERROR(__xludf.DUMMYFUNCTION("""COMPUTED_VALUE"""),"INT-AMT2018E")</f>
        <v>INT-AMT2018E</v>
      </c>
      <c r="B321" s="4" t="str">
        <f>IFERROR(__xludf.DUMMYFUNCTION("""COMPUTED_VALUE"""),"CENTRAL DE ALARMA 16 ZONAS (8+8 + 24 INALAMBRICAS),")</f>
        <v>CENTRAL DE ALARMA 16 ZONAS (8+8 + 24 INALAMBRICAS),</v>
      </c>
      <c r="C321" s="4" t="str">
        <f>IFERROR(__xludf.DUMMYFUNCTION("""COMPUTED_VALUE"""),"Central de Alarma 16 zonas (8+8 + 24 inalambricas), Comunicación via LAN configuracion Remota desde APP Android/ios, Supervision de enlace LAN, 2 salidas PGM Activacion via remoto o APP, Soporta 4 teclados, Cloud QR en tapa Soporta hasta 128 dispositivos "&amp;"RF Y 2 Receptores XAR4000, Registro 256 Eventos con fecha y hora, Receptor inalambrico incorporado y Boton de apredisaje de dispositivos inalambricos en placa. Soporta modulos GSM modelo XG 2G y XG 4G Incluye Teclado LCD")</f>
        <v>Central de Alarma 16 zonas (8+8 + 24 inalambricas), Comunicación via LAN configuracion Remota desde APP Android/ios, Supervision de enlace LAN, 2 salidas PGM Activacion via remoto o APP, Soporta 4 teclados, Cloud QR en tapa Soporta hasta 128 dispositivos RF Y 2 Receptores XAR4000, Registro 256 Eventos con fecha y hora, Receptor inalambrico incorporado y Boton de apredisaje de dispositivos inalambricos en placa. Soporta modulos GSM modelo XG 2G y XG 4G Incluye Teclado LCD</v>
      </c>
      <c r="D321" s="4" t="str">
        <f>IFERROR(__xludf.DUMMYFUNCTION("""COMPUTED_VALUE"""),"INTELBRAS")</f>
        <v>INTELBRAS</v>
      </c>
      <c r="E321" s="4" t="str">
        <f>IFERROR(__xludf.DUMMYFUNCTION("""COMPUTED_VALUE"""),"INT-AMT2018E")</f>
        <v>INT-AMT2018E</v>
      </c>
      <c r="F321" s="4" t="str">
        <f>IFERROR(__xludf.DUMMYFUNCTION("""COMPUTED_VALUE"""),"ALARMAS &gt; ALARMAS INTELBRAS")</f>
        <v>ALARMAS &gt; ALARMAS INTELBRAS</v>
      </c>
      <c r="G321" s="5"/>
      <c r="H321" s="6">
        <f>IFERROR(__xludf.DUMMYFUNCTION("""COMPUTED_VALUE"""),126.72)</f>
        <v>126.72</v>
      </c>
      <c r="I321" s="7">
        <f>IFERROR(__xludf.DUMMYFUNCTION("""COMPUTED_VALUE"""),21.0)</f>
        <v>21</v>
      </c>
      <c r="J321" s="6">
        <f>IFERROR(__xludf.DUMMYFUNCTION("""COMPUTED_VALUE"""),152.06)</f>
        <v>152.06</v>
      </c>
      <c r="K321" s="6">
        <f>IFERROR(__xludf.DUMMYFUNCTION("""COMPUTED_VALUE"""),177.41)</f>
        <v>177.41</v>
      </c>
      <c r="L321" s="3"/>
      <c r="M321" s="3"/>
    </row>
    <row r="322" ht="48.0" customHeight="1">
      <c r="A322" s="3" t="str">
        <f>IFERROR(__xludf.DUMMYFUNCTION("""COMPUTED_VALUE"""),"INT-AMT4010")</f>
        <v>INT-AMT4010</v>
      </c>
      <c r="B322" s="4" t="str">
        <f>IFERROR(__xludf.DUMMYFUNCTION("""COMPUTED_VALUE"""),"CENTRAL DE ALARMA 8 ZONAS (4 + 4 +")</f>
        <v>CENTRAL DE ALARMA 8 ZONAS (4 + 4 +</v>
      </c>
      <c r="C322" s="4" t="str">
        <f>IFERROR(__xludf.DUMMYFUNCTION("""COMPUTED_VALUE"""),"Central de Alarma 8 zonas (4 + 4 + 48 inalambricas), Comunicación via linea telefonica y configuracion Remota desde APP Android/ios con modulo LAN o GSM no incluido QR en tapa, Supervision de enlace LAN, 3 salidas PGM Activacion via remoto o APP, Soporta "&amp;"4 teclados, Soporta hasta 128 dispositivos RF, Registro 256 Eventos con fecha y hora, (Es necesario el receptor XAR4000 para dispositivos inalambricos) Incluye Teclado LCD. Soporta modulos LAN/GPRS XEG4000 y XEG4010")</f>
        <v>Central de Alarma 8 zonas (4 + 4 + 48 inalambricas), Comunicación via linea telefonica y configuracion Remota desde APP Android/ios con modulo LAN o GSM no incluido QR en tapa, Supervision de enlace LAN, 3 salidas PGM Activacion via remoto o APP, Soporta 4 teclados, Soporta hasta 128 dispositivos RF, Registro 256 Eventos con fecha y hora, (Es necesario el receptor XAR4000 para dispositivos inalambricos) Incluye Teclado LCD. Soporta modulos LAN/GPRS XEG4000 y XEG4010</v>
      </c>
      <c r="D322" s="4" t="str">
        <f>IFERROR(__xludf.DUMMYFUNCTION("""COMPUTED_VALUE"""),"INTELBRAS")</f>
        <v>INTELBRAS</v>
      </c>
      <c r="E322" s="4" t="str">
        <f>IFERROR(__xludf.DUMMYFUNCTION("""COMPUTED_VALUE"""),"INT-AMT4010")</f>
        <v>INT-AMT4010</v>
      </c>
      <c r="F322" s="4" t="str">
        <f>IFERROR(__xludf.DUMMYFUNCTION("""COMPUTED_VALUE"""),"ALARMAS &gt; ALARMAS INTELBRAS")</f>
        <v>ALARMAS &gt; ALARMAS INTELBRAS</v>
      </c>
      <c r="G322" s="5"/>
      <c r="H322" s="6">
        <f>IFERROR(__xludf.DUMMYFUNCTION("""COMPUTED_VALUE"""),136.11)</f>
        <v>136.11</v>
      </c>
      <c r="I322" s="7">
        <f>IFERROR(__xludf.DUMMYFUNCTION("""COMPUTED_VALUE"""),21.0)</f>
        <v>21</v>
      </c>
      <c r="J322" s="6">
        <f>IFERROR(__xludf.DUMMYFUNCTION("""COMPUTED_VALUE"""),163.33)</f>
        <v>163.33</v>
      </c>
      <c r="K322" s="6">
        <f>IFERROR(__xludf.DUMMYFUNCTION("""COMPUTED_VALUE"""),190.55)</f>
        <v>190.55</v>
      </c>
      <c r="L322" s="3"/>
      <c r="M322" s="3"/>
    </row>
    <row r="323" ht="48.0" customHeight="1">
      <c r="A323" s="3" t="str">
        <f>IFERROR(__xludf.DUMMYFUNCTION("""COMPUTED_VALUE"""),"INT-XAT3000LED")</f>
        <v>INT-XAT3000LED</v>
      </c>
      <c r="B323" s="4" t="str">
        <f>IFERROR(__xludf.DUMMYFUNCTION("""COMPUTED_VALUE"""),"TECLADO LED, 2 ZONAS EN TECLADO,FUNCION TAMPER, BOTONES PANICO,")</f>
        <v>TECLADO LED, 2 ZONAS EN TECLADO,FUNCION TAMPER, BOTONES PANICO,</v>
      </c>
      <c r="C323" s="4" t="str">
        <f>IFERROR(__xludf.DUMMYFUNCTION("""COMPUTED_VALUE"""),"Teclado LED, 2 zonas en teclado,Funcion Tamper, Botones Panico, Incendio y Medico, indicador de bateria Comunicación")</f>
        <v>Teclado LED, 2 zonas en teclado,Funcion Tamper, Botones Panico, Incendio y Medico, indicador de bateria Comunicación</v>
      </c>
      <c r="D323" s="4" t="str">
        <f>IFERROR(__xludf.DUMMYFUNCTION("""COMPUTED_VALUE"""),"INTELBRAS")</f>
        <v>INTELBRAS</v>
      </c>
      <c r="E323" s="4" t="str">
        <f>IFERROR(__xludf.DUMMYFUNCTION("""COMPUTED_VALUE"""),"INT-XAT3000LED")</f>
        <v>INT-XAT3000LED</v>
      </c>
      <c r="F323" s="4" t="str">
        <f>IFERROR(__xludf.DUMMYFUNCTION("""COMPUTED_VALUE"""),"ALARMAS &gt; ALARMAS INTELBRAS")</f>
        <v>ALARMAS &gt; ALARMAS INTELBRAS</v>
      </c>
      <c r="G323" s="5"/>
      <c r="H323" s="6">
        <f>IFERROR(__xludf.DUMMYFUNCTION("""COMPUTED_VALUE"""),29.72)</f>
        <v>29.72</v>
      </c>
      <c r="I323" s="7">
        <f>IFERROR(__xludf.DUMMYFUNCTION("""COMPUTED_VALUE"""),21.0)</f>
        <v>21</v>
      </c>
      <c r="J323" s="6">
        <f>IFERROR(__xludf.DUMMYFUNCTION("""COMPUTED_VALUE"""),35.66)</f>
        <v>35.66</v>
      </c>
      <c r="K323" s="6">
        <f>IFERROR(__xludf.DUMMYFUNCTION("""COMPUTED_VALUE"""),41.61)</f>
        <v>41.61</v>
      </c>
      <c r="L323" s="3"/>
      <c r="M323" s="3"/>
    </row>
    <row r="324" ht="48.0" customHeight="1">
      <c r="A324" s="3" t="str">
        <f>IFERROR(__xludf.DUMMYFUNCTION("""COMPUTED_VALUE"""),"INT-XAT4000")</f>
        <v>INT-XAT4000</v>
      </c>
      <c r="B324" s="4" t="str">
        <f>IFERROR(__xludf.DUMMYFUNCTION("""COMPUTED_VALUE"""),"TECLADO LCD, 2 ZONAS EN TECLADO,FUNCION TAMPER, BOTONES PANICO,")</f>
        <v>TECLADO LCD, 2 ZONAS EN TECLADO,FUNCION TAMPER, BOTONES PANICO,</v>
      </c>
      <c r="C324" s="4" t="str">
        <f>IFERROR(__xludf.DUMMYFUNCTION("""COMPUTED_VALUE"""),"Teclado LCD, 2 zonas en teclado,Funcion Tamper, Botones Panico, Incendio y Medico Comunicación RS232/RS485, visualizacion de eventos en modo texto, fecha hora y nivel de bateria en display.")</f>
        <v>Teclado LCD, 2 zonas en teclado,Funcion Tamper, Botones Panico, Incendio y Medico Comunicación RS232/RS485, visualizacion de eventos en modo texto, fecha hora y nivel de bateria en display.</v>
      </c>
      <c r="D324" s="4" t="str">
        <f>IFERROR(__xludf.DUMMYFUNCTION("""COMPUTED_VALUE"""),"INTELBRAS")</f>
        <v>INTELBRAS</v>
      </c>
      <c r="E324" s="4" t="str">
        <f>IFERROR(__xludf.DUMMYFUNCTION("""COMPUTED_VALUE"""),"INT-XAT4000")</f>
        <v>INT-XAT4000</v>
      </c>
      <c r="F324" s="4" t="str">
        <f>IFERROR(__xludf.DUMMYFUNCTION("""COMPUTED_VALUE"""),"ALARMAS &gt; ALARMAS INTELBRAS")</f>
        <v>ALARMAS &gt; ALARMAS INTELBRAS</v>
      </c>
      <c r="G324" s="5"/>
      <c r="H324" s="6">
        <f>IFERROR(__xludf.DUMMYFUNCTION("""COMPUTED_VALUE"""),41.62)</f>
        <v>41.62</v>
      </c>
      <c r="I324" s="7">
        <f>IFERROR(__xludf.DUMMYFUNCTION("""COMPUTED_VALUE"""),21.0)</f>
        <v>21</v>
      </c>
      <c r="J324" s="6">
        <f>IFERROR(__xludf.DUMMYFUNCTION("""COMPUTED_VALUE"""),49.94)</f>
        <v>49.94</v>
      </c>
      <c r="K324" s="6">
        <f>IFERROR(__xludf.DUMMYFUNCTION("""COMPUTED_VALUE"""),58.27)</f>
        <v>58.27</v>
      </c>
      <c r="L324" s="3"/>
      <c r="M324" s="3"/>
    </row>
    <row r="325" ht="48.0" customHeight="1">
      <c r="A325" s="3" t="str">
        <f>IFERROR(__xludf.DUMMYFUNCTION("""COMPUTED_VALUE"""),"INT-XAC4000")</f>
        <v>INT-XAC4000</v>
      </c>
      <c r="B325" s="4" t="str">
        <f>IFERROR(__xludf.DUMMYFUNCTION("""COMPUTED_VALUE"""),"CONTROL REMOTO 433,92 MHZ, MODULACION OOK Y FSK, ANTIBLOQUEO")</f>
        <v>CONTROL REMOTO 433,92 MHZ, MODULACION OOK Y FSK, ANTIBLOQUEO</v>
      </c>
      <c r="C325" s="4" t="str">
        <f>IFERROR(__xludf.DUMMYFUNCTION("""COMPUTED_VALUE"""),"Control Remoto 433,92 Mhz, Modulacion OOK y FSK, Antibloqueo de teclas, Indicador de Bateria baja Diseño diferenciado")</f>
        <v>Control Remoto 433,92 Mhz, Modulacion OOK y FSK, Antibloqueo de teclas, Indicador de Bateria baja Diseño diferenciado</v>
      </c>
      <c r="D325" s="4" t="str">
        <f>IFERROR(__xludf.DUMMYFUNCTION("""COMPUTED_VALUE"""),"INTELBRAS")</f>
        <v>INTELBRAS</v>
      </c>
      <c r="E325" s="4" t="str">
        <f>IFERROR(__xludf.DUMMYFUNCTION("""COMPUTED_VALUE"""),"INT-XAC4000")</f>
        <v>INT-XAC4000</v>
      </c>
      <c r="F325" s="4" t="str">
        <f>IFERROR(__xludf.DUMMYFUNCTION("""COMPUTED_VALUE"""),"ALARMAS &gt; ALARMAS INTELBRAS")</f>
        <v>ALARMAS &gt; ALARMAS INTELBRAS</v>
      </c>
      <c r="G325" s="5"/>
      <c r="H325" s="6">
        <f>IFERROR(__xludf.DUMMYFUNCTION("""COMPUTED_VALUE"""),7.05)</f>
        <v>7.05</v>
      </c>
      <c r="I325" s="7">
        <f>IFERROR(__xludf.DUMMYFUNCTION("""COMPUTED_VALUE"""),21.0)</f>
        <v>21</v>
      </c>
      <c r="J325" s="6">
        <f>IFERROR(__xludf.DUMMYFUNCTION("""COMPUTED_VALUE"""),8.46)</f>
        <v>8.46</v>
      </c>
      <c r="K325" s="6">
        <f>IFERROR(__xludf.DUMMYFUNCTION("""COMPUTED_VALUE"""),9.87)</f>
        <v>9.87</v>
      </c>
      <c r="L325" s="3"/>
      <c r="M325" s="3"/>
    </row>
    <row r="326" ht="48.0" customHeight="1">
      <c r="A326" s="3" t="str">
        <f>IFERROR(__xludf.DUMMYFUNCTION("""COMPUTED_VALUE"""),"INT-TX4020")</f>
        <v>INT-TX4020</v>
      </c>
      <c r="B326" s="4" t="str">
        <f>IFERROR(__xludf.DUMMYFUNCTION("""COMPUTED_VALUE"""),"TRASMISOR UNIVERSAL INALAMBRICO PUEDE SER UTILIZADO CON CUALQUIER SENS")</f>
        <v>TRASMISOR UNIVERSAL INALAMBRICO PUEDE SER UTILIZADO CON CUALQUIER SENS</v>
      </c>
      <c r="C326" s="4" t="str">
        <f>IFERROR(__xludf.DUMMYFUNCTION("""COMPUTED_VALUE"""),"Trasmisor Universal inalambrico Puede ser utilizado con cualquier sensor cableado de distintas marcas,aviso de bateria baja, alcance 100 mts")</f>
        <v>Trasmisor Universal inalambrico Puede ser utilizado con cualquier sensor cableado de distintas marcas,aviso de bateria baja, alcance 100 mts</v>
      </c>
      <c r="D326" s="4" t="str">
        <f>IFERROR(__xludf.DUMMYFUNCTION("""COMPUTED_VALUE"""),"INTELBRAS")</f>
        <v>INTELBRAS</v>
      </c>
      <c r="E326" s="4" t="str">
        <f>IFERROR(__xludf.DUMMYFUNCTION("""COMPUTED_VALUE"""),"INT-TX4020")</f>
        <v>INT-TX4020</v>
      </c>
      <c r="F326" s="4" t="str">
        <f>IFERROR(__xludf.DUMMYFUNCTION("""COMPUTED_VALUE"""),"ALARMAS &gt; ALARMAS INTELBRAS")</f>
        <v>ALARMAS &gt; ALARMAS INTELBRAS</v>
      </c>
      <c r="G326" s="5"/>
      <c r="H326" s="6">
        <f>IFERROR(__xludf.DUMMYFUNCTION("""COMPUTED_VALUE"""),9.59)</f>
        <v>9.59</v>
      </c>
      <c r="I326" s="7">
        <f>IFERROR(__xludf.DUMMYFUNCTION("""COMPUTED_VALUE"""),21.0)</f>
        <v>21</v>
      </c>
      <c r="J326" s="6">
        <f>IFERROR(__xludf.DUMMYFUNCTION("""COMPUTED_VALUE"""),11.51)</f>
        <v>11.51</v>
      </c>
      <c r="K326" s="6">
        <f>IFERROR(__xludf.DUMMYFUNCTION("""COMPUTED_VALUE"""),13.43)</f>
        <v>13.43</v>
      </c>
      <c r="L326" s="3"/>
      <c r="M326" s="3"/>
    </row>
    <row r="327" ht="48.0" customHeight="1">
      <c r="A327" s="3" t="str">
        <f>IFERROR(__xludf.DUMMYFUNCTION("""COMPUTED_VALUE"""),"INT-XAR4000P")</f>
        <v>INT-XAR4000P</v>
      </c>
      <c r="B327" s="4" t="str">
        <f>IFERROR(__xludf.DUMMYFUNCTION("""COMPUTED_VALUE"""),"RECEPTOR RF PLACA PARA CENTRALES DE ALARAMA INTELBRAS HASTA")</f>
        <v>RECEPTOR RF PLACA PARA CENTRALES DE ALARAMA INTELBRAS HASTA</v>
      </c>
      <c r="C327" s="4" t="str">
        <f>IFERROR(__xludf.DUMMYFUNCTION("""COMPUTED_VALUE"""),"Receptor RF Placa para centrales de alarama Intelbras hasta 128 dispositivos modo de comunicación RS232/RS485")</f>
        <v>Receptor RF Placa para centrales de alarama Intelbras hasta 128 dispositivos modo de comunicación RS232/RS485</v>
      </c>
      <c r="D327" s="4" t="str">
        <f>IFERROR(__xludf.DUMMYFUNCTION("""COMPUTED_VALUE"""),"INTELBRAS")</f>
        <v>INTELBRAS</v>
      </c>
      <c r="E327" s="4" t="str">
        <f>IFERROR(__xludf.DUMMYFUNCTION("""COMPUTED_VALUE"""),"INT-XAR4000P")</f>
        <v>INT-XAR4000P</v>
      </c>
      <c r="F327" s="4" t="str">
        <f>IFERROR(__xludf.DUMMYFUNCTION("""COMPUTED_VALUE"""),"ALARMAS &gt; ALARMAS INTELBRAS")</f>
        <v>ALARMAS &gt; ALARMAS INTELBRAS</v>
      </c>
      <c r="G327" s="5"/>
      <c r="H327" s="6">
        <f>IFERROR(__xludf.DUMMYFUNCTION("""COMPUTED_VALUE"""),18.95)</f>
        <v>18.95</v>
      </c>
      <c r="I327" s="7">
        <f>IFERROR(__xludf.DUMMYFUNCTION("""COMPUTED_VALUE"""),10.5)</f>
        <v>10.5</v>
      </c>
      <c r="J327" s="6">
        <f>IFERROR(__xludf.DUMMYFUNCTION("""COMPUTED_VALUE"""),22.74)</f>
        <v>22.74</v>
      </c>
      <c r="K327" s="6">
        <f>IFERROR(__xludf.DUMMYFUNCTION("""COMPUTED_VALUE"""),26.53)</f>
        <v>26.53</v>
      </c>
      <c r="L327" s="3"/>
      <c r="M327" s="3"/>
    </row>
    <row r="328" ht="48.0" customHeight="1">
      <c r="A328" s="3" t="str">
        <f>IFERROR(__xludf.DUMMYFUNCTION("""COMPUTED_VALUE"""),"INT-XAR4000G")</f>
        <v>INT-XAR4000G</v>
      </c>
      <c r="B328" s="4" t="str">
        <f>IFERROR(__xludf.DUMMYFUNCTION("""COMPUTED_VALUE"""),"RECEPTOR RF EN GABINETE PLASTICO PARA CENTRALES DE ALARAMA")</f>
        <v>RECEPTOR RF EN GABINETE PLASTICO PARA CENTRALES DE ALARAMA</v>
      </c>
      <c r="C328" s="4" t="str">
        <f>IFERROR(__xludf.DUMMYFUNCTION("""COMPUTED_VALUE"""),"Receptor RF en gabinete plastico para centrales de alarama Intelbras hasta 128 dispositivos modo de comunicación RS232/RS485 .")</f>
        <v>Receptor RF en gabinete plastico para centrales de alarama Intelbras hasta 128 dispositivos modo de comunicación RS232/RS485 .</v>
      </c>
      <c r="D328" s="4" t="str">
        <f>IFERROR(__xludf.DUMMYFUNCTION("""COMPUTED_VALUE"""),"INTELBRAS")</f>
        <v>INTELBRAS</v>
      </c>
      <c r="E328" s="4" t="str">
        <f>IFERROR(__xludf.DUMMYFUNCTION("""COMPUTED_VALUE"""),"INT-XAR4000G")</f>
        <v>INT-XAR4000G</v>
      </c>
      <c r="F328" s="4" t="str">
        <f>IFERROR(__xludf.DUMMYFUNCTION("""COMPUTED_VALUE"""),"ALARMAS &gt; ALARMAS INTELBRAS")</f>
        <v>ALARMAS &gt; ALARMAS INTELBRAS</v>
      </c>
      <c r="G328" s="5"/>
      <c r="H328" s="6">
        <f>IFERROR(__xludf.DUMMYFUNCTION("""COMPUTED_VALUE"""),21.84)</f>
        <v>21.84</v>
      </c>
      <c r="I328" s="7">
        <f>IFERROR(__xludf.DUMMYFUNCTION("""COMPUTED_VALUE"""),21.0)</f>
        <v>21</v>
      </c>
      <c r="J328" s="6">
        <f>IFERROR(__xludf.DUMMYFUNCTION("""COMPUTED_VALUE"""),26.21)</f>
        <v>26.21</v>
      </c>
      <c r="K328" s="6">
        <f>IFERROR(__xludf.DUMMYFUNCTION("""COMPUTED_VALUE"""),30.58)</f>
        <v>30.58</v>
      </c>
      <c r="L328" s="3"/>
      <c r="M328" s="3"/>
    </row>
    <row r="329" ht="48.0" customHeight="1">
      <c r="A329" s="3" t="str">
        <f>IFERROR(__xludf.DUMMYFUNCTION("""COMPUTED_VALUE"""),"INT-XAR3060")</f>
        <v>INT-XAR3060</v>
      </c>
      <c r="B329" s="4" t="str">
        <f>IFERROR(__xludf.DUMMYFUNCTION("""COMPUTED_VALUE"""),"RECEPTOR UNIVERSAL DE 2 CANALES Y HASTA 60 DISPOSITIVOS")</f>
        <v>RECEPTOR UNIVERSAL DE 2 CANALES Y HASTA 60 DISPOSITIVOS</v>
      </c>
      <c r="C329" s="4" t="str">
        <f>IFERROR(__xludf.DUMMYFUNCTION("""COMPUTED_VALUE"""),"Receptor universal de 2 canales y hasta 60 dispositivos inalámbricos, 2 rele NC/NA, Hasta 100 mts de alcance. Protocolo wiegand")</f>
        <v>Receptor universal de 2 canales y hasta 60 dispositivos inalámbricos, 2 rele NC/NA, Hasta 100 mts de alcance. Protocolo wiegand</v>
      </c>
      <c r="D329" s="4" t="str">
        <f>IFERROR(__xludf.DUMMYFUNCTION("""COMPUTED_VALUE"""),"INTELBRAS")</f>
        <v>INTELBRAS</v>
      </c>
      <c r="E329" s="4" t="str">
        <f>IFERROR(__xludf.DUMMYFUNCTION("""COMPUTED_VALUE"""),"INT-XAR3060")</f>
        <v>INT-XAR3060</v>
      </c>
      <c r="F329" s="4" t="str">
        <f>IFERROR(__xludf.DUMMYFUNCTION("""COMPUTED_VALUE"""),"ALARMAS &gt; ALARMAS INTELBRAS")</f>
        <v>ALARMAS &gt; ALARMAS INTELBRAS</v>
      </c>
      <c r="G329" s="5"/>
      <c r="H329" s="6">
        <f>IFERROR(__xludf.DUMMYFUNCTION("""COMPUTED_VALUE"""),23.68)</f>
        <v>23.68</v>
      </c>
      <c r="I329" s="7">
        <f>IFERROR(__xludf.DUMMYFUNCTION("""COMPUTED_VALUE"""),21.0)</f>
        <v>21</v>
      </c>
      <c r="J329" s="6">
        <f>IFERROR(__xludf.DUMMYFUNCTION("""COMPUTED_VALUE"""),28.42)</f>
        <v>28.42</v>
      </c>
      <c r="K329" s="6">
        <f>IFERROR(__xludf.DUMMYFUNCTION("""COMPUTED_VALUE"""),33.15)</f>
        <v>33.15</v>
      </c>
      <c r="L329" s="3"/>
      <c r="M329" s="3"/>
    </row>
    <row r="330" ht="48.0" customHeight="1">
      <c r="A330" s="3" t="str">
        <f>IFERROR(__xludf.DUMMYFUNCTION("""COMPUTED_VALUE"""),"INT-XASSMART")</f>
        <v>INT-XASSMART</v>
      </c>
      <c r="B330" s="4" t="str">
        <f>IFERROR(__xludf.DUMMYFUNCTION("""COMPUTED_VALUE"""),"SENSOR MAGNETICO DE APERTURA INALAMBRICO 433,92 MHZ, LED INDICADOR,")</f>
        <v>SENSOR MAGNETICO DE APERTURA INALAMBRICO 433,92 MHZ, LED INDICADOR,</v>
      </c>
      <c r="C330" s="4" t="str">
        <f>IFERROR(__xludf.DUMMYFUNCTION("""COMPUTED_VALUE"""),"Sensor Magnetico de apertura Inalambrico 433,92 Mhz, Led indicador, Aviso de bateria baja, Modulacion OOK y FSK")</f>
        <v>Sensor Magnetico de apertura Inalambrico 433,92 Mhz, Led indicador, Aviso de bateria baja, Modulacion OOK y FSK</v>
      </c>
      <c r="D330" s="4" t="str">
        <f>IFERROR(__xludf.DUMMYFUNCTION("""COMPUTED_VALUE"""),"INTELBRAS")</f>
        <v>INTELBRAS</v>
      </c>
      <c r="E330" s="4" t="str">
        <f>IFERROR(__xludf.DUMMYFUNCTION("""COMPUTED_VALUE"""),"INT-XASSMART")</f>
        <v>INT-XASSMART</v>
      </c>
      <c r="F330" s="4" t="str">
        <f>IFERROR(__xludf.DUMMYFUNCTION("""COMPUTED_VALUE"""),"ALARMAS &gt; ALARMAS INTELBRAS")</f>
        <v>ALARMAS &gt; ALARMAS INTELBRAS</v>
      </c>
      <c r="G330" s="5"/>
      <c r="H330" s="6">
        <f>IFERROR(__xludf.DUMMYFUNCTION("""COMPUTED_VALUE"""),12.94)</f>
        <v>12.94</v>
      </c>
      <c r="I330" s="7">
        <f>IFERROR(__xludf.DUMMYFUNCTION("""COMPUTED_VALUE"""),10.5)</f>
        <v>10.5</v>
      </c>
      <c r="J330" s="6">
        <f>IFERROR(__xludf.DUMMYFUNCTION("""COMPUTED_VALUE"""),15.53)</f>
        <v>15.53</v>
      </c>
      <c r="K330" s="6">
        <f>IFERROR(__xludf.DUMMYFUNCTION("""COMPUTED_VALUE"""),18.12)</f>
        <v>18.12</v>
      </c>
      <c r="L330" s="3"/>
      <c r="M330" s="3"/>
    </row>
    <row r="331" ht="48.0" customHeight="1">
      <c r="A331" s="3" t="str">
        <f>IFERROR(__xludf.DUMMYFUNCTION("""COMPUTED_VALUE"""),"INT-IVP1000PSF")</f>
        <v>INT-IVP1000PSF</v>
      </c>
      <c r="B331" s="4" t="str">
        <f>IFERROR(__xludf.DUMMYFUNCTION("""COMPUTED_VALUE"""),"SENSOR PIR INALAMBRICO, ANGULO 90 GRADOS 12 METROS DE")</f>
        <v>SENSOR PIR INALAMBRICO, ANGULO 90 GRADOS 12 METROS DE</v>
      </c>
      <c r="C331" s="4" t="str">
        <f>IFERROR(__xludf.DUMMYFUNCTION("""COMPUTED_VALUE"""),"Sensor PIR inalambrico, angulo 90 grados 12 metros de alcance, 2 niveles de sensibilidad Pet inmune")</f>
        <v>Sensor PIR inalambrico, angulo 90 grados 12 metros de alcance, 2 niveles de sensibilidad Pet inmune</v>
      </c>
      <c r="D331" s="4" t="str">
        <f>IFERROR(__xludf.DUMMYFUNCTION("""COMPUTED_VALUE"""),"INTELBRAS")</f>
        <v>INTELBRAS</v>
      </c>
      <c r="E331" s="4" t="str">
        <f>IFERROR(__xludf.DUMMYFUNCTION("""COMPUTED_VALUE"""),"INT-IVP1000PSF")</f>
        <v>INT-IVP1000PSF</v>
      </c>
      <c r="F331" s="4" t="str">
        <f>IFERROR(__xludf.DUMMYFUNCTION("""COMPUTED_VALUE"""),"ALARMAS &gt; ALARMAS INTELBRAS")</f>
        <v>ALARMAS &gt; ALARMAS INTELBRAS</v>
      </c>
      <c r="G331" s="5"/>
      <c r="H331" s="6">
        <f>IFERROR(__xludf.DUMMYFUNCTION("""COMPUTED_VALUE"""),19.25)</f>
        <v>19.25</v>
      </c>
      <c r="I331" s="7">
        <f>IFERROR(__xludf.DUMMYFUNCTION("""COMPUTED_VALUE"""),21.0)</f>
        <v>21</v>
      </c>
      <c r="J331" s="6">
        <f>IFERROR(__xludf.DUMMYFUNCTION("""COMPUTED_VALUE"""),23.1)</f>
        <v>23.1</v>
      </c>
      <c r="K331" s="6">
        <f>IFERROR(__xludf.DUMMYFUNCTION("""COMPUTED_VALUE"""),26.95)</f>
        <v>26.95</v>
      </c>
      <c r="L331" s="3"/>
      <c r="M331" s="3"/>
    </row>
    <row r="332" ht="48.0" customHeight="1">
      <c r="A332" s="3" t="str">
        <f>IFERROR(__xludf.DUMMYFUNCTION("""COMPUTED_VALUE"""),"INT-IVP1000PSM")</f>
        <v>INT-IVP1000PSM</v>
      </c>
      <c r="B332" s="4" t="str">
        <f>IFERROR(__xludf.DUMMYFUNCTION("""COMPUTED_VALUE"""),"SENSOR PIR INALAMBRICO CON ANTIDESARME Y FUNCIÓN SMART (SUPERVISADO),")</f>
        <v>SENSOR PIR INALAMBRICO CON ANTIDESARME Y FUNCIÓN SMART (SUPERVISADO),</v>
      </c>
      <c r="C332" s="4" t="str">
        <f>IFERROR(__xludf.DUMMYFUNCTION("""COMPUTED_VALUE"""),"Sensor PIR inalambrico con antidesarme y función SMART (Supervisado), angulo 90 grados 12 metros de alcance, 2 niveles de sensibilidad 20KG Pet SMART Incluye bateria Largo alcance de trasmision hasta 400 metros Incluye bateria")</f>
        <v>Sensor PIR inalambrico con antidesarme y función SMART (Supervisado), angulo 90 grados 12 metros de alcance, 2 niveles de sensibilidad 20KG Pet SMART Incluye bateria Largo alcance de trasmision hasta 400 metros Incluye bateria</v>
      </c>
      <c r="D332" s="4" t="str">
        <f>IFERROR(__xludf.DUMMYFUNCTION("""COMPUTED_VALUE"""),"INTELBRAS")</f>
        <v>INTELBRAS</v>
      </c>
      <c r="E332" s="4" t="str">
        <f>IFERROR(__xludf.DUMMYFUNCTION("""COMPUTED_VALUE"""),"INT-IVP1000PSM")</f>
        <v>INT-IVP1000PSM</v>
      </c>
      <c r="F332" s="4" t="str">
        <f>IFERROR(__xludf.DUMMYFUNCTION("""COMPUTED_VALUE"""),"ALARMAS &gt; ALARMAS INTELBRAS")</f>
        <v>ALARMAS &gt; ALARMAS INTELBRAS</v>
      </c>
      <c r="G332" s="5"/>
      <c r="H332" s="6">
        <f>IFERROR(__xludf.DUMMYFUNCTION("""COMPUTED_VALUE"""),21.84)</f>
        <v>21.84</v>
      </c>
      <c r="I332" s="7">
        <f>IFERROR(__xludf.DUMMYFUNCTION("""COMPUTED_VALUE"""),21.0)</f>
        <v>21</v>
      </c>
      <c r="J332" s="6">
        <f>IFERROR(__xludf.DUMMYFUNCTION("""COMPUTED_VALUE"""),26.21)</f>
        <v>26.21</v>
      </c>
      <c r="K332" s="6">
        <f>IFERROR(__xludf.DUMMYFUNCTION("""COMPUTED_VALUE"""),30.58)</f>
        <v>30.58</v>
      </c>
      <c r="L332" s="3"/>
      <c r="M332" s="3"/>
    </row>
    <row r="333" ht="48.0" customHeight="1">
      <c r="A333" s="3" t="str">
        <f>IFERROR(__xludf.DUMMYFUNCTION("""COMPUTED_VALUE"""),"INT-XEZ4008")</f>
        <v>INT-XEZ4008</v>
      </c>
      <c r="B333" s="4" t="str">
        <f>IFERROR(__xludf.DUMMYFUNCTION("""COMPUTED_VALUE"""),"MODULO EXPANSION DE 8 ZONAS NO PERMITE DUPLICACION, UTILIZANDO")</f>
        <v>MODULO EXPANSION DE 8 ZONAS NO PERMITE DUPLICACION, UTILIZANDO</v>
      </c>
      <c r="C333" s="4" t="str">
        <f>IFERROR(__xludf.DUMMYFUNCTION("""COMPUTED_VALUE"""),"Modulo Expansion de 8 zonas no permite duplicacion, Utilizando la conexión Bus se pueden llegar a 48 zonas mas. Compatible Línea 4000")</f>
        <v>Modulo Expansion de 8 zonas no permite duplicacion, Utilizando la conexión Bus se pueden llegar a 48 zonas mas. Compatible Línea 4000</v>
      </c>
      <c r="D333" s="4" t="str">
        <f>IFERROR(__xludf.DUMMYFUNCTION("""COMPUTED_VALUE"""),"INTELBRAS")</f>
        <v>INTELBRAS</v>
      </c>
      <c r="E333" s="4" t="str">
        <f>IFERROR(__xludf.DUMMYFUNCTION("""COMPUTED_VALUE"""),"INT-XEZ4008")</f>
        <v>INT-XEZ4008</v>
      </c>
      <c r="F333" s="4" t="str">
        <f>IFERROR(__xludf.DUMMYFUNCTION("""COMPUTED_VALUE"""),"ALARMAS &gt; ALARMAS INTELBRAS")</f>
        <v>ALARMAS &gt; ALARMAS INTELBRAS</v>
      </c>
      <c r="G333" s="5"/>
      <c r="H333" s="6">
        <f>IFERROR(__xludf.DUMMYFUNCTION("""COMPUTED_VALUE"""),29.93)</f>
        <v>29.93</v>
      </c>
      <c r="I333" s="7">
        <f>IFERROR(__xludf.DUMMYFUNCTION("""COMPUTED_VALUE"""),10.5)</f>
        <v>10.5</v>
      </c>
      <c r="J333" s="6">
        <f>IFERROR(__xludf.DUMMYFUNCTION("""COMPUTED_VALUE"""),35.92)</f>
        <v>35.92</v>
      </c>
      <c r="K333" s="6">
        <f>IFERROR(__xludf.DUMMYFUNCTION("""COMPUTED_VALUE"""),41.9)</f>
        <v>41.9</v>
      </c>
      <c r="L333" s="3"/>
      <c r="M333" s="3"/>
    </row>
    <row r="334" ht="48.0" customHeight="1">
      <c r="A334" s="3" t="str">
        <f>IFERROR(__xludf.DUMMYFUNCTION("""COMPUTED_VALUE"""),"INT-XEP4004")</f>
        <v>INT-XEP4004</v>
      </c>
      <c r="B334" s="4" t="str">
        <f>IFERROR(__xludf.DUMMYFUNCTION("""COMPUTED_VALUE"""),"MODULO EXPANSION SALIDA DE RELE 4 PGM, UTILIZANDO LA")</f>
        <v>MODULO EXPANSION SALIDA DE RELE 4 PGM, UTILIZANDO LA</v>
      </c>
      <c r="C334" s="4" t="str">
        <f>IFERROR(__xludf.DUMMYFUNCTION("""COMPUTED_VALUE"""),"Modulo Expansion salida de rele 4 PGM, Utilizando la conexión Bus se puede llegar a 16 salidas PGM. Compatible Línea 4000")</f>
        <v>Modulo Expansion salida de rele 4 PGM, Utilizando la conexión Bus se puede llegar a 16 salidas PGM. Compatible Línea 4000</v>
      </c>
      <c r="D334" s="4" t="str">
        <f>IFERROR(__xludf.DUMMYFUNCTION("""COMPUTED_VALUE"""),"INTELBRAS")</f>
        <v>INTELBRAS</v>
      </c>
      <c r="E334" s="4" t="str">
        <f>IFERROR(__xludf.DUMMYFUNCTION("""COMPUTED_VALUE"""),"INT-XEP4004")</f>
        <v>INT-XEP4004</v>
      </c>
      <c r="F334" s="4" t="str">
        <f>IFERROR(__xludf.DUMMYFUNCTION("""COMPUTED_VALUE"""),"ALARMAS &gt; ALARMAS INTELBRAS")</f>
        <v>ALARMAS &gt; ALARMAS INTELBRAS</v>
      </c>
      <c r="G334" s="5"/>
      <c r="H334" s="6">
        <f>IFERROR(__xludf.DUMMYFUNCTION("""COMPUTED_VALUE"""),24.71)</f>
        <v>24.71</v>
      </c>
      <c r="I334" s="7">
        <f>IFERROR(__xludf.DUMMYFUNCTION("""COMPUTED_VALUE"""),10.5)</f>
        <v>10.5</v>
      </c>
      <c r="J334" s="6">
        <f>IFERROR(__xludf.DUMMYFUNCTION("""COMPUTED_VALUE"""),29.65)</f>
        <v>29.65</v>
      </c>
      <c r="K334" s="6">
        <f>IFERROR(__xludf.DUMMYFUNCTION("""COMPUTED_VALUE"""),34.59)</f>
        <v>34.59</v>
      </c>
      <c r="L334" s="3"/>
      <c r="M334" s="3"/>
    </row>
    <row r="335" ht="48.0" customHeight="1">
      <c r="A335" s="3" t="str">
        <f>IFERROR(__xludf.DUMMYFUNCTION("""COMPUTED_VALUE"""),"INT-XG4G")</f>
        <v>INT-XG4G</v>
      </c>
      <c r="B335" s="4" t="str">
        <f>IFERROR(__xludf.DUMMYFUNCTION("""COMPUTED_VALUE"""),"MODULO DE GPRS 4G PARA LAS CENTRALES SMART, PRUEBA")</f>
        <v>MODULO DE GPRS 4G PARA LAS CENTRALES SMART, PRUEBA</v>
      </c>
      <c r="C335" s="4" t="str">
        <f>IFERROR(__xludf.DUMMYFUNCTION("""COMPUTED_VALUE"""),"Modulo de GPRS 4G para las centrales SMART, Prueba periodica programada de un minimo de 1 minuto, envio de eventos a 2 destinos IP. Compatible con centrales AMT 1000 Smart y AMT 2018 E Smart")</f>
        <v>Modulo de GPRS 4G para las centrales SMART, Prueba periodica programada de un minimo de 1 minuto, envio de eventos a 2 destinos IP. Compatible con centrales AMT 1000 Smart y AMT 2018 E Smart</v>
      </c>
      <c r="D335" s="4" t="str">
        <f>IFERROR(__xludf.DUMMYFUNCTION("""COMPUTED_VALUE"""),"INTELBRAS")</f>
        <v>INTELBRAS</v>
      </c>
      <c r="E335" s="4" t="str">
        <f>IFERROR(__xludf.DUMMYFUNCTION("""COMPUTED_VALUE"""),"INT-XG4G")</f>
        <v>INT-XG4G</v>
      </c>
      <c r="F335" s="4" t="str">
        <f>IFERROR(__xludf.DUMMYFUNCTION("""COMPUTED_VALUE"""),"ALARMAS &gt; ALARMAS INTELBRAS")</f>
        <v>ALARMAS &gt; ALARMAS INTELBRAS</v>
      </c>
      <c r="G335" s="5"/>
      <c r="H335" s="6">
        <f>IFERROR(__xludf.DUMMYFUNCTION("""COMPUTED_VALUE"""),83.19)</f>
        <v>83.19</v>
      </c>
      <c r="I335" s="7">
        <f>IFERROR(__xludf.DUMMYFUNCTION("""COMPUTED_VALUE"""),10.5)</f>
        <v>10.5</v>
      </c>
      <c r="J335" s="6">
        <f>IFERROR(__xludf.DUMMYFUNCTION("""COMPUTED_VALUE"""),99.83)</f>
        <v>99.83</v>
      </c>
      <c r="K335" s="6">
        <f>IFERROR(__xludf.DUMMYFUNCTION("""COMPUTED_VALUE"""),116.47)</f>
        <v>116.47</v>
      </c>
      <c r="L335" s="3"/>
      <c r="M335" s="3"/>
    </row>
    <row r="336" ht="48.0" customHeight="1">
      <c r="A336" s="3" t="str">
        <f>IFERROR(__xludf.DUMMYFUNCTION("""COMPUTED_VALUE"""),"INT-XEG4010-3G")</f>
        <v>INT-XEG4010-3G</v>
      </c>
      <c r="B336" s="4" t="str">
        <f>IFERROR(__xludf.DUMMYFUNCTION("""COMPUTED_VALUE"""),"MODULO DE LAN Y GPRS 3G , DOBLE TARJETA")</f>
        <v>MODULO DE LAN Y GPRS 3G , DOBLE TARJETA</v>
      </c>
      <c r="C336" s="4" t="str">
        <f>IFERROR(__xludf.DUMMYFUNCTION("""COMPUTED_VALUE"""),"Modulo de LAN y GPRS 3G , Doble tarjeta sim, Quad band, Antena externa, Prueba periodica programada de un minimo de 1 minuto, envio de eventos a 2 destinos IP. Compatibles con centrales INT-AMT4010")</f>
        <v>Modulo de LAN y GPRS 3G , Doble tarjeta sim, Quad band, Antena externa, Prueba periodica programada de un minimo de 1 minuto, envio de eventos a 2 destinos IP. Compatibles con centrales INT-AMT4010</v>
      </c>
      <c r="D336" s="4" t="str">
        <f>IFERROR(__xludf.DUMMYFUNCTION("""COMPUTED_VALUE"""),"INTELBRAS")</f>
        <v>INTELBRAS</v>
      </c>
      <c r="E336" s="4" t="str">
        <f>IFERROR(__xludf.DUMMYFUNCTION("""COMPUTED_VALUE"""),"INT-XEG4010-3G")</f>
        <v>INT-XEG4010-3G</v>
      </c>
      <c r="F336" s="4" t="str">
        <f>IFERROR(__xludf.DUMMYFUNCTION("""COMPUTED_VALUE"""),"ALARMAS &gt; ALARMAS INTELBRAS")</f>
        <v>ALARMAS &gt; ALARMAS INTELBRAS</v>
      </c>
      <c r="G336" s="5"/>
      <c r="H336" s="6">
        <f>IFERROR(__xludf.DUMMYFUNCTION("""COMPUTED_VALUE"""),145.35)</f>
        <v>145.35</v>
      </c>
      <c r="I336" s="7">
        <f>IFERROR(__xludf.DUMMYFUNCTION("""COMPUTED_VALUE"""),10.5)</f>
        <v>10.5</v>
      </c>
      <c r="J336" s="6">
        <f>IFERROR(__xludf.DUMMYFUNCTION("""COMPUTED_VALUE"""),174.42)</f>
        <v>174.42</v>
      </c>
      <c r="K336" s="6">
        <f>IFERROR(__xludf.DUMMYFUNCTION("""COMPUTED_VALUE"""),203.49)</f>
        <v>203.49</v>
      </c>
      <c r="L336" s="3"/>
      <c r="M336" s="3"/>
    </row>
    <row r="337" ht="48.0" customHeight="1">
      <c r="A337" s="3" t="str">
        <f>IFERROR(__xludf.DUMMYFUNCTION("""COMPUTED_VALUE"""),"HWL3000SP")</f>
        <v>HWL3000SP</v>
      </c>
      <c r="B337" s="4" t="str">
        <f>IFERROR(__xludf.DUMMYFUNCTION("""COMPUTED_VALUE"""),"CENTRAL DE ALARMAS DE HASTA 40 ZONAS INALÁMBRICAS, UNA ZONA CABLEADA")</f>
        <v>CENTRAL DE ALARMAS DE HASTA 40 ZONAS INALÁMBRICAS, UNA ZONA CABLEADA</v>
      </c>
      <c r="C337" s="4" t="str">
        <f>IFERROR(__xludf.DUMMYFUNCTION("""COMPUTED_VALUE"""),"Central de alarmas de hasta 40 zonas inalámbricas, una zona cableada. Reloj en tiempo real. Teclado completo de 16 botones, con pantalla de fácil lectura e indicadores luminosos de estatus mediante LED. Sistema incorporado de voz en doble vía. Sirena inte"&amp;"rna de 85 dB con función de voz Ocho códigos de usuario, registro de 84 eventos")</f>
        <v>Central de alarmas de hasta 40 zonas inalámbricas, una zona cableada. Reloj en tiempo real. Teclado completo de 16 botones, con pantalla de fácil lectura e indicadores luminosos de estatus mediante LED. Sistema incorporado de voz en doble vía. Sirena interna de 85 dB con función de voz Ocho códigos de usuario, registro de 84 eventos</v>
      </c>
      <c r="D337" s="4" t="str">
        <f>IFERROR(__xludf.DUMMYFUNCTION("""COMPUTED_VALUE"""),"HONEYWELL")</f>
        <v>HONEYWELL</v>
      </c>
      <c r="E337" s="4" t="str">
        <f>IFERROR(__xludf.DUMMYFUNCTION("""COMPUTED_VALUE"""),"HWL3000SP")</f>
        <v>HWL3000SP</v>
      </c>
      <c r="F337" s="4" t="str">
        <f>IFERROR(__xludf.DUMMYFUNCTION("""COMPUTED_VALUE"""),"ALARMAS &gt; ALARMAS HONEYWELL LINEA VISTA – LYNKS")</f>
        <v>ALARMAS &gt; ALARMAS HONEYWELL LINEA VISTA – LYNKS</v>
      </c>
      <c r="G337" s="5"/>
      <c r="H337" s="6">
        <f>IFERROR(__xludf.DUMMYFUNCTION("""COMPUTED_VALUE"""),110.0)</f>
        <v>110</v>
      </c>
      <c r="I337" s="7">
        <f>IFERROR(__xludf.DUMMYFUNCTION("""COMPUTED_VALUE"""),21.0)</f>
        <v>21</v>
      </c>
      <c r="J337" s="6">
        <f>IFERROR(__xludf.DUMMYFUNCTION("""COMPUTED_VALUE"""),132.0)</f>
        <v>132</v>
      </c>
      <c r="K337" s="6">
        <f>IFERROR(__xludf.DUMMYFUNCTION("""COMPUTED_VALUE"""),154.0)</f>
        <v>154</v>
      </c>
      <c r="L337" s="3"/>
      <c r="M337" s="3"/>
    </row>
    <row r="338" ht="48.0" customHeight="1">
      <c r="A338" s="3" t="str">
        <f>IFERROR(__xludf.DUMMYFUNCTION("""COMPUTED_VALUE"""),"HW5881ENH")</f>
        <v>HW5881ENH</v>
      </c>
      <c r="B338" s="4" t="str">
        <f>IFERROR(__xludf.DUMMYFUNCTION("""COMPUTED_VALUE"""),"RECEPTOR INALÁMBRICO PARA VISTA SIN LIMITES DE ZONAS")</f>
        <v>RECEPTOR INALÁMBRICO PARA VISTA SIN LIMITES DE ZONAS</v>
      </c>
      <c r="C338" s="4" t="str">
        <f>IFERROR(__xludf.DUMMYFUNCTION("""COMPUTED_VALUE"""),"Receptor inalámbrico para Vista sin limites de zonas")</f>
        <v>Receptor inalámbrico para Vista sin limites de zonas</v>
      </c>
      <c r="D338" s="4" t="str">
        <f>IFERROR(__xludf.DUMMYFUNCTION("""COMPUTED_VALUE"""),"HONEYWELL")</f>
        <v>HONEYWELL</v>
      </c>
      <c r="E338" s="4" t="str">
        <f>IFERROR(__xludf.DUMMYFUNCTION("""COMPUTED_VALUE"""),"HW5881ENH")</f>
        <v>HW5881ENH</v>
      </c>
      <c r="F338" s="4" t="str">
        <f>IFERROR(__xludf.DUMMYFUNCTION("""COMPUTED_VALUE"""),"ALARMAS &gt; ALARMAS HONEYWELL LINEA VISTA – LYNKS")</f>
        <v>ALARMAS &gt; ALARMAS HONEYWELL LINEA VISTA – LYNKS</v>
      </c>
      <c r="G338" s="5"/>
      <c r="H338" s="6">
        <f>IFERROR(__xludf.DUMMYFUNCTION("""COMPUTED_VALUE"""),60.5)</f>
        <v>60.5</v>
      </c>
      <c r="I338" s="7">
        <f>IFERROR(__xludf.DUMMYFUNCTION("""COMPUTED_VALUE"""),21.0)</f>
        <v>21</v>
      </c>
      <c r="J338" s="6">
        <f>IFERROR(__xludf.DUMMYFUNCTION("""COMPUTED_VALUE"""),72.6)</f>
        <v>72.6</v>
      </c>
      <c r="K338" s="6">
        <f>IFERROR(__xludf.DUMMYFUNCTION("""COMPUTED_VALUE"""),84.7)</f>
        <v>84.7</v>
      </c>
      <c r="L338" s="3"/>
      <c r="M338" s="3"/>
    </row>
    <row r="339" ht="48.0" customHeight="1">
      <c r="A339" s="3" t="str">
        <f>IFERROR(__xludf.DUMMYFUNCTION("""COMPUTED_VALUE"""),"HW5800RP")</f>
        <v>HW5800RP</v>
      </c>
      <c r="B339" s="4" t="str">
        <f>IFERROR(__xludf.DUMMYFUNCTION("""COMPUTED_VALUE"""),"REPETIDOR INALÁMBRICO")</f>
        <v>REPETIDOR INALÁMBRICO</v>
      </c>
      <c r="C339" s="4" t="str">
        <f>IFERROR(__xludf.DUMMYFUNCTION("""COMPUTED_VALUE"""),"Repetidor inalámbrico. Recibe alarmas, estado y mensajes de control, y repite a través del receptor primario.")</f>
        <v>Repetidor inalámbrico. Recibe alarmas, estado y mensajes de control, y repite a través del receptor primario.</v>
      </c>
      <c r="D339" s="4" t="str">
        <f>IFERROR(__xludf.DUMMYFUNCTION("""COMPUTED_VALUE"""),"HONEYWELL")</f>
        <v>HONEYWELL</v>
      </c>
      <c r="E339" s="4" t="str">
        <f>IFERROR(__xludf.DUMMYFUNCTION("""COMPUTED_VALUE"""),"HW5800RP")</f>
        <v>HW5800RP</v>
      </c>
      <c r="F339" s="4" t="str">
        <f>IFERROR(__xludf.DUMMYFUNCTION("""COMPUTED_VALUE"""),"ALARMAS &gt; ALARMAS HONEYWELL LINEA VISTA – LYNKS")</f>
        <v>ALARMAS &gt; ALARMAS HONEYWELL LINEA VISTA – LYNKS</v>
      </c>
      <c r="G339" s="5"/>
      <c r="H339" s="6">
        <f>IFERROR(__xludf.DUMMYFUNCTION("""COMPUTED_VALUE"""),88.0)</f>
        <v>88</v>
      </c>
      <c r="I339" s="7">
        <f>IFERROR(__xludf.DUMMYFUNCTION("""COMPUTED_VALUE"""),21.0)</f>
        <v>21</v>
      </c>
      <c r="J339" s="6">
        <f>IFERROR(__xludf.DUMMYFUNCTION("""COMPUTED_VALUE"""),105.6)</f>
        <v>105.6</v>
      </c>
      <c r="K339" s="6">
        <f>IFERROR(__xludf.DUMMYFUNCTION("""COMPUTED_VALUE"""),123.2)</f>
        <v>123.2</v>
      </c>
      <c r="L339" s="3"/>
      <c r="M339" s="3"/>
    </row>
    <row r="340" ht="48.0" customHeight="1">
      <c r="A340" s="3" t="str">
        <f>IFERROR(__xludf.DUMMYFUNCTION("""COMPUTED_VALUE"""),"HW5816LA")</f>
        <v>HW5816LA</v>
      </c>
      <c r="B340" s="4" t="str">
        <f>IFERROR(__xludf.DUMMYFUNCTION("""COMPUTED_VALUE"""),"TRANSMISOR UNIVERSAL INALÁMBRICO PARA MAGNÉTICO")</f>
        <v>TRANSMISOR UNIVERSAL INALÁMBRICO PARA MAGNÉTICO</v>
      </c>
      <c r="C340" s="4" t="str">
        <f>IFERROR(__xludf.DUMMYFUNCTION("""COMPUTED_VALUE"""),"Transmisor universal inalámbrico para magnético")</f>
        <v>Transmisor universal inalámbrico para magnético</v>
      </c>
      <c r="D340" s="4" t="str">
        <f>IFERROR(__xludf.DUMMYFUNCTION("""COMPUTED_VALUE"""),"HONEYWELL")</f>
        <v>HONEYWELL</v>
      </c>
      <c r="E340" s="4" t="str">
        <f>IFERROR(__xludf.DUMMYFUNCTION("""COMPUTED_VALUE"""),"HW5816LA")</f>
        <v>HW5816LA</v>
      </c>
      <c r="F340" s="4" t="str">
        <f>IFERROR(__xludf.DUMMYFUNCTION("""COMPUTED_VALUE"""),"ALARMAS &gt; ALARMAS HONEYWELL LINEA VISTA – LYNKS")</f>
        <v>ALARMAS &gt; ALARMAS HONEYWELL LINEA VISTA – LYNKS</v>
      </c>
      <c r="G340" s="5"/>
      <c r="H340" s="6">
        <f>IFERROR(__xludf.DUMMYFUNCTION("""COMPUTED_VALUE"""),42.9)</f>
        <v>42.9</v>
      </c>
      <c r="I340" s="7">
        <f>IFERROR(__xludf.DUMMYFUNCTION("""COMPUTED_VALUE"""),21.0)</f>
        <v>21</v>
      </c>
      <c r="J340" s="6">
        <f>IFERROR(__xludf.DUMMYFUNCTION("""COMPUTED_VALUE"""),51.48)</f>
        <v>51.48</v>
      </c>
      <c r="K340" s="6">
        <f>IFERROR(__xludf.DUMMYFUNCTION("""COMPUTED_VALUE"""),60.06)</f>
        <v>60.06</v>
      </c>
      <c r="L340" s="3"/>
      <c r="M340" s="3"/>
    </row>
    <row r="341" ht="48.0" customHeight="1">
      <c r="A341" s="3" t="str">
        <f>IFERROR(__xludf.DUMMYFUNCTION("""COMPUTED_VALUE"""),"HW5806W3")</f>
        <v>HW5806W3</v>
      </c>
      <c r="B341" s="4" t="str">
        <f>IFERROR(__xludf.DUMMYFUNCTION("""COMPUTED_VALUE"""),"SENSOR DE HUMO INALÁMBRICO")</f>
        <v>SENSOR DE HUMO INALÁMBRICO</v>
      </c>
      <c r="C341" s="4" t="str">
        <f>IFERROR(__xludf.DUMMYFUNCTION("""COMPUTED_VALUE"""),"Sensor de Humo inalámbrico")</f>
        <v>Sensor de Humo inalámbrico</v>
      </c>
      <c r="D341" s="4" t="str">
        <f>IFERROR(__xludf.DUMMYFUNCTION("""COMPUTED_VALUE"""),"HONEYWELL")</f>
        <v>HONEYWELL</v>
      </c>
      <c r="E341" s="4" t="str">
        <f>IFERROR(__xludf.DUMMYFUNCTION("""COMPUTED_VALUE"""),"HW5806W3")</f>
        <v>HW5806W3</v>
      </c>
      <c r="F341" s="4" t="str">
        <f>IFERROR(__xludf.DUMMYFUNCTION("""COMPUTED_VALUE"""),"ALARMAS &gt; ALARMAS HONEYWELL LINEA VISTA – LYNKS")</f>
        <v>ALARMAS &gt; ALARMAS HONEYWELL LINEA VISTA – LYNKS</v>
      </c>
      <c r="G341" s="5"/>
      <c r="H341" s="6">
        <f>IFERROR(__xludf.DUMMYFUNCTION("""COMPUTED_VALUE"""),97.9)</f>
        <v>97.9</v>
      </c>
      <c r="I341" s="7">
        <f>IFERROR(__xludf.DUMMYFUNCTION("""COMPUTED_VALUE"""),21.0)</f>
        <v>21</v>
      </c>
      <c r="J341" s="6">
        <f>IFERROR(__xludf.DUMMYFUNCTION("""COMPUTED_VALUE"""),117.48)</f>
        <v>117.48</v>
      </c>
      <c r="K341" s="6">
        <f>IFERROR(__xludf.DUMMYFUNCTION("""COMPUTED_VALUE"""),137.06)</f>
        <v>137.06</v>
      </c>
      <c r="L341" s="3"/>
      <c r="M341" s="3"/>
    </row>
    <row r="342" ht="48.0" customHeight="1">
      <c r="A342" s="3" t="str">
        <f>IFERROR(__xludf.DUMMYFUNCTION("""COMPUTED_VALUE"""),"HW5853")</f>
        <v>HW5853</v>
      </c>
      <c r="B342" s="4" t="str">
        <f>IFERROR(__xludf.DUMMYFUNCTION("""COMPUTED_VALUE"""),"SENSOR DE ROTURA DE CRISTALES INALÁMBRICO")</f>
        <v>SENSOR DE ROTURA DE CRISTALES INALÁMBRICO</v>
      </c>
      <c r="C342" s="4" t="str">
        <f>IFERROR(__xludf.DUMMYFUNCTION("""COMPUTED_VALUE"""),"Sensor de Rotura de cristales inalámbrico")</f>
        <v>Sensor de Rotura de cristales inalámbrico</v>
      </c>
      <c r="D342" s="4" t="str">
        <f>IFERROR(__xludf.DUMMYFUNCTION("""COMPUTED_VALUE"""),"HONEYWELL")</f>
        <v>HONEYWELL</v>
      </c>
      <c r="E342" s="4" t="str">
        <f>IFERROR(__xludf.DUMMYFUNCTION("""COMPUTED_VALUE"""),"HW5853")</f>
        <v>HW5853</v>
      </c>
      <c r="F342" s="4" t="str">
        <f>IFERROR(__xludf.DUMMYFUNCTION("""COMPUTED_VALUE"""),"ALARMAS &gt; ALARMAS HONEYWELL LINEA VISTA – LYNKS")</f>
        <v>ALARMAS &gt; ALARMAS HONEYWELL LINEA VISTA – LYNKS</v>
      </c>
      <c r="G342" s="5"/>
      <c r="H342" s="6">
        <f>IFERROR(__xludf.DUMMYFUNCTION("""COMPUTED_VALUE"""),93.5)</f>
        <v>93.5</v>
      </c>
      <c r="I342" s="7">
        <f>IFERROR(__xludf.DUMMYFUNCTION("""COMPUTED_VALUE"""),22.0)</f>
        <v>22</v>
      </c>
      <c r="J342" s="6">
        <f>IFERROR(__xludf.DUMMYFUNCTION("""COMPUTED_VALUE"""),112.2)</f>
        <v>112.2</v>
      </c>
      <c r="K342" s="6">
        <f>IFERROR(__xludf.DUMMYFUNCTION("""COMPUTED_VALUE"""),130.9)</f>
        <v>130.9</v>
      </c>
      <c r="L342" s="3"/>
      <c r="M342" s="3"/>
    </row>
    <row r="343" ht="48.0" customHeight="1">
      <c r="A343" s="3" t="str">
        <f>IFERROR(__xludf.DUMMYFUNCTION("""COMPUTED_VALUE"""),"HW4204")</f>
        <v>HW4204</v>
      </c>
      <c r="B343" s="4" t="str">
        <f>IFERROR(__xludf.DUMMYFUNCTION("""COMPUTED_VALUE"""),"PLACA DE 4 RELAY ADICIONALES PARA PANELES VISTA")</f>
        <v>PLACA DE 4 RELAY ADICIONALES PARA PANELES VISTA</v>
      </c>
      <c r="C343" s="4" t="str">
        <f>IFERROR(__xludf.DUMMYFUNCTION("""COMPUTED_VALUE"""),"Placa de 4 relay adicionales para paneles VISTA")</f>
        <v>Placa de 4 relay adicionales para paneles VISTA</v>
      </c>
      <c r="D343" s="4" t="str">
        <f>IFERROR(__xludf.DUMMYFUNCTION("""COMPUTED_VALUE"""),"HONEYWELL")</f>
        <v>HONEYWELL</v>
      </c>
      <c r="E343" s="4" t="str">
        <f>IFERROR(__xludf.DUMMYFUNCTION("""COMPUTED_VALUE"""),"HW4204")</f>
        <v>HW4204</v>
      </c>
      <c r="F343" s="4" t="str">
        <f>IFERROR(__xludf.DUMMYFUNCTION("""COMPUTED_VALUE"""),"ALARMAS &gt; ALARMAS HONEYWELL LINEA VISTA – LYNKS")</f>
        <v>ALARMAS &gt; ALARMAS HONEYWELL LINEA VISTA – LYNKS</v>
      </c>
      <c r="G343" s="5"/>
      <c r="H343" s="6">
        <f>IFERROR(__xludf.DUMMYFUNCTION("""COMPUTED_VALUE"""),71.5)</f>
        <v>71.5</v>
      </c>
      <c r="I343" s="7">
        <f>IFERROR(__xludf.DUMMYFUNCTION("""COMPUTED_VALUE"""),21.0)</f>
        <v>21</v>
      </c>
      <c r="J343" s="6">
        <f>IFERROR(__xludf.DUMMYFUNCTION("""COMPUTED_VALUE"""),85.8)</f>
        <v>85.8</v>
      </c>
      <c r="K343" s="6">
        <f>IFERROR(__xludf.DUMMYFUNCTION("""COMPUTED_VALUE"""),100.1)</f>
        <v>100.1</v>
      </c>
      <c r="L343" s="3"/>
      <c r="M343" s="3"/>
    </row>
    <row r="344" ht="48.0" customHeight="1">
      <c r="A344" s="3" t="str">
        <f>IFERROR(__xludf.DUMMYFUNCTION("""COMPUTED_VALUE"""),"HW6148SP")</f>
        <v>HW6148SP</v>
      </c>
      <c r="B344" s="4" t="str">
        <f>IFERROR(__xludf.DUMMYFUNCTION("""COMPUTED_VALUE"""),"TECLADO LCD NUMÉRICO CON BACKLIGHT")</f>
        <v>TECLADO LCD NUMÉRICO CON BACKLIGHT</v>
      </c>
      <c r="C344" s="4" t="str">
        <f>IFERROR(__xludf.DUMMYFUNCTION("""COMPUTED_VALUE"""),"Teclado LCD numérico con Backlight")</f>
        <v>Teclado LCD numérico con Backlight</v>
      </c>
      <c r="D344" s="4" t="str">
        <f>IFERROR(__xludf.DUMMYFUNCTION("""COMPUTED_VALUE"""),"HONEYWELL")</f>
        <v>HONEYWELL</v>
      </c>
      <c r="E344" s="4" t="str">
        <f>IFERROR(__xludf.DUMMYFUNCTION("""COMPUTED_VALUE"""),"HW6148SP")</f>
        <v>HW6148SP</v>
      </c>
      <c r="F344" s="4" t="str">
        <f>IFERROR(__xludf.DUMMYFUNCTION("""COMPUTED_VALUE"""),"ALARMAS &gt; ALARMAS HONEYWELL LINEA VISTA – LYNKS")</f>
        <v>ALARMAS &gt; ALARMAS HONEYWELL LINEA VISTA – LYNKS</v>
      </c>
      <c r="G344" s="5"/>
      <c r="H344" s="6">
        <f>IFERROR(__xludf.DUMMYFUNCTION("""COMPUTED_VALUE"""),51.7)</f>
        <v>51.7</v>
      </c>
      <c r="I344" s="7">
        <f>IFERROR(__xludf.DUMMYFUNCTION("""COMPUTED_VALUE"""),21.0)</f>
        <v>21</v>
      </c>
      <c r="J344" s="6">
        <f>IFERROR(__xludf.DUMMYFUNCTION("""COMPUTED_VALUE"""),62.04)</f>
        <v>62.04</v>
      </c>
      <c r="K344" s="6">
        <f>IFERROR(__xludf.DUMMYFUNCTION("""COMPUTED_VALUE"""),72.38)</f>
        <v>72.38</v>
      </c>
      <c r="L344" s="3"/>
      <c r="M344" s="3"/>
    </row>
    <row r="345" ht="48.0" customHeight="1">
      <c r="A345" s="3" t="str">
        <f>IFERROR(__xludf.DUMMYFUNCTION("""COMPUTED_VALUE"""),"HW5828")</f>
        <v>HW5828</v>
      </c>
      <c r="B345" s="4" t="str">
        <f>IFERROR(__xludf.DUMMYFUNCTION("""COMPUTED_VALUE"""),"TECLADO LCD INALÁMBRICO PARA LÍNEA VISTA")</f>
        <v>TECLADO LCD INALÁMBRICO PARA LÍNEA VISTA</v>
      </c>
      <c r="C345" s="4" t="str">
        <f>IFERROR(__xludf.DUMMYFUNCTION("""COMPUTED_VALUE"""),"Teclado LCD inalámbrico para línea Vista.")</f>
        <v>Teclado LCD inalámbrico para línea Vista.</v>
      </c>
      <c r="D345" s="4" t="str">
        <f>IFERROR(__xludf.DUMMYFUNCTION("""COMPUTED_VALUE"""),"HONEYWELL")</f>
        <v>HONEYWELL</v>
      </c>
      <c r="E345" s="4" t="str">
        <f>IFERROR(__xludf.DUMMYFUNCTION("""COMPUTED_VALUE"""),"HW5828")</f>
        <v>HW5828</v>
      </c>
      <c r="F345" s="4" t="str">
        <f>IFERROR(__xludf.DUMMYFUNCTION("""COMPUTED_VALUE"""),"ALARMAS &gt; ALARMAS HONEYWELL LINEA VISTA – LYNKS")</f>
        <v>ALARMAS &gt; ALARMAS HONEYWELL LINEA VISTA – LYNKS</v>
      </c>
      <c r="G345" s="5"/>
      <c r="H345" s="6">
        <f>IFERROR(__xludf.DUMMYFUNCTION("""COMPUTED_VALUE"""),154.0)</f>
        <v>154</v>
      </c>
      <c r="I345" s="7">
        <f>IFERROR(__xludf.DUMMYFUNCTION("""COMPUTED_VALUE"""),21.0)</f>
        <v>21</v>
      </c>
      <c r="J345" s="6">
        <f>IFERROR(__xludf.DUMMYFUNCTION("""COMPUTED_VALUE"""),184.8)</f>
        <v>184.8</v>
      </c>
      <c r="K345" s="6">
        <f>IFERROR(__xludf.DUMMYFUNCTION("""COMPUTED_VALUE"""),215.6)</f>
        <v>215.6</v>
      </c>
      <c r="L345" s="3"/>
      <c r="M345" s="3"/>
    </row>
    <row r="346" ht="48.0" customHeight="1">
      <c r="A346" s="3" t="str">
        <f>IFERROR(__xludf.DUMMYFUNCTION("""COMPUTED_VALUE"""),"HWTUXWIFIW")</f>
        <v>HWTUXWIFIW</v>
      </c>
      <c r="B346" s="4" t="str">
        <f>IFERROR(__xludf.DUMMYFUNCTION("""COMPUTED_VALUE"""),"TECLADO GRÁFICO TOUCH CON WIFI")</f>
        <v>TECLADO GRÁFICO TOUCH CON WIFI</v>
      </c>
      <c r="C346" s="4" t="str">
        <f>IFERROR(__xludf.DUMMYFUNCTION("""COMPUTED_VALUE"""),"Teclado gráfico touch con WiFi")</f>
        <v>Teclado gráfico touch con WiFi</v>
      </c>
      <c r="D346" s="4" t="str">
        <f>IFERROR(__xludf.DUMMYFUNCTION("""COMPUTED_VALUE"""),"HONEYWELL")</f>
        <v>HONEYWELL</v>
      </c>
      <c r="E346" s="4" t="str">
        <f>IFERROR(__xludf.DUMMYFUNCTION("""COMPUTED_VALUE"""),"HWTUXWIFIW")</f>
        <v>HWTUXWIFIW</v>
      </c>
      <c r="F346" s="4" t="str">
        <f>IFERROR(__xludf.DUMMYFUNCTION("""COMPUTED_VALUE"""),"ALARMAS &gt; ALARMAS HONEYWELL LINEA VISTA – LYNKS")</f>
        <v>ALARMAS &gt; ALARMAS HONEYWELL LINEA VISTA – LYNKS</v>
      </c>
      <c r="G346" s="5"/>
      <c r="H346" s="6">
        <f>IFERROR(__xludf.DUMMYFUNCTION("""COMPUTED_VALUE"""),297.0)</f>
        <v>297</v>
      </c>
      <c r="I346" s="7">
        <f>IFERROR(__xludf.DUMMYFUNCTION("""COMPUTED_VALUE"""),21.0)</f>
        <v>21</v>
      </c>
      <c r="J346" s="6">
        <f>IFERROR(__xludf.DUMMYFUNCTION("""COMPUTED_VALUE"""),356.4)</f>
        <v>356.4</v>
      </c>
      <c r="K346" s="6">
        <f>IFERROR(__xludf.DUMMYFUNCTION("""COMPUTED_VALUE"""),415.8)</f>
        <v>415.8</v>
      </c>
      <c r="L346" s="3"/>
      <c r="M346" s="3"/>
    </row>
    <row r="347" ht="48.0" customHeight="1">
      <c r="A347" s="3" t="str">
        <f>IFERROR(__xludf.DUMMYFUNCTION("""COMPUTED_VALUE"""),"HWTUXW")</f>
        <v>HWTUXW</v>
      </c>
      <c r="B347" s="4" t="str">
        <f>IFERROR(__xludf.DUMMYFUNCTION("""COMPUTED_VALUE"""),"TECLADO GRÁFICO TOUCH")</f>
        <v>TECLADO GRÁFICO TOUCH</v>
      </c>
      <c r="C347" s="4" t="str">
        <f>IFERROR(__xludf.DUMMYFUNCTION("""COMPUTED_VALUE"""),"Teclado gráfico touch")</f>
        <v>Teclado gráfico touch</v>
      </c>
      <c r="D347" s="4" t="str">
        <f>IFERROR(__xludf.DUMMYFUNCTION("""COMPUTED_VALUE"""),"HONEYWELL")</f>
        <v>HONEYWELL</v>
      </c>
      <c r="E347" s="4" t="str">
        <f>IFERROR(__xludf.DUMMYFUNCTION("""COMPUTED_VALUE"""),"HWTUXW")</f>
        <v>HWTUXW</v>
      </c>
      <c r="F347" s="4" t="str">
        <f>IFERROR(__xludf.DUMMYFUNCTION("""COMPUTED_VALUE"""),"ALARMAS &gt; ALARMAS HONEYWELL LINEA VISTA – LYNKS")</f>
        <v>ALARMAS &gt; ALARMAS HONEYWELL LINEA VISTA – LYNKS</v>
      </c>
      <c r="G347" s="5"/>
      <c r="H347" s="6">
        <f>IFERROR(__xludf.DUMMYFUNCTION("""COMPUTED_VALUE"""),275.0)</f>
        <v>275</v>
      </c>
      <c r="I347" s="7">
        <f>IFERROR(__xludf.DUMMYFUNCTION("""COMPUTED_VALUE"""),21.0)</f>
        <v>21</v>
      </c>
      <c r="J347" s="6">
        <f>IFERROR(__xludf.DUMMYFUNCTION("""COMPUTED_VALUE"""),330.0)</f>
        <v>330</v>
      </c>
      <c r="K347" s="6">
        <f>IFERROR(__xludf.DUMMYFUNCTION("""COMPUTED_VALUE"""),385.0)</f>
        <v>385</v>
      </c>
      <c r="L347" s="3"/>
      <c r="M347" s="3"/>
    </row>
    <row r="348" ht="48.0" customHeight="1">
      <c r="A348" s="3" t="str">
        <f>IFERROR(__xludf.DUMMYFUNCTION("""COMPUTED_VALUE"""),"HWCIA")</f>
        <v>HWCIA</v>
      </c>
      <c r="B348" s="4" t="str">
        <f>IFERROR(__xludf.DUMMYFUNCTION("""COMPUTED_VALUE"""),"ROUTER")</f>
        <v>ROUTER</v>
      </c>
      <c r="C348" s="4" t="str">
        <f>IFERROR(__xludf.DUMMYFUNCTION("""COMPUTED_VALUE"""),"Modem de programacion CIA para software Compass")</f>
        <v>Modem de programacion CIA para software Compass</v>
      </c>
      <c r="D348" s="4" t="str">
        <f>IFERROR(__xludf.DUMMYFUNCTION("""COMPUTED_VALUE"""),"HONEYWELL")</f>
        <v>HONEYWELL</v>
      </c>
      <c r="E348" s="4" t="str">
        <f>IFERROR(__xludf.DUMMYFUNCTION("""COMPUTED_VALUE"""),"HWCIA")</f>
        <v>HWCIA</v>
      </c>
      <c r="F348" s="4" t="str">
        <f>IFERROR(__xludf.DUMMYFUNCTION("""COMPUTED_VALUE"""),"CONECTIVIDAD &gt; ROUTERS / MODEMS")</f>
        <v>CONECTIVIDAD &gt; ROUTERS / MODEMS</v>
      </c>
      <c r="G348" s="5"/>
      <c r="H348" s="6">
        <f>IFERROR(__xludf.DUMMYFUNCTION("""COMPUTED_VALUE"""),130.9)</f>
        <v>130.9</v>
      </c>
      <c r="I348" s="7">
        <f>IFERROR(__xludf.DUMMYFUNCTION("""COMPUTED_VALUE"""),21.0)</f>
        <v>21</v>
      </c>
      <c r="J348" s="6">
        <f>IFERROR(__xludf.DUMMYFUNCTION("""COMPUTED_VALUE"""),157.08)</f>
        <v>157.08</v>
      </c>
      <c r="K348" s="6">
        <f>IFERROR(__xludf.DUMMYFUNCTION("""COMPUTED_VALUE"""),183.26)</f>
        <v>183.26</v>
      </c>
      <c r="L348" s="3"/>
      <c r="M348" s="3"/>
    </row>
    <row r="349" ht="48.0" customHeight="1">
      <c r="A349" s="3" t="str">
        <f>IFERROR(__xludf.DUMMYFUNCTION("""COMPUTED_VALUE"""),"HW7845IENT")</f>
        <v>HW7845IENT</v>
      </c>
      <c r="B349" s="4" t="str">
        <f>IFERROR(__xludf.DUMMYFUNCTION("""COMPUTED_VALUE"""),"MÓDULO IP ENTRERPRISE PARA CENTRALES VISTA")</f>
        <v>MÓDULO IP ENTRERPRISE PARA CENTRALES VISTA</v>
      </c>
      <c r="C349" s="4" t="str">
        <f>IFERROR(__xludf.DUMMYFUNCTION("""COMPUTED_VALUE"""),"Módulo IP entrerprise para centrales Vista")</f>
        <v>Módulo IP entrerprise para centrales Vista</v>
      </c>
      <c r="D349" s="4" t="str">
        <f>IFERROR(__xludf.DUMMYFUNCTION("""COMPUTED_VALUE"""),"HONEYWELL")</f>
        <v>HONEYWELL</v>
      </c>
      <c r="E349" s="4" t="str">
        <f>IFERROR(__xludf.DUMMYFUNCTION("""COMPUTED_VALUE"""),"HW7845IENT")</f>
        <v>HW7845IENT</v>
      </c>
      <c r="F349" s="4" t="str">
        <f>IFERROR(__xludf.DUMMYFUNCTION("""COMPUTED_VALUE"""),"ALARMAS &gt; ALARMAS HONEYWELL LINEA VISTA – LYNKS")</f>
        <v>ALARMAS &gt; ALARMAS HONEYWELL LINEA VISTA – LYNKS</v>
      </c>
      <c r="G349" s="5"/>
      <c r="H349" s="6">
        <f>IFERROR(__xludf.DUMMYFUNCTION("""COMPUTED_VALUE"""),110.0)</f>
        <v>110</v>
      </c>
      <c r="I349" s="7">
        <f>IFERROR(__xludf.DUMMYFUNCTION("""COMPUTED_VALUE"""),21.0)</f>
        <v>21</v>
      </c>
      <c r="J349" s="6">
        <f>IFERROR(__xludf.DUMMYFUNCTION("""COMPUTED_VALUE"""),132.0)</f>
        <v>132</v>
      </c>
      <c r="K349" s="6">
        <f>IFERROR(__xludf.DUMMYFUNCTION("""COMPUTED_VALUE"""),154.0)</f>
        <v>154</v>
      </c>
      <c r="L349" s="3"/>
      <c r="M349" s="3"/>
    </row>
    <row r="350" ht="48.0" customHeight="1">
      <c r="A350" s="3" t="str">
        <f>IFERROR(__xludf.DUMMYFUNCTION("""COMPUTED_VALUE"""),"HW7720P")</f>
        <v>HW7720P</v>
      </c>
      <c r="B350" s="4" t="str">
        <f>IFERROR(__xludf.DUMMYFUNCTION("""COMPUTED_VALUE"""),"TECLADO PROGRAMADOR PARA INTERFACES HONEYWELL")</f>
        <v>TECLADO PROGRAMADOR PARA INTERFACES HONEYWELL</v>
      </c>
      <c r="C350" s="4" t="str">
        <f>IFERROR(__xludf.DUMMYFUNCTION("""COMPUTED_VALUE"""),"Teclado programador para interfaces Honeywell")</f>
        <v>Teclado programador para interfaces Honeywell</v>
      </c>
      <c r="D350" s="4" t="str">
        <f>IFERROR(__xludf.DUMMYFUNCTION("""COMPUTED_VALUE"""),"HONEYWELL")</f>
        <v>HONEYWELL</v>
      </c>
      <c r="E350" s="4" t="str">
        <f>IFERROR(__xludf.DUMMYFUNCTION("""COMPUTED_VALUE"""),"HW7720P")</f>
        <v>HW7720P</v>
      </c>
      <c r="F350" s="4" t="str">
        <f>IFERROR(__xludf.DUMMYFUNCTION("""COMPUTED_VALUE"""),"ALARMAS &gt; ALARMAS HONEYWELL LINEA VISTA – LYNKS")</f>
        <v>ALARMAS &gt; ALARMAS HONEYWELL LINEA VISTA – LYNKS</v>
      </c>
      <c r="G350" s="5"/>
      <c r="H350" s="6">
        <f>IFERROR(__xludf.DUMMYFUNCTION("""COMPUTED_VALUE"""),298.65)</f>
        <v>298.65</v>
      </c>
      <c r="I350" s="7">
        <f>IFERROR(__xludf.DUMMYFUNCTION("""COMPUTED_VALUE"""),21.0)</f>
        <v>21</v>
      </c>
      <c r="J350" s="6">
        <f>IFERROR(__xludf.DUMMYFUNCTION("""COMPUTED_VALUE"""),358.38)</f>
        <v>358.38</v>
      </c>
      <c r="K350" s="6">
        <f>IFERROR(__xludf.DUMMYFUNCTION("""COMPUTED_VALUE"""),418.11)</f>
        <v>418.11</v>
      </c>
      <c r="L350" s="3"/>
      <c r="M350" s="3"/>
    </row>
    <row r="351" ht="48.0" customHeight="1">
      <c r="A351" s="3" t="str">
        <f>IFERROR(__xludf.DUMMYFUNCTION("""COMPUTED_VALUE"""),"HW7847I")</f>
        <v>HW7847I</v>
      </c>
      <c r="B351" s="4" t="str">
        <f>IFERROR(__xludf.DUMMYFUNCTION("""COMPUTED_VALUE"""),"INTERFACE TCP/IP COMPATIBLE CON PANEL VISTA48, 20P,128, 250 FBP,")</f>
        <v>INTERFACE TCP/IP COMPATIBLE CON PANEL VISTA48, 20P,128, 250 FBP,</v>
      </c>
      <c r="C351" s="4" t="str">
        <f>IFERROR(__xludf.DUMMYFUNCTION("""COMPUTED_VALUE"""),"Interface TCP/IP compatible con panel VISTA48, 20P,128, 250 FBP, FBE Y FBPT ver total Connect")</f>
        <v>Interface TCP/IP compatible con panel VISTA48, 20P,128, 250 FBP, FBE Y FBPT ver total Connect</v>
      </c>
      <c r="D351" s="4" t="str">
        <f>IFERROR(__xludf.DUMMYFUNCTION("""COMPUTED_VALUE"""),"HONEYWELL")</f>
        <v>HONEYWELL</v>
      </c>
      <c r="E351" s="4" t="str">
        <f>IFERROR(__xludf.DUMMYFUNCTION("""COMPUTED_VALUE"""),"HW7847I")</f>
        <v>HW7847I</v>
      </c>
      <c r="F351" s="4" t="str">
        <f>IFERROR(__xludf.DUMMYFUNCTION("""COMPUTED_VALUE"""),"ALARMAS &gt; ALARMAS HONEYWELL LINEA VISTA – LYNKS")</f>
        <v>ALARMAS &gt; ALARMAS HONEYWELL LINEA VISTA – LYNKS</v>
      </c>
      <c r="G351" s="5"/>
      <c r="H351" s="6">
        <f>IFERROR(__xludf.DUMMYFUNCTION("""COMPUTED_VALUE"""),216.15)</f>
        <v>216.15</v>
      </c>
      <c r="I351" s="7">
        <f>IFERROR(__xludf.DUMMYFUNCTION("""COMPUTED_VALUE"""),21.0)</f>
        <v>21</v>
      </c>
      <c r="J351" s="6">
        <f>IFERROR(__xludf.DUMMYFUNCTION("""COMPUTED_VALUE"""),259.38)</f>
        <v>259.38</v>
      </c>
      <c r="K351" s="6">
        <f>IFERROR(__xludf.DUMMYFUNCTION("""COMPUTED_VALUE"""),302.61)</f>
        <v>302.61</v>
      </c>
      <c r="L351" s="3"/>
      <c r="M351" s="3"/>
    </row>
    <row r="352" ht="48.0" customHeight="1">
      <c r="A352" s="3" t="str">
        <f>IFERROR(__xludf.DUMMYFUNCTION("""COMPUTED_VALUE"""),"DSCP1832LED")</f>
        <v>DSCP1832LED</v>
      </c>
      <c r="B352" s="4" t="str">
        <f>IFERROR(__xludf.DUMMYFUNCTION("""COMPUTED_VALUE"""),"PANEL 8 ZONAS EXPANDIBLES, CONTACT ID, TECLADO DE ICONOS")</f>
        <v>PANEL 8 ZONAS EXPANDIBLES, CONTACT ID, TECLADO DE ICONOS</v>
      </c>
      <c r="C352" s="4" t="str">
        <f>IFERROR(__xludf.DUMMYFUNCTION("""COMPUTED_VALUE"""),"Panel 8 zonas expandibles, Contact ID, teclado de Iconos LED 1555RKZ, incluye gabinete y transformador")</f>
        <v>Panel 8 zonas expandibles, Contact ID, teclado de Iconos LED 1555RKZ, incluye gabinete y transformador</v>
      </c>
      <c r="D352" s="4" t="str">
        <f>IFERROR(__xludf.DUMMYFUNCTION("""COMPUTED_VALUE"""),"DSC")</f>
        <v>DSC</v>
      </c>
      <c r="E352" s="4" t="str">
        <f>IFERROR(__xludf.DUMMYFUNCTION("""COMPUTED_VALUE"""),"DSCP1832LED")</f>
        <v>DSCP1832LED</v>
      </c>
      <c r="F352" s="4" t="str">
        <f>IFERROR(__xludf.DUMMYFUNCTION("""COMPUTED_VALUE"""),"ALARMAS &gt; ALARMAS DSC LINEA POWER SERIES")</f>
        <v>ALARMAS &gt; ALARMAS DSC LINEA POWER SERIES</v>
      </c>
      <c r="G352" s="5"/>
      <c r="H352" s="6">
        <f>IFERROR(__xludf.DUMMYFUNCTION("""COMPUTED_VALUE"""),120.52)</f>
        <v>120.52</v>
      </c>
      <c r="I352" s="7">
        <f>IFERROR(__xludf.DUMMYFUNCTION("""COMPUTED_VALUE"""),21.0)</f>
        <v>21</v>
      </c>
      <c r="J352" s="6">
        <f>IFERROR(__xludf.DUMMYFUNCTION("""COMPUTED_VALUE"""),144.62)</f>
        <v>144.62</v>
      </c>
      <c r="K352" s="6">
        <f>IFERROR(__xludf.DUMMYFUNCTION("""COMPUTED_VALUE"""),168.73)</f>
        <v>168.73</v>
      </c>
      <c r="L352" s="3"/>
      <c r="M352" s="3"/>
    </row>
    <row r="353" ht="48.0" customHeight="1">
      <c r="A353" s="3" t="str">
        <f>IFERROR(__xludf.DUMMYFUNCTION("""COMPUTED_VALUE"""),"DSCP1832ICON")</f>
        <v>DSCP1832ICON</v>
      </c>
      <c r="B353" s="4" t="str">
        <f>IFERROR(__xludf.DUMMYFUNCTION("""COMPUTED_VALUE"""),"PANEL 8 ZONAS EXPANDIBLES, CONTACT ID, TECLADO 5501 INCLUYE")</f>
        <v>PANEL 8 ZONAS EXPANDIBLES, CONTACT ID, TECLADO 5501 INCLUYE</v>
      </c>
      <c r="C353" s="4" t="str">
        <f>IFERROR(__xludf.DUMMYFUNCTION("""COMPUTED_VALUE"""),"Panel 8 zonas expandibles, Contact ID, teclado 5501 Incluye gabinete y transformador")</f>
        <v>Panel 8 zonas expandibles, Contact ID, teclado 5501 Incluye gabinete y transformador</v>
      </c>
      <c r="D353" s="4" t="str">
        <f>IFERROR(__xludf.DUMMYFUNCTION("""COMPUTED_VALUE"""),"DSC")</f>
        <v>DSC</v>
      </c>
      <c r="E353" s="4" t="str">
        <f>IFERROR(__xludf.DUMMYFUNCTION("""COMPUTED_VALUE"""),"DSCP1832ICON")</f>
        <v>DSCP1832ICON</v>
      </c>
      <c r="F353" s="4" t="str">
        <f>IFERROR(__xludf.DUMMYFUNCTION("""COMPUTED_VALUE"""),"ALARMAS &gt; ALARMAS DSC LINEA POWER SERIES")</f>
        <v>ALARMAS &gt; ALARMAS DSC LINEA POWER SERIES</v>
      </c>
      <c r="G353" s="5"/>
      <c r="H353" s="6">
        <f>IFERROR(__xludf.DUMMYFUNCTION("""COMPUTED_VALUE"""),145.2)</f>
        <v>145.2</v>
      </c>
      <c r="I353" s="7">
        <f>IFERROR(__xludf.DUMMYFUNCTION("""COMPUTED_VALUE"""),21.0)</f>
        <v>21</v>
      </c>
      <c r="J353" s="6">
        <f>IFERROR(__xludf.DUMMYFUNCTION("""COMPUTED_VALUE"""),174.24)</f>
        <v>174.24</v>
      </c>
      <c r="K353" s="6">
        <f>IFERROR(__xludf.DUMMYFUNCTION("""COMPUTED_VALUE"""),203.28)</f>
        <v>203.28</v>
      </c>
      <c r="L353" s="3"/>
      <c r="M353" s="3"/>
    </row>
    <row r="354" ht="48.0" customHeight="1">
      <c r="A354" s="3" t="str">
        <f>IFERROR(__xludf.DUMMYFUNCTION("""COMPUTED_VALUE"""),"DSCP1832LCD")</f>
        <v>DSCP1832LCD</v>
      </c>
      <c r="B354" s="4" t="str">
        <f>IFERROR(__xludf.DUMMYFUNCTION("""COMPUTED_VALUE"""),"PANEL 8 ZONAS EXPANDIBLES, CONTACT ID, TECLADO 5500 INCLUYE")</f>
        <v>PANEL 8 ZONAS EXPANDIBLES, CONTACT ID, TECLADO 5500 INCLUYE</v>
      </c>
      <c r="C354" s="4" t="str">
        <f>IFERROR(__xludf.DUMMYFUNCTION("""COMPUTED_VALUE"""),"Panel 8 zonas expandibles, Contact ID, teclado 5500 Incluye gabinete y transformador")</f>
        <v>Panel 8 zonas expandibles, Contact ID, teclado 5500 Incluye gabinete y transformador</v>
      </c>
      <c r="D354" s="4" t="str">
        <f>IFERROR(__xludf.DUMMYFUNCTION("""COMPUTED_VALUE"""),"DSC")</f>
        <v>DSC</v>
      </c>
      <c r="E354" s="4" t="str">
        <f>IFERROR(__xludf.DUMMYFUNCTION("""COMPUTED_VALUE"""),"DSCP1832LCD")</f>
        <v>DSCP1832LCD</v>
      </c>
      <c r="F354" s="4" t="str">
        <f>IFERROR(__xludf.DUMMYFUNCTION("""COMPUTED_VALUE"""),"ALARMAS &gt; ALARMAS DSC LINEA POWER SERIES")</f>
        <v>ALARMAS &gt; ALARMAS DSC LINEA POWER SERIES</v>
      </c>
      <c r="G354" s="5"/>
      <c r="H354" s="6">
        <f>IFERROR(__xludf.DUMMYFUNCTION("""COMPUTED_VALUE"""),206.91)</f>
        <v>206.91</v>
      </c>
      <c r="I354" s="7">
        <f>IFERROR(__xludf.DUMMYFUNCTION("""COMPUTED_VALUE"""),21.0)</f>
        <v>21</v>
      </c>
      <c r="J354" s="6">
        <f>IFERROR(__xludf.DUMMYFUNCTION("""COMPUTED_VALUE"""),248.29)</f>
        <v>248.29</v>
      </c>
      <c r="K354" s="6">
        <f>IFERROR(__xludf.DUMMYFUNCTION("""COMPUTED_VALUE"""),289.67)</f>
        <v>289.67</v>
      </c>
      <c r="L354" s="3"/>
      <c r="M354" s="3"/>
    </row>
    <row r="355" ht="48.0" customHeight="1">
      <c r="A355" s="3" t="str">
        <f>IFERROR(__xludf.DUMMYFUNCTION("""COMPUTED_VALUE"""),"DSCP1832PCB")</f>
        <v>DSCP1832PCB</v>
      </c>
      <c r="B355" s="4" t="str">
        <f>IFERROR(__xludf.DUMMYFUNCTION("""COMPUTED_VALUE"""),"PLACA POWER 1832, NO INCLUYE GABIENTE, NO INCLUYE TRANSFORMADOR")</f>
        <v>PLACA POWER 1832, NO INCLUYE GABIENTE, NO INCLUYE TRANSFORMADOR</v>
      </c>
      <c r="C355" s="4" t="str">
        <f>IFERROR(__xludf.DUMMYFUNCTION("""COMPUTED_VALUE"""),"Placa Power 1832, no incluye gabiente, no incluye transformador.")</f>
        <v>Placa Power 1832, no incluye gabiente, no incluye transformador.</v>
      </c>
      <c r="D355" s="4" t="str">
        <f>IFERROR(__xludf.DUMMYFUNCTION("""COMPUTED_VALUE"""),"DSC")</f>
        <v>DSC</v>
      </c>
      <c r="E355" s="4" t="str">
        <f>IFERROR(__xludf.DUMMYFUNCTION("""COMPUTED_VALUE"""),"DSCP1832PCB")</f>
        <v>DSCP1832PCB</v>
      </c>
      <c r="F355" s="4" t="str">
        <f>IFERROR(__xludf.DUMMYFUNCTION("""COMPUTED_VALUE"""),"ALARMAS &gt; ALARMAS DSC LINEA POWER SERIES")</f>
        <v>ALARMAS &gt; ALARMAS DSC LINEA POWER SERIES</v>
      </c>
      <c r="G355" s="5"/>
      <c r="H355" s="6">
        <f>IFERROR(__xludf.DUMMYFUNCTION("""COMPUTED_VALUE"""),62.37)</f>
        <v>62.37</v>
      </c>
      <c r="I355" s="7">
        <f>IFERROR(__xludf.DUMMYFUNCTION("""COMPUTED_VALUE"""),21.0)</f>
        <v>21</v>
      </c>
      <c r="J355" s="6">
        <f>IFERROR(__xludf.DUMMYFUNCTION("""COMPUTED_VALUE"""),74.84)</f>
        <v>74.84</v>
      </c>
      <c r="K355" s="6">
        <f>IFERROR(__xludf.DUMMYFUNCTION("""COMPUTED_VALUE"""),87.32)</f>
        <v>87.32</v>
      </c>
      <c r="L355" s="3"/>
      <c r="M355" s="3"/>
    </row>
    <row r="356" ht="48.0" customHeight="1">
      <c r="A356" s="3" t="str">
        <f>IFERROR(__xludf.DUMMYFUNCTION("""COMPUTED_VALUE"""),"DSCP1864PCB")</f>
        <v>DSCP1864PCB</v>
      </c>
      <c r="B356" s="4" t="str">
        <f>IFERROR(__xludf.DUMMYFUNCTION("""COMPUTED_VALUE"""),"PLACA POWER 1864, NO INCLUYE GABIENTE, NO INCLUYE TRANSFORMADOR")</f>
        <v>PLACA POWER 1864, NO INCLUYE GABIENTE, NO INCLUYE TRANSFORMADOR</v>
      </c>
      <c r="C356" s="4" t="str">
        <f>IFERROR(__xludf.DUMMYFUNCTION("""COMPUTED_VALUE"""),"Placa Power 1864, no incluye gabiente, no incluye transformador")</f>
        <v>Placa Power 1864, no incluye gabiente, no incluye transformador</v>
      </c>
      <c r="D356" s="4" t="str">
        <f>IFERROR(__xludf.DUMMYFUNCTION("""COMPUTED_VALUE"""),"DSC")</f>
        <v>DSC</v>
      </c>
      <c r="E356" s="4" t="str">
        <f>IFERROR(__xludf.DUMMYFUNCTION("""COMPUTED_VALUE"""),"DSCP1864PCB")</f>
        <v>DSCP1864PCB</v>
      </c>
      <c r="F356" s="4" t="str">
        <f>IFERROR(__xludf.DUMMYFUNCTION("""COMPUTED_VALUE"""),"ALARMAS &gt; ALARMAS DSC LINEA POWER SERIES")</f>
        <v>ALARMAS &gt; ALARMAS DSC LINEA POWER SERIES</v>
      </c>
      <c r="G356" s="5"/>
      <c r="H356" s="6">
        <f>IFERROR(__xludf.DUMMYFUNCTION("""COMPUTED_VALUE"""),157.3)</f>
        <v>157.3</v>
      </c>
      <c r="I356" s="7">
        <f>IFERROR(__xludf.DUMMYFUNCTION("""COMPUTED_VALUE"""),21.0)</f>
        <v>21</v>
      </c>
      <c r="J356" s="6">
        <f>IFERROR(__xludf.DUMMYFUNCTION("""COMPUTED_VALUE"""),188.76)</f>
        <v>188.76</v>
      </c>
      <c r="K356" s="6">
        <f>IFERROR(__xludf.DUMMYFUNCTION("""COMPUTED_VALUE"""),220.22)</f>
        <v>220.22</v>
      </c>
      <c r="L356" s="3"/>
      <c r="M356" s="3"/>
    </row>
    <row r="357" ht="48.0" customHeight="1">
      <c r="A357" s="3" t="str">
        <f>IFERROR(__xludf.DUMMYFUNCTION("""COMPUTED_VALUE"""),"UNO5108")</f>
        <v>UNO5108</v>
      </c>
      <c r="B357" s="4" t="str">
        <f>IFERROR(__xludf.DUMMYFUNCTION("""COMPUTED_VALUE"""),"MODULO EXPANSOR DE 8 ZONAS, COMPATIBLE LINEA POWER")</f>
        <v>MODULO EXPANSOR DE 8 ZONAS, COMPATIBLE LINEA POWER</v>
      </c>
      <c r="C357" s="4" t="str">
        <f>IFERROR(__xludf.DUMMYFUNCTION("""COMPUTED_VALUE"""),"Modulo Expansor De 8 Zonas, compatible Linea Power.")</f>
        <v>Modulo Expansor De 8 Zonas, compatible Linea Power.</v>
      </c>
      <c r="D357" s="4" t="str">
        <f>IFERROR(__xludf.DUMMYFUNCTION("""COMPUTED_VALUE"""),"GENERICO")</f>
        <v>GENERICO</v>
      </c>
      <c r="E357" s="4" t="str">
        <f>IFERROR(__xludf.DUMMYFUNCTION("""COMPUTED_VALUE"""),"UNO5108")</f>
        <v>UNO5108</v>
      </c>
      <c r="F357" s="4" t="str">
        <f>IFERROR(__xludf.DUMMYFUNCTION("""COMPUTED_VALUE"""),"ALARMAS &gt; ALARMAS DSC LINEA POWER SERIES")</f>
        <v>ALARMAS &gt; ALARMAS DSC LINEA POWER SERIES</v>
      </c>
      <c r="G357" s="5"/>
      <c r="H357" s="6">
        <f>IFERROR(__xludf.DUMMYFUNCTION("""COMPUTED_VALUE"""),48.06)</f>
        <v>48.06</v>
      </c>
      <c r="I357" s="7">
        <f>IFERROR(__xludf.DUMMYFUNCTION("""COMPUTED_VALUE"""),21.0)</f>
        <v>21</v>
      </c>
      <c r="J357" s="6">
        <f>IFERROR(__xludf.DUMMYFUNCTION("""COMPUTED_VALUE"""),57.67)</f>
        <v>57.67</v>
      </c>
      <c r="K357" s="6">
        <f>IFERROR(__xludf.DUMMYFUNCTION("""COMPUTED_VALUE"""),67.28)</f>
        <v>67.28</v>
      </c>
      <c r="L357" s="3"/>
      <c r="M357" s="3"/>
    </row>
    <row r="358" ht="48.0" customHeight="1">
      <c r="A358" s="3" t="str">
        <f>IFERROR(__xludf.DUMMYFUNCTION("""COMPUTED_VALUE"""),"DSCPC5208")</f>
        <v>DSCPC5208</v>
      </c>
      <c r="B358" s="4" t="str">
        <f>IFERROR(__xludf.DUMMYFUNCTION("""COMPUTED_VALUE"""),"MODULO DE 8 SALIDAS DE DISPARO PROGRAMABLE, DE 50MA 12V")</f>
        <v>MODULO DE 8 SALIDAS DE DISPARO PROGRAMABLE, DE 50MA 12V</v>
      </c>
      <c r="C358" s="4" t="str">
        <f>IFERROR(__xludf.DUMMYFUNCTION("""COMPUTED_VALUE"""),"Modulo De 8 Salidas De Disparo Programable, De 50ma 12V., Compatible Linea Power.")</f>
        <v>Modulo De 8 Salidas De Disparo Programable, De 50ma 12V., Compatible Linea Power.</v>
      </c>
      <c r="D358" s="4" t="str">
        <f>IFERROR(__xludf.DUMMYFUNCTION("""COMPUTED_VALUE"""),"DSC")</f>
        <v>DSC</v>
      </c>
      <c r="E358" s="4" t="str">
        <f>IFERROR(__xludf.DUMMYFUNCTION("""COMPUTED_VALUE"""),"DSCPC5208")</f>
        <v>DSCPC5208</v>
      </c>
      <c r="F358" s="4" t="str">
        <f>IFERROR(__xludf.DUMMYFUNCTION("""COMPUTED_VALUE"""),"ALARMAS &gt; ALARMAS DSC LINEA POWER SERIES")</f>
        <v>ALARMAS &gt; ALARMAS DSC LINEA POWER SERIES</v>
      </c>
      <c r="G358" s="5"/>
      <c r="H358" s="6">
        <f>IFERROR(__xludf.DUMMYFUNCTION("""COMPUTED_VALUE"""),55.11)</f>
        <v>55.11</v>
      </c>
      <c r="I358" s="7">
        <f>IFERROR(__xludf.DUMMYFUNCTION("""COMPUTED_VALUE"""),21.0)</f>
        <v>21</v>
      </c>
      <c r="J358" s="6">
        <f>IFERROR(__xludf.DUMMYFUNCTION("""COMPUTED_VALUE"""),66.13)</f>
        <v>66.13</v>
      </c>
      <c r="K358" s="6">
        <f>IFERROR(__xludf.DUMMYFUNCTION("""COMPUTED_VALUE"""),77.15)</f>
        <v>77.15</v>
      </c>
      <c r="L358" s="3"/>
      <c r="M358" s="3"/>
    </row>
    <row r="359" ht="48.0" customHeight="1">
      <c r="A359" s="3" t="str">
        <f>IFERROR(__xludf.DUMMYFUNCTION("""COMPUTED_VALUE"""),"DSCP1555RK")</f>
        <v>DSCP1555RK</v>
      </c>
      <c r="B359" s="4" t="str">
        <f>IFERROR(__xludf.DUMMYFUNCTION("""COMPUTED_VALUE"""),"TECLADO LED, 8 ZONAS, ENTRADA DE 1 ZONA, COMPATIBLE")</f>
        <v>TECLADO LED, 8 ZONAS, ENTRADA DE 1 ZONA, COMPATIBLE</v>
      </c>
      <c r="C359" s="4" t="str">
        <f>IFERROR(__xludf.DUMMYFUNCTION("""COMPUTED_VALUE"""),"Teclado LED, 8 Zonas, Entrada de 1 zona, Compatible PC585 y Linea Power")</f>
        <v>Teclado LED, 8 Zonas, Entrada de 1 zona, Compatible PC585 y Linea Power</v>
      </c>
      <c r="D359" s="4" t="str">
        <f>IFERROR(__xludf.DUMMYFUNCTION("""COMPUTED_VALUE"""),"DSC")</f>
        <v>DSC</v>
      </c>
      <c r="E359" s="4" t="str">
        <f>IFERROR(__xludf.DUMMYFUNCTION("""COMPUTED_VALUE"""),"DSCP1555RK")</f>
        <v>DSCP1555RK</v>
      </c>
      <c r="F359" s="4" t="str">
        <f>IFERROR(__xludf.DUMMYFUNCTION("""COMPUTED_VALUE"""),"ALARMAS &gt; ALARMAS DSC LINEA POWER SERIES")</f>
        <v>ALARMAS &gt; ALARMAS DSC LINEA POWER SERIES</v>
      </c>
      <c r="G359" s="5"/>
      <c r="H359" s="6">
        <f>IFERROR(__xludf.DUMMYFUNCTION("""COMPUTED_VALUE"""),28.12)</f>
        <v>28.12</v>
      </c>
      <c r="I359" s="7">
        <f>IFERROR(__xludf.DUMMYFUNCTION("""COMPUTED_VALUE"""),21.0)</f>
        <v>21</v>
      </c>
      <c r="J359" s="6">
        <f>IFERROR(__xludf.DUMMYFUNCTION("""COMPUTED_VALUE"""),33.74)</f>
        <v>33.74</v>
      </c>
      <c r="K359" s="6">
        <f>IFERROR(__xludf.DUMMYFUNCTION("""COMPUTED_VALUE"""),39.37)</f>
        <v>39.37</v>
      </c>
      <c r="L359" s="3"/>
      <c r="M359" s="3"/>
    </row>
    <row r="360" ht="48.0" customHeight="1">
      <c r="A360" s="3" t="str">
        <f>IFERROR(__xludf.DUMMYFUNCTION("""COMPUTED_VALUE"""),"DSCPK5501ZSP")</f>
        <v>DSCPK5501ZSP</v>
      </c>
      <c r="B360" s="4" t="str">
        <f>IFERROR(__xludf.DUMMYFUNCTION("""COMPUTED_VALUE"""),"TECLADO LCD MENSAJES FIJOS, ENTRADA DE 1 ZONA, COMPATIBLE")</f>
        <v>TECLADO LCD MENSAJES FIJOS, ENTRADA DE 1 ZONA, COMPATIBLE</v>
      </c>
      <c r="C360" s="4" t="str">
        <f>IFERROR(__xludf.DUMMYFUNCTION("""COMPUTED_VALUE"""),"Teclado LCD Mensajes Fijos, Entrada de 1 zona, Compatible PC585 y Linea Power")</f>
        <v>Teclado LCD Mensajes Fijos, Entrada de 1 zona, Compatible PC585 y Linea Power</v>
      </c>
      <c r="D360" s="4" t="str">
        <f>IFERROR(__xludf.DUMMYFUNCTION("""COMPUTED_VALUE"""),"DSC")</f>
        <v>DSC</v>
      </c>
      <c r="E360" s="4" t="str">
        <f>IFERROR(__xludf.DUMMYFUNCTION("""COMPUTED_VALUE"""),"DSCPK5501ZSP")</f>
        <v>DSCPK5501ZSP</v>
      </c>
      <c r="F360" s="4" t="str">
        <f>IFERROR(__xludf.DUMMYFUNCTION("""COMPUTED_VALUE"""),"ALARMAS &gt; ALARMAS DSC LINEA POWER SERIES")</f>
        <v>ALARMAS &gt; ALARMAS DSC LINEA POWER SERIES</v>
      </c>
      <c r="G360" s="5"/>
      <c r="H360" s="6">
        <f>IFERROR(__xludf.DUMMYFUNCTION("""COMPUTED_VALUE"""),67.9)</f>
        <v>67.9</v>
      </c>
      <c r="I360" s="7">
        <f>IFERROR(__xludf.DUMMYFUNCTION("""COMPUTED_VALUE"""),21.0)</f>
        <v>21</v>
      </c>
      <c r="J360" s="6">
        <f>IFERROR(__xludf.DUMMYFUNCTION("""COMPUTED_VALUE"""),81.48)</f>
        <v>81.48</v>
      </c>
      <c r="K360" s="6">
        <f>IFERROR(__xludf.DUMMYFUNCTION("""COMPUTED_VALUE"""),95.06)</f>
        <v>95.06</v>
      </c>
      <c r="L360" s="3"/>
      <c r="M360" s="3"/>
    </row>
    <row r="361" ht="48.0" customHeight="1">
      <c r="A361" s="3" t="str">
        <f>IFERROR(__xludf.DUMMYFUNCTION("""COMPUTED_VALUE"""),"DSCPK5500Z")</f>
        <v>DSCPK5500Z</v>
      </c>
      <c r="B361" s="4" t="str">
        <f>IFERROR(__xludf.DUMMYFUNCTION("""COMPUTED_VALUE"""),"TECLADO 64 ZONAS LCD ALFANUMÉRICO, FRASES COMPLETAS DE HASTA")</f>
        <v>TECLADO 64 ZONAS LCD ALFANUMÉRICO, FRASES COMPLETAS DE HASTA</v>
      </c>
      <c r="C361" s="4" t="str">
        <f>IFERROR(__xludf.DUMMYFUNCTION("""COMPUTED_VALUE"""),"Teclado 64 zonas LCD Alfanumérico, frases completas de hasta 32 caracteres, línea Power. 5 teclas de función programables. El terminal puede programarse como entrada/Salida o sensor de temperatura baja.")</f>
        <v>Teclado 64 zonas LCD Alfanumérico, frases completas de hasta 32 caracteres, línea Power. 5 teclas de función programables. El terminal puede programarse como entrada/Salida o sensor de temperatura baja.</v>
      </c>
      <c r="D361" s="4" t="str">
        <f>IFERROR(__xludf.DUMMYFUNCTION("""COMPUTED_VALUE"""),"DSC")</f>
        <v>DSC</v>
      </c>
      <c r="E361" s="4" t="str">
        <f>IFERROR(__xludf.DUMMYFUNCTION("""COMPUTED_VALUE"""),"DSCPK5500Z")</f>
        <v>DSCPK5500Z</v>
      </c>
      <c r="F361" s="4" t="str">
        <f>IFERROR(__xludf.DUMMYFUNCTION("""COMPUTED_VALUE"""),"ALARMAS &gt; ALARMAS DSC LINEA POWER SERIES")</f>
        <v>ALARMAS &gt; ALARMAS DSC LINEA POWER SERIES</v>
      </c>
      <c r="G361" s="5"/>
      <c r="H361" s="6">
        <f>IFERROR(__xludf.DUMMYFUNCTION("""COMPUTED_VALUE"""),125.24)</f>
        <v>125.24</v>
      </c>
      <c r="I361" s="7">
        <f>IFERROR(__xludf.DUMMYFUNCTION("""COMPUTED_VALUE"""),21.0)</f>
        <v>21</v>
      </c>
      <c r="J361" s="6">
        <f>IFERROR(__xludf.DUMMYFUNCTION("""COMPUTED_VALUE"""),150.29)</f>
        <v>150.29</v>
      </c>
      <c r="K361" s="6">
        <f>IFERROR(__xludf.DUMMYFUNCTION("""COMPUTED_VALUE"""),175.34)</f>
        <v>175.34</v>
      </c>
      <c r="L361" s="3"/>
      <c r="M361" s="3"/>
    </row>
    <row r="362" ht="48.0" customHeight="1">
      <c r="A362" s="3" t="str">
        <f>IFERROR(__xludf.DUMMYFUNCTION("""COMPUTED_VALUE"""),"DSCRFK5501")</f>
        <v>DSCRFK5501</v>
      </c>
      <c r="B362" s="4" t="str">
        <f>IFERROR(__xludf.DUMMYFUNCTION("""COMPUTED_VALUE"""),"TECLADO DE LCD ICONOS FIJOS CON RECEPTOR INALAMBRICO DE")</f>
        <v>TECLADO DE LCD ICONOS FIJOS CON RECEPTOR INALAMBRICO DE</v>
      </c>
      <c r="C362" s="4" t="str">
        <f>IFERROR(__xludf.DUMMYFUNCTION("""COMPUTED_VALUE"""),"Teclado de LCD iconos fijos con receptor inalambrico de 32 zonas incorporado + 16 zonas de pulsadores, RECOMENDADO para centrales ya instaladas, donde se pueden generar nuevas ventas de productos inalambricos.")</f>
        <v>Teclado de LCD iconos fijos con receptor inalambrico de 32 zonas incorporado + 16 zonas de pulsadores, RECOMENDADO para centrales ya instaladas, donde se pueden generar nuevas ventas de productos inalambricos.</v>
      </c>
      <c r="D362" s="4" t="str">
        <f>IFERROR(__xludf.DUMMYFUNCTION("""COMPUTED_VALUE"""),"DSC")</f>
        <v>DSC</v>
      </c>
      <c r="E362" s="4" t="str">
        <f>IFERROR(__xludf.DUMMYFUNCTION("""COMPUTED_VALUE"""),"DSCRFK5501")</f>
        <v>DSCRFK5501</v>
      </c>
      <c r="F362" s="4" t="str">
        <f>IFERROR(__xludf.DUMMYFUNCTION("""COMPUTED_VALUE"""),"ALARMAS &gt; ALARMAS DSC LINEA POWER SERIES")</f>
        <v>ALARMAS &gt; ALARMAS DSC LINEA POWER SERIES</v>
      </c>
      <c r="G362" s="5"/>
      <c r="H362" s="6">
        <f>IFERROR(__xludf.DUMMYFUNCTION("""COMPUTED_VALUE"""),161.7)</f>
        <v>161.7</v>
      </c>
      <c r="I362" s="7">
        <f>IFERROR(__xludf.DUMMYFUNCTION("""COMPUTED_VALUE"""),21.0)</f>
        <v>21</v>
      </c>
      <c r="J362" s="6">
        <f>IFERROR(__xludf.DUMMYFUNCTION("""COMPUTED_VALUE"""),194.04)</f>
        <v>194.04</v>
      </c>
      <c r="K362" s="6">
        <f>IFERROR(__xludf.DUMMYFUNCTION("""COMPUTED_VALUE"""),226.38)</f>
        <v>226.38</v>
      </c>
      <c r="L362" s="3"/>
      <c r="M362" s="3"/>
    </row>
    <row r="363" ht="48.0" customHeight="1">
      <c r="A363" s="3" t="str">
        <f>IFERROR(__xludf.DUMMYFUNCTION("""COMPUTED_VALUE"""),"DSCPTK5507")</f>
        <v>DSCPTK5507</v>
      </c>
      <c r="B363" s="4" t="str">
        <f>IFERROR(__xludf.DUMMYFUNCTION("""COMPUTED_VALUE"""),"TECLADO LCD TOUCHSCREEN 7"", COLOR, PORTA SD, INTERACTIVO")</f>
        <v>TECLADO LCD TOUCHSCREEN 7", COLOR, PORTA SD, INTERACTIVO</v>
      </c>
      <c r="C363" s="4" t="str">
        <f>IFERROR(__xludf.DUMMYFUNCTION("""COMPUTED_VALUE"""),"Teclado LCD TOUCHSCREEN 7"", color, porta SD, interactivo")</f>
        <v>Teclado LCD TOUCHSCREEN 7", color, porta SD, interactivo</v>
      </c>
      <c r="D363" s="4" t="str">
        <f>IFERROR(__xludf.DUMMYFUNCTION("""COMPUTED_VALUE"""),"DSC")</f>
        <v>DSC</v>
      </c>
      <c r="E363" s="4" t="str">
        <f>IFERROR(__xludf.DUMMYFUNCTION("""COMPUTED_VALUE"""),"DSCPTK5507")</f>
        <v>DSCPTK5507</v>
      </c>
      <c r="F363" s="4" t="str">
        <f>IFERROR(__xludf.DUMMYFUNCTION("""COMPUTED_VALUE"""),"ALARMAS &gt; ALARMAS DSC LINEA POWER SERIES")</f>
        <v>ALARMAS &gt; ALARMAS DSC LINEA POWER SERIES</v>
      </c>
      <c r="G363" s="5"/>
      <c r="H363" s="6">
        <f>IFERROR(__xludf.DUMMYFUNCTION("""COMPUTED_VALUE"""),233.75)</f>
        <v>233.75</v>
      </c>
      <c r="I363" s="7">
        <f>IFERROR(__xludf.DUMMYFUNCTION("""COMPUTED_VALUE"""),21.0)</f>
        <v>21</v>
      </c>
      <c r="J363" s="6">
        <f>IFERROR(__xludf.DUMMYFUNCTION("""COMPUTED_VALUE"""),280.5)</f>
        <v>280.5</v>
      </c>
      <c r="K363" s="6">
        <f>IFERROR(__xludf.DUMMYFUNCTION("""COMPUTED_VALUE"""),327.25)</f>
        <v>327.25</v>
      </c>
      <c r="L363" s="3"/>
      <c r="M363" s="3"/>
    </row>
    <row r="364" ht="48.0" customHeight="1">
      <c r="A364" s="3" t="str">
        <f>IFERROR(__xludf.DUMMYFUNCTION("""COMPUTED_VALUE"""),"DSCRF5132433")</f>
        <v>DSCRF5132433</v>
      </c>
      <c r="B364" s="4" t="str">
        <f>IFERROR(__xludf.DUMMYFUNCTION("""COMPUTED_VALUE"""),"RECEPTOR INALAMBRICO RF5132 HASTA 32 ZONAS INALAMBRICAS + 16")</f>
        <v>RECEPTOR INALAMBRICO RF5132 HASTA 32 ZONAS INALAMBRICAS + 16</v>
      </c>
      <c r="C364" s="4" t="str">
        <f>IFERROR(__xludf.DUMMYFUNCTION("""COMPUTED_VALUE"""),"Receptor inalambrico RF5132 hasta 32 zonas inalambricas + 16 zonas de pulsadores, RECOMENDADO para centrales ya instaladas, donde se pueden generar nuevas ventas de productos inalambricos.")</f>
        <v>Receptor inalambrico RF5132 hasta 32 zonas inalambricas + 16 zonas de pulsadores, RECOMENDADO para centrales ya instaladas, donde se pueden generar nuevas ventas de productos inalambricos.</v>
      </c>
      <c r="D364" s="4" t="str">
        <f>IFERROR(__xludf.DUMMYFUNCTION("""COMPUTED_VALUE"""),"DSC")</f>
        <v>DSC</v>
      </c>
      <c r="E364" s="4" t="str">
        <f>IFERROR(__xludf.DUMMYFUNCTION("""COMPUTED_VALUE"""),"DSCRF5132433")</f>
        <v>DSCRF5132433</v>
      </c>
      <c r="F364" s="4" t="str">
        <f>IFERROR(__xludf.DUMMYFUNCTION("""COMPUTED_VALUE"""),"ALARMAS &gt; ALARMAS DSC LINEA POWER SERIES")</f>
        <v>ALARMAS &gt; ALARMAS DSC LINEA POWER SERIES</v>
      </c>
      <c r="G364" s="5"/>
      <c r="H364" s="6">
        <f>IFERROR(__xludf.DUMMYFUNCTION("""COMPUTED_VALUE"""),93.01)</f>
        <v>93.01</v>
      </c>
      <c r="I364" s="7">
        <f>IFERROR(__xludf.DUMMYFUNCTION("""COMPUTED_VALUE"""),21.0)</f>
        <v>21</v>
      </c>
      <c r="J364" s="6">
        <f>IFERROR(__xludf.DUMMYFUNCTION("""COMPUTED_VALUE"""),111.61)</f>
        <v>111.61</v>
      </c>
      <c r="K364" s="6">
        <f>IFERROR(__xludf.DUMMYFUNCTION("""COMPUTED_VALUE"""),130.21)</f>
        <v>130.21</v>
      </c>
      <c r="L364" s="3"/>
      <c r="M364" s="3"/>
    </row>
    <row r="365" ht="48.0" customHeight="1">
      <c r="A365" s="3" t="str">
        <f>IFERROR(__xludf.DUMMYFUNCTION("""COMPUTED_VALUE"""),"DSCPC5320")</f>
        <v>DSCPC5320</v>
      </c>
      <c r="B365" s="4" t="str">
        <f>IFERROR(__xludf.DUMMYFUNCTION("""COMPUTED_VALUE"""),"MODULO PARA EL CONEXIONADO DE 4 RECEPTORES RF5132, DE")</f>
        <v>MODULO PARA EL CONEXIONADO DE 4 RECEPTORES RF5132, DE</v>
      </c>
      <c r="C365" s="4" t="str">
        <f>IFERROR(__xludf.DUMMYFUNCTION("""COMPUTED_VALUE"""),"Modulo para el conexionado de 4 receptores RF5132, de esta manera se mejora el area de cobertura.")</f>
        <v>Modulo para el conexionado de 4 receptores RF5132, de esta manera se mejora el area de cobertura.</v>
      </c>
      <c r="D365" s="4" t="str">
        <f>IFERROR(__xludf.DUMMYFUNCTION("""COMPUTED_VALUE"""),"DSC")</f>
        <v>DSC</v>
      </c>
      <c r="E365" s="4" t="str">
        <f>IFERROR(__xludf.DUMMYFUNCTION("""COMPUTED_VALUE"""),"DSCPC5320")</f>
        <v>DSCPC5320</v>
      </c>
      <c r="F365" s="4" t="str">
        <f>IFERROR(__xludf.DUMMYFUNCTION("""COMPUTED_VALUE"""),"ALARMAS &gt; ALARMAS DSC LINEA POWER SERIES")</f>
        <v>ALARMAS &gt; ALARMAS DSC LINEA POWER SERIES</v>
      </c>
      <c r="G365" s="5"/>
      <c r="H365" s="6">
        <f>IFERROR(__xludf.DUMMYFUNCTION("""COMPUTED_VALUE"""),66.0)</f>
        <v>66</v>
      </c>
      <c r="I365" s="7">
        <f>IFERROR(__xludf.DUMMYFUNCTION("""COMPUTED_VALUE"""),21.0)</f>
        <v>21</v>
      </c>
      <c r="J365" s="6">
        <f>IFERROR(__xludf.DUMMYFUNCTION("""COMPUTED_VALUE"""),79.2)</f>
        <v>79.2</v>
      </c>
      <c r="K365" s="6">
        <f>IFERROR(__xludf.DUMMYFUNCTION("""COMPUTED_VALUE"""),92.4)</f>
        <v>92.4</v>
      </c>
      <c r="L365" s="3"/>
      <c r="M365" s="3"/>
    </row>
    <row r="366" ht="48.0" customHeight="1">
      <c r="A366" s="3" t="str">
        <f>IFERROR(__xludf.DUMMYFUNCTION("""COMPUTED_VALUE"""),"DSC-WS4920")</f>
        <v>DSC-WS4920</v>
      </c>
      <c r="B366" s="4" t="str">
        <f>IFERROR(__xludf.DUMMYFUNCTION("""COMPUTED_VALUE"""),"REPETIDOR INALÁMBRICO")</f>
        <v>REPETIDOR INALÁMBRICO</v>
      </c>
      <c r="C366" s="4" t="str">
        <f>IFERROR(__xludf.DUMMYFUNCTION("""COMPUTED_VALUE"""),"Repetidor inalámbrico")</f>
        <v>Repetidor inalámbrico</v>
      </c>
      <c r="D366" s="4" t="str">
        <f>IFERROR(__xludf.DUMMYFUNCTION("""COMPUTED_VALUE"""),"DSC")</f>
        <v>DSC</v>
      </c>
      <c r="E366" s="4" t="str">
        <f>IFERROR(__xludf.DUMMYFUNCTION("""COMPUTED_VALUE"""),"DSC-WS4920")</f>
        <v>DSC-WS4920</v>
      </c>
      <c r="F366" s="4" t="str">
        <f>IFERROR(__xludf.DUMMYFUNCTION("""COMPUTED_VALUE"""),"ALARMAS &gt; ALARMAS DSC LINEA POWER SERIES")</f>
        <v>ALARMAS &gt; ALARMAS DSC LINEA POWER SERIES</v>
      </c>
      <c r="G366" s="5"/>
      <c r="H366" s="6">
        <f>IFERROR(__xludf.DUMMYFUNCTION("""COMPUTED_VALUE"""),70.73)</f>
        <v>70.73</v>
      </c>
      <c r="I366" s="7">
        <f>IFERROR(__xludf.DUMMYFUNCTION("""COMPUTED_VALUE"""),21.0)</f>
        <v>21</v>
      </c>
      <c r="J366" s="6">
        <f>IFERROR(__xludf.DUMMYFUNCTION("""COMPUTED_VALUE"""),84.88)</f>
        <v>84.88</v>
      </c>
      <c r="K366" s="6">
        <f>IFERROR(__xludf.DUMMYFUNCTION("""COMPUTED_VALUE"""),99.02)</f>
        <v>99.02</v>
      </c>
      <c r="L366" s="3"/>
      <c r="M366" s="3"/>
    </row>
    <row r="367" ht="48.0" customHeight="1">
      <c r="A367" s="3" t="str">
        <f>IFERROR(__xludf.DUMMYFUNCTION("""COMPUTED_VALUE"""),"DSCWS4904PM")</f>
        <v>DSCWS4904PM</v>
      </c>
      <c r="B367" s="4" t="str">
        <f>IFERROR(__xludf.DUMMYFUNCTION("""COMPUTED_VALUE"""),"DETECTOR INALAMBRICO DE MOVIMIENTO PIR ANTIMASCOTAS 23KGS")</f>
        <v>DETECTOR INALAMBRICO DE MOVIMIENTO PIR ANTIMASCOTAS 23KGS</v>
      </c>
      <c r="C367" s="4" t="str">
        <f>IFERROR(__xludf.DUMMYFUNCTION("""COMPUTED_VALUE"""),"Detector Inalambrico de movimiento PIR antimascotas 23Kgs.")</f>
        <v>Detector Inalambrico de movimiento PIR antimascotas 23Kgs.</v>
      </c>
      <c r="D367" s="4" t="str">
        <f>IFERROR(__xludf.DUMMYFUNCTION("""COMPUTED_VALUE"""),"DSC")</f>
        <v>DSC</v>
      </c>
      <c r="E367" s="4" t="str">
        <f>IFERROR(__xludf.DUMMYFUNCTION("""COMPUTED_VALUE"""),"DSCWS4904PM")</f>
        <v>DSCWS4904PM</v>
      </c>
      <c r="F367" s="4" t="str">
        <f>IFERROR(__xludf.DUMMYFUNCTION("""COMPUTED_VALUE"""),"ALARMAS &gt; ALARMAS DSC LINEA POWER SERIES")</f>
        <v>ALARMAS &gt; ALARMAS DSC LINEA POWER SERIES</v>
      </c>
      <c r="G367" s="5"/>
      <c r="H367" s="6">
        <f>IFERROR(__xludf.DUMMYFUNCTION("""COMPUTED_VALUE"""),29.26)</f>
        <v>29.26</v>
      </c>
      <c r="I367" s="7">
        <f>IFERROR(__xludf.DUMMYFUNCTION("""COMPUTED_VALUE"""),21.0)</f>
        <v>21</v>
      </c>
      <c r="J367" s="6">
        <f>IFERROR(__xludf.DUMMYFUNCTION("""COMPUTED_VALUE"""),35.11)</f>
        <v>35.11</v>
      </c>
      <c r="K367" s="6">
        <f>IFERROR(__xludf.DUMMYFUNCTION("""COMPUTED_VALUE"""),40.96)</f>
        <v>40.96</v>
      </c>
      <c r="L367" s="3"/>
      <c r="M367" s="3"/>
    </row>
    <row r="368" ht="48.0" customHeight="1">
      <c r="A368" s="3" t="str">
        <f>IFERROR(__xludf.DUMMYFUNCTION("""COMPUTED_VALUE"""),"DSCWS4945")</f>
        <v>DSCWS4945</v>
      </c>
      <c r="B368" s="4" t="str">
        <f>IFERROR(__xludf.DUMMYFUNCTION("""COMPUTED_VALUE"""),"MAGNETICO INALAMBRICO + BORNERA PARA MAGNETICO CABLEADO")</f>
        <v>MAGNETICO INALAMBRICO + BORNERA PARA MAGNETICO CABLEADO</v>
      </c>
      <c r="C368" s="4" t="str">
        <f>IFERROR(__xludf.DUMMYFUNCTION("""COMPUTED_VALUE"""),"Magnetico inalambrico + bornera para magnetico cableado")</f>
        <v>Magnetico inalambrico + bornera para magnetico cableado</v>
      </c>
      <c r="D368" s="4" t="str">
        <f>IFERROR(__xludf.DUMMYFUNCTION("""COMPUTED_VALUE"""),"DSC")</f>
        <v>DSC</v>
      </c>
      <c r="E368" s="4" t="str">
        <f>IFERROR(__xludf.DUMMYFUNCTION("""COMPUTED_VALUE"""),"DSCWS4945")</f>
        <v>DSCWS4945</v>
      </c>
      <c r="F368" s="4" t="str">
        <f>IFERROR(__xludf.DUMMYFUNCTION("""COMPUTED_VALUE"""),"ALARMAS &gt; ALARMAS DSC LINEA POWER SERIES")</f>
        <v>ALARMAS &gt; ALARMAS DSC LINEA POWER SERIES</v>
      </c>
      <c r="G368" s="5"/>
      <c r="H368" s="6">
        <f>IFERROR(__xludf.DUMMYFUNCTION("""COMPUTED_VALUE"""),33.0)</f>
        <v>33</v>
      </c>
      <c r="I368" s="7">
        <f>IFERROR(__xludf.DUMMYFUNCTION("""COMPUTED_VALUE"""),21.0)</f>
        <v>21</v>
      </c>
      <c r="J368" s="6">
        <f>IFERROR(__xludf.DUMMYFUNCTION("""COMPUTED_VALUE"""),39.6)</f>
        <v>39.6</v>
      </c>
      <c r="K368" s="6">
        <f>IFERROR(__xludf.DUMMYFUNCTION("""COMPUTED_VALUE"""),46.2)</f>
        <v>46.2</v>
      </c>
      <c r="L368" s="3"/>
      <c r="M368" s="3"/>
    </row>
    <row r="369" ht="48.0" customHeight="1">
      <c r="A369" s="3" t="str">
        <f>IFERROR(__xludf.DUMMYFUNCTION("""COMPUTED_VALUE"""),"DSCWS4975")</f>
        <v>DSCWS4975</v>
      </c>
      <c r="B369" s="4" t="str">
        <f>IFERROR(__xludf.DUMMYFUNCTION("""COMPUTED_VALUE"""),"MINI MAGNÉTICO INALÁMBRICO EXTRA CHATO PARA PUERTAS Y VENTANAS")</f>
        <v>MINI MAGNÉTICO INALÁMBRICO EXTRA CHATO PARA PUERTAS Y VENTANAS</v>
      </c>
      <c r="C369" s="4" t="str">
        <f>IFERROR(__xludf.DUMMYFUNCTION("""COMPUTED_VALUE"""),"Mini magnético inalámbrico extra chato para puertas y ventanas")</f>
        <v>Mini magnético inalámbrico extra chato para puertas y ventanas</v>
      </c>
      <c r="D369" s="4" t="str">
        <f>IFERROR(__xludf.DUMMYFUNCTION("""COMPUTED_VALUE"""),"DSC")</f>
        <v>DSC</v>
      </c>
      <c r="E369" s="4" t="str">
        <f>IFERROR(__xludf.DUMMYFUNCTION("""COMPUTED_VALUE"""),"DSCWS4975")</f>
        <v>DSCWS4975</v>
      </c>
      <c r="F369" s="4" t="str">
        <f>IFERROR(__xludf.DUMMYFUNCTION("""COMPUTED_VALUE"""),"ALARMAS &gt; ALARMAS DSC LINEA POWER SERIES")</f>
        <v>ALARMAS &gt; ALARMAS DSC LINEA POWER SERIES</v>
      </c>
      <c r="G369" s="5"/>
      <c r="H369" s="6">
        <f>IFERROR(__xludf.DUMMYFUNCTION("""COMPUTED_VALUE"""),42.08)</f>
        <v>42.08</v>
      </c>
      <c r="I369" s="7">
        <f>IFERROR(__xludf.DUMMYFUNCTION("""COMPUTED_VALUE"""),21.0)</f>
        <v>21</v>
      </c>
      <c r="J369" s="6">
        <f>IFERROR(__xludf.DUMMYFUNCTION("""COMPUTED_VALUE"""),50.5)</f>
        <v>50.5</v>
      </c>
      <c r="K369" s="6">
        <f>IFERROR(__xludf.DUMMYFUNCTION("""COMPUTED_VALUE"""),58.91)</f>
        <v>58.91</v>
      </c>
      <c r="L369" s="3"/>
      <c r="M369" s="3"/>
    </row>
    <row r="370" ht="48.0" customHeight="1">
      <c r="A370" s="3" t="str">
        <f>IFERROR(__xludf.DUMMYFUNCTION("""COMPUTED_VALUE"""),"DSCWT4901")</f>
        <v>DSCWT4901</v>
      </c>
      <c r="B370" s="4" t="str">
        <f>IFERROR(__xludf.DUMMYFUNCTION("""COMPUTED_VALUE"""),"SIRENA INTERIOR INALAMBRICA DE 85DB, LA SIRENA FUNCIONA PARA")</f>
        <v>SIRENA INTERIOR INALAMBRICA DE 85DB, LA SIRENA FUNCIONA PARA</v>
      </c>
      <c r="C370" s="4" t="str">
        <f>IFERROR(__xludf.DUMMYFUNCTION("""COMPUTED_VALUE"""),"Sirena interior inalambrica de 85DB, La sirena funciona para alarmas, timbres de puertas, demoras de entrada/salida, y fallas, Botón de prueba incorporado, Transmite estado de RF, condición de batería baja y sabotaje, doble tamper.")</f>
        <v>Sirena interior inalambrica de 85DB, La sirena funciona para alarmas, timbres de puertas, demoras de entrada/salida, y fallas, Botón de prueba incorporado, Transmite estado de RF, condición de batería baja y sabotaje, doble tamper.</v>
      </c>
      <c r="D370" s="4" t="str">
        <f>IFERROR(__xludf.DUMMYFUNCTION("""COMPUTED_VALUE"""),"DSC")</f>
        <v>DSC</v>
      </c>
      <c r="E370" s="4" t="str">
        <f>IFERROR(__xludf.DUMMYFUNCTION("""COMPUTED_VALUE"""),"DSCWT4901")</f>
        <v>DSCWT4901</v>
      </c>
      <c r="F370" s="4" t="str">
        <f>IFERROR(__xludf.DUMMYFUNCTION("""COMPUTED_VALUE"""),"ALARMAS &gt; ALARMAS DSC LINEA POWER SERIES")</f>
        <v>ALARMAS &gt; ALARMAS DSC LINEA POWER SERIES</v>
      </c>
      <c r="G370" s="5"/>
      <c r="H370" s="6">
        <f>IFERROR(__xludf.DUMMYFUNCTION("""COMPUTED_VALUE"""),31.35)</f>
        <v>31.35</v>
      </c>
      <c r="I370" s="7">
        <f>IFERROR(__xludf.DUMMYFUNCTION("""COMPUTED_VALUE"""),21.0)</f>
        <v>21</v>
      </c>
      <c r="J370" s="6">
        <f>IFERROR(__xludf.DUMMYFUNCTION("""COMPUTED_VALUE"""),37.62)</f>
        <v>37.62</v>
      </c>
      <c r="K370" s="6">
        <f>IFERROR(__xludf.DUMMYFUNCTION("""COMPUTED_VALUE"""),43.89)</f>
        <v>43.89</v>
      </c>
      <c r="L370" s="3"/>
      <c r="M370" s="3"/>
    </row>
    <row r="371" ht="48.0" customHeight="1">
      <c r="A371" s="3" t="str">
        <f>IFERROR(__xludf.DUMMYFUNCTION("""COMPUTED_VALUE"""),"DSCWS4939")</f>
        <v>DSCWS4939</v>
      </c>
      <c r="B371" s="4" t="str">
        <f>IFERROR(__xludf.DUMMYFUNCTION("""COMPUTED_VALUE"""),"PULSADOR DE 4 CANALES PROGRAMABLES")</f>
        <v>PULSADOR DE 4 CANALES PROGRAMABLES</v>
      </c>
      <c r="C371" s="4" t="str">
        <f>IFERROR(__xludf.DUMMYFUNCTION("""COMPUTED_VALUE"""),"Pulsador de 4 canales programables.")</f>
        <v>Pulsador de 4 canales programables.</v>
      </c>
      <c r="D371" s="4" t="str">
        <f>IFERROR(__xludf.DUMMYFUNCTION("""COMPUTED_VALUE"""),"DSC")</f>
        <v>DSC</v>
      </c>
      <c r="E371" s="4" t="str">
        <f>IFERROR(__xludf.DUMMYFUNCTION("""COMPUTED_VALUE"""),"DSCWS4939")</f>
        <v>DSCWS4939</v>
      </c>
      <c r="F371" s="4" t="str">
        <f>IFERROR(__xludf.DUMMYFUNCTION("""COMPUTED_VALUE"""),"ALARMAS &gt; ALARMAS DSC LINEA POWER SERIES")</f>
        <v>ALARMAS &gt; ALARMAS DSC LINEA POWER SERIES</v>
      </c>
      <c r="G371" s="5"/>
      <c r="H371" s="6">
        <f>IFERROR(__xludf.DUMMYFUNCTION("""COMPUTED_VALUE"""),29.57)</f>
        <v>29.57</v>
      </c>
      <c r="I371" s="7">
        <f>IFERROR(__xludf.DUMMYFUNCTION("""COMPUTED_VALUE"""),21.0)</f>
        <v>21</v>
      </c>
      <c r="J371" s="6">
        <f>IFERROR(__xludf.DUMMYFUNCTION("""COMPUTED_VALUE"""),35.48)</f>
        <v>35.48</v>
      </c>
      <c r="K371" s="6">
        <f>IFERROR(__xludf.DUMMYFUNCTION("""COMPUTED_VALUE"""),41.4)</f>
        <v>41.4</v>
      </c>
      <c r="L371" s="3"/>
      <c r="M371" s="3"/>
    </row>
    <row r="372" ht="48.0" customHeight="1">
      <c r="A372" s="3" t="str">
        <f>IFERROR(__xludf.DUMMYFUNCTION("""COMPUTED_VALUE"""),"DSCWS4936")</f>
        <v>DSCWS4936</v>
      </c>
      <c r="B372" s="4" t="str">
        <f>IFERROR(__xludf.DUMMYFUNCTION("""COMPUTED_VALUE"""),"DETECTOR DE HUMO FOTOELECTRICO BAJO PERFIL")</f>
        <v>DETECTOR DE HUMO FOTOELECTRICO BAJO PERFIL</v>
      </c>
      <c r="C372" s="4" t="str">
        <f>IFERROR(__xludf.DUMMYFUNCTION("""COMPUTED_VALUE"""),"Detector de humo fotoelectrico bajo perfil.")</f>
        <v>Detector de humo fotoelectrico bajo perfil.</v>
      </c>
      <c r="D372" s="4" t="str">
        <f>IFERROR(__xludf.DUMMYFUNCTION("""COMPUTED_VALUE"""),"DSC")</f>
        <v>DSC</v>
      </c>
      <c r="E372" s="4" t="str">
        <f>IFERROR(__xludf.DUMMYFUNCTION("""COMPUTED_VALUE"""),"DSCWS4936")</f>
        <v>DSCWS4936</v>
      </c>
      <c r="F372" s="4" t="str">
        <f>IFERROR(__xludf.DUMMYFUNCTION("""COMPUTED_VALUE"""),"ALARMAS &gt; ALARMAS DSC LINEA POWER SERIES")</f>
        <v>ALARMAS &gt; ALARMAS DSC LINEA POWER SERIES</v>
      </c>
      <c r="G372" s="5"/>
      <c r="H372" s="6">
        <f>IFERROR(__xludf.DUMMYFUNCTION("""COMPUTED_VALUE"""),97.71)</f>
        <v>97.71</v>
      </c>
      <c r="I372" s="7">
        <f>IFERROR(__xludf.DUMMYFUNCTION("""COMPUTED_VALUE"""),21.0)</f>
        <v>21</v>
      </c>
      <c r="J372" s="6">
        <f>IFERROR(__xludf.DUMMYFUNCTION("""COMPUTED_VALUE"""),117.25)</f>
        <v>117.25</v>
      </c>
      <c r="K372" s="6">
        <f>IFERROR(__xludf.DUMMYFUNCTION("""COMPUTED_VALUE"""),136.79)</f>
        <v>136.79</v>
      </c>
      <c r="L372" s="3"/>
      <c r="M372" s="3"/>
    </row>
    <row r="373" ht="48.0" customHeight="1">
      <c r="A373" s="3" t="str">
        <f>IFERROR(__xludf.DUMMYFUNCTION("""COMPUTED_VALUE"""),"DSCPS1520")</f>
        <v>DSCPS1520</v>
      </c>
      <c r="B373" s="4" t="str">
        <f>IFERROR(__xludf.DUMMYFUNCTION("""COMPUTED_VALUE"""),"FUENTE DE PODER AUXILIAR NO SUPERVISADA DE 1,5A, 6/12VTS")</f>
        <v>FUENTE DE PODER AUXILIAR NO SUPERVISADA DE 1,5A, 6/12VTS</v>
      </c>
      <c r="C373" s="4" t="str">
        <f>IFERROR(__xludf.DUMMYFUNCTION("""COMPUTED_VALUE"""),"Fuente de poder auxiliar NO SUPERVISADA de 1,5A, 6/12Vts con cargador de bateria.")</f>
        <v>Fuente de poder auxiliar NO SUPERVISADA de 1,5A, 6/12Vts con cargador de bateria.</v>
      </c>
      <c r="D373" s="4" t="str">
        <f>IFERROR(__xludf.DUMMYFUNCTION("""COMPUTED_VALUE"""),"DSC")</f>
        <v>DSC</v>
      </c>
      <c r="E373" s="4" t="str">
        <f>IFERROR(__xludf.DUMMYFUNCTION("""COMPUTED_VALUE"""),"DSCPS1520")</f>
        <v>DSCPS1520</v>
      </c>
      <c r="F373" s="4" t="str">
        <f>IFERROR(__xludf.DUMMYFUNCTION("""COMPUTED_VALUE"""),"ALARMAS &gt; ALARMAS DSC LINEA POWER SERIES")</f>
        <v>ALARMAS &gt; ALARMAS DSC LINEA POWER SERIES</v>
      </c>
      <c r="G373" s="5"/>
      <c r="H373" s="6">
        <f>IFERROR(__xludf.DUMMYFUNCTION("""COMPUTED_VALUE"""),55.11)</f>
        <v>55.11</v>
      </c>
      <c r="I373" s="7">
        <f>IFERROR(__xludf.DUMMYFUNCTION("""COMPUTED_VALUE"""),21.0)</f>
        <v>21</v>
      </c>
      <c r="J373" s="6">
        <f>IFERROR(__xludf.DUMMYFUNCTION("""COMPUTED_VALUE"""),66.13)</f>
        <v>66.13</v>
      </c>
      <c r="K373" s="6">
        <f>IFERROR(__xludf.DUMMYFUNCTION("""COMPUTED_VALUE"""),77.15)</f>
        <v>77.15</v>
      </c>
      <c r="L373" s="3"/>
      <c r="M373" s="3"/>
    </row>
    <row r="374" ht="48.0" customHeight="1">
      <c r="A374" s="3" t="str">
        <f>IFERROR(__xludf.DUMMYFUNCTION("""COMPUTED_VALUE"""),"DSCPS3020")</f>
        <v>DSCPS3020</v>
      </c>
      <c r="B374" s="4" t="str">
        <f>IFERROR(__xludf.DUMMYFUNCTION("""COMPUTED_VALUE"""),"FUENTE DE PODER AUXILIAR NO SUPERVISADA DE 3A, 6/12VTS")</f>
        <v>FUENTE DE PODER AUXILIAR NO SUPERVISADA DE 3A, 6/12VTS</v>
      </c>
      <c r="C374" s="4" t="str">
        <f>IFERROR(__xludf.DUMMYFUNCTION("""COMPUTED_VALUE"""),"Fuente de poder auxiliar NO SUPERVISADA de 3A, 6/12Vts. con cargador de bateria.")</f>
        <v>Fuente de poder auxiliar NO SUPERVISADA de 3A, 6/12Vts. con cargador de bateria.</v>
      </c>
      <c r="D374" s="4" t="str">
        <f>IFERROR(__xludf.DUMMYFUNCTION("""COMPUTED_VALUE"""),"DSC")</f>
        <v>DSC</v>
      </c>
      <c r="E374" s="4" t="str">
        <f>IFERROR(__xludf.DUMMYFUNCTION("""COMPUTED_VALUE"""),"DSCPS3020")</f>
        <v>DSCPS3020</v>
      </c>
      <c r="F374" s="4" t="str">
        <f>IFERROR(__xludf.DUMMYFUNCTION("""COMPUTED_VALUE"""),"ALARMAS &gt; ALARMAS DSC LINEA POWER SERIES")</f>
        <v>ALARMAS &gt; ALARMAS DSC LINEA POWER SERIES</v>
      </c>
      <c r="G374" s="5"/>
      <c r="H374" s="6">
        <f>IFERROR(__xludf.DUMMYFUNCTION("""COMPUTED_VALUE"""),80.3)</f>
        <v>80.3</v>
      </c>
      <c r="I374" s="7">
        <f>IFERROR(__xludf.DUMMYFUNCTION("""COMPUTED_VALUE"""),21.0)</f>
        <v>21</v>
      </c>
      <c r="J374" s="6">
        <f>IFERROR(__xludf.DUMMYFUNCTION("""COMPUTED_VALUE"""),96.36)</f>
        <v>96.36</v>
      </c>
      <c r="K374" s="6">
        <f>IFERROR(__xludf.DUMMYFUNCTION("""COMPUTED_VALUE"""),112.42)</f>
        <v>112.42</v>
      </c>
      <c r="L374" s="3"/>
      <c r="M374" s="3"/>
    </row>
    <row r="375" ht="48.0" customHeight="1">
      <c r="A375" s="3" t="str">
        <f>IFERROR(__xludf.DUMMYFUNCTION("""COMPUTED_VALUE"""),"DSC-LE4050M")</f>
        <v>DSC-LE4050M</v>
      </c>
      <c r="B375" s="4" t="str">
        <f>IFERROR(__xludf.DUMMYFUNCTION("""COMPUTED_VALUE"""),"COMUNICADOR LE4050M, LTE, DUAL E-SIM MULTI CARRIER, COMPATIBLE CON")</f>
        <v>COMUNICADOR LE4050M, LTE, DUAL E-SIM MULTI CARRIER, COMPATIBLE CON</v>
      </c>
      <c r="C375" s="4" t="str">
        <f>IFERROR(__xludf.DUMMYFUNCTION("""COMPUTED_VALUE"""),"Comunicador LE4050M, LTE, dual e-sim multi carrier, compatible con PC1616/1832/1864 (vía bus de datos y PC-link), línea Power NEO(via PC-link), plataforma DSC Connect para usuarios e instaladores, incluye 1 año de comunicación ilimitada permite realizar u"&amp;"p/download en ambas líneas. (*) Requiere Licencia de comunicación (NO Incluida)")</f>
        <v>Comunicador LE4050M, LTE, dual e-sim multi carrier, compatible con PC1616/1832/1864 (vía bus de datos y PC-link), línea Power NEO(via PC-link), plataforma DSC Connect para usuarios e instaladores, incluye 1 año de comunicación ilimitada permite realizar up/download en ambas líneas. (*) Requiere Licencia de comunicación (NO Incluida)</v>
      </c>
      <c r="D375" s="4" t="str">
        <f>IFERROR(__xludf.DUMMYFUNCTION("""COMPUTED_VALUE"""),"DSC")</f>
        <v>DSC</v>
      </c>
      <c r="E375" s="4" t="str">
        <f>IFERROR(__xludf.DUMMYFUNCTION("""COMPUTED_VALUE"""),"DSC-LE4050M")</f>
        <v>DSC-LE4050M</v>
      </c>
      <c r="F375" s="4" t="str">
        <f>IFERROR(__xludf.DUMMYFUNCTION("""COMPUTED_VALUE"""),"ALARMAS &gt; ALARMAS DSC LINEA POWER SERIES")</f>
        <v>ALARMAS &gt; ALARMAS DSC LINEA POWER SERIES</v>
      </c>
      <c r="G375" s="5"/>
      <c r="H375" s="6">
        <f>IFERROR(__xludf.DUMMYFUNCTION("""COMPUTED_VALUE"""),130.9)</f>
        <v>130.9</v>
      </c>
      <c r="I375" s="7">
        <f>IFERROR(__xludf.DUMMYFUNCTION("""COMPUTED_VALUE"""),21.0)</f>
        <v>21</v>
      </c>
      <c r="J375" s="6">
        <f>IFERROR(__xludf.DUMMYFUNCTION("""COMPUTED_VALUE"""),157.08)</f>
        <v>157.08</v>
      </c>
      <c r="K375" s="6">
        <f>IFERROR(__xludf.DUMMYFUNCTION("""COMPUTED_VALUE"""),183.26)</f>
        <v>183.26</v>
      </c>
      <c r="L375" s="3"/>
      <c r="M375" s="3"/>
    </row>
    <row r="376" ht="48.0" customHeight="1">
      <c r="A376" s="3" t="str">
        <f>IFERROR(__xludf.DUMMYFUNCTION("""COMPUTED_VALUE"""),"DSC3G4000W")</f>
        <v>DSC3G4000W</v>
      </c>
      <c r="B376" s="4" t="str">
        <f>IFERROR(__xludf.DUMMYFUNCTION("""COMPUTED_VALUE"""),"COMUNICADOR DE ALARMA UNIVERSAL HSPA (3G) CUATRIBANDA")</f>
        <v>COMUNICADOR DE ALARMA UNIVERSAL HSPA (3G) CUATRIBANDA</v>
      </c>
      <c r="C376" s="4" t="str">
        <f>IFERROR(__xludf.DUMMYFUNCTION("""COMPUTED_VALUE"""),"Comunicador De Alarma Universal HSPA (3G) Cuatribanda")</f>
        <v>Comunicador De Alarma Universal HSPA (3G) Cuatribanda</v>
      </c>
      <c r="D376" s="4" t="str">
        <f>IFERROR(__xludf.DUMMYFUNCTION("""COMPUTED_VALUE"""),"DSC")</f>
        <v>DSC</v>
      </c>
      <c r="E376" s="4" t="str">
        <f>IFERROR(__xludf.DUMMYFUNCTION("""COMPUTED_VALUE"""),"DSC3G4000W")</f>
        <v>DSC3G4000W</v>
      </c>
      <c r="F376" s="4" t="str">
        <f>IFERROR(__xludf.DUMMYFUNCTION("""COMPUTED_VALUE"""),"ALARMAS &gt; ALARMAS DSC LINEA POWER SERIES")</f>
        <v>ALARMAS &gt; ALARMAS DSC LINEA POWER SERIES</v>
      </c>
      <c r="G376" s="5"/>
      <c r="H376" s="6">
        <f>IFERROR(__xludf.DUMMYFUNCTION("""COMPUTED_VALUE"""),99.0)</f>
        <v>99</v>
      </c>
      <c r="I376" s="7">
        <f>IFERROR(__xludf.DUMMYFUNCTION("""COMPUTED_VALUE"""),21.0)</f>
        <v>21</v>
      </c>
      <c r="J376" s="6">
        <f>IFERROR(__xludf.DUMMYFUNCTION("""COMPUTED_VALUE"""),118.8)</f>
        <v>118.8</v>
      </c>
      <c r="K376" s="6">
        <f>IFERROR(__xludf.DUMMYFUNCTION("""COMPUTED_VALUE"""),138.6)</f>
        <v>138.6</v>
      </c>
      <c r="L376" s="3"/>
      <c r="M376" s="3"/>
    </row>
    <row r="377" ht="48.0" customHeight="1">
      <c r="A377" s="3" t="str">
        <f>IFERROR(__xludf.DUMMYFUNCTION("""COMPUTED_VALUE"""),"DSCHS2032HS2ICN")</f>
        <v>DSCHS2032HS2ICN</v>
      </c>
      <c r="B377" s="4" t="str">
        <f>IFERROR(__xludf.DUMMYFUNCTION("""COMPUTED_VALUE"""),"CENTAL DE 8 ZONAS DE BORNERA, EXPANDIBLE A 32")</f>
        <v>CENTAL DE 8 ZONAS DE BORNERA, EXPANDIBLE A 32</v>
      </c>
      <c r="C377" s="4" t="str">
        <f>IFERROR(__xludf.DUMMYFUNCTION("""COMPUTED_VALUE"""),"Cental de 8 zonas de bornera, expandible a 32 entre cableadas e inalambricas, 2 salidas PGM expandible a 38(HSM2204, HSM2208), admite hasta 8 teclados supervisados con la posibilidad de utilizar la zona del teclado para una rapida instalacion, 4 particion"&amp;"es, memoria de 500 eventos y 72 codigos de usuarios, Incluye teclado LCD iconos fijos HS2ICN, gabinete y transformador.")</f>
        <v>Cental de 8 zonas de bornera, expandible a 32 entre cableadas e inalambricas, 2 salidas PGM expandible a 38(HSM2204, HSM2208), admite hasta 8 teclados supervisados con la posibilidad de utilizar la zona del teclado para una rapida instalacion, 4 particiones, memoria de 500 eventos y 72 codigos de usuarios, Incluye teclado LCD iconos fijos HS2ICN, gabinete y transformador.</v>
      </c>
      <c r="D377" s="4" t="str">
        <f>IFERROR(__xludf.DUMMYFUNCTION("""COMPUTED_VALUE"""),"DSC")</f>
        <v>DSC</v>
      </c>
      <c r="E377" s="4" t="str">
        <f>IFERROR(__xludf.DUMMYFUNCTION("""COMPUTED_VALUE"""),"DSCHS2032HS2ICN")</f>
        <v>DSCHS2032HS2ICN</v>
      </c>
      <c r="F377" s="4" t="str">
        <f>IFERROR(__xludf.DUMMYFUNCTION("""COMPUTED_VALUE"""),"ALARMAS &gt; ALARMAS DSC LINEA NEO")</f>
        <v>ALARMAS &gt; ALARMAS DSC LINEA NEO</v>
      </c>
      <c r="G377" s="5"/>
      <c r="H377" s="6">
        <f>IFERROR(__xludf.DUMMYFUNCTION("""COMPUTED_VALUE"""),118.32)</f>
        <v>118.32</v>
      </c>
      <c r="I377" s="7">
        <f>IFERROR(__xludf.DUMMYFUNCTION("""COMPUTED_VALUE"""),21.0)</f>
        <v>21</v>
      </c>
      <c r="J377" s="6">
        <f>IFERROR(__xludf.DUMMYFUNCTION("""COMPUTED_VALUE"""),141.98)</f>
        <v>141.98</v>
      </c>
      <c r="K377" s="6">
        <f>IFERROR(__xludf.DUMMYFUNCTION("""COMPUTED_VALUE"""),165.65)</f>
        <v>165.65</v>
      </c>
      <c r="L377" s="3"/>
      <c r="M377" s="3"/>
    </row>
    <row r="378" ht="48.0" customHeight="1">
      <c r="A378" s="3" t="str">
        <f>IFERROR(__xludf.DUMMYFUNCTION("""COMPUTED_VALUE"""),"DSCHS2032HS2LCD")</f>
        <v>DSCHS2032HS2LCD</v>
      </c>
      <c r="B378" s="4" t="str">
        <f>IFERROR(__xludf.DUMMYFUNCTION("""COMPUTED_VALUE"""),"CENTAL DE 8 ZONAS DE BORNERA, EXPANDIBLE A 32")</f>
        <v>CENTAL DE 8 ZONAS DE BORNERA, EXPANDIBLE A 32</v>
      </c>
      <c r="C378" s="4" t="str">
        <f>IFERROR(__xludf.DUMMYFUNCTION("""COMPUTED_VALUE"""),"Cental de 8 zonas de bornera, expandible a 32 entre cableadas e inalambricas, 2 salidas PGM expandible a 38 (HSM2204, HSM2208), admite hasta 8 teclados supervisados con la posibilidad de utilizar la zona del teclado para una rapida instalacion, 4 particio"&amp;"nes, memoria de 500 eventos y 72 codigos de usuarios, INCLUYE teclado LCD alfanumerico HS2LCD, gabinete y transformador.")</f>
        <v>Cental de 8 zonas de bornera, expandible a 32 entre cableadas e inalambricas, 2 salidas PGM expandible a 38 (HSM2204, HSM2208), admite hasta 8 teclados supervisados con la posibilidad de utilizar la zona del teclado para una rapida instalacion, 4 particiones, memoria de 500 eventos y 72 codigos de usuarios, INCLUYE teclado LCD alfanumerico HS2LCD, gabinete y transformador.</v>
      </c>
      <c r="D378" s="4" t="str">
        <f>IFERROR(__xludf.DUMMYFUNCTION("""COMPUTED_VALUE"""),"DSC")</f>
        <v>DSC</v>
      </c>
      <c r="E378" s="4" t="str">
        <f>IFERROR(__xludf.DUMMYFUNCTION("""COMPUTED_VALUE"""),"DSCHS2032HS2LCD")</f>
        <v>DSCHS2032HS2LCD</v>
      </c>
      <c r="F378" s="4" t="str">
        <f>IFERROR(__xludf.DUMMYFUNCTION("""COMPUTED_VALUE"""),"ALARMAS &gt; ALARMAS DSC LINEA NEO")</f>
        <v>ALARMAS &gt; ALARMAS DSC LINEA NEO</v>
      </c>
      <c r="G378" s="5"/>
      <c r="H378" s="6">
        <f>IFERROR(__xludf.DUMMYFUNCTION("""COMPUTED_VALUE"""),159.37)</f>
        <v>159.37</v>
      </c>
      <c r="I378" s="7">
        <f>IFERROR(__xludf.DUMMYFUNCTION("""COMPUTED_VALUE"""),21.0)</f>
        <v>21</v>
      </c>
      <c r="J378" s="6">
        <f>IFERROR(__xludf.DUMMYFUNCTION("""COMPUTED_VALUE"""),191.24)</f>
        <v>191.24</v>
      </c>
      <c r="K378" s="6">
        <f>IFERROR(__xludf.DUMMYFUNCTION("""COMPUTED_VALUE"""),223.12)</f>
        <v>223.12</v>
      </c>
      <c r="L378" s="3"/>
      <c r="M378" s="3"/>
    </row>
    <row r="379" ht="48.0" customHeight="1">
      <c r="A379" s="3" t="str">
        <f>IFERROR(__xludf.DUMMYFUNCTION("""COMPUTED_VALUE"""),"DSCHS2064HS2LCD")</f>
        <v>DSCHS2064HS2LCD</v>
      </c>
      <c r="B379" s="4" t="str">
        <f>IFERROR(__xludf.DUMMYFUNCTION("""COMPUTED_VALUE"""),"CENTAL DE 8 ZONAS DE BORNERA, EXPANDIBLE A 64")</f>
        <v>CENTAL DE 8 ZONAS DE BORNERA, EXPANDIBLE A 64</v>
      </c>
      <c r="C379" s="4" t="str">
        <f>IFERROR(__xludf.DUMMYFUNCTION("""COMPUTED_VALUE"""),"Cental de 8 zonas de bornera, expandible a 64 entre cableadas e inalambricas, 4 salidas PGM expandible a 80 (HSM2204, HSM2208), admite hasta 8 teclados supervisados con la posibilidad de utilizar la zona del teclado para una rapida instalacion, 8 particio"&amp;"nes, memoria de 500 eventos y 500 codigos de usuarios, INCLUYE teclado LCD alfanumerico HS2LCD, gabinete y transformador.")</f>
        <v>Cental de 8 zonas de bornera, expandible a 64 entre cableadas e inalambricas, 4 salidas PGM expandible a 80 (HSM2204, HSM2208), admite hasta 8 teclados supervisados con la posibilidad de utilizar la zona del teclado para una rapida instalacion, 8 particiones, memoria de 500 eventos y 500 codigos de usuarios, INCLUYE teclado LCD alfanumerico HS2LCD, gabinete y transformador.</v>
      </c>
      <c r="D379" s="4" t="str">
        <f>IFERROR(__xludf.DUMMYFUNCTION("""COMPUTED_VALUE"""),"DSC")</f>
        <v>DSC</v>
      </c>
      <c r="E379" s="4" t="str">
        <f>IFERROR(__xludf.DUMMYFUNCTION("""COMPUTED_VALUE"""),"DSCHS2064HS2LCD")</f>
        <v>DSCHS2064HS2LCD</v>
      </c>
      <c r="F379" s="4" t="str">
        <f>IFERROR(__xludf.DUMMYFUNCTION("""COMPUTED_VALUE"""),"ALARMAS &gt; ALARMAS DSC LINEA NEO")</f>
        <v>ALARMAS &gt; ALARMAS DSC LINEA NEO</v>
      </c>
      <c r="G379" s="5"/>
      <c r="H379" s="6">
        <f>IFERROR(__xludf.DUMMYFUNCTION("""COMPUTED_VALUE"""),238.84)</f>
        <v>238.84</v>
      </c>
      <c r="I379" s="7">
        <f>IFERROR(__xludf.DUMMYFUNCTION("""COMPUTED_VALUE"""),21.0)</f>
        <v>21</v>
      </c>
      <c r="J379" s="6">
        <f>IFERROR(__xludf.DUMMYFUNCTION("""COMPUTED_VALUE"""),286.61)</f>
        <v>286.61</v>
      </c>
      <c r="K379" s="6">
        <f>IFERROR(__xludf.DUMMYFUNCTION("""COMPUTED_VALUE"""),334.38)</f>
        <v>334.38</v>
      </c>
      <c r="L379" s="3"/>
      <c r="M379" s="3"/>
    </row>
    <row r="380" ht="48.0" customHeight="1">
      <c r="A380" s="3" t="str">
        <f>IFERROR(__xludf.DUMMYFUNCTION("""COMPUTED_VALUE"""),"DSCHS2128HS2LCD")</f>
        <v>DSCHS2128HS2LCD</v>
      </c>
      <c r="B380" s="4" t="str">
        <f>IFERROR(__xludf.DUMMYFUNCTION("""COMPUTED_VALUE"""),"CENTAL DE 8 ZONAS DE BORNERA, EXPANDIBLE A 128")</f>
        <v>CENTAL DE 8 ZONAS DE BORNERA, EXPANDIBLE A 128</v>
      </c>
      <c r="C380" s="4" t="str">
        <f>IFERROR(__xludf.DUMMYFUNCTION("""COMPUTED_VALUE"""),"Cental de 8 zonas de bornera, expandible a 128 entre cableadas e inalambricas, 4 salidas PGM expandible a 148(HSM2204, HSM2208), admite hasta 16 teclados supervisados con la posibilidad de utilizar la zona del teclado para una rapida instalacion, 8 partic"&amp;"iones, memoria de 1000 eventos y 1000 codigos de usuarios, INCLUYE teclado LCD alfanumerico HS2LCD, gabinete y transformador.")</f>
        <v>Cental de 8 zonas de bornera, expandible a 128 entre cableadas e inalambricas, 4 salidas PGM expandible a 148(HSM2204, HSM2208), admite hasta 16 teclados supervisados con la posibilidad de utilizar la zona del teclado para una rapida instalacion, 8 particiones, memoria de 1000 eventos y 1000 codigos de usuarios, INCLUYE teclado LCD alfanumerico HS2LCD, gabinete y transformador.</v>
      </c>
      <c r="D380" s="4" t="str">
        <f>IFERROR(__xludf.DUMMYFUNCTION("""COMPUTED_VALUE"""),"DSC")</f>
        <v>DSC</v>
      </c>
      <c r="E380" s="4" t="str">
        <f>IFERROR(__xludf.DUMMYFUNCTION("""COMPUTED_VALUE"""),"DSCHS2128HS2LCD")</f>
        <v>DSCHS2128HS2LCD</v>
      </c>
      <c r="F380" s="4" t="str">
        <f>IFERROR(__xludf.DUMMYFUNCTION("""COMPUTED_VALUE"""),"ALARMAS &gt; ALARMAS DSC LINEA NEO")</f>
        <v>ALARMAS &gt; ALARMAS DSC LINEA NEO</v>
      </c>
      <c r="G380" s="5"/>
      <c r="H380" s="6">
        <f>IFERROR(__xludf.DUMMYFUNCTION("""COMPUTED_VALUE"""),382.31)</f>
        <v>382.31</v>
      </c>
      <c r="I380" s="7">
        <f>IFERROR(__xludf.DUMMYFUNCTION("""COMPUTED_VALUE"""),21.0)</f>
        <v>21</v>
      </c>
      <c r="J380" s="6">
        <f>IFERROR(__xludf.DUMMYFUNCTION("""COMPUTED_VALUE"""),458.77)</f>
        <v>458.77</v>
      </c>
      <c r="K380" s="6">
        <f>IFERROR(__xludf.DUMMYFUNCTION("""COMPUTED_VALUE"""),535.23)</f>
        <v>535.23</v>
      </c>
      <c r="L380" s="3"/>
      <c r="M380" s="3"/>
    </row>
    <row r="381" ht="48.0" customHeight="1">
      <c r="A381" s="3" t="str">
        <f>IFERROR(__xludf.DUMMYFUNCTION("""COMPUTED_VALUE"""),"DSCHS2032PCBARG")</f>
        <v>DSCHS2032PCBARG</v>
      </c>
      <c r="B381" s="4" t="str">
        <f>IFERROR(__xludf.DUMMYFUNCTION("""COMPUTED_VALUE"""),"PLACA CENTAL DE 8 ZONAS DE BORNERA, EXPANDIBLE A")</f>
        <v>PLACA CENTAL DE 8 ZONAS DE BORNERA, EXPANDIBLE A</v>
      </c>
      <c r="C381" s="4" t="str">
        <f>IFERROR(__xludf.DUMMYFUNCTION("""COMPUTED_VALUE"""),"Placa cental de 8 zonas de bornera, expandible a 32 entre cableadas e inalambricas, 2 salidas PGM expandible a 38 (HSM2204, HSM2208), admite hasta 8 teclados supervisados con la posibilidad de utilizar la zona del teclado para una rapida instalacion, 4 pa"&amp;"rticiones, memoria de 500 eventos y 72 codigos de usuarios.")</f>
        <v>Placa cental de 8 zonas de bornera, expandible a 32 entre cableadas e inalambricas, 2 salidas PGM expandible a 38 (HSM2204, HSM2208), admite hasta 8 teclados supervisados con la posibilidad de utilizar la zona del teclado para una rapida instalacion, 4 particiones, memoria de 500 eventos y 72 codigos de usuarios.</v>
      </c>
      <c r="D381" s="4" t="str">
        <f>IFERROR(__xludf.DUMMYFUNCTION("""COMPUTED_VALUE"""),"DSC")</f>
        <v>DSC</v>
      </c>
      <c r="E381" s="4" t="str">
        <f>IFERROR(__xludf.DUMMYFUNCTION("""COMPUTED_VALUE"""),"DSCHS2032PCBARG")</f>
        <v>DSCHS2032PCBARG</v>
      </c>
      <c r="F381" s="4" t="str">
        <f>IFERROR(__xludf.DUMMYFUNCTION("""COMPUTED_VALUE"""),"ALARMAS &gt; ALARMAS DSC LINEA NEO")</f>
        <v>ALARMAS &gt; ALARMAS DSC LINEA NEO</v>
      </c>
      <c r="G381" s="5"/>
      <c r="H381" s="6">
        <f>IFERROR(__xludf.DUMMYFUNCTION("""COMPUTED_VALUE"""),73.51)</f>
        <v>73.51</v>
      </c>
      <c r="I381" s="7">
        <f>IFERROR(__xludf.DUMMYFUNCTION("""COMPUTED_VALUE"""),21.0)</f>
        <v>21</v>
      </c>
      <c r="J381" s="6">
        <f>IFERROR(__xludf.DUMMYFUNCTION("""COMPUTED_VALUE"""),88.21)</f>
        <v>88.21</v>
      </c>
      <c r="K381" s="6">
        <f>IFERROR(__xludf.DUMMYFUNCTION("""COMPUTED_VALUE"""),102.91)</f>
        <v>102.91</v>
      </c>
      <c r="L381" s="3"/>
      <c r="M381" s="3"/>
    </row>
    <row r="382" ht="48.0" customHeight="1">
      <c r="A382" s="3" t="str">
        <f>IFERROR(__xludf.DUMMYFUNCTION("""COMPUTED_VALUE"""),"DSCHS2064PCBARG")</f>
        <v>DSCHS2064PCBARG</v>
      </c>
      <c r="B382" s="4" t="str">
        <f>IFERROR(__xludf.DUMMYFUNCTION("""COMPUTED_VALUE"""),"PLACA CENTAL DE 8 ZONAS DE BORNERA, EXPANDIBLE A")</f>
        <v>PLACA CENTAL DE 8 ZONAS DE BORNERA, EXPANDIBLE A</v>
      </c>
      <c r="C382" s="4" t="str">
        <f>IFERROR(__xludf.DUMMYFUNCTION("""COMPUTED_VALUE"""),"Placa cental de 8 zonas de bornera, expandible a 64 entre cableadas e inalambricas, 4 salidas PGM expandible a 80(HSM2204, HSM2208), admite hasta 8 teclados supervisados con la posibilidad de utilizar la zona del teclado para una rapida instalacion, 8 par"&amp;"ticiones, memoria de 500 eventos y 500 codigos de usuarios.")</f>
        <v>Placa cental de 8 zonas de bornera, expandible a 64 entre cableadas e inalambricas, 4 salidas PGM expandible a 80(HSM2204, HSM2208), admite hasta 8 teclados supervisados con la posibilidad de utilizar la zona del teclado para una rapida instalacion, 8 particiones, memoria de 500 eventos y 500 codigos de usuarios.</v>
      </c>
      <c r="D382" s="4" t="str">
        <f>IFERROR(__xludf.DUMMYFUNCTION("""COMPUTED_VALUE"""),"DSC")</f>
        <v>DSC</v>
      </c>
      <c r="E382" s="4" t="str">
        <f>IFERROR(__xludf.DUMMYFUNCTION("""COMPUTED_VALUE"""),"DSCHS2064PCBARG")</f>
        <v>DSCHS2064PCBARG</v>
      </c>
      <c r="F382" s="4" t="str">
        <f>IFERROR(__xludf.DUMMYFUNCTION("""COMPUTED_VALUE"""),"ALARMAS &gt; ALARMAS DSC LINEA NEO")</f>
        <v>ALARMAS &gt; ALARMAS DSC LINEA NEO</v>
      </c>
      <c r="G382" s="5"/>
      <c r="H382" s="6">
        <f>IFERROR(__xludf.DUMMYFUNCTION("""COMPUTED_VALUE"""),100.1)</f>
        <v>100.1</v>
      </c>
      <c r="I382" s="7">
        <f>IFERROR(__xludf.DUMMYFUNCTION("""COMPUTED_VALUE"""),21.0)</f>
        <v>21</v>
      </c>
      <c r="J382" s="6">
        <f>IFERROR(__xludf.DUMMYFUNCTION("""COMPUTED_VALUE"""),120.12)</f>
        <v>120.12</v>
      </c>
      <c r="K382" s="6">
        <f>IFERROR(__xludf.DUMMYFUNCTION("""COMPUTED_VALUE"""),140.14)</f>
        <v>140.14</v>
      </c>
      <c r="L382" s="3"/>
      <c r="M382" s="3"/>
    </row>
    <row r="383" ht="48.0" customHeight="1">
      <c r="A383" s="3" t="str">
        <f>IFERROR(__xludf.DUMMYFUNCTION("""COMPUTED_VALUE"""),"DSCHS2128PCBARG")</f>
        <v>DSCHS2128PCBARG</v>
      </c>
      <c r="B383" s="4" t="str">
        <f>IFERROR(__xludf.DUMMYFUNCTION("""COMPUTED_VALUE"""),"PLACA CENTAL DE 8 ZONAS DE BORNERA, EXPANDIBLE A")</f>
        <v>PLACA CENTAL DE 8 ZONAS DE BORNERA, EXPANDIBLE A</v>
      </c>
      <c r="C383" s="4" t="str">
        <f>IFERROR(__xludf.DUMMYFUNCTION("""COMPUTED_VALUE"""),"Placa cental de 8 zonas de bornera, expandible a 128 entre cableadas e inalambricas, 4 salidas PGM expandible a 148(HSM2204, HSM2208), admite hasta 16 teclados supervisados con la posibilidad de utilizar la zona del teclado para una rapida instalacion, 8 "&amp;"particiones, memoria de 1000 eventos y 1000 codigos de usuarios.")</f>
        <v>Placa cental de 8 zonas de bornera, expandible a 128 entre cableadas e inalambricas, 4 salidas PGM expandible a 148(HSM2204, HSM2208), admite hasta 16 teclados supervisados con la posibilidad de utilizar la zona del teclado para una rapida instalacion, 8 particiones, memoria de 1000 eventos y 1000 codigos de usuarios.</v>
      </c>
      <c r="D383" s="4" t="str">
        <f>IFERROR(__xludf.DUMMYFUNCTION("""COMPUTED_VALUE"""),"DSC")</f>
        <v>DSC</v>
      </c>
      <c r="E383" s="4" t="str">
        <f>IFERROR(__xludf.DUMMYFUNCTION("""COMPUTED_VALUE"""),"DSCHS2128PCBARG")</f>
        <v>DSCHS2128PCBARG</v>
      </c>
      <c r="F383" s="4" t="str">
        <f>IFERROR(__xludf.DUMMYFUNCTION("""COMPUTED_VALUE"""),"ALARMAS &gt; ALARMAS DSC LINEA NEO")</f>
        <v>ALARMAS &gt; ALARMAS DSC LINEA NEO</v>
      </c>
      <c r="G383" s="5"/>
      <c r="H383" s="6">
        <f>IFERROR(__xludf.DUMMYFUNCTION("""COMPUTED_VALUE"""),235.13)</f>
        <v>235.13</v>
      </c>
      <c r="I383" s="7">
        <f>IFERROR(__xludf.DUMMYFUNCTION("""COMPUTED_VALUE"""),21.0)</f>
        <v>21</v>
      </c>
      <c r="J383" s="6">
        <f>IFERROR(__xludf.DUMMYFUNCTION("""COMPUTED_VALUE"""),282.16)</f>
        <v>282.16</v>
      </c>
      <c r="K383" s="6">
        <f>IFERROR(__xludf.DUMMYFUNCTION("""COMPUTED_VALUE"""),329.18)</f>
        <v>329.18</v>
      </c>
      <c r="L383" s="3"/>
      <c r="M383" s="3"/>
    </row>
    <row r="384" ht="48.0" customHeight="1">
      <c r="A384" s="3" t="str">
        <f>IFERROR(__xludf.DUMMYFUNCTION("""COMPUTED_VALUE"""),"DSCHS2ICN")</f>
        <v>DSCHS2ICN</v>
      </c>
      <c r="B384" s="4" t="str">
        <f>IFERROR(__xludf.DUMMYFUNCTION("""COMPUTED_VALUE"""),"TECLADO LCD ICONOS FIJOS, PROGRAMACION POR MENU, ADMITE HASTA")</f>
        <v>TECLADO LCD ICONOS FIJOS, PROGRAMACION POR MENU, ADMITE HASTA</v>
      </c>
      <c r="C384" s="4" t="str">
        <f>IFERROR(__xludf.DUMMYFUNCTION("""COMPUTED_VALUE"""),"Teclado LCD iconos fijos, programacion por menu, admite hasta 128 zonas, LCD azul, 5 teclas de funciones programables, bornera para entrada/salida, teclas emergencia medica, incendio y panico, tamper.")</f>
        <v>Teclado LCD iconos fijos, programacion por menu, admite hasta 128 zonas, LCD azul, 5 teclas de funciones programables, bornera para entrada/salida, teclas emergencia medica, incendio y panico, tamper.</v>
      </c>
      <c r="D384" s="4" t="str">
        <f>IFERROR(__xludf.DUMMYFUNCTION("""COMPUTED_VALUE"""),"DSC")</f>
        <v>DSC</v>
      </c>
      <c r="E384" s="4" t="str">
        <f>IFERROR(__xludf.DUMMYFUNCTION("""COMPUTED_VALUE"""),"DSCHS2ICN")</f>
        <v>DSCHS2ICN</v>
      </c>
      <c r="F384" s="4" t="str">
        <f>IFERROR(__xludf.DUMMYFUNCTION("""COMPUTED_VALUE"""),"ALARMAS &gt; ALARMAS DSC LINEA NEO")</f>
        <v>ALARMAS &gt; ALARMAS DSC LINEA NEO</v>
      </c>
      <c r="G384" s="5"/>
      <c r="H384" s="6">
        <f>IFERROR(__xludf.DUMMYFUNCTION("""COMPUTED_VALUE"""),67.51)</f>
        <v>67.51</v>
      </c>
      <c r="I384" s="7">
        <f>IFERROR(__xludf.DUMMYFUNCTION("""COMPUTED_VALUE"""),21.0)</f>
        <v>21</v>
      </c>
      <c r="J384" s="6">
        <f>IFERROR(__xludf.DUMMYFUNCTION("""COMPUTED_VALUE"""),81.01)</f>
        <v>81.01</v>
      </c>
      <c r="K384" s="6">
        <f>IFERROR(__xludf.DUMMYFUNCTION("""COMPUTED_VALUE"""),94.51)</f>
        <v>94.51</v>
      </c>
      <c r="L384" s="3"/>
      <c r="M384" s="3"/>
    </row>
    <row r="385" ht="48.0" customHeight="1">
      <c r="A385" s="3" t="str">
        <f>IFERROR(__xludf.DUMMYFUNCTION("""COMPUTED_VALUE"""),"DSCHS2LCD")</f>
        <v>DSCHS2LCD</v>
      </c>
      <c r="B385" s="4" t="str">
        <f>IFERROR(__xludf.DUMMYFUNCTION("""COMPUTED_VALUE"""),"TECLADO LCD ALFANUMERICO ETIQUETAS DE ZONAS DE HASTA 32")</f>
        <v>TECLADO LCD ALFANUMERICO ETIQUETAS DE ZONAS DE HASTA 32</v>
      </c>
      <c r="C385" s="4" t="str">
        <f>IFERROR(__xludf.DUMMYFUNCTION("""COMPUTED_VALUE"""),"Teclado LCD alfanumerico etiquetas de zonas de hasta 32 caracteres, soporta 6 idiomas, programacion por menu, admite hasta 128 zonas, LCD azul, 5 teclas de funciones programables, bornera para entrada/salida, teclas emergencia medica, incendio y panico, t"&amp;"amper.")</f>
        <v>Teclado LCD alfanumerico etiquetas de zonas de hasta 32 caracteres, soporta 6 idiomas, programacion por menu, admite hasta 128 zonas, LCD azul, 5 teclas de funciones programables, bornera para entrada/salida, teclas emergencia medica, incendio y panico, tamper.</v>
      </c>
      <c r="D385" s="4" t="str">
        <f>IFERROR(__xludf.DUMMYFUNCTION("""COMPUTED_VALUE"""),"DSC")</f>
        <v>DSC</v>
      </c>
      <c r="E385" s="4" t="str">
        <f>IFERROR(__xludf.DUMMYFUNCTION("""COMPUTED_VALUE"""),"DSCHS2LCD")</f>
        <v>DSCHS2LCD</v>
      </c>
      <c r="F385" s="4" t="str">
        <f>IFERROR(__xludf.DUMMYFUNCTION("""COMPUTED_VALUE"""),"ALARMAS &gt; ALARMAS DSC LINEA NEO")</f>
        <v>ALARMAS &gt; ALARMAS DSC LINEA NEO</v>
      </c>
      <c r="G385" s="5"/>
      <c r="H385" s="6">
        <f>IFERROR(__xludf.DUMMYFUNCTION("""COMPUTED_VALUE"""),102.7)</f>
        <v>102.7</v>
      </c>
      <c r="I385" s="7">
        <f>IFERROR(__xludf.DUMMYFUNCTION("""COMPUTED_VALUE"""),21.0)</f>
        <v>21</v>
      </c>
      <c r="J385" s="6">
        <f>IFERROR(__xludf.DUMMYFUNCTION("""COMPUTED_VALUE"""),123.24)</f>
        <v>123.24</v>
      </c>
      <c r="K385" s="6">
        <f>IFERROR(__xludf.DUMMYFUNCTION("""COMPUTED_VALUE"""),143.78)</f>
        <v>143.78</v>
      </c>
      <c r="L385" s="3"/>
      <c r="M385" s="3"/>
    </row>
    <row r="386" ht="48.0" customHeight="1">
      <c r="A386" s="3" t="str">
        <f>IFERROR(__xludf.DUMMYFUNCTION("""COMPUTED_VALUE"""),"DSCHSLCDPN")</f>
        <v>DSCHSLCDPN</v>
      </c>
      <c r="B386" s="4" t="str">
        <f>IFERROR(__xludf.DUMMYFUNCTION("""COMPUTED_VALUE"""),"TECLADO LCD ALFANUMERICO CON LECTOR DE PROXIMIDAD ETIQUETAS DE")</f>
        <v>TECLADO LCD ALFANUMERICO CON LECTOR DE PROXIMIDAD ETIQUETAS DE</v>
      </c>
      <c r="C386" s="4" t="str">
        <f>IFERROR(__xludf.DUMMYFUNCTION("""COMPUTED_VALUE"""),"Teclado LCD alfanumerico CON LECTOR DE PROXIMIDAD etiquetas de zonas de hasta 32 caracteres, soporta 6 idiomas, programacion por menu, admite hasta 128 zonas, LCD azul, 5 teclas de funciones programables, bornera para entrada/salida, teclas emergencia med"&amp;"ica, incendio y panico, tamper.")</f>
        <v>Teclado LCD alfanumerico CON LECTOR DE PROXIMIDAD etiquetas de zonas de hasta 32 caracteres, soporta 6 idiomas, programacion por menu, admite hasta 128 zonas, LCD azul, 5 teclas de funciones programables, bornera para entrada/salida, teclas emergencia medica, incendio y panico, tamper.</v>
      </c>
      <c r="D386" s="4" t="str">
        <f>IFERROR(__xludf.DUMMYFUNCTION("""COMPUTED_VALUE"""),"DSC")</f>
        <v>DSC</v>
      </c>
      <c r="E386" s="4" t="str">
        <f>IFERROR(__xludf.DUMMYFUNCTION("""COMPUTED_VALUE"""),"DSCHSLCDPN")</f>
        <v>DSCHSLCDPN</v>
      </c>
      <c r="F386" s="4" t="str">
        <f>IFERROR(__xludf.DUMMYFUNCTION("""COMPUTED_VALUE"""),"ALARMAS &gt; ALARMAS DSC LINEA NEO")</f>
        <v>ALARMAS &gt; ALARMAS DSC LINEA NEO</v>
      </c>
      <c r="G386" s="5"/>
      <c r="H386" s="6">
        <f>IFERROR(__xludf.DUMMYFUNCTION("""COMPUTED_VALUE"""),112.18)</f>
        <v>112.18</v>
      </c>
      <c r="I386" s="7">
        <f>IFERROR(__xludf.DUMMYFUNCTION("""COMPUTED_VALUE"""),21.0)</f>
        <v>21</v>
      </c>
      <c r="J386" s="6">
        <f>IFERROR(__xludf.DUMMYFUNCTION("""COMPUTED_VALUE"""),134.62)</f>
        <v>134.62</v>
      </c>
      <c r="K386" s="6">
        <f>IFERROR(__xludf.DUMMYFUNCTION("""COMPUTED_VALUE"""),157.05)</f>
        <v>157.05</v>
      </c>
      <c r="L386" s="3"/>
      <c r="M386" s="3"/>
    </row>
    <row r="387" ht="48.0" customHeight="1">
      <c r="A387" s="3" t="str">
        <f>IFERROR(__xludf.DUMMYFUNCTION("""COMPUTED_VALUE"""),"DSCHS2ICNRF9")</f>
        <v>DSCHS2ICNRF9</v>
      </c>
      <c r="B387" s="4" t="str">
        <f>IFERROR(__xludf.DUMMYFUNCTION("""COMPUTED_VALUE"""),"TECLADO LCD ICONOS FIJOS CON RECEPTOR INALAMBRICO INCORPORADO POWERG,")</f>
        <v>TECLADO LCD ICONOS FIJOS CON RECEPTOR INALAMBRICO INCORPORADO POWERG,</v>
      </c>
      <c r="C387" s="4" t="str">
        <f>IFERROR(__xludf.DUMMYFUNCTION("""COMPUTED_VALUE"""),"Teclado LCD iconos fijos con receptor inalambrico incorporado PowerG, programacion por menu, admite hasta 128 zonas, LCD azul, 5 teclas de funciones programables, bornera para entrada/salida, teclas emergencia medica, incendio y panico, tamper.")</f>
        <v>Teclado LCD iconos fijos con receptor inalambrico incorporado PowerG, programacion por menu, admite hasta 128 zonas, LCD azul, 5 teclas de funciones programables, bornera para entrada/salida, teclas emergencia medica, incendio y panico, tamper.</v>
      </c>
      <c r="D387" s="4" t="str">
        <f>IFERROR(__xludf.DUMMYFUNCTION("""COMPUTED_VALUE"""),"DSC")</f>
        <v>DSC</v>
      </c>
      <c r="E387" s="4" t="str">
        <f>IFERROR(__xludf.DUMMYFUNCTION("""COMPUTED_VALUE"""),"DSCHS2ICNRF9")</f>
        <v>DSCHS2ICNRF9</v>
      </c>
      <c r="F387" s="4" t="str">
        <f>IFERROR(__xludf.DUMMYFUNCTION("""COMPUTED_VALUE"""),"ALARMAS &gt; ALARMAS DSC LINEA NEO")</f>
        <v>ALARMAS &gt; ALARMAS DSC LINEA NEO</v>
      </c>
      <c r="G387" s="5"/>
      <c r="H387" s="6">
        <f>IFERROR(__xludf.DUMMYFUNCTION("""COMPUTED_VALUE"""),138.0)</f>
        <v>138</v>
      </c>
      <c r="I387" s="7">
        <f>IFERROR(__xludf.DUMMYFUNCTION("""COMPUTED_VALUE"""),21.0)</f>
        <v>21</v>
      </c>
      <c r="J387" s="6">
        <f>IFERROR(__xludf.DUMMYFUNCTION("""COMPUTED_VALUE"""),165.6)</f>
        <v>165.6</v>
      </c>
      <c r="K387" s="6">
        <f>IFERROR(__xludf.DUMMYFUNCTION("""COMPUTED_VALUE"""),193.2)</f>
        <v>193.2</v>
      </c>
      <c r="L387" s="3"/>
      <c r="M387" s="3"/>
    </row>
    <row r="388" ht="48.0" customHeight="1">
      <c r="A388" s="3" t="str">
        <f>IFERROR(__xludf.DUMMYFUNCTION("""COMPUTED_VALUE"""),"DSCHS2LCDRF9")</f>
        <v>DSCHS2LCDRF9</v>
      </c>
      <c r="B388" s="4" t="str">
        <f>IFERROR(__xludf.DUMMYFUNCTION("""COMPUTED_VALUE"""),"TECLADO LCD ALFANUMERICO CON RECEPTOR INALAMBRICO INCORPORADO POWERG,")</f>
        <v>TECLADO LCD ALFANUMERICO CON RECEPTOR INALAMBRICO INCORPORADO POWERG,</v>
      </c>
      <c r="C388" s="4" t="str">
        <f>IFERROR(__xludf.DUMMYFUNCTION("""COMPUTED_VALUE"""),"Teclado LCD alfanumerico con receptor inalambrico incorporado PowerG, etiquetas de zonas de hasta 32 caracteres, soporta 6 idiomas, programacion por menu, admite hasta 128 zonas, LCD azul, 5 teclas de funciones programables, bornera para entrada/salida, t"&amp;"eclas emergencia medica, incendio y panico, tamper.")</f>
        <v>Teclado LCD alfanumerico con receptor inalambrico incorporado PowerG, etiquetas de zonas de hasta 32 caracteres, soporta 6 idiomas, programacion por menu, admite hasta 128 zonas, LCD azul, 5 teclas de funciones programables, bornera para entrada/salida, teclas emergencia medica, incendio y panico, tamper.</v>
      </c>
      <c r="D388" s="4" t="str">
        <f>IFERROR(__xludf.DUMMYFUNCTION("""COMPUTED_VALUE"""),"DSC")</f>
        <v>DSC</v>
      </c>
      <c r="E388" s="4" t="str">
        <f>IFERROR(__xludf.DUMMYFUNCTION("""COMPUTED_VALUE"""),"DSCHS2LCDRF9")</f>
        <v>DSCHS2LCDRF9</v>
      </c>
      <c r="F388" s="4" t="str">
        <f>IFERROR(__xludf.DUMMYFUNCTION("""COMPUTED_VALUE"""),"ALARMAS &gt; ALARMAS DSC LINEA NEO")</f>
        <v>ALARMAS &gt; ALARMAS DSC LINEA NEO</v>
      </c>
      <c r="G388" s="5"/>
      <c r="H388" s="6">
        <f>IFERROR(__xludf.DUMMYFUNCTION("""COMPUTED_VALUE"""),138.0)</f>
        <v>138</v>
      </c>
      <c r="I388" s="7">
        <f>IFERROR(__xludf.DUMMYFUNCTION("""COMPUTED_VALUE"""),21.0)</f>
        <v>21</v>
      </c>
      <c r="J388" s="6">
        <f>IFERROR(__xludf.DUMMYFUNCTION("""COMPUTED_VALUE"""),165.6)</f>
        <v>165.6</v>
      </c>
      <c r="K388" s="6">
        <f>IFERROR(__xludf.DUMMYFUNCTION("""COMPUTED_VALUE"""),193.2)</f>
        <v>193.2</v>
      </c>
      <c r="L388" s="3"/>
      <c r="M388" s="3"/>
    </row>
    <row r="389" ht="48.0" customHeight="1">
      <c r="A389" s="3" t="str">
        <f>IFERROR(__xludf.DUMMYFUNCTION("""COMPUTED_VALUE"""),"DSCHS2LCDWF9")</f>
        <v>DSCHS2LCDWF9</v>
      </c>
      <c r="B389" s="4" t="str">
        <f>IFERROR(__xludf.DUMMYFUNCTION("""COMPUTED_VALUE"""),"TECLADO NETAMENTE INALAMBRICO BIDIRECCIONAL, LCD ALFANUMERICO CON RECE")</f>
        <v>TECLADO NETAMENTE INALAMBRICO BIDIRECCIONAL, LCD ALFANUMERICO CON RECE</v>
      </c>
      <c r="C389" s="4" t="str">
        <f>IFERROR(__xludf.DUMMYFUNCTION("""COMPUTED_VALUE"""),"Teclado NETAMENTE INALAMBRICO BIDIRECCIONAL, LCD alfanumerico con receptor inalambrico incorporado PowerG, etiquetas de zonas de hasta 32 caracteres, soporta 6 idiomas, programacion por menu, admite hasta 128 zonas, LCD azul, 5 teclas de funciones program"&amp;"ables, bornera para entrada/salida, teclas emergencia medica, incendio y panico, tamper.")</f>
        <v>Teclado NETAMENTE INALAMBRICO BIDIRECCIONAL, LCD alfanumerico con receptor inalambrico incorporado PowerG, etiquetas de zonas de hasta 32 caracteres, soporta 6 idiomas, programacion por menu, admite hasta 128 zonas, LCD azul, 5 teclas de funciones programables, bornera para entrada/salida, teclas emergencia medica, incendio y panico, tamper.</v>
      </c>
      <c r="D389" s="4" t="str">
        <f>IFERROR(__xludf.DUMMYFUNCTION("""COMPUTED_VALUE"""),"DSC")</f>
        <v>DSC</v>
      </c>
      <c r="E389" s="4" t="str">
        <f>IFERROR(__xludf.DUMMYFUNCTION("""COMPUTED_VALUE"""),"DSCHS2LCDWF9")</f>
        <v>DSCHS2LCDWF9</v>
      </c>
      <c r="F389" s="4" t="str">
        <f>IFERROR(__xludf.DUMMYFUNCTION("""COMPUTED_VALUE"""),"ALARMAS &gt; ALARMAS DSC LINEA NEO")</f>
        <v>ALARMAS &gt; ALARMAS DSC LINEA NEO</v>
      </c>
      <c r="G389" s="5"/>
      <c r="H389" s="6">
        <f>IFERROR(__xludf.DUMMYFUNCTION("""COMPUTED_VALUE"""),247.19)</f>
        <v>247.19</v>
      </c>
      <c r="I389" s="7">
        <f>IFERROR(__xludf.DUMMYFUNCTION("""COMPUTED_VALUE"""),21.0)</f>
        <v>21</v>
      </c>
      <c r="J389" s="6">
        <f>IFERROR(__xludf.DUMMYFUNCTION("""COMPUTED_VALUE"""),296.63)</f>
        <v>296.63</v>
      </c>
      <c r="K389" s="6">
        <f>IFERROR(__xludf.DUMMYFUNCTION("""COMPUTED_VALUE"""),346.07)</f>
        <v>346.07</v>
      </c>
      <c r="L389" s="3"/>
      <c r="M389" s="3"/>
    </row>
    <row r="390" ht="48.0" customHeight="1">
      <c r="A390" s="3" t="str">
        <f>IFERROR(__xludf.DUMMYFUNCTION("""COMPUTED_VALUE"""),"DSCPG9901")</f>
        <v>DSCPG9901</v>
      </c>
      <c r="B390" s="4" t="str">
        <f>IFERROR(__xludf.DUMMYFUNCTION("""COMPUTED_VALUE"""),"SIRENA INALAMBRICO INTERIOR DE 110DB CON LUZ ESTROBOSCOPICA, SONIDOS")</f>
        <v>SIRENA INALAMBRICO INTERIOR DE 110DB CON LUZ ESTROBOSCOPICA, SONIDOS</v>
      </c>
      <c r="C390" s="4" t="str">
        <f>IFERROR(__xludf.DUMMYFUNCTION("""COMPUTED_VALUE"""),"Sirena inalambrico interior de 110DB con luz estroboscopica, sonidos independientes para robo e incendio, PowerG. INCLUYE BATERIA")</f>
        <v>Sirena inalambrico interior de 110DB con luz estroboscopica, sonidos independientes para robo e incendio, PowerG. INCLUYE BATERIA</v>
      </c>
      <c r="D390" s="4" t="str">
        <f>IFERROR(__xludf.DUMMYFUNCTION("""COMPUTED_VALUE"""),"DSC")</f>
        <v>DSC</v>
      </c>
      <c r="E390" s="4" t="str">
        <f>IFERROR(__xludf.DUMMYFUNCTION("""COMPUTED_VALUE"""),"DSCPG9901")</f>
        <v>DSCPG9901</v>
      </c>
      <c r="F390" s="4" t="str">
        <f>IFERROR(__xludf.DUMMYFUNCTION("""COMPUTED_VALUE"""),"ALARMAS &gt; ALARMAS DSC LINEA NEO")</f>
        <v>ALARMAS &gt; ALARMAS DSC LINEA NEO</v>
      </c>
      <c r="G390" s="5"/>
      <c r="H390" s="6">
        <f>IFERROR(__xludf.DUMMYFUNCTION("""COMPUTED_VALUE"""),184.8)</f>
        <v>184.8</v>
      </c>
      <c r="I390" s="7">
        <f>IFERROR(__xludf.DUMMYFUNCTION("""COMPUTED_VALUE"""),21.0)</f>
        <v>21</v>
      </c>
      <c r="J390" s="6">
        <f>IFERROR(__xludf.DUMMYFUNCTION("""COMPUTED_VALUE"""),221.76)</f>
        <v>221.76</v>
      </c>
      <c r="K390" s="6">
        <f>IFERROR(__xludf.DUMMYFUNCTION("""COMPUTED_VALUE"""),258.72)</f>
        <v>258.72</v>
      </c>
      <c r="L390" s="3"/>
      <c r="M390" s="3"/>
    </row>
    <row r="391" ht="48.0" customHeight="1">
      <c r="A391" s="3" t="str">
        <f>IFERROR(__xludf.DUMMYFUNCTION("""COMPUTED_VALUE"""),"DSCPG9911B")</f>
        <v>DSCPG9911B</v>
      </c>
      <c r="B391" s="4" t="str">
        <f>IFERROR(__xludf.DUMMYFUNCTION("""COMPUTED_VALUE"""),"SIRENA INALAMBRICO EXTERIOR DE 110DB CON LUZ ESTROBOSCOPICA, IP55,")</f>
        <v>SIRENA INALAMBRICO EXTERIOR DE 110DB CON LUZ ESTROBOSCOPICA, IP55,</v>
      </c>
      <c r="C391" s="4" t="str">
        <f>IFERROR(__xludf.DUMMYFUNCTION("""COMPUTED_VALUE"""),"Sirena inalambrico exterior de 110DB con luz estroboscopica, IP55, totalmente supervisada, PowerG. INCLUYE BATERIA.")</f>
        <v>Sirena inalambrico exterior de 110DB con luz estroboscopica, IP55, totalmente supervisada, PowerG. INCLUYE BATERIA.</v>
      </c>
      <c r="D391" s="4" t="str">
        <f>IFERROR(__xludf.DUMMYFUNCTION("""COMPUTED_VALUE"""),"DSC")</f>
        <v>DSC</v>
      </c>
      <c r="E391" s="4" t="str">
        <f>IFERROR(__xludf.DUMMYFUNCTION("""COMPUTED_VALUE"""),"DSCPG9911B")</f>
        <v>DSCPG9911B</v>
      </c>
      <c r="F391" s="4" t="str">
        <f>IFERROR(__xludf.DUMMYFUNCTION("""COMPUTED_VALUE"""),"ALARMAS &gt; ALARMAS DSC LINEA NEO")</f>
        <v>ALARMAS &gt; ALARMAS DSC LINEA NEO</v>
      </c>
      <c r="G391" s="5"/>
      <c r="H391" s="6">
        <f>IFERROR(__xludf.DUMMYFUNCTION("""COMPUTED_VALUE"""),202.4)</f>
        <v>202.4</v>
      </c>
      <c r="I391" s="7">
        <f>IFERROR(__xludf.DUMMYFUNCTION("""COMPUTED_VALUE"""),21.0)</f>
        <v>21</v>
      </c>
      <c r="J391" s="6">
        <f>IFERROR(__xludf.DUMMYFUNCTION("""COMPUTED_VALUE"""),242.88)</f>
        <v>242.88</v>
      </c>
      <c r="K391" s="6">
        <f>IFERROR(__xludf.DUMMYFUNCTION("""COMPUTED_VALUE"""),283.36)</f>
        <v>283.36</v>
      </c>
      <c r="L391" s="3"/>
      <c r="M391" s="3"/>
    </row>
    <row r="392" ht="48.0" customHeight="1">
      <c r="A392" s="3" t="str">
        <f>IFERROR(__xludf.DUMMYFUNCTION("""COMPUTED_VALUE"""),"DSCHSM2HOST9")</f>
        <v>DSCHSM2HOST9</v>
      </c>
      <c r="B392" s="4" t="str">
        <f>IFERROR(__xludf.DUMMYFUNCTION("""COMPUTED_VALUE"""),"RECEPTOR-REPETIDOR INALAMBRICO DE HASTA 128 ZONAS Y 32 LLAVEROS,")</f>
        <v>RECEPTOR-REPETIDOR INALAMBRICO DE HASTA 128 ZONAS Y 32 LLAVEROS,</v>
      </c>
      <c r="C392" s="4" t="str">
        <f>IFERROR(__xludf.DUMMYFUNCTION("""COMPUTED_VALUE"""),"RECEPTOR-REPETIDOR inalambrico de hasta 128 zonas y 32 llaveros, dependiendo del panel al que se le conecte, compatible con repetidor de señal PG9920, para ampliar el rango de cobertura, box con tamper, se puede instalar uno por elemento por sistema, si s"&amp;"e requiere mayor distancia, se le pueden adicionar hasta 8 repetidores PG9920")</f>
        <v>RECEPTOR-REPETIDOR inalambrico de hasta 128 zonas y 32 llaveros, dependiendo del panel al que se le conecte, compatible con repetidor de señal PG9920, para ampliar el rango de cobertura, box con tamper, se puede instalar uno por elemento por sistema, si se requiere mayor distancia, se le pueden adicionar hasta 8 repetidores PG9920</v>
      </c>
      <c r="D392" s="4" t="str">
        <f>IFERROR(__xludf.DUMMYFUNCTION("""COMPUTED_VALUE"""),"DSC")</f>
        <v>DSC</v>
      </c>
      <c r="E392" s="4" t="str">
        <f>IFERROR(__xludf.DUMMYFUNCTION("""COMPUTED_VALUE"""),"DSCHSM2HOST9")</f>
        <v>DSCHSM2HOST9</v>
      </c>
      <c r="F392" s="4" t="str">
        <f>IFERROR(__xludf.DUMMYFUNCTION("""COMPUTED_VALUE"""),"ALARMAS &gt; ALARMAS DSC LINEA NEO")</f>
        <v>ALARMAS &gt; ALARMAS DSC LINEA NEO</v>
      </c>
      <c r="G392" s="5"/>
      <c r="H392" s="6">
        <f>IFERROR(__xludf.DUMMYFUNCTION("""COMPUTED_VALUE"""),127.4)</f>
        <v>127.4</v>
      </c>
      <c r="I392" s="7">
        <f>IFERROR(__xludf.DUMMYFUNCTION("""COMPUTED_VALUE"""),21.0)</f>
        <v>21</v>
      </c>
      <c r="J392" s="6">
        <f>IFERROR(__xludf.DUMMYFUNCTION("""COMPUTED_VALUE"""),152.88)</f>
        <v>152.88</v>
      </c>
      <c r="K392" s="6">
        <f>IFERROR(__xludf.DUMMYFUNCTION("""COMPUTED_VALUE"""),178.36)</f>
        <v>178.36</v>
      </c>
      <c r="L392" s="3"/>
      <c r="M392" s="3"/>
    </row>
    <row r="393" ht="48.0" customHeight="1">
      <c r="A393" s="3" t="str">
        <f>IFERROR(__xludf.DUMMYFUNCTION("""COMPUTED_VALUE"""),"DSCPG9920")</f>
        <v>DSCPG9920</v>
      </c>
      <c r="B393" s="4" t="str">
        <f>IFERROR(__xludf.DUMMYFUNCTION("""COMPUTED_VALUE"""),"REPETIDOR DE SEÑAL, PARA EXPANDIR LA COBERTURA DEL SISTEMA,")</f>
        <v>REPETIDOR DE SEÑAL, PARA EXPANDIR LA COBERTURA DEL SISTEMA,</v>
      </c>
      <c r="C393" s="4" t="str">
        <f>IFERROR(__xludf.DUMMYFUNCTION("""COMPUTED_VALUE"""),"Repetidor de señal, para expandir la cobertura del sistema, box con tamper.")</f>
        <v>Repetidor de señal, para expandir la cobertura del sistema, box con tamper.</v>
      </c>
      <c r="D393" s="4" t="str">
        <f>IFERROR(__xludf.DUMMYFUNCTION("""COMPUTED_VALUE"""),"DSC")</f>
        <v>DSC</v>
      </c>
      <c r="E393" s="4" t="str">
        <f>IFERROR(__xludf.DUMMYFUNCTION("""COMPUTED_VALUE"""),"DSCPG9920")</f>
        <v>DSCPG9920</v>
      </c>
      <c r="F393" s="4" t="str">
        <f>IFERROR(__xludf.DUMMYFUNCTION("""COMPUTED_VALUE"""),"ALARMAS &gt; ALARMAS DSC LINEA NEO")</f>
        <v>ALARMAS &gt; ALARMAS DSC LINEA NEO</v>
      </c>
      <c r="G393" s="5"/>
      <c r="H393" s="6">
        <f>IFERROR(__xludf.DUMMYFUNCTION("""COMPUTED_VALUE"""),109.45)</f>
        <v>109.45</v>
      </c>
      <c r="I393" s="7">
        <f>IFERROR(__xludf.DUMMYFUNCTION("""COMPUTED_VALUE"""),21.0)</f>
        <v>21</v>
      </c>
      <c r="J393" s="6">
        <f>IFERROR(__xludf.DUMMYFUNCTION("""COMPUTED_VALUE"""),131.34)</f>
        <v>131.34</v>
      </c>
      <c r="K393" s="6">
        <f>IFERROR(__xludf.DUMMYFUNCTION("""COMPUTED_VALUE"""),153.23)</f>
        <v>153.23</v>
      </c>
      <c r="L393" s="3"/>
      <c r="M393" s="3"/>
    </row>
    <row r="394" ht="48.0" customHeight="1">
      <c r="A394" s="3" t="str">
        <f>IFERROR(__xludf.DUMMYFUNCTION("""COMPUTED_VALUE"""),"DSCPG9914")</f>
        <v>DSCPG9914</v>
      </c>
      <c r="B394" s="4" t="str">
        <f>IFERROR(__xludf.DUMMYFUNCTION("""COMPUTED_VALUE"""),"DETECTOR INALAMBRICO DE MOVIMIENTO, INMUNIDAD MASCOTAS HASTA 38KG, 15M")</f>
        <v>DETECTOR INALAMBRICO DE MOVIMIENTO, INMUNIDAD MASCOTAS HASTA 38KG, 15M</v>
      </c>
      <c r="C394" s="4" t="str">
        <f>IFERROR(__xludf.DUMMYFUNCTION("""COMPUTED_VALUE"""),"Detector inalambrico de movimiento, inmunidad mascotas hasta 38kg, 15mts 90° PowerG")</f>
        <v>Detector inalambrico de movimiento, inmunidad mascotas hasta 38kg, 15mts 90° PowerG</v>
      </c>
      <c r="D394" s="4" t="str">
        <f>IFERROR(__xludf.DUMMYFUNCTION("""COMPUTED_VALUE"""),"DSC")</f>
        <v>DSC</v>
      </c>
      <c r="E394" s="4" t="str">
        <f>IFERROR(__xludf.DUMMYFUNCTION("""COMPUTED_VALUE"""),"DSCPG9914")</f>
        <v>DSCPG9914</v>
      </c>
      <c r="F394" s="4" t="str">
        <f>IFERROR(__xludf.DUMMYFUNCTION("""COMPUTED_VALUE"""),"ALARMAS &gt; ALARMAS DSC LINEA NEO")</f>
        <v>ALARMAS &gt; ALARMAS DSC LINEA NEO</v>
      </c>
      <c r="G394" s="5"/>
      <c r="H394" s="6">
        <f>IFERROR(__xludf.DUMMYFUNCTION("""COMPUTED_VALUE"""),51.52)</f>
        <v>51.52</v>
      </c>
      <c r="I394" s="7">
        <f>IFERROR(__xludf.DUMMYFUNCTION("""COMPUTED_VALUE"""),21.0)</f>
        <v>21</v>
      </c>
      <c r="J394" s="6">
        <f>IFERROR(__xludf.DUMMYFUNCTION("""COMPUTED_VALUE"""),61.82)</f>
        <v>61.82</v>
      </c>
      <c r="K394" s="6">
        <f>IFERROR(__xludf.DUMMYFUNCTION("""COMPUTED_VALUE"""),72.13)</f>
        <v>72.13</v>
      </c>
      <c r="L394" s="3"/>
      <c r="M394" s="3"/>
    </row>
    <row r="395" ht="48.0" customHeight="1">
      <c r="A395" s="3" t="str">
        <f>IFERROR(__xludf.DUMMYFUNCTION("""COMPUTED_VALUE"""),"DSCPG9939")</f>
        <v>DSCPG9939</v>
      </c>
      <c r="B395" s="4" t="str">
        <f>IFERROR(__xludf.DUMMYFUNCTION("""COMPUTED_VALUE"""),"LLAVERO DE 4 CANALES PROGRAMABLES, INDICADOR VISUAL Y AUDIBLE")</f>
        <v>LLAVERO DE 4 CANALES PROGRAMABLES, INDICADOR VISUAL Y AUDIBLE</v>
      </c>
      <c r="C395" s="4" t="str">
        <f>IFERROR(__xludf.DUMMYFUNCTION("""COMPUTED_VALUE"""),"Llavero de 4 canales programables, Indicador visual y audible para confirmación de función seleccionada, Función de pánico con 3 segundos de confirmación, que reduce las falsas alarmas, PowerG")</f>
        <v>Llavero de 4 canales programables, Indicador visual y audible para confirmación de función seleccionada, Función de pánico con 3 segundos de confirmación, que reduce las falsas alarmas, PowerG</v>
      </c>
      <c r="D395" s="4" t="str">
        <f>IFERROR(__xludf.DUMMYFUNCTION("""COMPUTED_VALUE"""),"DSC")</f>
        <v>DSC</v>
      </c>
      <c r="E395" s="4" t="str">
        <f>IFERROR(__xludf.DUMMYFUNCTION("""COMPUTED_VALUE"""),"DSCPG9939")</f>
        <v>DSCPG9939</v>
      </c>
      <c r="F395" s="4" t="str">
        <f>IFERROR(__xludf.DUMMYFUNCTION("""COMPUTED_VALUE"""),"ALARMAS &gt; ALARMAS DSC LINEA NEO")</f>
        <v>ALARMAS &gt; ALARMAS DSC LINEA NEO</v>
      </c>
      <c r="G395" s="5"/>
      <c r="H395" s="6">
        <f>IFERROR(__xludf.DUMMYFUNCTION("""COMPUTED_VALUE"""),44.42)</f>
        <v>44.42</v>
      </c>
      <c r="I395" s="7">
        <f>IFERROR(__xludf.DUMMYFUNCTION("""COMPUTED_VALUE"""),21.0)</f>
        <v>21</v>
      </c>
      <c r="J395" s="6">
        <f>IFERROR(__xludf.DUMMYFUNCTION("""COMPUTED_VALUE"""),53.3)</f>
        <v>53.3</v>
      </c>
      <c r="K395" s="6">
        <f>IFERROR(__xludf.DUMMYFUNCTION("""COMPUTED_VALUE"""),62.19)</f>
        <v>62.19</v>
      </c>
      <c r="L395" s="3"/>
      <c r="M395" s="3"/>
    </row>
    <row r="396" ht="48.0" customHeight="1">
      <c r="A396" s="3" t="str">
        <f>IFERROR(__xludf.DUMMYFUNCTION("""COMPUTED_VALUE"""),"DSCPG9945")</f>
        <v>DSCPG9945</v>
      </c>
      <c r="B396" s="4" t="str">
        <f>IFERROR(__xludf.DUMMYFUNCTION("""COMPUTED_VALUE"""),"CONTACTO INALAMBRICO MAGNETICO BLANCO, INCLUYE BORNERA PARA ENTRADA AU")</f>
        <v>CONTACTO INALAMBRICO MAGNETICO BLANCO, INCLUYE BORNERA PARA ENTRADA AU</v>
      </c>
      <c r="C396" s="4" t="str">
        <f>IFERROR(__xludf.DUMMYFUNCTION("""COMPUTED_VALUE"""),"Contacto inalambrico magnetico BLANCO, incluye bornera para entrada auxiliar NA/NC EOL, doble tamper.")</f>
        <v>Contacto inalambrico magnetico BLANCO, incluye bornera para entrada auxiliar NA/NC EOL, doble tamper.</v>
      </c>
      <c r="D396" s="4" t="str">
        <f>IFERROR(__xludf.DUMMYFUNCTION("""COMPUTED_VALUE"""),"DSC")</f>
        <v>DSC</v>
      </c>
      <c r="E396" s="4" t="str">
        <f>IFERROR(__xludf.DUMMYFUNCTION("""COMPUTED_VALUE"""),"DSCPG9945")</f>
        <v>DSCPG9945</v>
      </c>
      <c r="F396" s="4" t="str">
        <f>IFERROR(__xludf.DUMMYFUNCTION("""COMPUTED_VALUE"""),"ALARMAS &gt; ALARMAS DSC LINEA NEO")</f>
        <v>ALARMAS &gt; ALARMAS DSC LINEA NEO</v>
      </c>
      <c r="G396" s="5"/>
      <c r="H396" s="6">
        <f>IFERROR(__xludf.DUMMYFUNCTION("""COMPUTED_VALUE"""),60.51)</f>
        <v>60.51</v>
      </c>
      <c r="I396" s="7">
        <f>IFERROR(__xludf.DUMMYFUNCTION("""COMPUTED_VALUE"""),21.0)</f>
        <v>21</v>
      </c>
      <c r="J396" s="6">
        <f>IFERROR(__xludf.DUMMYFUNCTION("""COMPUTED_VALUE"""),72.61)</f>
        <v>72.61</v>
      </c>
      <c r="K396" s="6">
        <f>IFERROR(__xludf.DUMMYFUNCTION("""COMPUTED_VALUE"""),84.71)</f>
        <v>84.71</v>
      </c>
      <c r="L396" s="3"/>
      <c r="M396" s="3"/>
    </row>
    <row r="397" ht="48.0" customHeight="1">
      <c r="A397" s="3" t="str">
        <f>IFERROR(__xludf.DUMMYFUNCTION("""COMPUTED_VALUE"""),"DSCPG9303")</f>
        <v>DSCPG9303</v>
      </c>
      <c r="B397" s="4" t="str">
        <f>IFERROR(__xludf.DUMMYFUNCTION("""COMPUTED_VALUE"""),"CONTACTO INALAMBRICO MAGNETICO ULTRA DELGADO BLANCO")</f>
        <v>CONTACTO INALAMBRICO MAGNETICO ULTRA DELGADO BLANCO</v>
      </c>
      <c r="C397" s="4" t="str">
        <f>IFERROR(__xludf.DUMMYFUNCTION("""COMPUTED_VALUE"""),"Contacto inalambrico magnetico ultra delgado BLANCO. NUEVO MODELO")</f>
        <v>Contacto inalambrico magnetico ultra delgado BLANCO. NUEVO MODELO</v>
      </c>
      <c r="D397" s="4" t="str">
        <f>IFERROR(__xludf.DUMMYFUNCTION("""COMPUTED_VALUE"""),"DSC")</f>
        <v>DSC</v>
      </c>
      <c r="E397" s="4" t="str">
        <f>IFERROR(__xludf.DUMMYFUNCTION("""COMPUTED_VALUE"""),"DSCPG9303")</f>
        <v>DSCPG9303</v>
      </c>
      <c r="F397" s="4" t="str">
        <f>IFERROR(__xludf.DUMMYFUNCTION("""COMPUTED_VALUE"""),"ALARMAS &gt; ALARMAS DSC LINEA NEO")</f>
        <v>ALARMAS &gt; ALARMAS DSC LINEA NEO</v>
      </c>
      <c r="G397" s="5"/>
      <c r="H397" s="6">
        <f>IFERROR(__xludf.DUMMYFUNCTION("""COMPUTED_VALUE"""),35.53)</f>
        <v>35.53</v>
      </c>
      <c r="I397" s="7">
        <f>IFERROR(__xludf.DUMMYFUNCTION("""COMPUTED_VALUE"""),21.0)</f>
        <v>21</v>
      </c>
      <c r="J397" s="6">
        <f>IFERROR(__xludf.DUMMYFUNCTION("""COMPUTED_VALUE"""),42.64)</f>
        <v>42.64</v>
      </c>
      <c r="K397" s="6">
        <f>IFERROR(__xludf.DUMMYFUNCTION("""COMPUTED_VALUE"""),49.74)</f>
        <v>49.74</v>
      </c>
      <c r="L397" s="3"/>
      <c r="M397" s="3"/>
    </row>
    <row r="398" ht="48.0" customHeight="1">
      <c r="A398" s="3" t="str">
        <f>IFERROR(__xludf.DUMMYFUNCTION("""COMPUTED_VALUE"""),"DSCPG9975")</f>
        <v>DSCPG9975</v>
      </c>
      <c r="B398" s="4" t="str">
        <f>IFERROR(__xludf.DUMMYFUNCTION("""COMPUTED_VALUE"""),"CONTACTO INALAMBRICO MAGNETICO DELGADO BLANCO")</f>
        <v>CONTACTO INALAMBRICO MAGNETICO DELGADO BLANCO</v>
      </c>
      <c r="C398" s="4" t="str">
        <f>IFERROR(__xludf.DUMMYFUNCTION("""COMPUTED_VALUE"""),"Contacto inalambrico magnetico delgado BLANCO")</f>
        <v>Contacto inalambrico magnetico delgado BLANCO</v>
      </c>
      <c r="D398" s="4" t="str">
        <f>IFERROR(__xludf.DUMMYFUNCTION("""COMPUTED_VALUE"""),"DSC")</f>
        <v>DSC</v>
      </c>
      <c r="E398" s="4" t="str">
        <f>IFERROR(__xludf.DUMMYFUNCTION("""COMPUTED_VALUE"""),"DSCPG9975")</f>
        <v>DSCPG9975</v>
      </c>
      <c r="F398" s="4" t="str">
        <f>IFERROR(__xludf.DUMMYFUNCTION("""COMPUTED_VALUE"""),"ALARMAS &gt; ALARMAS DSC LINEA NEO")</f>
        <v>ALARMAS &gt; ALARMAS DSC LINEA NEO</v>
      </c>
      <c r="G398" s="5"/>
      <c r="H398" s="6">
        <f>IFERROR(__xludf.DUMMYFUNCTION("""COMPUTED_VALUE"""),25.06)</f>
        <v>25.06</v>
      </c>
      <c r="I398" s="7">
        <f>IFERROR(__xludf.DUMMYFUNCTION("""COMPUTED_VALUE"""),21.0)</f>
        <v>21</v>
      </c>
      <c r="J398" s="6">
        <f>IFERROR(__xludf.DUMMYFUNCTION("""COMPUTED_VALUE"""),30.07)</f>
        <v>30.07</v>
      </c>
      <c r="K398" s="6">
        <f>IFERROR(__xludf.DUMMYFUNCTION("""COMPUTED_VALUE"""),35.08)</f>
        <v>35.08</v>
      </c>
      <c r="L398" s="3"/>
      <c r="M398" s="3"/>
    </row>
    <row r="399" ht="48.0" customHeight="1">
      <c r="A399" s="3" t="str">
        <f>IFERROR(__xludf.DUMMYFUNCTION("""COMPUTED_VALUE"""),"DSCPG9936")</f>
        <v>DSCPG9936</v>
      </c>
      <c r="B399" s="4" t="str">
        <f>IFERROR(__xludf.DUMMYFUNCTION("""COMPUTED_VALUE"""),"DETECTOR INALAMBRICO DE HUMO FOTOELECTRICO CON SENSOR DE TEMPERATURA")</f>
        <v>DETECTOR INALAMBRICO DE HUMO FOTOELECTRICO CON SENSOR DE TEMPERATURA</v>
      </c>
      <c r="C399" s="4" t="str">
        <f>IFERROR(__xludf.DUMMYFUNCTION("""COMPUTED_VALUE"""),"Detector inalambrico de humo fotoelectrico con sensor de temperatura incluido, sirena de 85DB, indicador de calidad de señal visible, PowerG.")</f>
        <v>Detector inalambrico de humo fotoelectrico con sensor de temperatura incluido, sirena de 85DB, indicador de calidad de señal visible, PowerG.</v>
      </c>
      <c r="D399" s="4" t="str">
        <f>IFERROR(__xludf.DUMMYFUNCTION("""COMPUTED_VALUE"""),"DSC")</f>
        <v>DSC</v>
      </c>
      <c r="E399" s="4" t="str">
        <f>IFERROR(__xludf.DUMMYFUNCTION("""COMPUTED_VALUE"""),"DSCPG9936")</f>
        <v>DSCPG9936</v>
      </c>
      <c r="F399" s="4" t="str">
        <f>IFERROR(__xludf.DUMMYFUNCTION("""COMPUTED_VALUE"""),"ALARMAS &gt; ALARMAS DSC LINEA NEO")</f>
        <v>ALARMAS &gt; ALARMAS DSC LINEA NEO</v>
      </c>
      <c r="G399" s="5"/>
      <c r="H399" s="6">
        <f>IFERROR(__xludf.DUMMYFUNCTION("""COMPUTED_VALUE"""),101.16)</f>
        <v>101.16</v>
      </c>
      <c r="I399" s="7">
        <f>IFERROR(__xludf.DUMMYFUNCTION("""COMPUTED_VALUE"""),21.0)</f>
        <v>21</v>
      </c>
      <c r="J399" s="6">
        <f>IFERROR(__xludf.DUMMYFUNCTION("""COMPUTED_VALUE"""),121.39)</f>
        <v>121.39</v>
      </c>
      <c r="K399" s="6">
        <f>IFERROR(__xludf.DUMMYFUNCTION("""COMPUTED_VALUE"""),141.62)</f>
        <v>141.62</v>
      </c>
      <c r="L399" s="3"/>
      <c r="M399" s="3"/>
    </row>
    <row r="400" ht="48.0" customHeight="1">
      <c r="A400" s="3" t="str">
        <f>IFERROR(__xludf.DUMMYFUNCTION("""COMPUTED_VALUE"""),"DSCPG9922")</f>
        <v>DSCPG9922</v>
      </c>
      <c r="B400" s="4" t="str">
        <f>IFERROR(__xludf.DUMMYFUNCTION("""COMPUTED_VALUE"""),"DETECTOR INALAMBRICO DE ROTURA DE VIDIO RECUBIERTO, TEMPLADO, LAMINADO")</f>
        <v>DETECTOR INALAMBRICO DE ROTURA DE VIDIO RECUBIERTO, TEMPLADO, LAMINADO</v>
      </c>
      <c r="C400" s="4" t="str">
        <f>IFERROR(__xludf.DUMMYFUNCTION("""COMPUTED_VALUE"""),"Detector inalambrico de rotura de vidio recubierto, templado, laminado y armado, alcance de deteccion 6mts, cobertura 360°")</f>
        <v>Detector inalambrico de rotura de vidio recubierto, templado, laminado y armado, alcance de deteccion 6mts, cobertura 360°</v>
      </c>
      <c r="D400" s="4" t="str">
        <f>IFERROR(__xludf.DUMMYFUNCTION("""COMPUTED_VALUE"""),"DSC")</f>
        <v>DSC</v>
      </c>
      <c r="E400" s="4" t="str">
        <f>IFERROR(__xludf.DUMMYFUNCTION("""COMPUTED_VALUE"""),"DSCPG9922")</f>
        <v>DSCPG9922</v>
      </c>
      <c r="F400" s="4" t="str">
        <f>IFERROR(__xludf.DUMMYFUNCTION("""COMPUTED_VALUE"""),"ALARMAS &gt; ALARMAS DSC LINEA NEO")</f>
        <v>ALARMAS &gt; ALARMAS DSC LINEA NEO</v>
      </c>
      <c r="G400" s="5"/>
      <c r="H400" s="6">
        <f>IFERROR(__xludf.DUMMYFUNCTION("""COMPUTED_VALUE"""),79.88)</f>
        <v>79.88</v>
      </c>
      <c r="I400" s="7">
        <f>IFERROR(__xludf.DUMMYFUNCTION("""COMPUTED_VALUE"""),21.0)</f>
        <v>21</v>
      </c>
      <c r="J400" s="6">
        <f>IFERROR(__xludf.DUMMYFUNCTION("""COMPUTED_VALUE"""),95.86)</f>
        <v>95.86</v>
      </c>
      <c r="K400" s="6">
        <f>IFERROR(__xludf.DUMMYFUNCTION("""COMPUTED_VALUE"""),111.83)</f>
        <v>111.83</v>
      </c>
      <c r="L400" s="3"/>
      <c r="M400" s="3"/>
    </row>
    <row r="401" ht="48.0" customHeight="1">
      <c r="A401" s="3" t="str">
        <f>IFERROR(__xludf.DUMMYFUNCTION("""COMPUTED_VALUE"""),"DSCPG9935")</f>
        <v>DSCPG9935</v>
      </c>
      <c r="B401" s="4" t="str">
        <f>IFERROR(__xludf.DUMMYFUNCTION("""COMPUTED_VALUE"""),"DETECTOR INALAMBRICO DE IMPACTO, ALTA INMUNIDAD DE VIBRACION AMBIENTE,")</f>
        <v>DETECTOR INALAMBRICO DE IMPACTO, ALTA INMUNIDAD DE VIBRACION AMBIENTE,</v>
      </c>
      <c r="C401" s="4" t="str">
        <f>IFERROR(__xludf.DUMMYFUNCTION("""COMPUTED_VALUE"""),"Detector inalambrico de IMPACTO, alta inmunidad de vibracion ambiente, sensibilidad ajustable, doble tamper, apto para ventanas, paredes, puertas, techos.")</f>
        <v>Detector inalambrico de IMPACTO, alta inmunidad de vibracion ambiente, sensibilidad ajustable, doble tamper, apto para ventanas, paredes, puertas, techos.</v>
      </c>
      <c r="D401" s="4" t="str">
        <f>IFERROR(__xludf.DUMMYFUNCTION("""COMPUTED_VALUE"""),"DSC")</f>
        <v>DSC</v>
      </c>
      <c r="E401" s="4" t="str">
        <f>IFERROR(__xludf.DUMMYFUNCTION("""COMPUTED_VALUE"""),"DSCPG9935")</f>
        <v>DSCPG9935</v>
      </c>
      <c r="F401" s="4" t="str">
        <f>IFERROR(__xludf.DUMMYFUNCTION("""COMPUTED_VALUE"""),"ALARMAS &gt; ALARMAS DSC LINEA NEO")</f>
        <v>ALARMAS &gt; ALARMAS DSC LINEA NEO</v>
      </c>
      <c r="G401" s="5"/>
      <c r="H401" s="6">
        <f>IFERROR(__xludf.DUMMYFUNCTION("""COMPUTED_VALUE"""),65.63)</f>
        <v>65.63</v>
      </c>
      <c r="I401" s="7">
        <f>IFERROR(__xludf.DUMMYFUNCTION("""COMPUTED_VALUE"""),21.0)</f>
        <v>21</v>
      </c>
      <c r="J401" s="6">
        <f>IFERROR(__xludf.DUMMYFUNCTION("""COMPUTED_VALUE"""),78.76)</f>
        <v>78.76</v>
      </c>
      <c r="K401" s="6">
        <f>IFERROR(__xludf.DUMMYFUNCTION("""COMPUTED_VALUE"""),91.88)</f>
        <v>91.88</v>
      </c>
      <c r="L401" s="3"/>
      <c r="M401" s="3"/>
    </row>
    <row r="402" ht="48.0" customHeight="1">
      <c r="A402" s="3" t="str">
        <f>IFERROR(__xludf.DUMMYFUNCTION("""COMPUTED_VALUE"""),"DSCPG9902")</f>
        <v>DSCPG9902</v>
      </c>
      <c r="B402" s="4" t="str">
        <f>IFERROR(__xludf.DUMMYFUNCTION("""COMPUTED_VALUE"""),"DETECTOR INALAMBRICO DE MOVIMIENTO CORTINA VERTICA, PARA EXTERIOR")</f>
        <v>DETECTOR INALAMBRICO DE MOVIMIENTO CORTINA VERTICA, PARA EXTERIOR</v>
      </c>
      <c r="C402" s="4" t="str">
        <f>IFERROR(__xludf.DUMMYFUNCTION("""COMPUTED_VALUE"""),"Detector inalambrico de movimiento cortina vertica, PARA EXTERIOR")</f>
        <v>Detector inalambrico de movimiento cortina vertica, PARA EXTERIOR</v>
      </c>
      <c r="D402" s="4" t="str">
        <f>IFERROR(__xludf.DUMMYFUNCTION("""COMPUTED_VALUE"""),"DSC")</f>
        <v>DSC</v>
      </c>
      <c r="E402" s="4" t="str">
        <f>IFERROR(__xludf.DUMMYFUNCTION("""COMPUTED_VALUE"""),"DSCPG9902")</f>
        <v>DSCPG9902</v>
      </c>
      <c r="F402" s="4" t="str">
        <f>IFERROR(__xludf.DUMMYFUNCTION("""COMPUTED_VALUE"""),"ALARMAS &gt; ALARMAS DSC LINEA NEO")</f>
        <v>ALARMAS &gt; ALARMAS DSC LINEA NEO</v>
      </c>
      <c r="G402" s="5"/>
      <c r="H402" s="6">
        <f>IFERROR(__xludf.DUMMYFUNCTION("""COMPUTED_VALUE"""),198.68)</f>
        <v>198.68</v>
      </c>
      <c r="I402" s="7">
        <f>IFERROR(__xludf.DUMMYFUNCTION("""COMPUTED_VALUE"""),21.0)</f>
        <v>21</v>
      </c>
      <c r="J402" s="6">
        <f>IFERROR(__xludf.DUMMYFUNCTION("""COMPUTED_VALUE"""),238.42)</f>
        <v>238.42</v>
      </c>
      <c r="K402" s="6">
        <f>IFERROR(__xludf.DUMMYFUNCTION("""COMPUTED_VALUE"""),278.15)</f>
        <v>278.15</v>
      </c>
      <c r="L402" s="3"/>
      <c r="M402" s="3"/>
    </row>
    <row r="403" ht="48.0" customHeight="1">
      <c r="A403" s="3" t="str">
        <f>IFERROR(__xludf.DUMMYFUNCTION("""COMPUTED_VALUE"""),"DSCPG9994")</f>
        <v>DSCPG9994</v>
      </c>
      <c r="B403" s="4" t="str">
        <f>IFERROR(__xludf.DUMMYFUNCTION("""COMPUTED_VALUE"""),"DETECTOR DE MOVIMIENTO PARA EXTERIOR, 8 PIROELECTRICOS CON ALGORITMOS")</f>
        <v>DETECTOR DE MOVIMIENTO PARA EXTERIOR, 8 PIROELECTRICOS CON ALGORITMOS</v>
      </c>
      <c r="C403" s="4" t="str">
        <f>IFERROR(__xludf.DUMMYFUNCTION("""COMPUTED_VALUE"""),"Detector de movimiento para exterior, 8 piroelectricos con algoritmos preseteados indicador de señal en el dispositivo, tecnologia OCTA-QUAD, optica de espejos negros para reducir las falsas alarmas, indicador de alcance en el dispositivo, ANTIMASKING, ta"&amp;"mper, PowerG.")</f>
        <v>Detector de movimiento para exterior, 8 piroelectricos con algoritmos preseteados indicador de señal en el dispositivo, tecnologia OCTA-QUAD, optica de espejos negros para reducir las falsas alarmas, indicador de alcance en el dispositivo, ANTIMASKING, tamper, PowerG.</v>
      </c>
      <c r="D403" s="4" t="str">
        <f>IFERROR(__xludf.DUMMYFUNCTION("""COMPUTED_VALUE"""),"DSC")</f>
        <v>DSC</v>
      </c>
      <c r="E403" s="4" t="str">
        <f>IFERROR(__xludf.DUMMYFUNCTION("""COMPUTED_VALUE"""),"DSCPG9994")</f>
        <v>DSCPG9994</v>
      </c>
      <c r="F403" s="4" t="str">
        <f>IFERROR(__xludf.DUMMYFUNCTION("""COMPUTED_VALUE"""),"ALARMAS &gt; ALARMAS DSC LINEA NEO")</f>
        <v>ALARMAS &gt; ALARMAS DSC LINEA NEO</v>
      </c>
      <c r="G403" s="5"/>
      <c r="H403" s="6">
        <f>IFERROR(__xludf.DUMMYFUNCTION("""COMPUTED_VALUE"""),220.99)</f>
        <v>220.99</v>
      </c>
      <c r="I403" s="7">
        <f>IFERROR(__xludf.DUMMYFUNCTION("""COMPUTED_VALUE"""),21.0)</f>
        <v>21</v>
      </c>
      <c r="J403" s="6">
        <f>IFERROR(__xludf.DUMMYFUNCTION("""COMPUTED_VALUE"""),265.19)</f>
        <v>265.19</v>
      </c>
      <c r="K403" s="6">
        <f>IFERROR(__xludf.DUMMYFUNCTION("""COMPUTED_VALUE"""),309.39)</f>
        <v>309.39</v>
      </c>
      <c r="L403" s="3"/>
      <c r="M403" s="3"/>
    </row>
    <row r="404" ht="48.0" customHeight="1">
      <c r="A404" s="3" t="str">
        <f>IFERROR(__xludf.DUMMYFUNCTION("""COMPUTED_VALUE"""),"DSCPG9934P")</f>
        <v>DSCPG9934P</v>
      </c>
      <c r="B404" s="4" t="str">
        <f>IFERROR(__xludf.DUMMYFUNCTION("""COMPUTED_VALUE"""),"DETECTOR INALAMBRICO DE MOVIMIENTO CON CAMARA CMOS COLOR ALTA")</f>
        <v>DETECTOR INALAMBRICO DE MOVIMIENTO CON CAMARA CMOS COLOR ALTA</v>
      </c>
      <c r="C404" s="4" t="str">
        <f>IFERROR(__xludf.DUMMYFUNCTION("""COMPUTED_VALUE"""),"Detector inalambrico de movimiento CON CAMARA CMOS COLOR ALTA RESOLUCION INTEGRADA IR, alta resolucion, para video verificacion a distancia tanto de dia como de noche.")</f>
        <v>Detector inalambrico de movimiento CON CAMARA CMOS COLOR ALTA RESOLUCION INTEGRADA IR, alta resolucion, para video verificacion a distancia tanto de dia como de noche.</v>
      </c>
      <c r="D404" s="4" t="str">
        <f>IFERROR(__xludf.DUMMYFUNCTION("""COMPUTED_VALUE"""),"DSC")</f>
        <v>DSC</v>
      </c>
      <c r="E404" s="4" t="str">
        <f>IFERROR(__xludf.DUMMYFUNCTION("""COMPUTED_VALUE"""),"DSCPG9934P")</f>
        <v>DSCPG9934P</v>
      </c>
      <c r="F404" s="4" t="str">
        <f>IFERROR(__xludf.DUMMYFUNCTION("""COMPUTED_VALUE"""),"ALARMAS &gt; ALARMAS DSC LINEA NEO")</f>
        <v>ALARMAS &gt; ALARMAS DSC LINEA NEO</v>
      </c>
      <c r="G404" s="5"/>
      <c r="H404" s="6">
        <f>IFERROR(__xludf.DUMMYFUNCTION("""COMPUTED_VALUE"""),135.43)</f>
        <v>135.43</v>
      </c>
      <c r="I404" s="7">
        <f>IFERROR(__xludf.DUMMYFUNCTION("""COMPUTED_VALUE"""),21.0)</f>
        <v>21</v>
      </c>
      <c r="J404" s="6">
        <f>IFERROR(__xludf.DUMMYFUNCTION("""COMPUTED_VALUE"""),162.52)</f>
        <v>162.52</v>
      </c>
      <c r="K404" s="6">
        <f>IFERROR(__xludf.DUMMYFUNCTION("""COMPUTED_VALUE"""),189.6)</f>
        <v>189.6</v>
      </c>
      <c r="L404" s="3"/>
      <c r="M404" s="3"/>
    </row>
    <row r="405" ht="48.0" customHeight="1">
      <c r="A405" s="3" t="str">
        <f>IFERROR(__xludf.DUMMYFUNCTION("""COMPUTED_VALUE"""),"DSCHSM2108")</f>
        <v>DSCHSM2108</v>
      </c>
      <c r="B405" s="4" t="str">
        <f>IFERROR(__xludf.DUMMYFUNCTION("""COMPUTED_VALUE"""),"EXPANSOR DE 8 ZONAS CABLEADO, ALIMENTACION AUXILIAR DE HASTA 125MA")</f>
        <v>EXPANSOR DE 8 ZONAS CABLEADO, ALIMENTACION AUXILIAR DE HASTA 125MA</v>
      </c>
      <c r="C405" s="4" t="str">
        <f>IFERROR(__xludf.DUMMYFUNCTION("""COMPUTED_VALUE"""),"Expansor de 8 zonas cableado, alimentacion auxiliar de hasta 125ma.")</f>
        <v>Expansor de 8 zonas cableado, alimentacion auxiliar de hasta 125ma.</v>
      </c>
      <c r="D405" s="4" t="str">
        <f>IFERROR(__xludf.DUMMYFUNCTION("""COMPUTED_VALUE"""),"DSC")</f>
        <v>DSC</v>
      </c>
      <c r="E405" s="4" t="str">
        <f>IFERROR(__xludf.DUMMYFUNCTION("""COMPUTED_VALUE"""),"DSCHSM2108")</f>
        <v>DSCHSM2108</v>
      </c>
      <c r="F405" s="4" t="str">
        <f>IFERROR(__xludf.DUMMYFUNCTION("""COMPUTED_VALUE"""),"ALARMAS &gt; ALARMAS DSC LINEA NEO")</f>
        <v>ALARMAS &gt; ALARMAS DSC LINEA NEO</v>
      </c>
      <c r="G405" s="5"/>
      <c r="H405" s="6">
        <f>IFERROR(__xludf.DUMMYFUNCTION("""COMPUTED_VALUE"""),37.73)</f>
        <v>37.73</v>
      </c>
      <c r="I405" s="7">
        <f>IFERROR(__xludf.DUMMYFUNCTION("""COMPUTED_VALUE"""),21.0)</f>
        <v>21</v>
      </c>
      <c r="J405" s="6">
        <f>IFERROR(__xludf.DUMMYFUNCTION("""COMPUTED_VALUE"""),45.28)</f>
        <v>45.28</v>
      </c>
      <c r="K405" s="6">
        <f>IFERROR(__xludf.DUMMYFUNCTION("""COMPUTED_VALUE"""),52.82)</f>
        <v>52.82</v>
      </c>
      <c r="L405" s="3"/>
      <c r="M405" s="3"/>
    </row>
    <row r="406" ht="48.0" customHeight="1">
      <c r="A406" s="3" t="str">
        <f>IFERROR(__xludf.DUMMYFUNCTION("""COMPUTED_VALUE"""),"DSCHSM2204")</f>
        <v>DSCHSM2204</v>
      </c>
      <c r="B406" s="4" t="str">
        <f>IFERROR(__xludf.DUMMYFUNCTION("""COMPUTED_VALUE"""),"MÓDULO DE 4 SALIDAS PROGRAMABLES DE 1AMP 12VTS")</f>
        <v>MÓDULO DE 4 SALIDAS PROGRAMABLES DE 1AMP 12VTS</v>
      </c>
      <c r="C406" s="4" t="str">
        <f>IFERROR(__xludf.DUMMYFUNCTION("""COMPUTED_VALUE"""),"Módulo de 4 salidas programables de 1amp 12vts; la salida #1 puede ser usada como salida de sirena supervisa, falla de CA, bateria baja y falla de salida auxiliar.")</f>
        <v>Módulo de 4 salidas programables de 1amp 12vts; la salida #1 puede ser usada como salida de sirena supervisa, falla de CA, bateria baja y falla de salida auxiliar.</v>
      </c>
      <c r="D406" s="4" t="str">
        <f>IFERROR(__xludf.DUMMYFUNCTION("""COMPUTED_VALUE"""),"DSC")</f>
        <v>DSC</v>
      </c>
      <c r="E406" s="4" t="str">
        <f>IFERROR(__xludf.DUMMYFUNCTION("""COMPUTED_VALUE"""),"DSCHSM2204")</f>
        <v>DSCHSM2204</v>
      </c>
      <c r="F406" s="4" t="str">
        <f>IFERROR(__xludf.DUMMYFUNCTION("""COMPUTED_VALUE"""),"ALARMAS &gt; ALARMAS DSC LINEA NEO")</f>
        <v>ALARMAS &gt; ALARMAS DSC LINEA NEO</v>
      </c>
      <c r="G406" s="5"/>
      <c r="H406" s="6">
        <f>IFERROR(__xludf.DUMMYFUNCTION("""COMPUTED_VALUE"""),112.2)</f>
        <v>112.2</v>
      </c>
      <c r="I406" s="7">
        <f>IFERROR(__xludf.DUMMYFUNCTION("""COMPUTED_VALUE"""),21.0)</f>
        <v>21</v>
      </c>
      <c r="J406" s="6">
        <f>IFERROR(__xludf.DUMMYFUNCTION("""COMPUTED_VALUE"""),134.64)</f>
        <v>134.64</v>
      </c>
      <c r="K406" s="6">
        <f>IFERROR(__xludf.DUMMYFUNCTION("""COMPUTED_VALUE"""),157.08)</f>
        <v>157.08</v>
      </c>
      <c r="L406" s="3"/>
      <c r="M406" s="3"/>
    </row>
    <row r="407" ht="48.0" customHeight="1">
      <c r="A407" s="3" t="str">
        <f>IFERROR(__xludf.DUMMYFUNCTION("""COMPUTED_VALUE"""),"DSCHSM2300")</f>
        <v>DSCHSM2300</v>
      </c>
      <c r="B407" s="4" t="str">
        <f>IFERROR(__xludf.DUMMYFUNCTION("""COMPUTED_VALUE"""),"FUENTE DE ALIMENTACION SUPERVISADA, 1AMP")</f>
        <v>FUENTE DE ALIMENTACION SUPERVISADA, 1AMP</v>
      </c>
      <c r="C407" s="4" t="str">
        <f>IFERROR(__xludf.DUMMYFUNCTION("""COMPUTED_VALUE"""),"Fuente de alimentacion supervisada, 1AMP")</f>
        <v>Fuente de alimentacion supervisada, 1AMP</v>
      </c>
      <c r="D407" s="4" t="str">
        <f>IFERROR(__xludf.DUMMYFUNCTION("""COMPUTED_VALUE"""),"DSC")</f>
        <v>DSC</v>
      </c>
      <c r="E407" s="4" t="str">
        <f>IFERROR(__xludf.DUMMYFUNCTION("""COMPUTED_VALUE"""),"DSCHSM2300")</f>
        <v>DSCHSM2300</v>
      </c>
      <c r="F407" s="4" t="str">
        <f>IFERROR(__xludf.DUMMYFUNCTION("""COMPUTED_VALUE"""),"ALARMAS &gt; ALARMAS DSC LINEA NEO")</f>
        <v>ALARMAS &gt; ALARMAS DSC LINEA NEO</v>
      </c>
      <c r="G407" s="5"/>
      <c r="H407" s="6">
        <f>IFERROR(__xludf.DUMMYFUNCTION("""COMPUTED_VALUE"""),78.43)</f>
        <v>78.43</v>
      </c>
      <c r="I407" s="7">
        <f>IFERROR(__xludf.DUMMYFUNCTION("""COMPUTED_VALUE"""),21.0)</f>
        <v>21</v>
      </c>
      <c r="J407" s="6">
        <f>IFERROR(__xludf.DUMMYFUNCTION("""COMPUTED_VALUE"""),94.12)</f>
        <v>94.12</v>
      </c>
      <c r="K407" s="6">
        <f>IFERROR(__xludf.DUMMYFUNCTION("""COMPUTED_VALUE"""),109.8)</f>
        <v>109.8</v>
      </c>
      <c r="L407" s="3"/>
      <c r="M407" s="3"/>
    </row>
    <row r="408" ht="48.0" customHeight="1">
      <c r="A408" s="3" t="str">
        <f>IFERROR(__xludf.DUMMYFUNCTION("""COMPUTED_VALUE"""),"DSC3G4005K")</f>
        <v>DSC3G4005K</v>
      </c>
      <c r="B408" s="4" t="str">
        <f>IFERROR(__xludf.DUMMYFUNCTION("""COMPUTED_VALUE"""),"COMUNICADOR DE ALARMA UNIVERSAL 3G")</f>
        <v>COMUNICADOR DE ALARMA UNIVERSAL 3G</v>
      </c>
      <c r="C408" s="4" t="str">
        <f>IFERROR(__xludf.DUMMYFUNCTION("""COMPUTED_VALUE"""),"Comunicador de alarma universal 3G")</f>
        <v>Comunicador de alarma universal 3G</v>
      </c>
      <c r="D408" s="4" t="str">
        <f>IFERROR(__xludf.DUMMYFUNCTION("""COMPUTED_VALUE"""),"DSC")</f>
        <v>DSC</v>
      </c>
      <c r="E408" s="4" t="str">
        <f>IFERROR(__xludf.DUMMYFUNCTION("""COMPUTED_VALUE"""),"DSC3G4005K")</f>
        <v>DSC3G4005K</v>
      </c>
      <c r="F408" s="4" t="str">
        <f>IFERROR(__xludf.DUMMYFUNCTION("""COMPUTED_VALUE"""),"ALARMAS &gt; ALARMAS DSC LINEA NEO")</f>
        <v>ALARMAS &gt; ALARMAS DSC LINEA NEO</v>
      </c>
      <c r="G408" s="5"/>
      <c r="H408" s="6">
        <f>IFERROR(__xludf.DUMMYFUNCTION("""COMPUTED_VALUE"""),128.57)</f>
        <v>128.57</v>
      </c>
      <c r="I408" s="7">
        <f>IFERROR(__xludf.DUMMYFUNCTION("""COMPUTED_VALUE"""),21.0)</f>
        <v>21</v>
      </c>
      <c r="J408" s="6">
        <f>IFERROR(__xludf.DUMMYFUNCTION("""COMPUTED_VALUE"""),154.28)</f>
        <v>154.28</v>
      </c>
      <c r="K408" s="6">
        <f>IFERROR(__xludf.DUMMYFUNCTION("""COMPUTED_VALUE"""),180.0)</f>
        <v>180</v>
      </c>
      <c r="L408" s="3"/>
      <c r="M408" s="3"/>
    </row>
    <row r="409" ht="48.0" customHeight="1">
      <c r="A409" s="3" t="str">
        <f>IFERROR(__xludf.DUMMYFUNCTION("""COMPUTED_VALUE"""),"DSC3G2080")</f>
        <v>DSC3G2080</v>
      </c>
      <c r="B409" s="4" t="str">
        <f>IFERROR(__xludf.DUMMYFUNCTION("""COMPUTED_VALUE"""),"COMUNICADOR CELULAR 3G, PERMITE UP/DOWNLOAD, ENCRIPTACION AES DE 128BI")</f>
        <v>COMUNICADOR CELULAR 3G, PERMITE UP/DOWNLOAD, ENCRIPTACION AES DE 128BI</v>
      </c>
      <c r="C409" s="4" t="str">
        <f>IFERROR(__xludf.DUMMYFUNCTION("""COMPUTED_VALUE"""),"Comunicador celular 3G, permite up/download, encriptacion AES de 128bits, protocolo SIA y Contact ID, puede instalarse dentro del panel o fuera, utilizando el PCL-422.")</f>
        <v>Comunicador celular 3G, permite up/download, encriptacion AES de 128bits, protocolo SIA y Contact ID, puede instalarse dentro del panel o fuera, utilizando el PCL-422.</v>
      </c>
      <c r="D409" s="4" t="str">
        <f>IFERROR(__xludf.DUMMYFUNCTION("""COMPUTED_VALUE"""),"DSC")</f>
        <v>DSC</v>
      </c>
      <c r="E409" s="4" t="str">
        <f>IFERROR(__xludf.DUMMYFUNCTION("""COMPUTED_VALUE"""),"DSC3G2080")</f>
        <v>DSC3G2080</v>
      </c>
      <c r="F409" s="4" t="str">
        <f>IFERROR(__xludf.DUMMYFUNCTION("""COMPUTED_VALUE"""),"ALARMAS &gt; ALARMAS DSC LINEA NEO")</f>
        <v>ALARMAS &gt; ALARMAS DSC LINEA NEO</v>
      </c>
      <c r="G409" s="5"/>
      <c r="H409" s="6">
        <f>IFERROR(__xludf.DUMMYFUNCTION("""COMPUTED_VALUE"""),94.05)</f>
        <v>94.05</v>
      </c>
      <c r="I409" s="7">
        <f>IFERROR(__xludf.DUMMYFUNCTION("""COMPUTED_VALUE"""),21.0)</f>
        <v>21</v>
      </c>
      <c r="J409" s="6">
        <f>IFERROR(__xludf.DUMMYFUNCTION("""COMPUTED_VALUE"""),112.86)</f>
        <v>112.86</v>
      </c>
      <c r="K409" s="6">
        <f>IFERROR(__xludf.DUMMYFUNCTION("""COMPUTED_VALUE"""),131.67)</f>
        <v>131.67</v>
      </c>
      <c r="L409" s="3"/>
      <c r="M409" s="3"/>
    </row>
    <row r="410" ht="48.0" customHeight="1">
      <c r="A410" s="3" t="str">
        <f>IFERROR(__xludf.DUMMYFUNCTION("""COMPUTED_VALUE"""),"DSCTL280E")</f>
        <v>DSCTL280E</v>
      </c>
      <c r="B410" s="4" t="str">
        <f>IFERROR(__xludf.DUMMYFUNCTION("""COMPUTED_VALUE"""),"COMUNICADOR IP, PERMITE UP/DOWNLOAD, PROGRAMABLE CON EL DLS 5")</f>
        <v>COMUNICADOR IP, PERMITE UP/DOWNLOAD, PROGRAMABLE CON EL DLS 5</v>
      </c>
      <c r="C410" s="4" t="str">
        <f>IFERROR(__xludf.DUMMYFUNCTION("""COMPUTED_VALUE"""),"Comunicador IP, permite up/download, programable con el DLS 5 o teclado, señal de supervision por internet, puede instalarse dentro del panel o fuera, utilizando el PCL-422.")</f>
        <v>Comunicador IP, permite up/download, programable con el DLS 5 o teclado, señal de supervision por internet, puede instalarse dentro del panel o fuera, utilizando el PCL-422.</v>
      </c>
      <c r="D410" s="4" t="str">
        <f>IFERROR(__xludf.DUMMYFUNCTION("""COMPUTED_VALUE"""),"DSC")</f>
        <v>DSC</v>
      </c>
      <c r="E410" s="4" t="str">
        <f>IFERROR(__xludf.DUMMYFUNCTION("""COMPUTED_VALUE"""),"DSCTL280E")</f>
        <v>DSCTL280E</v>
      </c>
      <c r="F410" s="4" t="str">
        <f>IFERROR(__xludf.DUMMYFUNCTION("""COMPUTED_VALUE"""),"ALARMAS &gt; ALARMAS DSC LINEA NEO")</f>
        <v>ALARMAS &gt; ALARMAS DSC LINEA NEO</v>
      </c>
      <c r="G410" s="5"/>
      <c r="H410" s="6">
        <f>IFERROR(__xludf.DUMMYFUNCTION("""COMPUTED_VALUE"""),75.9)</f>
        <v>75.9</v>
      </c>
      <c r="I410" s="7">
        <f>IFERROR(__xludf.DUMMYFUNCTION("""COMPUTED_VALUE"""),21.0)</f>
        <v>21</v>
      </c>
      <c r="J410" s="6">
        <f>IFERROR(__xludf.DUMMYFUNCTION("""COMPUTED_VALUE"""),91.08)</f>
        <v>91.08</v>
      </c>
      <c r="K410" s="6">
        <f>IFERROR(__xludf.DUMMYFUNCTION("""COMPUTED_VALUE"""),106.26)</f>
        <v>106.26</v>
      </c>
      <c r="L410" s="3"/>
      <c r="M410" s="3"/>
    </row>
    <row r="411" ht="48.0" customHeight="1">
      <c r="A411" s="3" t="str">
        <f>IFERROR(__xludf.DUMMYFUNCTION("""COMPUTED_VALUE"""),"DSCTL280LE-LAT")</f>
        <v>DSCTL280LE-LAT</v>
      </c>
      <c r="B411" s="4" t="str">
        <f>IFERROR(__xludf.DUMMYFUNCTION("""COMPUTED_VALUE"""),"COMUNICADOR CELULAR DE DOBLE VÍNCULO LTE(4G) / HSPA(3G) Y ETHERNET")</f>
        <v>COMUNICADOR CELULAR DE DOBLE VÍNCULO LTE(4G) / HSPA(3G) Y ETHERNET</v>
      </c>
      <c r="C411" s="4" t="str">
        <f>IFERROR(__xludf.DUMMYFUNCTION("""COMPUTED_VALUE"""),"Comunicador celular de doble vínculo LTE(4G) / HSPA(3G) y Ethernet - Línea NEO")</f>
        <v>Comunicador celular de doble vínculo LTE(4G) / HSPA(3G) y Ethernet - Línea NEO</v>
      </c>
      <c r="D411" s="4" t="str">
        <f>IFERROR(__xludf.DUMMYFUNCTION("""COMPUTED_VALUE"""),"DSC")</f>
        <v>DSC</v>
      </c>
      <c r="E411" s="4" t="str">
        <f>IFERROR(__xludf.DUMMYFUNCTION("""COMPUTED_VALUE"""),"DSCTL280LE-LAT")</f>
        <v>DSCTL280LE-LAT</v>
      </c>
      <c r="F411" s="4" t="str">
        <f>IFERROR(__xludf.DUMMYFUNCTION("""COMPUTED_VALUE"""),"ALARMAS &gt; ALARMAS DSC LINEA NEO")</f>
        <v>ALARMAS &gt; ALARMAS DSC LINEA NEO</v>
      </c>
      <c r="G411" s="5"/>
      <c r="H411" s="6">
        <f>IFERROR(__xludf.DUMMYFUNCTION("""COMPUTED_VALUE"""),163.02)</f>
        <v>163.02</v>
      </c>
      <c r="I411" s="7">
        <f>IFERROR(__xludf.DUMMYFUNCTION("""COMPUTED_VALUE"""),21.0)</f>
        <v>21</v>
      </c>
      <c r="J411" s="6">
        <f>IFERROR(__xludf.DUMMYFUNCTION("""COMPUTED_VALUE"""),195.62)</f>
        <v>195.62</v>
      </c>
      <c r="K411" s="6">
        <f>IFERROR(__xludf.DUMMYFUNCTION("""COMPUTED_VALUE"""),228.23)</f>
        <v>228.23</v>
      </c>
      <c r="L411" s="3"/>
      <c r="M411" s="3"/>
    </row>
    <row r="412" ht="48.0" customHeight="1">
      <c r="A412" s="3" t="str">
        <f>IFERROR(__xludf.DUMMYFUNCTION("""COMPUTED_VALUE"""),"DSCPCL422")</f>
        <v>DSCPCL422</v>
      </c>
      <c r="B412" s="4" t="str">
        <f>IFERROR(__xludf.DUMMYFUNCTION("""COMPUTED_VALUE"""),"MODULO DE MONTAJE PARA COMUNICADORES, PERMITE EXPANDIR LA DISTANCIA")</f>
        <v>MODULO DE MONTAJE PARA COMUNICADORES, PERMITE EXPANDIR LA DISTANCIA</v>
      </c>
      <c r="C412" s="4" t="str">
        <f>IFERROR(__xludf.DUMMYFUNCTION("""COMPUTED_VALUE"""),"Modulo de montaje para comunicadores, permite expandir la distancia entre el panel y el comunicador entre 15mts y 300mts si se le agrega fuente de alimentacion, compatible con los comunicadores 3G2080, TL2803G y TL280.")</f>
        <v>Modulo de montaje para comunicadores, permite expandir la distancia entre el panel y el comunicador entre 15mts y 300mts si se le agrega fuente de alimentacion, compatible con los comunicadores 3G2080, TL2803G y TL280.</v>
      </c>
      <c r="D412" s="4" t="str">
        <f>IFERROR(__xludf.DUMMYFUNCTION("""COMPUTED_VALUE"""),"DSC")</f>
        <v>DSC</v>
      </c>
      <c r="E412" s="4" t="str">
        <f>IFERROR(__xludf.DUMMYFUNCTION("""COMPUTED_VALUE"""),"DSCPCL422")</f>
        <v>DSCPCL422</v>
      </c>
      <c r="F412" s="4" t="str">
        <f>IFERROR(__xludf.DUMMYFUNCTION("""COMPUTED_VALUE"""),"ALARMAS &gt; ALARMAS DSC LINEA NEO")</f>
        <v>ALARMAS &gt; ALARMAS DSC LINEA NEO</v>
      </c>
      <c r="G412" s="5"/>
      <c r="H412" s="6">
        <f>IFERROR(__xludf.DUMMYFUNCTION("""COMPUTED_VALUE"""),42.69)</f>
        <v>42.69</v>
      </c>
      <c r="I412" s="7">
        <f>IFERROR(__xludf.DUMMYFUNCTION("""COMPUTED_VALUE"""),21.0)</f>
        <v>21</v>
      </c>
      <c r="J412" s="6">
        <f>IFERROR(__xludf.DUMMYFUNCTION("""COMPUTED_VALUE"""),51.23)</f>
        <v>51.23</v>
      </c>
      <c r="K412" s="6">
        <f>IFERROR(__xludf.DUMMYFUNCTION("""COMPUTED_VALUE"""),59.77)</f>
        <v>59.77</v>
      </c>
      <c r="L412" s="3"/>
      <c r="M412" s="3"/>
    </row>
    <row r="413" ht="48.0" customHeight="1">
      <c r="A413" s="3" t="str">
        <f>IFERROR(__xludf.DUMMYFUNCTION("""COMPUTED_VALUE"""),"DSCPCLINK5WP")</f>
        <v>DSCPCLINK5WP</v>
      </c>
      <c r="B413" s="4" t="str">
        <f>IFERROR(__xludf.DUMMYFUNCTION("""COMPUTED_VALUE"""),"INTERFACE PARA PROGRAMACIÓN LOCAL, APTO LINEA VIEJA Y LINEA")</f>
        <v>INTERFACE PARA PROGRAMACIÓN LOCAL, APTO LINEA VIEJA Y LINEA</v>
      </c>
      <c r="C413" s="4" t="str">
        <f>IFERROR(__xludf.DUMMYFUNCTION("""COMPUTED_VALUE"""),"Interface Para Programación Local, apto linea vieja y linea Power NEO")</f>
        <v>Interface Para Programación Local, apto linea vieja y linea Power NEO</v>
      </c>
      <c r="D413" s="4" t="str">
        <f>IFERROR(__xludf.DUMMYFUNCTION("""COMPUTED_VALUE"""),"DSC")</f>
        <v>DSC</v>
      </c>
      <c r="E413" s="4" t="str">
        <f>IFERROR(__xludf.DUMMYFUNCTION("""COMPUTED_VALUE"""),"DSCPCLINK5WP")</f>
        <v>DSCPCLINK5WP</v>
      </c>
      <c r="F413" s="4" t="str">
        <f>IFERROR(__xludf.DUMMYFUNCTION("""COMPUTED_VALUE"""),"ALARMAS &gt; ALARMAS DSC LINEA NEO")</f>
        <v>ALARMAS &gt; ALARMAS DSC LINEA NEO</v>
      </c>
      <c r="G413" s="5"/>
      <c r="H413" s="6">
        <f>IFERROR(__xludf.DUMMYFUNCTION("""COMPUTED_VALUE"""),71.5)</f>
        <v>71.5</v>
      </c>
      <c r="I413" s="7">
        <f>IFERROR(__xludf.DUMMYFUNCTION("""COMPUTED_VALUE"""),21.0)</f>
        <v>21</v>
      </c>
      <c r="J413" s="6">
        <f>IFERROR(__xludf.DUMMYFUNCTION("""COMPUTED_VALUE"""),85.8)</f>
        <v>85.8</v>
      </c>
      <c r="K413" s="6">
        <f>IFERROR(__xludf.DUMMYFUNCTION("""COMPUTED_VALUE"""),100.1)</f>
        <v>100.1</v>
      </c>
      <c r="L413" s="3"/>
      <c r="M413" s="3"/>
    </row>
    <row r="414" ht="48.0" customHeight="1">
      <c r="A414" s="3" t="str">
        <f>IFERROR(__xludf.DUMMYFUNCTION("""COMPUTED_VALUE"""),"DSCPCLINKUSB")</f>
        <v>DSCPCLINKUSB</v>
      </c>
      <c r="B414" s="4" t="str">
        <f>IFERROR(__xludf.DUMMYFUNCTION("""COMPUTED_VALUE"""),"INTERFACE PARA PROGRAMACIÓN LOCAL CON FICHA USB, APTO LINEA")</f>
        <v>INTERFACE PARA PROGRAMACIÓN LOCAL CON FICHA USB, APTO LINEA</v>
      </c>
      <c r="C414" s="4" t="str">
        <f>IFERROR(__xludf.DUMMYFUNCTION("""COMPUTED_VALUE"""),"Interface Para Programación Local con ficha USB, apto linea vieja y linea Power NEO")</f>
        <v>Interface Para Programación Local con ficha USB, apto linea vieja y linea Power NEO</v>
      </c>
      <c r="D414" s="4" t="str">
        <f>IFERROR(__xludf.DUMMYFUNCTION("""COMPUTED_VALUE"""),"DSC")</f>
        <v>DSC</v>
      </c>
      <c r="E414" s="4" t="str">
        <f>IFERROR(__xludf.DUMMYFUNCTION("""COMPUTED_VALUE"""),"DSCPCLINKUSB")</f>
        <v>DSCPCLINKUSB</v>
      </c>
      <c r="F414" s="4" t="str">
        <f>IFERROR(__xludf.DUMMYFUNCTION("""COMPUTED_VALUE"""),"ALARMAS &gt; ALARMAS DSC LINEA NEO")</f>
        <v>ALARMAS &gt; ALARMAS DSC LINEA NEO</v>
      </c>
      <c r="G414" s="5"/>
      <c r="H414" s="6">
        <f>IFERROR(__xludf.DUMMYFUNCTION("""COMPUTED_VALUE"""),99.0)</f>
        <v>99</v>
      </c>
      <c r="I414" s="7">
        <f>IFERROR(__xludf.DUMMYFUNCTION("""COMPUTED_VALUE"""),21.0)</f>
        <v>21</v>
      </c>
      <c r="J414" s="6">
        <f>IFERROR(__xludf.DUMMYFUNCTION("""COMPUTED_VALUE"""),118.8)</f>
        <v>118.8</v>
      </c>
      <c r="K414" s="6">
        <f>IFERROR(__xludf.DUMMYFUNCTION("""COMPUTED_VALUE"""),138.6)</f>
        <v>138.6</v>
      </c>
      <c r="L414" s="3"/>
      <c r="M414" s="3"/>
    </row>
    <row r="415" ht="48.0" customHeight="1">
      <c r="A415" s="3" t="str">
        <f>IFERROR(__xludf.DUMMYFUNCTION("""COMPUTED_VALUE"""),"DKPGM")</f>
        <v>DKPGM</v>
      </c>
      <c r="B415" s="4" t="str">
        <f>IFERROR(__xludf.DUMMYFUNCTION("""COMPUTED_VALUE"""),"PLACA UNIVERSAL PARA PGM, INCLUYE BORNERA DE ENTRADA RELE")</f>
        <v>PLACA UNIVERSAL PARA PGM, INCLUYE BORNERA DE ENTRADA RELE</v>
      </c>
      <c r="C415" s="4" t="str">
        <f>IFERROR(__xludf.DUMMYFUNCTION("""COMPUTED_VALUE"""),"Placa universal para PGM, incluye bornera de entrada rele y bornera NA/NC")</f>
        <v>Placa universal para PGM, incluye bornera de entrada rele y bornera NA/NC</v>
      </c>
      <c r="D415" s="4" t="str">
        <f>IFERROR(__xludf.DUMMYFUNCTION("""COMPUTED_VALUE"""),"TEKSOR")</f>
        <v>TEKSOR</v>
      </c>
      <c r="E415" s="4" t="str">
        <f>IFERROR(__xludf.DUMMYFUNCTION("""COMPUTED_VALUE"""),"DKPGM")</f>
        <v>DKPGM</v>
      </c>
      <c r="F415" s="4" t="str">
        <f>IFERROR(__xludf.DUMMYFUNCTION("""COMPUTED_VALUE"""),"ALARMAS &gt; ACCESORIOS PARA PANELES")</f>
        <v>ALARMAS &gt; ACCESORIOS PARA PANELES</v>
      </c>
      <c r="G415" s="5"/>
      <c r="H415" s="6">
        <f>IFERROR(__xludf.DUMMYFUNCTION("""COMPUTED_VALUE"""),4.4)</f>
        <v>4.4</v>
      </c>
      <c r="I415" s="7">
        <f>IFERROR(__xludf.DUMMYFUNCTION("""COMPUTED_VALUE"""),21.0)</f>
        <v>21</v>
      </c>
      <c r="J415" s="6">
        <f>IFERROR(__xludf.DUMMYFUNCTION("""COMPUTED_VALUE"""),5.28)</f>
        <v>5.28</v>
      </c>
      <c r="K415" s="6">
        <f>IFERROR(__xludf.DUMMYFUNCTION("""COMPUTED_VALUE"""),6.16)</f>
        <v>6.16</v>
      </c>
      <c r="L415" s="3"/>
      <c r="M415" s="3"/>
    </row>
    <row r="416" ht="48.0" customHeight="1">
      <c r="A416" s="3" t="str">
        <f>IFERROR(__xludf.DUMMYFUNCTION("""COMPUTED_VALUE"""),"DKPGM-DUAL")</f>
        <v>DKPGM-DUAL</v>
      </c>
      <c r="B416" s="4" t="str">
        <f>IFERROR(__xludf.DUMMYFUNCTION("""COMPUTED_VALUE"""),"PLACA UNIVERSAL PARA PGM DOBLE CONTACTO, INCLUYE BORNERA DE")</f>
        <v>PLACA UNIVERSAL PARA PGM DOBLE CONTACTO, INCLUYE BORNERA DE</v>
      </c>
      <c r="C416" s="4" t="str">
        <f>IFERROR(__xludf.DUMMYFUNCTION("""COMPUTED_VALUE"""),"Placa universal para PGM doble contacto, incluye bornera de entrada y rele de dos contactos con bornera NA/NC cada uno")</f>
        <v>Placa universal para PGM doble contacto, incluye bornera de entrada y rele de dos contactos con bornera NA/NC cada uno</v>
      </c>
      <c r="D416" s="4" t="str">
        <f>IFERROR(__xludf.DUMMYFUNCTION("""COMPUTED_VALUE"""),"TEKSOR")</f>
        <v>TEKSOR</v>
      </c>
      <c r="E416" s="4" t="str">
        <f>IFERROR(__xludf.DUMMYFUNCTION("""COMPUTED_VALUE"""),"DKPGM-DUAL")</f>
        <v>DKPGM-DUAL</v>
      </c>
      <c r="F416" s="4" t="str">
        <f>IFERROR(__xludf.DUMMYFUNCTION("""COMPUTED_VALUE"""),"ALARMAS &gt; ACCESORIOS PARA PANELES")</f>
        <v>ALARMAS &gt; ACCESORIOS PARA PANELES</v>
      </c>
      <c r="G416" s="5"/>
      <c r="H416" s="6">
        <f>IFERROR(__xludf.DUMMYFUNCTION("""COMPUTED_VALUE"""),7.7)</f>
        <v>7.7</v>
      </c>
      <c r="I416" s="7">
        <f>IFERROR(__xludf.DUMMYFUNCTION("""COMPUTED_VALUE"""),21.0)</f>
        <v>21</v>
      </c>
      <c r="J416" s="6">
        <f>IFERROR(__xludf.DUMMYFUNCTION("""COMPUTED_VALUE"""),9.24)</f>
        <v>9.24</v>
      </c>
      <c r="K416" s="6">
        <f>IFERROR(__xludf.DUMMYFUNCTION("""COMPUTED_VALUE"""),10.78)</f>
        <v>10.78</v>
      </c>
      <c r="L416" s="3"/>
      <c r="M416" s="3"/>
    </row>
    <row r="417" ht="48.0" customHeight="1">
      <c r="A417" s="3" t="str">
        <f>IFERROR(__xludf.DUMMYFUNCTION("""COMPUTED_VALUE"""),"DKTEMP-ECO")</f>
        <v>DKTEMP-ECO</v>
      </c>
      <c r="B417" s="4" t="str">
        <f>IFERROR(__xludf.DUMMYFUNCTION("""COMPUTED_VALUE"""),"TEMPORIZADOR PROGRAMABLE DE (3 A 30) SEGUNDOS 3 A 30 SEGUNDOS")</f>
        <v>TEMPORIZADOR PROGRAMABLE DE (3 A 30) SEGUNDOS 3 A 30 SEGUNDOS</v>
      </c>
      <c r="C417" s="4" t="str">
        <f>IFERROR(__xludf.DUMMYFUNCTION("""COMPUTED_VALUE"""),"Temporizador programable de (3 a 30) segundos 3 a 30 segundos")</f>
        <v>Temporizador programable de (3 a 30) segundos 3 a 30 segundos</v>
      </c>
      <c r="D417" s="4" t="str">
        <f>IFERROR(__xludf.DUMMYFUNCTION("""COMPUTED_VALUE"""),"TEKSOR")</f>
        <v>TEKSOR</v>
      </c>
      <c r="E417" s="4" t="str">
        <f>IFERROR(__xludf.DUMMYFUNCTION("""COMPUTED_VALUE"""),"DKTEMP-ECO")</f>
        <v>DKTEMP-ECO</v>
      </c>
      <c r="F417" s="4" t="str">
        <f>IFERROR(__xludf.DUMMYFUNCTION("""COMPUTED_VALUE"""),"ALARMAS &gt; ACCESORIOS PARA PANELES")</f>
        <v>ALARMAS &gt; ACCESORIOS PARA PANELES</v>
      </c>
      <c r="G417" s="5"/>
      <c r="H417" s="6">
        <f>IFERROR(__xludf.DUMMYFUNCTION("""COMPUTED_VALUE"""),8.36)</f>
        <v>8.36</v>
      </c>
      <c r="I417" s="7">
        <f>IFERROR(__xludf.DUMMYFUNCTION("""COMPUTED_VALUE"""),21.0)</f>
        <v>21</v>
      </c>
      <c r="J417" s="6">
        <f>IFERROR(__xludf.DUMMYFUNCTION("""COMPUTED_VALUE"""),10.03)</f>
        <v>10.03</v>
      </c>
      <c r="K417" s="6">
        <f>IFERROR(__xludf.DUMMYFUNCTION("""COMPUTED_VALUE"""),11.7)</f>
        <v>11.7</v>
      </c>
      <c r="L417" s="3"/>
      <c r="M417" s="3"/>
    </row>
    <row r="418" ht="48.0" customHeight="1">
      <c r="A418" s="3" t="str">
        <f>IFERROR(__xludf.DUMMYFUNCTION("""COMPUTED_VALUE"""),"DKTEMP")</f>
        <v>DKTEMP</v>
      </c>
      <c r="B418" s="4" t="str">
        <f>IFERROR(__xludf.DUMMYFUNCTION("""COMPUTED_VALUE"""),"TEMPORIZADOR PROGRAMABLE DE (1 A 108000 ) SEGUNDOS")</f>
        <v>TEMPORIZADOR PROGRAMABLE DE (1 A 108000 ) SEGUNDOS</v>
      </c>
      <c r="C418" s="4" t="str">
        <f>IFERROR(__xludf.DUMMYFUNCTION("""COMPUTED_VALUE"""),"Temporizador programable de (1 a 108000 ) segundos . Dos modos de uaso Acción instantánea y Acción demorada. Entrada Pulsador. Salida Relay 3 A en 220 vca. Acción de Salida On / Off. Alimentación 9 VCA / 12 VCA 50Hz")</f>
        <v>Temporizador programable de (1 a 108000 ) segundos . Dos modos de uaso Acción instantánea y Acción demorada. Entrada Pulsador. Salida Relay 3 A en 220 vca. Acción de Salida On / Off. Alimentación 9 VCA / 12 VCA 50Hz</v>
      </c>
      <c r="D418" s="4" t="str">
        <f>IFERROR(__xludf.DUMMYFUNCTION("""COMPUTED_VALUE"""),"TEKSOR")</f>
        <v>TEKSOR</v>
      </c>
      <c r="E418" s="4" t="str">
        <f>IFERROR(__xludf.DUMMYFUNCTION("""COMPUTED_VALUE"""),"DKTEMP")</f>
        <v>DKTEMP</v>
      </c>
      <c r="F418" s="4" t="str">
        <f>IFERROR(__xludf.DUMMYFUNCTION("""COMPUTED_VALUE"""),"ALARMAS &gt; ACCESORIOS PARA PANELES")</f>
        <v>ALARMAS &gt; ACCESORIOS PARA PANELES</v>
      </c>
      <c r="G418" s="5"/>
      <c r="H418" s="6">
        <f>IFERROR(__xludf.DUMMYFUNCTION("""COMPUTED_VALUE"""),17.6)</f>
        <v>17.6</v>
      </c>
      <c r="I418" s="7">
        <f>IFERROR(__xludf.DUMMYFUNCTION("""COMPUTED_VALUE"""),21.0)</f>
        <v>21</v>
      </c>
      <c r="J418" s="6">
        <f>IFERROR(__xludf.DUMMYFUNCTION("""COMPUTED_VALUE"""),21.12)</f>
        <v>21.12</v>
      </c>
      <c r="K418" s="6">
        <f>IFERROR(__xludf.DUMMYFUNCTION("""COMPUTED_VALUE"""),24.64)</f>
        <v>24.64</v>
      </c>
      <c r="L418" s="3"/>
      <c r="M418" s="3"/>
    </row>
    <row r="419" ht="48.0" customHeight="1">
      <c r="A419" s="3" t="str">
        <f>IFERROR(__xludf.DUMMYFUNCTION("""COMPUTED_VALUE"""),"DS-PDP18-EG2(P)")</f>
        <v>DS-PDP18-EG2(P)</v>
      </c>
      <c r="B419" s="4" t="str">
        <f>IFERROR(__xludf.DUMMYFUNCTION("""COMPUTED_VALUE"""),"DETECTOR PIR CABLEADO PARA INTERIOR, INMUNIDAD A MASCOTAS")</f>
        <v>DETECTOR PIR CABLEADO PARA INTERIOR, INMUNIDAD A MASCOTAS</v>
      </c>
      <c r="C419" s="4" t="str">
        <f>IFERROR(__xludf.DUMMYFUNCTION("""COMPUTED_VALUE"""),"Detector PIR Cableado para Interior, Inmunidad a Mascotas. Rango de Detección de 18 mts. Angulo de 90° de Cobertura")</f>
        <v>Detector PIR Cableado para Interior, Inmunidad a Mascotas. Rango de Detección de 18 mts. Angulo de 90° de Cobertura</v>
      </c>
      <c r="D419" s="4" t="str">
        <f>IFERROR(__xludf.DUMMYFUNCTION("""COMPUTED_VALUE"""),"HIKVISION")</f>
        <v>HIKVISION</v>
      </c>
      <c r="E419" s="4" t="str">
        <f>IFERROR(__xludf.DUMMYFUNCTION("""COMPUTED_VALUE"""),"DS-PDP18-EG2(P)")</f>
        <v>DS-PDP18-EG2(P)</v>
      </c>
      <c r="F419" s="4" t="str">
        <f>IFERROR(__xludf.DUMMYFUNCTION("""COMPUTED_VALUE"""),"ALARMAS &gt; DETECTORES INFRARROJOS INTERIOR")</f>
        <v>ALARMAS &gt; DETECTORES INFRARROJOS INTERIOR</v>
      </c>
      <c r="G419" s="5"/>
      <c r="H419" s="6">
        <f>IFERROR(__xludf.DUMMYFUNCTION("""COMPUTED_VALUE"""),9.57)</f>
        <v>9.57</v>
      </c>
      <c r="I419" s="7">
        <f>IFERROR(__xludf.DUMMYFUNCTION("""COMPUTED_VALUE"""),21.0)</f>
        <v>21</v>
      </c>
      <c r="J419" s="6">
        <f>IFERROR(__xludf.DUMMYFUNCTION("""COMPUTED_VALUE"""),11.48)</f>
        <v>11.48</v>
      </c>
      <c r="K419" s="6">
        <f>IFERROR(__xludf.DUMMYFUNCTION("""COMPUTED_VALUE"""),13.4)</f>
        <v>13.4</v>
      </c>
      <c r="L419" s="3"/>
      <c r="M419" s="3"/>
    </row>
    <row r="420" ht="48.0" customHeight="1">
      <c r="A420" s="3" t="str">
        <f>IFERROR(__xludf.DUMMYFUNCTION("""COMPUTED_VALUE"""),"DS-PDP18-EG2(B)")</f>
        <v>DS-PDP18-EG2(B)</v>
      </c>
      <c r="B420" s="4" t="str">
        <f>IFERROR(__xludf.DUMMYFUNCTION("""COMPUTED_VALUE"""),"DETECTOR PIR CABLEADO PARA INTERIOR, INMUNIDAD A MASCOTAS")</f>
        <v>DETECTOR PIR CABLEADO PARA INTERIOR, INMUNIDAD A MASCOTAS</v>
      </c>
      <c r="C420" s="4" t="str">
        <f>IFERROR(__xludf.DUMMYFUNCTION("""COMPUTED_VALUE"""),"Detector PIR Cableado para Interior, Inmunidad a Mascotas. Rango de Detección de 18 mts. Angulo de 90° de Cobertura")</f>
        <v>Detector PIR Cableado para Interior, Inmunidad a Mascotas. Rango de Detección de 18 mts. Angulo de 90° de Cobertura</v>
      </c>
      <c r="D420" s="4" t="str">
        <f>IFERROR(__xludf.DUMMYFUNCTION("""COMPUTED_VALUE"""),"HIKVISION")</f>
        <v>HIKVISION</v>
      </c>
      <c r="E420" s="4" t="str">
        <f>IFERROR(__xludf.DUMMYFUNCTION("""COMPUTED_VALUE"""),"DS-PDP18-EG2(B)")</f>
        <v>DS-PDP18-EG2(B)</v>
      </c>
      <c r="F420" s="4" t="str">
        <f>IFERROR(__xludf.DUMMYFUNCTION("""COMPUTED_VALUE"""),"ALARMAS &gt; DETECTORES INFRARROJOS INTERIOR")</f>
        <v>ALARMAS &gt; DETECTORES INFRARROJOS INTERIOR</v>
      </c>
      <c r="G420" s="5"/>
      <c r="H420" s="6">
        <f>IFERROR(__xludf.DUMMYFUNCTION("""COMPUTED_VALUE"""),9.57)</f>
        <v>9.57</v>
      </c>
      <c r="I420" s="7">
        <f>IFERROR(__xludf.DUMMYFUNCTION("""COMPUTED_VALUE"""),21.0)</f>
        <v>21</v>
      </c>
      <c r="J420" s="6">
        <f>IFERROR(__xludf.DUMMYFUNCTION("""COMPUTED_VALUE"""),11.48)</f>
        <v>11.48</v>
      </c>
      <c r="K420" s="6">
        <f>IFERROR(__xludf.DUMMYFUNCTION("""COMPUTED_VALUE"""),13.4)</f>
        <v>13.4</v>
      </c>
      <c r="L420" s="3"/>
      <c r="M420" s="3"/>
    </row>
    <row r="421" ht="48.0" customHeight="1">
      <c r="A421" s="3" t="str">
        <f>IFERROR(__xludf.DUMMYFUNCTION("""COMPUTED_VALUE"""),"DS-PDD12P-EG2")</f>
        <v>DS-PDD12P-EG2</v>
      </c>
      <c r="B421" s="4" t="str">
        <f>IFERROR(__xludf.DUMMYFUNCTION("""COMPUTED_VALUE"""),"DETECTOR DOBLE TECNOLOGIA PIR Y MICROONDAS")</f>
        <v>DETECTOR DOBLE TECNOLOGIA PIR Y MICROONDAS</v>
      </c>
      <c r="C421" s="4" t="str">
        <f>IFERROR(__xludf.DUMMYFUNCTION("""COMPUTED_VALUE"""),"Detector doble tecnologia PIR y MICROONDAS. Inmunidad de mascotas de hasta 30KG. Rango de detección 12 m. Angulo de detección 85.9°. Umbral flotante. Incluye selector de resistencias de EOL.")</f>
        <v>Detector doble tecnologia PIR y MICROONDAS. Inmunidad de mascotas de hasta 30KG. Rango de detección 12 m. Angulo de detección 85.9°. Umbral flotante. Incluye selector de resistencias de EOL.</v>
      </c>
      <c r="D421" s="4" t="str">
        <f>IFERROR(__xludf.DUMMYFUNCTION("""COMPUTED_VALUE"""),"HIKVISION")</f>
        <v>HIKVISION</v>
      </c>
      <c r="E421" s="4" t="str">
        <f>IFERROR(__xludf.DUMMYFUNCTION("""COMPUTED_VALUE"""),"DS-PDD12P-EG2")</f>
        <v>DS-PDD12P-EG2</v>
      </c>
      <c r="F421" s="4" t="str">
        <f>IFERROR(__xludf.DUMMYFUNCTION("""COMPUTED_VALUE"""),"ALARMAS &gt; DETECTORES INFRARROJOS INTERIOR")</f>
        <v>ALARMAS &gt; DETECTORES INFRARROJOS INTERIOR</v>
      </c>
      <c r="G421" s="5"/>
      <c r="H421" s="6">
        <f>IFERROR(__xludf.DUMMYFUNCTION("""COMPUTED_VALUE"""),29.26)</f>
        <v>29.26</v>
      </c>
      <c r="I421" s="7">
        <f>IFERROR(__xludf.DUMMYFUNCTION("""COMPUTED_VALUE"""),21.0)</f>
        <v>21</v>
      </c>
      <c r="J421" s="6">
        <f>IFERROR(__xludf.DUMMYFUNCTION("""COMPUTED_VALUE"""),35.11)</f>
        <v>35.11</v>
      </c>
      <c r="K421" s="6">
        <f>IFERROR(__xludf.DUMMYFUNCTION("""COMPUTED_VALUE"""),40.96)</f>
        <v>40.96</v>
      </c>
      <c r="L421" s="3"/>
      <c r="M421" s="3"/>
    </row>
    <row r="422" ht="48.0" customHeight="1">
      <c r="A422" s="3" t="str">
        <f>IFERROR(__xludf.DUMMYFUNCTION("""COMPUTED_VALUE"""),"DS-PDD15AM-EG2")</f>
        <v>DS-PDD15AM-EG2</v>
      </c>
      <c r="B422" s="4" t="str">
        <f>IFERROR(__xludf.DUMMYFUNCTION("""COMPUTED_VALUE"""),"DETECTOR ANTIMASKING + ANTI-BLOCKING + ANTI-CLOAKING 15M 85")</f>
        <v>DETECTOR ANTIMASKING + ANTI-BLOCKING + ANTI-CLOAKING 15M 85</v>
      </c>
      <c r="C422" s="4" t="str">
        <f>IFERROR(__xludf.DUMMYFUNCTION("""COMPUTED_VALUE"""),"Detector Antimasking + Anti-blocking + Anti-cloaking 15m 85.9° volumétrico")</f>
        <v>Detector Antimasking + Anti-blocking + Anti-cloaking 15m 85.9° volumétrico</v>
      </c>
      <c r="D422" s="4" t="str">
        <f>IFERROR(__xludf.DUMMYFUNCTION("""COMPUTED_VALUE"""),"HIKVISION")</f>
        <v>HIKVISION</v>
      </c>
      <c r="E422" s="4" t="str">
        <f>IFERROR(__xludf.DUMMYFUNCTION("""COMPUTED_VALUE"""),"DS-PDD15AM-EG2")</f>
        <v>DS-PDD15AM-EG2</v>
      </c>
      <c r="F422" s="4" t="str">
        <f>IFERROR(__xludf.DUMMYFUNCTION("""COMPUTED_VALUE"""),"ALARMAS &gt; DETECTORES INFRARROJOS INTERIOR")</f>
        <v>ALARMAS &gt; DETECTORES INFRARROJOS INTERIOR</v>
      </c>
      <c r="G422" s="5"/>
      <c r="H422" s="6">
        <f>IFERROR(__xludf.DUMMYFUNCTION("""COMPUTED_VALUE"""),42.9)</f>
        <v>42.9</v>
      </c>
      <c r="I422" s="7">
        <f>IFERROR(__xludf.DUMMYFUNCTION("""COMPUTED_VALUE"""),21.0)</f>
        <v>21</v>
      </c>
      <c r="J422" s="6">
        <f>IFERROR(__xludf.DUMMYFUNCTION("""COMPUTED_VALUE"""),51.48)</f>
        <v>51.48</v>
      </c>
      <c r="K422" s="6">
        <f>IFERROR(__xludf.DUMMYFUNCTION("""COMPUTED_VALUE"""),60.06)</f>
        <v>60.06</v>
      </c>
      <c r="L422" s="3"/>
      <c r="M422" s="3"/>
    </row>
    <row r="423" ht="48.0" customHeight="1">
      <c r="A423" s="3" t="str">
        <f>IFERROR(__xludf.DUMMYFUNCTION("""COMPUTED_VALUE"""),"DS-PD701DT18AM")</f>
        <v>DS-PD701DT18AM</v>
      </c>
      <c r="B423" s="4" t="str">
        <f>IFERROR(__xludf.DUMMYFUNCTION("""COMPUTED_VALUE"""),"DETECTOR ANTIMASKING + ANTI-BLOCKING + ANTI-CLOAKING 18M 90° VOLUMÉTRI")</f>
        <v>DETECTOR ANTIMASKING + ANTI-BLOCKING + ANTI-CLOAKING 18M 90° VOLUMÉTRI</v>
      </c>
      <c r="C423" s="4" t="str">
        <f>IFERROR(__xludf.DUMMYFUNCTION("""COMPUTED_VALUE"""),"Detector Antimasking + Anti-blocking + Anti-cloaking 18m 90° volumétrico")</f>
        <v>Detector Antimasking + Anti-blocking + Anti-cloaking 18m 90° volumétrico</v>
      </c>
      <c r="D423" s="4" t="str">
        <f>IFERROR(__xludf.DUMMYFUNCTION("""COMPUTED_VALUE"""),"HIKVISION")</f>
        <v>HIKVISION</v>
      </c>
      <c r="E423" s="4" t="str">
        <f>IFERROR(__xludf.DUMMYFUNCTION("""COMPUTED_VALUE"""),"DS-PD701DT18AM")</f>
        <v>DS-PD701DT18AM</v>
      </c>
      <c r="F423" s="4" t="str">
        <f>IFERROR(__xludf.DUMMYFUNCTION("""COMPUTED_VALUE"""),"ALARMAS &gt; DETECTORES INFRARROJOS INTERIOR")</f>
        <v>ALARMAS &gt; DETECTORES INFRARROJOS INTERIOR</v>
      </c>
      <c r="G423" s="5"/>
      <c r="H423" s="6">
        <f>IFERROR(__xludf.DUMMYFUNCTION("""COMPUTED_VALUE"""),84.7)</f>
        <v>84.7</v>
      </c>
      <c r="I423" s="7">
        <f>IFERROR(__xludf.DUMMYFUNCTION("""COMPUTED_VALUE"""),21.0)</f>
        <v>21</v>
      </c>
      <c r="J423" s="6">
        <f>IFERROR(__xludf.DUMMYFUNCTION("""COMPUTED_VALUE"""),101.64)</f>
        <v>101.64</v>
      </c>
      <c r="K423" s="6">
        <f>IFERROR(__xludf.DUMMYFUNCTION("""COMPUTED_VALUE"""),118.58)</f>
        <v>118.58</v>
      </c>
      <c r="L423" s="3"/>
      <c r="M423" s="3"/>
    </row>
    <row r="424" ht="48.0" customHeight="1">
      <c r="A424" s="3" t="str">
        <f>IFERROR(__xludf.DUMMYFUNCTION("""COMPUTED_VALUE"""),"DSPDCL12EG2")</f>
        <v>DSPDCL12EG2</v>
      </c>
      <c r="B424" s="4" t="str">
        <f>IFERROR(__xludf.DUMMYFUNCTION("""COMPUTED_VALUE"""),"DS-PDCL12-EG2 SENSOR PIR DE MOVIMIENTO CON COBERTURA DE 360°")</f>
        <v>DS-PDCL12-EG2 SENSOR PIR DE MOVIMIENTO CON COBERTURA DE 360°</v>
      </c>
      <c r="C424" s="4" t="str">
        <f>IFERROR(__xludf.DUMMYFUNCTION("""COMPUTED_VALUE"""),"DS-PDCL12-EG2 Sensor PIR de Movimiento con Cobertura de 360° / Uso en Interior")</f>
        <v>DS-PDCL12-EG2 Sensor PIR de Movimiento con Cobertura de 360° / Uso en Interior</v>
      </c>
      <c r="D424" s="4" t="str">
        <f>IFERROR(__xludf.DUMMYFUNCTION("""COMPUTED_VALUE"""),"HIKVISION")</f>
        <v>HIKVISION</v>
      </c>
      <c r="E424" s="4" t="str">
        <f>IFERROR(__xludf.DUMMYFUNCTION("""COMPUTED_VALUE"""),"DSPDCL12EG2")</f>
        <v>DSPDCL12EG2</v>
      </c>
      <c r="F424" s="4" t="str">
        <f>IFERROR(__xludf.DUMMYFUNCTION("""COMPUTED_VALUE"""),"ALARMAS &gt; DETECTORES INFRARROJOS INTERIOR")</f>
        <v>ALARMAS &gt; DETECTORES INFRARROJOS INTERIOR</v>
      </c>
      <c r="G424" s="5"/>
      <c r="H424" s="6">
        <f>IFERROR(__xludf.DUMMYFUNCTION("""COMPUTED_VALUE"""),24.64)</f>
        <v>24.64</v>
      </c>
      <c r="I424" s="7">
        <f>IFERROR(__xludf.DUMMYFUNCTION("""COMPUTED_VALUE"""),21.0)</f>
        <v>21</v>
      </c>
      <c r="J424" s="6">
        <f>IFERROR(__xludf.DUMMYFUNCTION("""COMPUTED_VALUE"""),29.57)</f>
        <v>29.57</v>
      </c>
      <c r="K424" s="6">
        <f>IFERROR(__xludf.DUMMYFUNCTION("""COMPUTED_VALUE"""),34.5)</f>
        <v>34.5</v>
      </c>
      <c r="L424" s="3"/>
      <c r="M424" s="3"/>
    </row>
    <row r="425" ht="48.0" customHeight="1">
      <c r="A425" s="3" t="str">
        <f>IFERROR(__xludf.DUMMYFUNCTION("""COMPUTED_VALUE"""),"DSCLC100PI")</f>
        <v>DSCLC100PI</v>
      </c>
      <c r="B425" s="4" t="str">
        <f>IFERROR(__xludf.DUMMYFUNCTION("""COMPUTED_VALUE"""),"PASIVO INFRARROJO, LC100PI, TECNOLOGIA DIGITAL, ANTIMASCOTAS 25KGS")</f>
        <v>PASIVO INFRARROJO, LC100PI, TECNOLOGIA DIGITAL, ANTIMASCOTAS 25KGS</v>
      </c>
      <c r="C425" s="4" t="str">
        <f>IFERROR(__xludf.DUMMYFUNCTION("""COMPUTED_VALUE"""),"Pasivo Infrarrojo, LC100PI, Tecnologia digital, antimascotas 25Kgs., tamper")</f>
        <v>Pasivo Infrarrojo, LC100PI, Tecnologia digital, antimascotas 25Kgs., tamper</v>
      </c>
      <c r="D425" s="4" t="str">
        <f>IFERROR(__xludf.DUMMYFUNCTION("""COMPUTED_VALUE"""),"DSC")</f>
        <v>DSC</v>
      </c>
      <c r="E425" s="4" t="str">
        <f>IFERROR(__xludf.DUMMYFUNCTION("""COMPUTED_VALUE"""),"DSCLC100PI")</f>
        <v>DSCLC100PI</v>
      </c>
      <c r="F425" s="4" t="str">
        <f>IFERROR(__xludf.DUMMYFUNCTION("""COMPUTED_VALUE"""),"ALARMAS &gt; DETECTORES INFRARROJOS INTERIOR")</f>
        <v>ALARMAS &gt; DETECTORES INFRARROJOS INTERIOR</v>
      </c>
      <c r="G425" s="5"/>
      <c r="H425" s="6">
        <f>IFERROR(__xludf.DUMMYFUNCTION("""COMPUTED_VALUE"""),10.49)</f>
        <v>10.49</v>
      </c>
      <c r="I425" s="7">
        <f>IFERROR(__xludf.DUMMYFUNCTION("""COMPUTED_VALUE"""),21.0)</f>
        <v>21</v>
      </c>
      <c r="J425" s="6">
        <f>IFERROR(__xludf.DUMMYFUNCTION("""COMPUTED_VALUE"""),12.59)</f>
        <v>12.59</v>
      </c>
      <c r="K425" s="6">
        <f>IFERROR(__xludf.DUMMYFUNCTION("""COMPUTED_VALUE"""),14.69)</f>
        <v>14.69</v>
      </c>
      <c r="L425" s="3"/>
      <c r="M425" s="3"/>
    </row>
    <row r="426" ht="48.0" customHeight="1">
      <c r="A426" s="3" t="str">
        <f>IFERROR(__xludf.DUMMYFUNCTION("""COMPUTED_VALUE"""),"DSCLC104")</f>
        <v>DSCLC104</v>
      </c>
      <c r="B426" s="4" t="str">
        <f>IFERROR(__xludf.DUMMYFUNCTION("""COMPUTED_VALUE"""),"PASIVO INFRARROJO DOBLE TECNOLOGIA, ANTIMASCOTAS HASTA 25KGS, TAMPER")</f>
        <v>PASIVO INFRARROJO DOBLE TECNOLOGIA, ANTIMASCOTAS HASTA 25KGS, TAMPER</v>
      </c>
      <c r="C426" s="4" t="str">
        <f>IFERROR(__xludf.DUMMYFUNCTION("""COMPUTED_VALUE"""),"Pasivo Infrarrojo Doble tecnologia, antimascotas hasta 25Kgs, tamper")</f>
        <v>Pasivo Infrarrojo Doble tecnologia, antimascotas hasta 25Kgs, tamper</v>
      </c>
      <c r="D426" s="4" t="str">
        <f>IFERROR(__xludf.DUMMYFUNCTION("""COMPUTED_VALUE"""),"DSC")</f>
        <v>DSC</v>
      </c>
      <c r="E426" s="4" t="str">
        <f>IFERROR(__xludf.DUMMYFUNCTION("""COMPUTED_VALUE"""),"DSCLC104")</f>
        <v>DSCLC104</v>
      </c>
      <c r="F426" s="4" t="str">
        <f>IFERROR(__xludf.DUMMYFUNCTION("""COMPUTED_VALUE"""),"ALARMAS &gt; DETECTORES INFRARROJOS INTERIOR")</f>
        <v>ALARMAS &gt; DETECTORES INFRARROJOS INTERIOR</v>
      </c>
      <c r="G426" s="5"/>
      <c r="H426" s="6">
        <f>IFERROR(__xludf.DUMMYFUNCTION("""COMPUTED_VALUE"""),35.33)</f>
        <v>35.33</v>
      </c>
      <c r="I426" s="7">
        <f>IFERROR(__xludf.DUMMYFUNCTION("""COMPUTED_VALUE"""),21.0)</f>
        <v>21</v>
      </c>
      <c r="J426" s="6">
        <f>IFERROR(__xludf.DUMMYFUNCTION("""COMPUTED_VALUE"""),42.4)</f>
        <v>42.4</v>
      </c>
      <c r="K426" s="6">
        <f>IFERROR(__xludf.DUMMYFUNCTION("""COMPUTED_VALUE"""),49.46)</f>
        <v>49.46</v>
      </c>
      <c r="L426" s="3"/>
      <c r="M426" s="3"/>
    </row>
    <row r="427" ht="48.0" customHeight="1">
      <c r="A427" s="3" t="str">
        <f>IFERROR(__xludf.DUMMYFUNCTION("""COMPUTED_VALUE"""),"DSCLC103")</f>
        <v>DSCLC103</v>
      </c>
      <c r="B427" s="4" t="str">
        <f>IFERROR(__xludf.DUMMYFUNCTION("""COMPUTED_VALUE"""),"PASIVO INFRARROJO DOBLE TECNOLOGIA, ANTIMASCOTAS HASTA 25KGS, CON ANTI")</f>
        <v>PASIVO INFRARROJO DOBLE TECNOLOGIA, ANTIMASCOTAS HASTA 25KGS, CON ANTI</v>
      </c>
      <c r="C427" s="4" t="str">
        <f>IFERROR(__xludf.DUMMYFUNCTION("""COMPUTED_VALUE"""),"Pasivo Infrarrojo Doble tecnologia, antimascotas hasta 25Kgs, con antimasking, tamper.")</f>
        <v>Pasivo Infrarrojo Doble tecnologia, antimascotas hasta 25Kgs, con antimasking, tamper.</v>
      </c>
      <c r="D427" s="4" t="str">
        <f>IFERROR(__xludf.DUMMYFUNCTION("""COMPUTED_VALUE"""),"DSC")</f>
        <v>DSC</v>
      </c>
      <c r="E427" s="4" t="str">
        <f>IFERROR(__xludf.DUMMYFUNCTION("""COMPUTED_VALUE"""),"DSCLC103")</f>
        <v>DSCLC103</v>
      </c>
      <c r="F427" s="4" t="str">
        <f>IFERROR(__xludf.DUMMYFUNCTION("""COMPUTED_VALUE"""),"ALARMAS &gt; DETECTORES INFRARROJOS INTERIOR")</f>
        <v>ALARMAS &gt; DETECTORES INFRARROJOS INTERIOR</v>
      </c>
      <c r="G427" s="5"/>
      <c r="H427" s="6">
        <f>IFERROR(__xludf.DUMMYFUNCTION("""COMPUTED_VALUE"""),41.77)</f>
        <v>41.77</v>
      </c>
      <c r="I427" s="7">
        <f>IFERROR(__xludf.DUMMYFUNCTION("""COMPUTED_VALUE"""),21.0)</f>
        <v>21</v>
      </c>
      <c r="J427" s="6">
        <f>IFERROR(__xludf.DUMMYFUNCTION("""COMPUTED_VALUE"""),50.12)</f>
        <v>50.12</v>
      </c>
      <c r="K427" s="6">
        <f>IFERROR(__xludf.DUMMYFUNCTION("""COMPUTED_VALUE"""),58.48)</f>
        <v>58.48</v>
      </c>
      <c r="L427" s="3"/>
      <c r="M427" s="3"/>
    </row>
    <row r="428" ht="48.0" customHeight="1">
      <c r="A428" s="3" t="str">
        <f>IFERROR(__xludf.DUMMYFUNCTION("""COMPUTED_VALUE"""),"DSCBV501")</f>
        <v>DSCBV501</v>
      </c>
      <c r="B428" s="4" t="str">
        <f>IFERROR(__xludf.DUMMYFUNCTION("""COMPUTED_VALUE"""),"SENSOR INFRARROJO PASIVO PARA INSTALACIÓN EN CIELORRASOS")</f>
        <v>SENSOR INFRARROJO PASIVO PARA INSTALACIÓN EN CIELORRASOS</v>
      </c>
      <c r="C428" s="4" t="str">
        <f>IFERROR(__xludf.DUMMYFUNCTION("""COMPUTED_VALUE"""),"Sensor infrarrojo pasivo para instalación en cielorrasos")</f>
        <v>Sensor infrarrojo pasivo para instalación en cielorrasos</v>
      </c>
      <c r="D428" s="4" t="str">
        <f>IFERROR(__xludf.DUMMYFUNCTION("""COMPUTED_VALUE"""),"DSC")</f>
        <v>DSC</v>
      </c>
      <c r="E428" s="4" t="str">
        <f>IFERROR(__xludf.DUMMYFUNCTION("""COMPUTED_VALUE"""),"DSCBV501")</f>
        <v>DSCBV501</v>
      </c>
      <c r="F428" s="4" t="str">
        <f>IFERROR(__xludf.DUMMYFUNCTION("""COMPUTED_VALUE"""),"ALARMAS &gt; DETECTORES INFRARROJOS INTERIOR")</f>
        <v>ALARMAS &gt; DETECTORES INFRARROJOS INTERIOR</v>
      </c>
      <c r="G428" s="5"/>
      <c r="H428" s="6">
        <f>IFERROR(__xludf.DUMMYFUNCTION("""COMPUTED_VALUE"""),43.0)</f>
        <v>43</v>
      </c>
      <c r="I428" s="7">
        <f>IFERROR(__xludf.DUMMYFUNCTION("""COMPUTED_VALUE"""),21.0)</f>
        <v>21</v>
      </c>
      <c r="J428" s="6">
        <f>IFERROR(__xludf.DUMMYFUNCTION("""COMPUTED_VALUE"""),51.6)</f>
        <v>51.6</v>
      </c>
      <c r="K428" s="6">
        <f>IFERROR(__xludf.DUMMYFUNCTION("""COMPUTED_VALUE"""),60.2)</f>
        <v>60.2</v>
      </c>
      <c r="L428" s="3"/>
      <c r="M428" s="3"/>
    </row>
    <row r="429" ht="48.0" customHeight="1">
      <c r="A429" s="3" t="str">
        <f>IFERROR(__xludf.DUMMYFUNCTION("""COMPUTED_VALUE"""),"DSCLCL1ST")</f>
        <v>DSCLCL1ST</v>
      </c>
      <c r="B429" s="4" t="str">
        <f>IFERROR(__xludf.DUMMYFUNCTION("""COMPUTED_VALUE"""),"SOPORTE ARTICULADO PARA MONTAJE EN TECHO Y PARED PARA")</f>
        <v>SOPORTE ARTICULADO PARA MONTAJE EN TECHO Y PARED PARA</v>
      </c>
      <c r="C429" s="4" t="str">
        <f>IFERROR(__xludf.DUMMYFUNCTION("""COMPUTED_VALUE"""),"Soporte articulado para montaje en techo y pared para detectores serie LC")</f>
        <v>Soporte articulado para montaje en techo y pared para detectores serie LC</v>
      </c>
      <c r="D429" s="4" t="str">
        <f>IFERROR(__xludf.DUMMYFUNCTION("""COMPUTED_VALUE"""),"DSC")</f>
        <v>DSC</v>
      </c>
      <c r="E429" s="4" t="str">
        <f>IFERROR(__xludf.DUMMYFUNCTION("""COMPUTED_VALUE"""),"DSCLCL1ST")</f>
        <v>DSCLCL1ST</v>
      </c>
      <c r="F429" s="4" t="str">
        <f>IFERROR(__xludf.DUMMYFUNCTION("""COMPUTED_VALUE"""),"ALARMAS &gt; DETECTORES INFRARROJOS INTERIOR")</f>
        <v>ALARMAS &gt; DETECTORES INFRARROJOS INTERIOR</v>
      </c>
      <c r="G429" s="5"/>
      <c r="H429" s="6">
        <f>IFERROR(__xludf.DUMMYFUNCTION("""COMPUTED_VALUE"""),4.51)</f>
        <v>4.51</v>
      </c>
      <c r="I429" s="7">
        <f>IFERROR(__xludf.DUMMYFUNCTION("""COMPUTED_VALUE"""),21.0)</f>
        <v>21</v>
      </c>
      <c r="J429" s="6">
        <f>IFERROR(__xludf.DUMMYFUNCTION("""COMPUTED_VALUE"""),5.41)</f>
        <v>5.41</v>
      </c>
      <c r="K429" s="6">
        <f>IFERROR(__xludf.DUMMYFUNCTION("""COMPUTED_VALUE"""),6.31)</f>
        <v>6.31</v>
      </c>
      <c r="L429" s="3"/>
      <c r="M429" s="3"/>
    </row>
    <row r="430" ht="48.0" customHeight="1">
      <c r="A430" s="3" t="str">
        <f>IFERROR(__xludf.DUMMYFUNCTION("""COMPUTED_VALUE"""),"VSSPY3")</f>
        <v>VSSPY3</v>
      </c>
      <c r="B430" s="4" t="str">
        <f>IFERROR(__xludf.DUMMYFUNCTION("""COMPUTED_VALUE"""),"DETECTOR PIR MINIATURA, 6 HACES DOBLES EN UN SOLO")</f>
        <v>DETECTOR PIR MINIATURA, 6 HACES DOBLES EN UN SOLO</v>
      </c>
      <c r="C430" s="4" t="str">
        <f>IFERROR(__xludf.DUMMYFUNCTION("""COMPUTED_VALUE"""),"Detector PIR miniatura, 6 haces dobles en un solo plano de detección, Diametro: 19 mm longitud: 70 mm.")</f>
        <v>Detector PIR miniatura, 6 haces dobles en un solo plano de detección, Diametro: 19 mm longitud: 70 mm.</v>
      </c>
      <c r="D430" s="4" t="str">
        <f>IFERROR(__xludf.DUMMYFUNCTION("""COMPUTED_VALUE"""),"VISONIC")</f>
        <v>VISONIC</v>
      </c>
      <c r="E430" s="4" t="str">
        <f>IFERROR(__xludf.DUMMYFUNCTION("""COMPUTED_VALUE"""),"VSSPY3")</f>
        <v>VSSPY3</v>
      </c>
      <c r="F430" s="4" t="str">
        <f>IFERROR(__xludf.DUMMYFUNCTION("""COMPUTED_VALUE"""),"ALARMAS &gt; DETECTORES INFRARROJOS INTERIOR")</f>
        <v>ALARMAS &gt; DETECTORES INFRARROJOS INTERIOR</v>
      </c>
      <c r="G430" s="5"/>
      <c r="H430" s="6">
        <f>IFERROR(__xludf.DUMMYFUNCTION("""COMPUTED_VALUE"""),24.2)</f>
        <v>24.2</v>
      </c>
      <c r="I430" s="7">
        <f>IFERROR(__xludf.DUMMYFUNCTION("""COMPUTED_VALUE"""),21.0)</f>
        <v>21</v>
      </c>
      <c r="J430" s="6">
        <f>IFERROR(__xludf.DUMMYFUNCTION("""COMPUTED_VALUE"""),29.04)</f>
        <v>29.04</v>
      </c>
      <c r="K430" s="6">
        <f>IFERROR(__xludf.DUMMYFUNCTION("""COMPUTED_VALUE"""),33.88)</f>
        <v>33.88</v>
      </c>
      <c r="L430" s="3"/>
      <c r="M430" s="3"/>
    </row>
    <row r="431" ht="48.0" customHeight="1">
      <c r="A431" s="3" t="str">
        <f>IFERROR(__xludf.DUMMYFUNCTION("""COMPUTED_VALUE"""),"RX40PI")</f>
        <v>RX40PI</v>
      </c>
      <c r="B431" s="4" t="str">
        <f>IFERROR(__xludf.DUMMYFUNCTION("""COMPUTED_VALUE"""),"SENSOR INFRARROJO PASIVO ANTIMASCOTA")</f>
        <v>SENSOR INFRARROJO PASIVO ANTIMASCOTA</v>
      </c>
      <c r="C431" s="4" t="str">
        <f>IFERROR(__xludf.DUMMYFUNCTION("""COMPUTED_VALUE"""),"Sensor infrarrojo pasivo antimascota")</f>
        <v>Sensor infrarrojo pasivo antimascota</v>
      </c>
      <c r="D431" s="4" t="str">
        <f>IFERROR(__xludf.DUMMYFUNCTION("""COMPUTED_VALUE"""),"OPTEX")</f>
        <v>OPTEX</v>
      </c>
      <c r="E431" s="4" t="str">
        <f>IFERROR(__xludf.DUMMYFUNCTION("""COMPUTED_VALUE"""),"RX40PI")</f>
        <v>RX40PI</v>
      </c>
      <c r="F431" s="4" t="str">
        <f>IFERROR(__xludf.DUMMYFUNCTION("""COMPUTED_VALUE"""),"ALARMAS &gt; DETECTORES INFRARROJOS INTERIOR")</f>
        <v>ALARMAS &gt; DETECTORES INFRARROJOS INTERIOR</v>
      </c>
      <c r="G431" s="5"/>
      <c r="H431" s="6">
        <f>IFERROR(__xludf.DUMMYFUNCTION("""COMPUTED_VALUE"""),21.57)</f>
        <v>21.57</v>
      </c>
      <c r="I431" s="7">
        <f>IFERROR(__xludf.DUMMYFUNCTION("""COMPUTED_VALUE"""),21.0)</f>
        <v>21</v>
      </c>
      <c r="J431" s="6">
        <f>IFERROR(__xludf.DUMMYFUNCTION("""COMPUTED_VALUE"""),25.88)</f>
        <v>25.88</v>
      </c>
      <c r="K431" s="6">
        <f>IFERROR(__xludf.DUMMYFUNCTION("""COMPUTED_VALUE"""),30.2)</f>
        <v>30.2</v>
      </c>
      <c r="L431" s="3"/>
      <c r="M431" s="3"/>
    </row>
    <row r="432" ht="48.0" customHeight="1">
      <c r="A432" s="3" t="str">
        <f>IFERROR(__xludf.DUMMYFUNCTION("""COMPUTED_VALUE"""),"MX40PI")</f>
        <v>MX40PI</v>
      </c>
      <c r="B432" s="4" t="str">
        <f>IFERROR(__xludf.DUMMYFUNCTION("""COMPUTED_VALUE"""),"SENSOR INFRARROJO ANTIMASCOTA PASIVO Y MICROONDAS")</f>
        <v>SENSOR INFRARROJO ANTIMASCOTA PASIVO Y MICROONDAS</v>
      </c>
      <c r="C432" s="4" t="str">
        <f>IFERROR(__xludf.DUMMYFUNCTION("""COMPUTED_VALUE"""),"Sensor infrarrojo antimascota pasivo y microondas")</f>
        <v>Sensor infrarrojo antimascota pasivo y microondas</v>
      </c>
      <c r="D432" s="4" t="str">
        <f>IFERROR(__xludf.DUMMYFUNCTION("""COMPUTED_VALUE"""),"OPTEX")</f>
        <v>OPTEX</v>
      </c>
      <c r="E432" s="4" t="str">
        <f>IFERROR(__xludf.DUMMYFUNCTION("""COMPUTED_VALUE"""),"MX40PI")</f>
        <v>MX40PI</v>
      </c>
      <c r="F432" s="4" t="str">
        <f>IFERROR(__xludf.DUMMYFUNCTION("""COMPUTED_VALUE"""),"ALARMAS &gt; DETECTORES INFRARROJOS INTERIOR")</f>
        <v>ALARMAS &gt; DETECTORES INFRARROJOS INTERIOR</v>
      </c>
      <c r="G432" s="5"/>
      <c r="H432" s="6">
        <f>IFERROR(__xludf.DUMMYFUNCTION("""COMPUTED_VALUE"""),53.77)</f>
        <v>53.77</v>
      </c>
      <c r="I432" s="7">
        <f>IFERROR(__xludf.DUMMYFUNCTION("""COMPUTED_VALUE"""),21.0)</f>
        <v>21</v>
      </c>
      <c r="J432" s="6">
        <f>IFERROR(__xludf.DUMMYFUNCTION("""COMPUTED_VALUE"""),64.52)</f>
        <v>64.52</v>
      </c>
      <c r="K432" s="6">
        <f>IFERROR(__xludf.DUMMYFUNCTION("""COMPUTED_VALUE"""),75.28)</f>
        <v>75.28</v>
      </c>
      <c r="L432" s="3"/>
      <c r="M432" s="3"/>
    </row>
    <row r="433" ht="48.0" customHeight="1">
      <c r="A433" s="3" t="str">
        <f>IFERROR(__xludf.DUMMYFUNCTION("""COMPUTED_VALUE"""),"TKMS100E")</f>
        <v>TKMS100E</v>
      </c>
      <c r="B433" s="4" t="str">
        <f>IFERROR(__xludf.DUMMYFUNCTION("""COMPUTED_VALUE"""),"PASIVO USO EXTERIOR")</f>
        <v>PASIVO USO EXTERIOR</v>
      </c>
      <c r="C433" s="4" t="str">
        <f>IFERROR(__xludf.DUMMYFUNCTION("""COMPUTED_VALUE"""),"Pasivo uso exterior. Incluye lentes: granangular 10 x15mt. cortina vertical 20x3 mts. – largo alcance 20x2 mts")</f>
        <v>Pasivo uso exterior. Incluye lentes: granangular 10 x15mt. cortina vertical 20x3 mts. – largo alcance 20x2 mts</v>
      </c>
      <c r="D433" s="4" t="str">
        <f>IFERROR(__xludf.DUMMYFUNCTION("""COMPUTED_VALUE"""),"TAKEX")</f>
        <v>TAKEX</v>
      </c>
      <c r="E433" s="4" t="str">
        <f>IFERROR(__xludf.DUMMYFUNCTION("""COMPUTED_VALUE"""),"TKMS100E")</f>
        <v>TKMS100E</v>
      </c>
      <c r="F433" s="4" t="str">
        <f>IFERROR(__xludf.DUMMYFUNCTION("""COMPUTED_VALUE"""),"ALARMAS &gt; DETECTORES EXTERIOR")</f>
        <v>ALARMAS &gt; DETECTORES EXTERIOR</v>
      </c>
      <c r="G433" s="5"/>
      <c r="H433" s="6">
        <f>IFERROR(__xludf.DUMMYFUNCTION("""COMPUTED_VALUE"""),95.7)</f>
        <v>95.7</v>
      </c>
      <c r="I433" s="7">
        <f>IFERROR(__xludf.DUMMYFUNCTION("""COMPUTED_VALUE"""),21.0)</f>
        <v>21</v>
      </c>
      <c r="J433" s="6">
        <f>IFERROR(__xludf.DUMMYFUNCTION("""COMPUTED_VALUE"""),114.84)</f>
        <v>114.84</v>
      </c>
      <c r="K433" s="6">
        <f>IFERROR(__xludf.DUMMYFUNCTION("""COMPUTED_VALUE"""),133.98)</f>
        <v>133.98</v>
      </c>
      <c r="L433" s="3"/>
      <c r="M433" s="3"/>
    </row>
    <row r="434" ht="48.0" customHeight="1">
      <c r="A434" s="3" t="str">
        <f>IFERROR(__xludf.DUMMYFUNCTION("""COMPUTED_VALUE"""),"TKMS12TE")</f>
        <v>TKMS12TE</v>
      </c>
      <c r="B434" s="4" t="str">
        <f>IFERROR(__xludf.DUMMYFUNCTION("""COMPUTED_VALUE"""),"PASIVO EXTERIOR, 2 PLANOS DE DETECCIÓN, 90º, ALCANCE 12X12M")</f>
        <v>PASIVO EXTERIOR, 2 PLANOS DE DETECCIÓN, 90º, ALCANCE 12X12M</v>
      </c>
      <c r="C434" s="4" t="str">
        <f>IFERROR(__xludf.DUMMYFUNCTION("""COMPUTED_VALUE"""),"Pasivo exterior, 2 planos de detección, 90º, alcance 12x12m. Inmunidad a mascotas")</f>
        <v>Pasivo exterior, 2 planos de detección, 90º, alcance 12x12m. Inmunidad a mascotas</v>
      </c>
      <c r="D434" s="4" t="str">
        <f>IFERROR(__xludf.DUMMYFUNCTION("""COMPUTED_VALUE"""),"TAKEX")</f>
        <v>TAKEX</v>
      </c>
      <c r="E434" s="4" t="str">
        <f>IFERROR(__xludf.DUMMYFUNCTION("""COMPUTED_VALUE"""),"TKMS12TE")</f>
        <v>TKMS12TE</v>
      </c>
      <c r="F434" s="4" t="str">
        <f>IFERROR(__xludf.DUMMYFUNCTION("""COMPUTED_VALUE"""),"ALARMAS &gt; DETECTORES EXTERIOR")</f>
        <v>ALARMAS &gt; DETECTORES EXTERIOR</v>
      </c>
      <c r="G434" s="5"/>
      <c r="H434" s="6">
        <f>IFERROR(__xludf.DUMMYFUNCTION("""COMPUTED_VALUE"""),118.8)</f>
        <v>118.8</v>
      </c>
      <c r="I434" s="7">
        <f>IFERROR(__xludf.DUMMYFUNCTION("""COMPUTED_VALUE"""),21.0)</f>
        <v>21</v>
      </c>
      <c r="J434" s="6">
        <f>IFERROR(__xludf.DUMMYFUNCTION("""COMPUTED_VALUE"""),142.56)</f>
        <v>142.56</v>
      </c>
      <c r="K434" s="6">
        <f>IFERROR(__xludf.DUMMYFUNCTION("""COMPUTED_VALUE"""),166.32)</f>
        <v>166.32</v>
      </c>
      <c r="L434" s="3"/>
      <c r="M434" s="3"/>
    </row>
    <row r="435" ht="48.0" customHeight="1">
      <c r="A435" s="3" t="str">
        <f>IFERROR(__xludf.DUMMYFUNCTION("""COMPUTED_VALUE"""),"TKOMS12FE")</f>
        <v>TKOMS12FE</v>
      </c>
      <c r="B435" s="4" t="str">
        <f>IFERROR(__xludf.DUMMYFUNCTION("""COMPUTED_VALUE"""),"PASIVO EXTERIOR, 2 CABEZAS FIJAS, 2 PLANOS DE DETECCIÓN,")</f>
        <v>PASIVO EXTERIOR, 2 CABEZAS FIJAS, 2 PLANOS DE DETECCIÓN,</v>
      </c>
      <c r="C435" s="4" t="str">
        <f>IFERROR(__xludf.DUMMYFUNCTION("""COMPUTED_VALUE"""),"Pasivo exterior, 2 cabezas fijas, 2 planos de detección, 180º, alcance 12x24m. Inmunidad a mascotas")</f>
        <v>Pasivo exterior, 2 cabezas fijas, 2 planos de detección, 180º, alcance 12x24m. Inmunidad a mascotas</v>
      </c>
      <c r="D435" s="4" t="str">
        <f>IFERROR(__xludf.DUMMYFUNCTION("""COMPUTED_VALUE"""),"TAKEX")</f>
        <v>TAKEX</v>
      </c>
      <c r="E435" s="4" t="str">
        <f>IFERROR(__xludf.DUMMYFUNCTION("""COMPUTED_VALUE"""),"TKOMS12FE")</f>
        <v>TKOMS12FE</v>
      </c>
      <c r="F435" s="4" t="str">
        <f>IFERROR(__xludf.DUMMYFUNCTION("""COMPUTED_VALUE"""),"ALARMAS &gt; DETECTORES EXTERIOR")</f>
        <v>ALARMAS &gt; DETECTORES EXTERIOR</v>
      </c>
      <c r="G435" s="5"/>
      <c r="H435" s="6">
        <f>IFERROR(__xludf.DUMMYFUNCTION("""COMPUTED_VALUE"""),151.03)</f>
        <v>151.03</v>
      </c>
      <c r="I435" s="7">
        <f>IFERROR(__xludf.DUMMYFUNCTION("""COMPUTED_VALUE"""),21.0)</f>
        <v>21</v>
      </c>
      <c r="J435" s="6">
        <f>IFERROR(__xludf.DUMMYFUNCTION("""COMPUTED_VALUE"""),181.24)</f>
        <v>181.24</v>
      </c>
      <c r="K435" s="6">
        <f>IFERROR(__xludf.DUMMYFUNCTION("""COMPUTED_VALUE"""),211.44)</f>
        <v>211.44</v>
      </c>
      <c r="L435" s="3"/>
      <c r="M435" s="3"/>
    </row>
    <row r="436" ht="48.0" customHeight="1">
      <c r="A436" s="3" t="str">
        <f>IFERROR(__xludf.DUMMYFUNCTION("""COMPUTED_VALUE"""),"TKMS12FE")</f>
        <v>TKMS12FE</v>
      </c>
      <c r="B436" s="4" t="str">
        <f>IFERROR(__xludf.DUMMYFUNCTION("""COMPUTED_VALUE"""),"PASIVO EXTERIOR, 2 PLANOS DE DETECCIÓN, 180º, ALCANCE 12X24M")</f>
        <v>PASIVO EXTERIOR, 2 PLANOS DE DETECCIÓN, 180º, ALCANCE 12X24M</v>
      </c>
      <c r="C436" s="4" t="str">
        <f>IFERROR(__xludf.DUMMYFUNCTION("""COMPUTED_VALUE"""),"Pasivo exterior, 2 planos de detección, 180º, alcance 12x24m. Inmunidad a mascotas")</f>
        <v>Pasivo exterior, 2 planos de detección, 180º, alcance 12x24m. Inmunidad a mascotas</v>
      </c>
      <c r="D436" s="4" t="str">
        <f>IFERROR(__xludf.DUMMYFUNCTION("""COMPUTED_VALUE"""),"TAKEX")</f>
        <v>TAKEX</v>
      </c>
      <c r="E436" s="4" t="str">
        <f>IFERROR(__xludf.DUMMYFUNCTION("""COMPUTED_VALUE"""),"TKMS12FE")</f>
        <v>TKMS12FE</v>
      </c>
      <c r="F436" s="4" t="str">
        <f>IFERROR(__xludf.DUMMYFUNCTION("""COMPUTED_VALUE"""),"ALARMAS &gt; DETECTORES EXTERIOR")</f>
        <v>ALARMAS &gt; DETECTORES EXTERIOR</v>
      </c>
      <c r="G436" s="5"/>
      <c r="H436" s="6">
        <f>IFERROR(__xludf.DUMMYFUNCTION("""COMPUTED_VALUE"""),151.8)</f>
        <v>151.8</v>
      </c>
      <c r="I436" s="7">
        <f>IFERROR(__xludf.DUMMYFUNCTION("""COMPUTED_VALUE"""),21.0)</f>
        <v>21</v>
      </c>
      <c r="J436" s="6">
        <f>IFERROR(__xludf.DUMMYFUNCTION("""COMPUTED_VALUE"""),182.16)</f>
        <v>182.16</v>
      </c>
      <c r="K436" s="6">
        <f>IFERROR(__xludf.DUMMYFUNCTION("""COMPUTED_VALUE"""),212.52)</f>
        <v>212.52</v>
      </c>
      <c r="L436" s="3"/>
      <c r="M436" s="3"/>
    </row>
    <row r="437" ht="48.0" customHeight="1">
      <c r="A437" s="3" t="str">
        <f>IFERROR(__xludf.DUMMYFUNCTION("""COMPUTED_VALUE"""),"TKMX12FAM")</f>
        <v>TKMX12FAM</v>
      </c>
      <c r="B437" s="4" t="str">
        <f>IFERROR(__xludf.DUMMYFUNCTION("""COMPUTED_VALUE"""),"PASIVO EXTERIOR, 2 PLANOS DE DETECCIÓN, 180º, ALCANCE 12X24M")</f>
        <v>PASIVO EXTERIOR, 2 PLANOS DE DETECCIÓN, 180º, ALCANCE 12X24M</v>
      </c>
      <c r="C437" s="4" t="str">
        <f>IFERROR(__xludf.DUMMYFUNCTION("""COMPUTED_VALUE"""),"Pasivo exterior, 2 planos de detección, 180º, alcance 12x24m. Inmunidad a mascotas con antimasking")</f>
        <v>Pasivo exterior, 2 planos de detección, 180º, alcance 12x24m. Inmunidad a mascotas con antimasking</v>
      </c>
      <c r="D437" s="4" t="str">
        <f>IFERROR(__xludf.DUMMYFUNCTION("""COMPUTED_VALUE"""),"TAKEX")</f>
        <v>TAKEX</v>
      </c>
      <c r="E437" s="4" t="str">
        <f>IFERROR(__xludf.DUMMYFUNCTION("""COMPUTED_VALUE"""),"TKMX12FAM")</f>
        <v>TKMX12FAM</v>
      </c>
      <c r="F437" s="4" t="str">
        <f>IFERROR(__xludf.DUMMYFUNCTION("""COMPUTED_VALUE"""),"ALARMAS &gt; DETECTORES EXTERIOR")</f>
        <v>ALARMAS &gt; DETECTORES EXTERIOR</v>
      </c>
      <c r="G437" s="5"/>
      <c r="H437" s="6">
        <f>IFERROR(__xludf.DUMMYFUNCTION("""COMPUTED_VALUE"""),195.92)</f>
        <v>195.92</v>
      </c>
      <c r="I437" s="7">
        <f>IFERROR(__xludf.DUMMYFUNCTION("""COMPUTED_VALUE"""),21.0)</f>
        <v>21</v>
      </c>
      <c r="J437" s="6">
        <f>IFERROR(__xludf.DUMMYFUNCTION("""COMPUTED_VALUE"""),235.1)</f>
        <v>235.1</v>
      </c>
      <c r="K437" s="6">
        <f>IFERROR(__xludf.DUMMYFUNCTION("""COMPUTED_VALUE"""),274.29)</f>
        <v>274.29</v>
      </c>
      <c r="L437" s="3"/>
      <c r="M437" s="3"/>
    </row>
    <row r="438" ht="48.0" customHeight="1">
      <c r="A438" s="3" t="str">
        <f>IFERROR(__xludf.DUMMYFUNCTION("""COMPUTED_VALUE"""),"TKTX114SR")</f>
        <v>TKTX114SR</v>
      </c>
      <c r="B438" s="4" t="str">
        <f>IFERROR(__xludf.DUMMYFUNCTION("""COMPUTED_VALUE"""),"INFRARROJO PARA USO EXTERIOR APTO PARA TRANSMISOR UNIVERSAL INALÁMBRIC")</f>
        <v>INFRARROJO PARA USO EXTERIOR APTO PARA TRANSMISOR UNIVERSAL INALÁMBRIC</v>
      </c>
      <c r="C438" s="4" t="str">
        <f>IFERROR(__xludf.DUMMYFUNCTION("""COMPUTED_VALUE"""),"Infrarrojo para uso exterior apto para transmisor universal inalámbrico. Muy bajo consumo. 1 cabeza, 90º 12 m.")</f>
        <v>Infrarrojo para uso exterior apto para transmisor universal inalámbrico. Muy bajo consumo. 1 cabeza, 90º 12 m.</v>
      </c>
      <c r="D438" s="4" t="str">
        <f>IFERROR(__xludf.DUMMYFUNCTION("""COMPUTED_VALUE"""),"TAKEX")</f>
        <v>TAKEX</v>
      </c>
      <c r="E438" s="4" t="str">
        <f>IFERROR(__xludf.DUMMYFUNCTION("""COMPUTED_VALUE"""),"TKTX114SR")</f>
        <v>TKTX114SR</v>
      </c>
      <c r="F438" s="4" t="str">
        <f>IFERROR(__xludf.DUMMYFUNCTION("""COMPUTED_VALUE"""),"ALARMAS &gt; DETECTORES EXTERIOR")</f>
        <v>ALARMAS &gt; DETECTORES EXTERIOR</v>
      </c>
      <c r="G438" s="5"/>
      <c r="H438" s="6">
        <f>IFERROR(__xludf.DUMMYFUNCTION("""COMPUTED_VALUE"""),165.0)</f>
        <v>165</v>
      </c>
      <c r="I438" s="7">
        <f>IFERROR(__xludf.DUMMYFUNCTION("""COMPUTED_VALUE"""),21.0)</f>
        <v>21</v>
      </c>
      <c r="J438" s="6">
        <f>IFERROR(__xludf.DUMMYFUNCTION("""COMPUTED_VALUE"""),198.0)</f>
        <v>198</v>
      </c>
      <c r="K438" s="6">
        <f>IFERROR(__xludf.DUMMYFUNCTION("""COMPUTED_VALUE"""),231.0)</f>
        <v>231</v>
      </c>
      <c r="L438" s="3"/>
      <c r="M438" s="3"/>
    </row>
    <row r="439" ht="48.0" customHeight="1">
      <c r="A439" s="3" t="str">
        <f>IFERROR(__xludf.DUMMYFUNCTION("""COMPUTED_VALUE"""),"TKTX114FR")</f>
        <v>TKTX114FR</v>
      </c>
      <c r="B439" s="4" t="str">
        <f>IFERROR(__xludf.DUMMYFUNCTION("""COMPUTED_VALUE"""),"INFRARROJO PARA USO EXTERIOR APTO PARA TRANSMISOR UNIVERSAL INALÁMBRIC")</f>
        <v>INFRARROJO PARA USO EXTERIOR APTO PARA TRANSMISOR UNIVERSAL INALÁMBRIC</v>
      </c>
      <c r="C439" s="4" t="str">
        <f>IFERROR(__xludf.DUMMYFUNCTION("""COMPUTED_VALUE"""),"Infrarrojo para uso exterior apto para transmisor universal inalámbrico. Muy bajo consumo. 2 cabezas, 180º 12 m.")</f>
        <v>Infrarrojo para uso exterior apto para transmisor universal inalámbrico. Muy bajo consumo. 2 cabezas, 180º 12 m.</v>
      </c>
      <c r="D439" s="4" t="str">
        <f>IFERROR(__xludf.DUMMYFUNCTION("""COMPUTED_VALUE"""),"TAKEX")</f>
        <v>TAKEX</v>
      </c>
      <c r="E439" s="4" t="str">
        <f>IFERROR(__xludf.DUMMYFUNCTION("""COMPUTED_VALUE"""),"TKTX114FR")</f>
        <v>TKTX114FR</v>
      </c>
      <c r="F439" s="4" t="str">
        <f>IFERROR(__xludf.DUMMYFUNCTION("""COMPUTED_VALUE"""),"ALARMAS &gt; DETECTORES EXTERIOR")</f>
        <v>ALARMAS &gt; DETECTORES EXTERIOR</v>
      </c>
      <c r="G439" s="5"/>
      <c r="H439" s="6">
        <f>IFERROR(__xludf.DUMMYFUNCTION("""COMPUTED_VALUE"""),227.7)</f>
        <v>227.7</v>
      </c>
      <c r="I439" s="7">
        <f>IFERROR(__xludf.DUMMYFUNCTION("""COMPUTED_VALUE"""),21.0)</f>
        <v>21</v>
      </c>
      <c r="J439" s="6">
        <f>IFERROR(__xludf.DUMMYFUNCTION("""COMPUTED_VALUE"""),273.24)</f>
        <v>273.24</v>
      </c>
      <c r="K439" s="6">
        <f>IFERROR(__xludf.DUMMYFUNCTION("""COMPUTED_VALUE"""),318.78)</f>
        <v>318.78</v>
      </c>
      <c r="L439" s="3"/>
      <c r="M439" s="3"/>
    </row>
    <row r="440" ht="48.0" customHeight="1">
      <c r="A440" s="3" t="str">
        <f>IFERROR(__xludf.DUMMYFUNCTION("""COMPUTED_VALUE"""),"TKLENSMS12FETE")</f>
        <v>TKLENSMS12FETE</v>
      </c>
      <c r="B440" s="4" t="str">
        <f>IFERROR(__xludf.DUMMYFUNCTION("""COMPUTED_VALUE"""),"REPUESTO DE LENTE PARA LINEA TK")</f>
        <v>REPUESTO DE LENTE PARA LINEA TK</v>
      </c>
      <c r="C440" s="4" t="str">
        <f>IFERROR(__xludf.DUMMYFUNCTION("""COMPUTED_VALUE"""),"Repuesto de lente para linea TK")</f>
        <v>Repuesto de lente para linea TK</v>
      </c>
      <c r="D440" s="4" t="str">
        <f>IFERROR(__xludf.DUMMYFUNCTION("""COMPUTED_VALUE"""),"TAKEX")</f>
        <v>TAKEX</v>
      </c>
      <c r="E440" s="4" t="str">
        <f>IFERROR(__xludf.DUMMYFUNCTION("""COMPUTED_VALUE"""),"TKLENSMS12FETE")</f>
        <v>TKLENSMS12FETE</v>
      </c>
      <c r="F440" s="4" t="str">
        <f>IFERROR(__xludf.DUMMYFUNCTION("""COMPUTED_VALUE"""),"ALARMAS &gt; DETECTORES EXTERIOR")</f>
        <v>ALARMAS &gt; DETECTORES EXTERIOR</v>
      </c>
      <c r="G440" s="5"/>
      <c r="H440" s="6">
        <f>IFERROR(__xludf.DUMMYFUNCTION("""COMPUTED_VALUE"""),9.9)</f>
        <v>9.9</v>
      </c>
      <c r="I440" s="7">
        <f>IFERROR(__xludf.DUMMYFUNCTION("""COMPUTED_VALUE"""),21.0)</f>
        <v>21</v>
      </c>
      <c r="J440" s="6">
        <f>IFERROR(__xludf.DUMMYFUNCTION("""COMPUTED_VALUE"""),11.88)</f>
        <v>11.88</v>
      </c>
      <c r="K440" s="6">
        <f>IFERROR(__xludf.DUMMYFUNCTION("""COMPUTED_VALUE"""),13.86)</f>
        <v>13.86</v>
      </c>
      <c r="L440" s="3"/>
      <c r="M440" s="3"/>
    </row>
    <row r="441" ht="48.0" customHeight="1">
      <c r="A441" s="3" t="str">
        <f>IFERROR(__xludf.DUMMYFUNCTION("""COMPUTED_VALUE"""),"TKPIR30WE")</f>
        <v>TKPIR30WE</v>
      </c>
      <c r="B441" s="4" t="str">
        <f>IFERROR(__xludf.DUMMYFUNCTION("""COMPUTED_VALUE"""),"PASIVO EXTERIOR DE LARGO ALCANCE 30MTRS")</f>
        <v>PASIVO EXTERIOR DE LARGO ALCANCE 30MTRS</v>
      </c>
      <c r="C441" s="4" t="str">
        <f>IFERROR(__xludf.DUMMYFUNCTION("""COMPUTED_VALUE"""),"Pasivo exterior de largo alcance 30mtrs. Apto para ambientes extremos.")</f>
        <v>Pasivo exterior de largo alcance 30mtrs. Apto para ambientes extremos.</v>
      </c>
      <c r="D441" s="4" t="str">
        <f>IFERROR(__xludf.DUMMYFUNCTION("""COMPUTED_VALUE"""),"TAKEX")</f>
        <v>TAKEX</v>
      </c>
      <c r="E441" s="4" t="str">
        <f>IFERROR(__xludf.DUMMYFUNCTION("""COMPUTED_VALUE"""),"TKPIR30WE")</f>
        <v>TKPIR30WE</v>
      </c>
      <c r="F441" s="4" t="str">
        <f>IFERROR(__xludf.DUMMYFUNCTION("""COMPUTED_VALUE"""),"ALARMAS &gt; DETECTORES EXTERIOR")</f>
        <v>ALARMAS &gt; DETECTORES EXTERIOR</v>
      </c>
      <c r="G441" s="5"/>
      <c r="H441" s="6">
        <f>IFERROR(__xludf.DUMMYFUNCTION("""COMPUTED_VALUE"""),706.82)</f>
        <v>706.82</v>
      </c>
      <c r="I441" s="7">
        <f>IFERROR(__xludf.DUMMYFUNCTION("""COMPUTED_VALUE"""),21.0)</f>
        <v>21</v>
      </c>
      <c r="J441" s="6">
        <f>IFERROR(__xludf.DUMMYFUNCTION("""COMPUTED_VALUE"""),848.18)</f>
        <v>848.18</v>
      </c>
      <c r="K441" s="6">
        <f>IFERROR(__xludf.DUMMYFUNCTION("""COMPUTED_VALUE"""),989.55)</f>
        <v>989.55</v>
      </c>
      <c r="L441" s="3"/>
      <c r="M441" s="3"/>
    </row>
    <row r="442" ht="48.0" customHeight="1">
      <c r="A442" s="3" t="str">
        <f>IFERROR(__xludf.DUMMYFUNCTION("""COMPUTED_VALUE"""),"DS-PDP18-HM")</f>
        <v>DS-PDP18-HM</v>
      </c>
      <c r="B442" s="4" t="str">
        <f>IFERROR(__xludf.DUMMYFUNCTION("""COMPUTED_VALUE"""),"DETECTOR PIR DOBLE")</f>
        <v>DETECTOR PIR DOBLE</v>
      </c>
      <c r="C442" s="4" t="str">
        <f>IFERROR(__xludf.DUMMYFUNCTION("""COMPUTED_VALUE"""),"Detector PIR doble. Ajuste de montaje alto/bajo. Apto exterior IP65. Sensibilidad automática. Resistencias EOL seleccionables para cableado a prueba de alarmas y alteraciones. Compensación de temperatura digital y tecnología IFT. Adaptación de voltaje amp"&amp;"lio de 9 a 16 V con protección contra conncección inversa de polaridad")</f>
        <v>Detector PIR doble. Ajuste de montaje alto/bajo. Apto exterior IP65. Sensibilidad automática. Resistencias EOL seleccionables para cableado a prueba de alarmas y alteraciones. Compensación de temperatura digital y tecnología IFT. Adaptación de voltaje amplio de 9 a 16 V con protección contra conncección inversa de polaridad</v>
      </c>
      <c r="D442" s="4" t="str">
        <f>IFERROR(__xludf.DUMMYFUNCTION("""COMPUTED_VALUE"""),"HIKVISION")</f>
        <v>HIKVISION</v>
      </c>
      <c r="E442" s="4" t="str">
        <f>IFERROR(__xludf.DUMMYFUNCTION("""COMPUTED_VALUE"""),"DS-PDP18-HM")</f>
        <v>DS-PDP18-HM</v>
      </c>
      <c r="F442" s="4" t="str">
        <f>IFERROR(__xludf.DUMMYFUNCTION("""COMPUTED_VALUE"""),"ALARMAS &gt; DETECTORES EXTERIOR")</f>
        <v>ALARMAS &gt; DETECTORES EXTERIOR</v>
      </c>
      <c r="G442" s="5"/>
      <c r="H442" s="6">
        <f>IFERROR(__xludf.DUMMYFUNCTION("""COMPUTED_VALUE"""),77.0)</f>
        <v>77</v>
      </c>
      <c r="I442" s="7">
        <f>IFERROR(__xludf.DUMMYFUNCTION("""COMPUTED_VALUE"""),21.0)</f>
        <v>21</v>
      </c>
      <c r="J442" s="6">
        <f>IFERROR(__xludf.DUMMYFUNCTION("""COMPUTED_VALUE"""),92.4)</f>
        <v>92.4</v>
      </c>
      <c r="K442" s="6">
        <f>IFERROR(__xludf.DUMMYFUNCTION("""COMPUTED_VALUE"""),107.8)</f>
        <v>107.8</v>
      </c>
      <c r="L442" s="3"/>
      <c r="M442" s="3"/>
    </row>
    <row r="443" ht="48.0" customHeight="1">
      <c r="A443" s="3" t="str">
        <f>IFERROR(__xludf.DUMMYFUNCTION("""COMPUTED_VALUE"""),"DSPDC10AMVG3")</f>
        <v>DSPDC10AMVG3</v>
      </c>
      <c r="B443" s="4" t="str">
        <f>IFERROR(__xludf.DUMMYFUNCTION("""COMPUTED_VALUE"""),"DETECTOR CORTINA DE MOVIMIENTO ANTIMASKING")</f>
        <v>DETECTOR CORTINA DE MOVIMIENTO ANTIMASKING</v>
      </c>
      <c r="C443" s="4" t="str">
        <f>IFERROR(__xludf.DUMMYFUNCTION("""COMPUTED_VALUE"""),"Detector Cortina de movimiento Antimasking. IP65 apto exterior, montaje en pared 10 metros y montaje en techo 5 metros, ángulo de deteccion 5º, inmunidad mascotas 12K solo en montaje en pared")</f>
        <v>Detector Cortina de movimiento Antimasking. IP65 apto exterior, montaje en pared 10 metros y montaje en techo 5 metros, ángulo de deteccion 5º, inmunidad mascotas 12K solo en montaje en pared</v>
      </c>
      <c r="D443" s="4" t="str">
        <f>IFERROR(__xludf.DUMMYFUNCTION("""COMPUTED_VALUE"""),"HIKVISION")</f>
        <v>HIKVISION</v>
      </c>
      <c r="E443" s="4" t="str">
        <f>IFERROR(__xludf.DUMMYFUNCTION("""COMPUTED_VALUE"""),"DSPDC10AMVG3")</f>
        <v>DSPDC10AMVG3</v>
      </c>
      <c r="F443" s="4" t="str">
        <f>IFERROR(__xludf.DUMMYFUNCTION("""COMPUTED_VALUE"""),"ALARMAS &gt; DETECTORES EXTERIOR")</f>
        <v>ALARMAS &gt; DETECTORES EXTERIOR</v>
      </c>
      <c r="G443" s="5"/>
      <c r="H443" s="6">
        <f>IFERROR(__xludf.DUMMYFUNCTION("""COMPUTED_VALUE"""),41.8)</f>
        <v>41.8</v>
      </c>
      <c r="I443" s="7">
        <f>IFERROR(__xludf.DUMMYFUNCTION("""COMPUTED_VALUE"""),21.0)</f>
        <v>21</v>
      </c>
      <c r="J443" s="6">
        <f>IFERROR(__xludf.DUMMYFUNCTION("""COMPUTED_VALUE"""),50.16)</f>
        <v>50.16</v>
      </c>
      <c r="K443" s="6">
        <f>IFERROR(__xludf.DUMMYFUNCTION("""COMPUTED_VALUE"""),58.52)</f>
        <v>58.52</v>
      </c>
      <c r="L443" s="3"/>
      <c r="M443" s="3"/>
    </row>
    <row r="444" ht="48.0" customHeight="1">
      <c r="A444" s="3" t="str">
        <f>IFERROR(__xludf.DUMMYFUNCTION("""COMPUTED_VALUE"""),"DS-PDC10DM-VG3")</f>
        <v>DS-PDC10DM-VG3</v>
      </c>
      <c r="B444" s="4" t="str">
        <f>IFERROR(__xludf.DUMMYFUNCTION("""COMPUTED_VALUE"""),"DETECTOR CORTINA MAS MICROONDAS DE MOVIMIENTO ANTIMASKING IP65 APTO")</f>
        <v>DETECTOR CORTINA MAS MICROONDAS DE MOVIMIENTO ANTIMASKING IP65 APTO</v>
      </c>
      <c r="C444" s="4" t="str">
        <f>IFERROR(__xludf.DUMMYFUNCTION("""COMPUTED_VALUE"""),"Detector Cortina mas microondas de movimiento Antimasking IP65 apto exterior, montaje en pared 10 metros y montaje en techo 5 metros, ángulo de deteccion 5º, inmunidad mascotas 12K solo en montaje en pared")</f>
        <v>Detector Cortina mas microondas de movimiento Antimasking IP65 apto exterior, montaje en pared 10 metros y montaje en techo 5 metros, ángulo de deteccion 5º, inmunidad mascotas 12K solo en montaje en pared</v>
      </c>
      <c r="D444" s="4" t="str">
        <f>IFERROR(__xludf.DUMMYFUNCTION("""COMPUTED_VALUE"""),"HIKVISION")</f>
        <v>HIKVISION</v>
      </c>
      <c r="E444" s="4" t="str">
        <f>IFERROR(__xludf.DUMMYFUNCTION("""COMPUTED_VALUE"""),"DS-PDC10DM-VG3")</f>
        <v>DS-PDC10DM-VG3</v>
      </c>
      <c r="F444" s="4" t="str">
        <f>IFERROR(__xludf.DUMMYFUNCTION("""COMPUTED_VALUE"""),"ALARMAS &gt; DETECTORES EXTERIOR")</f>
        <v>ALARMAS &gt; DETECTORES EXTERIOR</v>
      </c>
      <c r="G444" s="5"/>
      <c r="H444" s="6">
        <f>IFERROR(__xludf.DUMMYFUNCTION("""COMPUTED_VALUE"""),44.0)</f>
        <v>44</v>
      </c>
      <c r="I444" s="7">
        <f>IFERROR(__xludf.DUMMYFUNCTION("""COMPUTED_VALUE"""),21.0)</f>
        <v>21</v>
      </c>
      <c r="J444" s="6">
        <f>IFERROR(__xludf.DUMMYFUNCTION("""COMPUTED_VALUE"""),52.8)</f>
        <v>52.8</v>
      </c>
      <c r="K444" s="6">
        <f>IFERROR(__xludf.DUMMYFUNCTION("""COMPUTED_VALUE"""),61.6)</f>
        <v>61.6</v>
      </c>
      <c r="L444" s="3"/>
      <c r="M444" s="3"/>
    </row>
    <row r="445" ht="48.0" customHeight="1">
      <c r="A445" s="3" t="str">
        <f>IFERROR(__xludf.DUMMYFUNCTION("""COMPUTED_VALUE"""),"DSPDTT15AMLM")</f>
        <v>DSPDTT15AMLM</v>
      </c>
      <c r="B445" s="4" t="str">
        <f>IFERROR(__xludf.DUMMYFUNCTION("""COMPUTED_VALUE"""),"DETECTOR TRIPLE TECNOLOGÍA ANTIMASKING PARA USO EXTERIOR")</f>
        <v>DETECTOR TRIPLE TECNOLOGÍA ANTIMASKING PARA USO EXTERIOR</v>
      </c>
      <c r="C445" s="4" t="str">
        <f>IFERROR(__xludf.DUMMYFUNCTION("""COMPUTED_VALUE"""),"Detector triple tecnología Antimasking para uso exterior. Cobertura 90 grados con cabezal movil. Resistencia de Final de linea seleccionable. Inmunidad animal de hasta 40Kg. No incluye soporte. Montaje 1 a 1.2 m aproximados")</f>
        <v>Detector triple tecnología Antimasking para uso exterior. Cobertura 90 grados con cabezal movil. Resistencia de Final de linea seleccionable. Inmunidad animal de hasta 40Kg. No incluye soporte. Montaje 1 a 1.2 m aproximados</v>
      </c>
      <c r="D445" s="4" t="str">
        <f>IFERROR(__xludf.DUMMYFUNCTION("""COMPUTED_VALUE"""),"HIKVISION")</f>
        <v>HIKVISION</v>
      </c>
      <c r="E445" s="4" t="str">
        <f>IFERROR(__xludf.DUMMYFUNCTION("""COMPUTED_VALUE"""),"DSPDTT15AMLM")</f>
        <v>DSPDTT15AMLM</v>
      </c>
      <c r="F445" s="4" t="str">
        <f>IFERROR(__xludf.DUMMYFUNCTION("""COMPUTED_VALUE"""),"ALARMAS &gt; DETECTORES EXTERIOR")</f>
        <v>ALARMAS &gt; DETECTORES EXTERIOR</v>
      </c>
      <c r="G445" s="5"/>
      <c r="H445" s="6">
        <f>IFERROR(__xludf.DUMMYFUNCTION("""COMPUTED_VALUE"""),139.7)</f>
        <v>139.7</v>
      </c>
      <c r="I445" s="7">
        <f>IFERROR(__xludf.DUMMYFUNCTION("""COMPUTED_VALUE"""),21.0)</f>
        <v>21</v>
      </c>
      <c r="J445" s="6">
        <f>IFERROR(__xludf.DUMMYFUNCTION("""COMPUTED_VALUE"""),167.64)</f>
        <v>167.64</v>
      </c>
      <c r="K445" s="6">
        <f>IFERROR(__xludf.DUMMYFUNCTION("""COMPUTED_VALUE"""),195.58)</f>
        <v>195.58</v>
      </c>
      <c r="L445" s="3"/>
      <c r="M445" s="3"/>
    </row>
    <row r="446" ht="48.0" customHeight="1">
      <c r="A446" s="3" t="str">
        <f>IFERROR(__xludf.DUMMYFUNCTION("""COMPUTED_VALUE"""),"XDL12TTAM")</f>
        <v>XDL12TTAM</v>
      </c>
      <c r="B446" s="4" t="str">
        <f>IFERROR(__xludf.DUMMYFUNCTION("""COMPUTED_VALUE"""),"DETECTOR TRIPLE TECNOLOGÍA PARA USO EXTERIOR")</f>
        <v>DETECTOR TRIPLE TECNOLOGÍA PARA USO EXTERIOR</v>
      </c>
      <c r="C446" s="4" t="str">
        <f>IFERROR(__xludf.DUMMYFUNCTION("""COMPUTED_VALUE"""),"Detector triple tecnología para uso exterior. Antimasking Grado 3 y Anti-blocking Grado 4. Cobertura 90 grados x 12 metros. Inmunidad animal de hasta 24Kg. No incluye soporte. Montaje 1 a 1.2 m aproximados")</f>
        <v>Detector triple tecnología para uso exterior. Antimasking Grado 3 y Anti-blocking Grado 4. Cobertura 90 grados x 12 metros. Inmunidad animal de hasta 24Kg. No incluye soporte. Montaje 1 a 1.2 m aproximados</v>
      </c>
      <c r="D446" s="4" t="str">
        <f>IFERROR(__xludf.DUMMYFUNCTION("""COMPUTED_VALUE"""),"PYRONIX")</f>
        <v>PYRONIX</v>
      </c>
      <c r="E446" s="4" t="str">
        <f>IFERROR(__xludf.DUMMYFUNCTION("""COMPUTED_VALUE"""),"XDL12TTAM")</f>
        <v>XDL12TTAM</v>
      </c>
      <c r="F446" s="4" t="str">
        <f>IFERROR(__xludf.DUMMYFUNCTION("""COMPUTED_VALUE"""),"ALARMAS &gt; DETECTORES EXTERIOR")</f>
        <v>ALARMAS &gt; DETECTORES EXTERIOR</v>
      </c>
      <c r="G446" s="5"/>
      <c r="H446" s="6">
        <f>IFERROR(__xludf.DUMMYFUNCTION("""COMPUTED_VALUE"""),71.5)</f>
        <v>71.5</v>
      </c>
      <c r="I446" s="7">
        <f>IFERROR(__xludf.DUMMYFUNCTION("""COMPUTED_VALUE"""),21.0)</f>
        <v>21</v>
      </c>
      <c r="J446" s="6">
        <f>IFERROR(__xludf.DUMMYFUNCTION("""COMPUTED_VALUE"""),85.8)</f>
        <v>85.8</v>
      </c>
      <c r="K446" s="6">
        <f>IFERROR(__xludf.DUMMYFUNCTION("""COMPUTED_VALUE"""),100.1)</f>
        <v>100.1</v>
      </c>
      <c r="L446" s="3"/>
      <c r="M446" s="3"/>
    </row>
    <row r="447" ht="48.0" customHeight="1">
      <c r="A447" s="3" t="str">
        <f>IFERROR(__xludf.DUMMYFUNCTION("""COMPUTED_VALUE"""),"DS-PDB-EX-WALL")</f>
        <v>DS-PDB-EX-WALL</v>
      </c>
      <c r="B447" s="4" t="str">
        <f>IFERROR(__xludf.DUMMYFUNCTION("""COMPUTED_VALUE"""),"SOPORTE PARA DETECTOR EXTERIOR")</f>
        <v>SOPORTE PARA DETECTOR EXTERIOR</v>
      </c>
      <c r="C447" s="4" t="str">
        <f>IFERROR(__xludf.DUMMYFUNCTION("""COMPUTED_VALUE"""),"Soporte para detector exterior. XDH10TTAM / XDL12TTAM / DS-PD2-T12AME-EL / DS-PD2-T10AME-EH")</f>
        <v>Soporte para detector exterior. XDH10TTAM / XDL12TTAM / DS-PD2-T12AME-EL / DS-PD2-T10AME-EH</v>
      </c>
      <c r="D447" s="4" t="str">
        <f>IFERROR(__xludf.DUMMYFUNCTION("""COMPUTED_VALUE"""),"HIKVISION")</f>
        <v>HIKVISION</v>
      </c>
      <c r="E447" s="4" t="str">
        <f>IFERROR(__xludf.DUMMYFUNCTION("""COMPUTED_VALUE"""),"DS-PDB-EX-WALL")</f>
        <v>DS-PDB-EX-WALL</v>
      </c>
      <c r="F447" s="4" t="str">
        <f>IFERROR(__xludf.DUMMYFUNCTION("""COMPUTED_VALUE"""),"ALARMAS &gt; DETECTORES EXTERIOR")</f>
        <v>ALARMAS &gt; DETECTORES EXTERIOR</v>
      </c>
      <c r="G447" s="5"/>
      <c r="H447" s="6">
        <f>IFERROR(__xludf.DUMMYFUNCTION("""COMPUTED_VALUE"""),19.25)</f>
        <v>19.25</v>
      </c>
      <c r="I447" s="7">
        <f>IFERROR(__xludf.DUMMYFUNCTION("""COMPUTED_VALUE"""),21.0)</f>
        <v>21</v>
      </c>
      <c r="J447" s="6">
        <f>IFERROR(__xludf.DUMMYFUNCTION("""COMPUTED_VALUE"""),23.1)</f>
        <v>23.1</v>
      </c>
      <c r="K447" s="6">
        <f>IFERROR(__xludf.DUMMYFUNCTION("""COMPUTED_VALUE"""),26.95)</f>
        <v>26.95</v>
      </c>
      <c r="L447" s="3"/>
      <c r="M447" s="3"/>
    </row>
    <row r="448" ht="48.0" customHeight="1">
      <c r="A448" s="3" t="str">
        <f>IFERROR(__xludf.DUMMYFUNCTION("""COMPUTED_VALUE"""),"DS-PDB-EX-FIXED")</f>
        <v>DS-PDB-EX-FIXED</v>
      </c>
      <c r="B448" s="4" t="str">
        <f>IFERROR(__xludf.DUMMYFUNCTION("""COMPUTED_VALUE"""),"SOPORTE PARA FIJAR DOS DETECTORES EN FORMA ESPALDA/ESPALDA PARA")</f>
        <v>SOPORTE PARA FIJAR DOS DETECTORES EN FORMA ESPALDA/ESPALDA PARA</v>
      </c>
      <c r="C448" s="4" t="str">
        <f>IFERROR(__xludf.DUMMYFUNCTION("""COMPUTED_VALUE"""),"Soporte para fijar dos detectores en forma espalda/espalda para serie XDH10TTAM / XDL12TTAM / DS-PD2-T12AME-EL / DS-PD2-T10AME-EH")</f>
        <v>Soporte para fijar dos detectores en forma espalda/espalda para serie XDH10TTAM / XDL12TTAM / DS-PD2-T12AME-EL / DS-PD2-T10AME-EH</v>
      </c>
      <c r="D448" s="4" t="str">
        <f>IFERROR(__xludf.DUMMYFUNCTION("""COMPUTED_VALUE"""),"HIKVISION")</f>
        <v>HIKVISION</v>
      </c>
      <c r="E448" s="4" t="str">
        <f>IFERROR(__xludf.DUMMYFUNCTION("""COMPUTED_VALUE"""),"DS-PDB-EX-FIXED")</f>
        <v>DS-PDB-EX-FIXED</v>
      </c>
      <c r="F448" s="4" t="str">
        <f>IFERROR(__xludf.DUMMYFUNCTION("""COMPUTED_VALUE"""),"ALARMAS &gt; DETECTORES EXTERIOR")</f>
        <v>ALARMAS &gt; DETECTORES EXTERIOR</v>
      </c>
      <c r="G448" s="5"/>
      <c r="H448" s="6">
        <f>IFERROR(__xludf.DUMMYFUNCTION("""COMPUTED_VALUE"""),30.14)</f>
        <v>30.14</v>
      </c>
      <c r="I448" s="7">
        <f>IFERROR(__xludf.DUMMYFUNCTION("""COMPUTED_VALUE"""),21.0)</f>
        <v>21</v>
      </c>
      <c r="J448" s="6">
        <f>IFERROR(__xludf.DUMMYFUNCTION("""COMPUTED_VALUE"""),36.17)</f>
        <v>36.17</v>
      </c>
      <c r="K448" s="6">
        <f>IFERROR(__xludf.DUMMYFUNCTION("""COMPUTED_VALUE"""),42.2)</f>
        <v>42.2</v>
      </c>
      <c r="L448" s="3"/>
      <c r="M448" s="3"/>
    </row>
    <row r="449" ht="48.0" customHeight="1">
      <c r="A449" s="3" t="str">
        <f>IFERROR(__xludf.DUMMYFUNCTION("""COMPUTED_VALUE"""),"DSPR160")</f>
        <v>DSPR160</v>
      </c>
      <c r="B449" s="4" t="str">
        <f>IFERROR(__xludf.DUMMYFUNCTION("""COMPUTED_VALUE"""),"RADAR DE SEGURIDAD, RANGO DE DETECCIÓN: 60M, 100 °,")</f>
        <v>RADAR DE SEGURIDAD, RANGO DE DETECCIÓN: 60M, 100 °,</v>
      </c>
      <c r="C449" s="4" t="str">
        <f>IFERROR(__xludf.DUMMYFUNCTION("""COMPUTED_VALUE"""),"RADAR DE SEGURIDAD, Rango de detección: 60m, 100 °, Inmunidad al animal doméstico: 20 KG, detección de 32 blancos, conexión de 4 domos de velocidad, 4 relés de salida, Anti-enmascaramiento / Anti-movimiento / Anti-bloqueo / Detección de desconexión, 8 zon"&amp;"as definidas por el usuario, hasta 32 destinos, vinculación de hasta 4 cámaras PTZ, 3 relés de bajo voltaje, 1 relé de alto voltaje, IP67, Fuente de alimentación: PoE / 12V corriente continua")</f>
        <v>RADAR DE SEGURIDAD, Rango de detección: 60m, 100 °, Inmunidad al animal doméstico: 20 KG, detección de 32 blancos, conexión de 4 domos de velocidad, 4 relés de salida, Anti-enmascaramiento / Anti-movimiento / Anti-bloqueo / Detección de desconexión, 8 zonas definidas por el usuario, hasta 32 destinos, vinculación de hasta 4 cámaras PTZ, 3 relés de bajo voltaje, 1 relé de alto voltaje, IP67, Fuente de alimentación: PoE / 12V corriente continua</v>
      </c>
      <c r="D449" s="4" t="str">
        <f>IFERROR(__xludf.DUMMYFUNCTION("""COMPUTED_VALUE"""),"HIKVISION")</f>
        <v>HIKVISION</v>
      </c>
      <c r="E449" s="4" t="str">
        <f>IFERROR(__xludf.DUMMYFUNCTION("""COMPUTED_VALUE"""),"DSPR160")</f>
        <v>DSPR160</v>
      </c>
      <c r="F449" s="4" t="str">
        <f>IFERROR(__xludf.DUMMYFUNCTION("""COMPUTED_VALUE"""),"ALARMAS &gt; RADARES PARA EXTERIOR")</f>
        <v>ALARMAS &gt; RADARES PARA EXTERIOR</v>
      </c>
      <c r="G449" s="5"/>
      <c r="H449" s="6">
        <f>IFERROR(__xludf.DUMMYFUNCTION("""COMPUTED_VALUE"""),2329.8)</f>
        <v>2329.8</v>
      </c>
      <c r="I449" s="7">
        <f>IFERROR(__xludf.DUMMYFUNCTION("""COMPUTED_VALUE"""),21.0)</f>
        <v>21</v>
      </c>
      <c r="J449" s="6">
        <f>IFERROR(__xludf.DUMMYFUNCTION("""COMPUTED_VALUE"""),2795.76)</f>
        <v>2795.76</v>
      </c>
      <c r="K449" s="6">
        <f>IFERROR(__xludf.DUMMYFUNCTION("""COMPUTED_VALUE"""),3261.72)</f>
        <v>3261.72</v>
      </c>
      <c r="L449" s="3"/>
      <c r="M449" s="3"/>
    </row>
    <row r="450" ht="48.0" customHeight="1">
      <c r="A450" s="3" t="str">
        <f>IFERROR(__xludf.DUMMYFUNCTION("""COMPUTED_VALUE"""),"DSPRI120")</f>
        <v>DSPRI120</v>
      </c>
      <c r="B450" s="4" t="str">
        <f>IFERROR(__xludf.DUMMYFUNCTION("""COMPUTED_VALUE"""),"RADAR DE SEGURIDAD 120 METROS 120 GRADOS")</f>
        <v>RADAR DE SEGURIDAD 120 METROS 120 GRADOS</v>
      </c>
      <c r="C450" s="4" t="str">
        <f>IFERROR(__xludf.DUMMYFUNCTION("""COMPUTED_VALUE"""),"Radar de seguridad 120 metros 120 grados. Funciones anti-enmascaramiento, ati-movimiento, anti-bloqueo IP67, IK09 * Selectable frequency band * Links up to 4 separate-mounted speed domes for auto target-tracking * Multiple radars can link to 1 speed dome "&amp;"* Up to 4 targets can be tracked by 4 speed domes respectively * Function of radar-speed dome linkage: mandatory switch of speed dome tracking target ,speed dome parking action, and field of view display for each speed dome * Capable to detect ultra-slow "&amp;"movements, squatting movements or creeping * Displays the distance, direction, and position of the detected object on the client software Line crossing (Max. 4 trigger lines) and Zone alarm(Max. 16 Zones)")</f>
        <v>Radar de seguridad 120 metros 120 grados. Funciones anti-enmascaramiento, ati-movimiento, anti-bloqueo IP67, IK09 * Selectable frequency band * Links up to 4 separate-mounted speed domes for auto target-tracking * Multiple radars can link to 1 speed dome * Up to 4 targets can be tracked by 4 speed domes respectively * Function of radar-speed dome linkage: mandatory switch of speed dome tracking target ,speed dome parking action, and field of view display for each speed dome * Capable to detect ultra-slow movements, squatting movements or creeping * Displays the distance, direction, and position of the detected object on the client software Line crossing (Max. 4 trigger lines) and Zone alarm(Max. 16 Zones)</v>
      </c>
      <c r="D450" s="4" t="str">
        <f>IFERROR(__xludf.DUMMYFUNCTION("""COMPUTED_VALUE"""),"HIKVISION")</f>
        <v>HIKVISION</v>
      </c>
      <c r="E450" s="4" t="str">
        <f>IFERROR(__xludf.DUMMYFUNCTION("""COMPUTED_VALUE"""),"DSPRI120")</f>
        <v>DSPRI120</v>
      </c>
      <c r="F450" s="4" t="str">
        <f>IFERROR(__xludf.DUMMYFUNCTION("""COMPUTED_VALUE"""),"CONECTIVIDAD &gt; SWITCH")</f>
        <v>CONECTIVIDAD &gt; SWITCH</v>
      </c>
      <c r="G450" s="5"/>
      <c r="H450" s="6">
        <f>IFERROR(__xludf.DUMMYFUNCTION("""COMPUTED_VALUE"""),3328.6)</f>
        <v>3328.6</v>
      </c>
      <c r="I450" s="7">
        <f>IFERROR(__xludf.DUMMYFUNCTION("""COMPUTED_VALUE"""),21.0)</f>
        <v>21</v>
      </c>
      <c r="J450" s="6">
        <f>IFERROR(__xludf.DUMMYFUNCTION("""COMPUTED_VALUE"""),3994.32)</f>
        <v>3994.32</v>
      </c>
      <c r="K450" s="6">
        <f>IFERROR(__xludf.DUMMYFUNCTION("""COMPUTED_VALUE"""),4660.04)</f>
        <v>4660.04</v>
      </c>
      <c r="L450" s="3"/>
      <c r="M450" s="3"/>
    </row>
    <row r="451" ht="48.0" customHeight="1">
      <c r="A451" s="3" t="str">
        <f>IFERROR(__xludf.DUMMYFUNCTION("""COMPUTED_VALUE"""),"DSPRB1110")</f>
        <v>DSPRB1110</v>
      </c>
      <c r="B451" s="4" t="str">
        <f>IFERROR(__xludf.DUMMYFUNCTION("""COMPUTED_VALUE"""),"SOPORTE PARA RADAR VERTICAL")</f>
        <v>SOPORTE PARA RADAR VERTICAL</v>
      </c>
      <c r="C451" s="4" t="str">
        <f>IFERROR(__xludf.DUMMYFUNCTION("""COMPUTED_VALUE"""),"Soporte para Radar vertical")</f>
        <v>Soporte para Radar vertical</v>
      </c>
      <c r="D451" s="4" t="str">
        <f>IFERROR(__xludf.DUMMYFUNCTION("""COMPUTED_VALUE"""),"HIKVISION")</f>
        <v>HIKVISION</v>
      </c>
      <c r="E451" s="4" t="str">
        <f>IFERROR(__xludf.DUMMYFUNCTION("""COMPUTED_VALUE"""),"DSPRB1110")</f>
        <v>DSPRB1110</v>
      </c>
      <c r="F451" s="4" t="str">
        <f>IFERROR(__xludf.DUMMYFUNCTION("""COMPUTED_VALUE"""),"ALARMAS &gt; RADARES PARA EXTERIOR")</f>
        <v>ALARMAS &gt; RADARES PARA EXTERIOR</v>
      </c>
      <c r="G451" s="5"/>
      <c r="H451" s="6">
        <f>IFERROR(__xludf.DUMMYFUNCTION("""COMPUTED_VALUE"""),42.9)</f>
        <v>42.9</v>
      </c>
      <c r="I451" s="7">
        <f>IFERROR(__xludf.DUMMYFUNCTION("""COMPUTED_VALUE"""),21.0)</f>
        <v>21</v>
      </c>
      <c r="J451" s="6">
        <f>IFERROR(__xludf.DUMMYFUNCTION("""COMPUTED_VALUE"""),51.48)</f>
        <v>51.48</v>
      </c>
      <c r="K451" s="6">
        <f>IFERROR(__xludf.DUMMYFUNCTION("""COMPUTED_VALUE"""),60.06)</f>
        <v>60.06</v>
      </c>
      <c r="L451" s="3"/>
      <c r="M451" s="3"/>
    </row>
    <row r="452" ht="48.0" customHeight="1">
      <c r="A452" s="3" t="str">
        <f>IFERROR(__xludf.DUMMYFUNCTION("""COMPUTED_VALUE"""),"DSPRB1200")</f>
        <v>DSPRB1200</v>
      </c>
      <c r="B452" s="4" t="str">
        <f>IFERROR(__xludf.DUMMYFUNCTION("""COMPUTED_VALUE"""),"SOPORTE PARA COLUMNA REQUIERE DS-PRB-1110 RADAR HORIZONTAL")</f>
        <v>SOPORTE PARA COLUMNA REQUIERE DS-PRB-1110 RADAR HORIZONTAL</v>
      </c>
      <c r="C452" s="4" t="str">
        <f>IFERROR(__xludf.DUMMYFUNCTION("""COMPUTED_VALUE"""),"Soporte para columna requiere DS-PRB-1110 Radar horizontal")</f>
        <v>Soporte para columna requiere DS-PRB-1110 Radar horizontal</v>
      </c>
      <c r="D452" s="4" t="str">
        <f>IFERROR(__xludf.DUMMYFUNCTION("""COMPUTED_VALUE"""),"HIKVISION")</f>
        <v>HIKVISION</v>
      </c>
      <c r="E452" s="4" t="str">
        <f>IFERROR(__xludf.DUMMYFUNCTION("""COMPUTED_VALUE"""),"DSPRB1200")</f>
        <v>DSPRB1200</v>
      </c>
      <c r="F452" s="4" t="str">
        <f>IFERROR(__xludf.DUMMYFUNCTION("""COMPUTED_VALUE"""),"ALARMAS &gt; RADARES PARA EXTERIOR")</f>
        <v>ALARMAS &gt; RADARES PARA EXTERIOR</v>
      </c>
      <c r="G452" s="5"/>
      <c r="H452" s="6">
        <f>IFERROR(__xludf.DUMMYFUNCTION("""COMPUTED_VALUE"""),72.6)</f>
        <v>72.6</v>
      </c>
      <c r="I452" s="7">
        <f>IFERROR(__xludf.DUMMYFUNCTION("""COMPUTED_VALUE"""),21.0)</f>
        <v>21</v>
      </c>
      <c r="J452" s="6">
        <f>IFERROR(__xludf.DUMMYFUNCTION("""COMPUTED_VALUE"""),87.12)</f>
        <v>87.12</v>
      </c>
      <c r="K452" s="6">
        <f>IFERROR(__xludf.DUMMYFUNCTION("""COMPUTED_VALUE"""),101.64)</f>
        <v>101.64</v>
      </c>
      <c r="L452" s="3"/>
      <c r="M452" s="3"/>
    </row>
    <row r="453" ht="48.0" customHeight="1">
      <c r="A453" s="3" t="str">
        <f>IFERROR(__xludf.DUMMYFUNCTION("""COMPUTED_VALUE"""),"DSPRB1310")</f>
        <v>DSPRB1310</v>
      </c>
      <c r="B453" s="4" t="str">
        <f>IFERROR(__xludf.DUMMYFUNCTION("""COMPUTED_VALUE"""),"SOPORTE PARA COLUMNA HORIZONTAL")</f>
        <v>SOPORTE PARA COLUMNA HORIZONTAL</v>
      </c>
      <c r="C453" s="4" t="str">
        <f>IFERROR(__xludf.DUMMYFUNCTION("""COMPUTED_VALUE"""),"Soporte para columna horizontal")</f>
        <v>Soporte para columna horizontal</v>
      </c>
      <c r="D453" s="4" t="str">
        <f>IFERROR(__xludf.DUMMYFUNCTION("""COMPUTED_VALUE"""),"HIKVISION")</f>
        <v>HIKVISION</v>
      </c>
      <c r="E453" s="4" t="str">
        <f>IFERROR(__xludf.DUMMYFUNCTION("""COMPUTED_VALUE"""),"DSPRB1310")</f>
        <v>DSPRB1310</v>
      </c>
      <c r="F453" s="4" t="str">
        <f>IFERROR(__xludf.DUMMYFUNCTION("""COMPUTED_VALUE"""),"ALARMAS &gt; RADARES PARA EXTERIOR")</f>
        <v>ALARMAS &gt; RADARES PARA EXTERIOR</v>
      </c>
      <c r="G453" s="5"/>
      <c r="H453" s="6">
        <f>IFERROR(__xludf.DUMMYFUNCTION("""COMPUTED_VALUE"""),102.3)</f>
        <v>102.3</v>
      </c>
      <c r="I453" s="7">
        <f>IFERROR(__xludf.DUMMYFUNCTION("""COMPUTED_VALUE"""),21.0)</f>
        <v>21</v>
      </c>
      <c r="J453" s="6">
        <f>IFERROR(__xludf.DUMMYFUNCTION("""COMPUTED_VALUE"""),122.76)</f>
        <v>122.76</v>
      </c>
      <c r="K453" s="6">
        <f>IFERROR(__xludf.DUMMYFUNCTION("""COMPUTED_VALUE"""),143.22)</f>
        <v>143.22</v>
      </c>
      <c r="L453" s="3"/>
      <c r="M453" s="3"/>
    </row>
    <row r="454" ht="48.0" customHeight="1">
      <c r="A454" s="3" t="str">
        <f>IFERROR(__xludf.DUMMYFUNCTION("""COMPUTED_VALUE"""),"ABO20")</f>
        <v>ABO20</v>
      </c>
      <c r="B454" s="4" t="str">
        <f>IFERROR(__xludf.DUMMYFUNCTION("""COMPUTED_VALUE"""),"BARRERA SIMPLE HAZ")</f>
        <v>BARRERA SIMPLE HAZ</v>
      </c>
      <c r="C454" s="4" t="str">
        <f>IFERROR(__xludf.DUMMYFUNCTION("""COMPUTED_VALUE"""),"Barrera Simple haz. Rango 15 metros")</f>
        <v>Barrera Simple haz. Rango 15 metros</v>
      </c>
      <c r="D454" s="4" t="str">
        <f>IFERROR(__xludf.DUMMYFUNCTION("""COMPUTED_VALUE"""),"GENERICO")</f>
        <v>GENERICO</v>
      </c>
      <c r="E454" s="4" t="str">
        <f>IFERROR(__xludf.DUMMYFUNCTION("""COMPUTED_VALUE"""),"ABO20")</f>
        <v>ABO20</v>
      </c>
      <c r="F454" s="4" t="str">
        <f>IFERROR(__xludf.DUMMYFUNCTION("""COMPUTED_VALUE"""),"ALARMAS &gt; BARRERAS INFRARROJAS EXTERIOR")</f>
        <v>ALARMAS &gt; BARRERAS INFRARROJAS EXTERIOR</v>
      </c>
      <c r="G454" s="5"/>
      <c r="H454" s="6">
        <f>IFERROR(__xludf.DUMMYFUNCTION("""COMPUTED_VALUE"""),14.19)</f>
        <v>14.19</v>
      </c>
      <c r="I454" s="7">
        <f>IFERROR(__xludf.DUMMYFUNCTION("""COMPUTED_VALUE"""),21.0)</f>
        <v>21</v>
      </c>
      <c r="J454" s="6">
        <f>IFERROR(__xludf.DUMMYFUNCTION("""COMPUTED_VALUE"""),17.03)</f>
        <v>17.03</v>
      </c>
      <c r="K454" s="6">
        <f>IFERROR(__xludf.DUMMYFUNCTION("""COMPUTED_VALUE"""),19.87)</f>
        <v>19.87</v>
      </c>
      <c r="L454" s="3"/>
      <c r="M454" s="3"/>
    </row>
    <row r="455" ht="48.0" customHeight="1">
      <c r="A455" s="3" t="str">
        <f>IFERROR(__xludf.DUMMYFUNCTION("""COMPUTED_VALUE"""),"ABO5")</f>
        <v>ABO5</v>
      </c>
      <c r="B455" s="4" t="str">
        <f>IFERROR(__xludf.DUMMYFUNCTION("""COMPUTED_VALUE"""),"BARRERA REFLECTIVA 5 METROS")</f>
        <v>BARRERA REFLECTIVA 5 METROS</v>
      </c>
      <c r="C455" s="4" t="str">
        <f>IFERROR(__xludf.DUMMYFUNCTION("""COMPUTED_VALUE"""),"Barrera reflectiva 5 metros")</f>
        <v>Barrera reflectiva 5 metros</v>
      </c>
      <c r="D455" s="4" t="str">
        <f>IFERROR(__xludf.DUMMYFUNCTION("""COMPUTED_VALUE"""),"GENERICO")</f>
        <v>GENERICO</v>
      </c>
      <c r="E455" s="4" t="str">
        <f>IFERROR(__xludf.DUMMYFUNCTION("""COMPUTED_VALUE"""),"ABO5")</f>
        <v>ABO5</v>
      </c>
      <c r="F455" s="4" t="str">
        <f>IFERROR(__xludf.DUMMYFUNCTION("""COMPUTED_VALUE"""),"ALARMAS &gt; BARRERAS INFRARROJAS EXTERIOR")</f>
        <v>ALARMAS &gt; BARRERAS INFRARROJAS EXTERIOR</v>
      </c>
      <c r="G455" s="5"/>
      <c r="H455" s="6">
        <f>IFERROR(__xludf.DUMMYFUNCTION("""COMPUTED_VALUE"""),56.9)</f>
        <v>56.9</v>
      </c>
      <c r="I455" s="7">
        <f>IFERROR(__xludf.DUMMYFUNCTION("""COMPUTED_VALUE"""),21.0)</f>
        <v>21</v>
      </c>
      <c r="J455" s="6">
        <f>IFERROR(__xludf.DUMMYFUNCTION("""COMPUTED_VALUE"""),68.28)</f>
        <v>68.28</v>
      </c>
      <c r="K455" s="6">
        <f>IFERROR(__xludf.DUMMYFUNCTION("""COMPUTED_VALUE"""),79.66)</f>
        <v>79.66</v>
      </c>
      <c r="L455" s="3"/>
      <c r="M455" s="3"/>
    </row>
    <row r="456" ht="48.0" customHeight="1">
      <c r="A456" s="3" t="str">
        <f>IFERROR(__xludf.DUMMYFUNCTION("""COMPUTED_VALUE"""),"DSPIT250")</f>
        <v>DSPIT250</v>
      </c>
      <c r="B456" s="4" t="str">
        <f>IFERROR(__xludf.DUMMYFUNCTION("""COMPUTED_VALUE"""),"BARRERA TRIPLE HAZ 250 METROS HIGH POWER DUAL BEAM")</f>
        <v>BARRERA TRIPLE HAZ 250 METROS HIGH POWER DUAL BEAM</v>
      </c>
      <c r="C456" s="4" t="str">
        <f>IFERROR(__xludf.DUMMYFUNCTION("""COMPUTED_VALUE"""),"Barrera triple haz 250 metros High power dual beam Clear Viewfinder Visibility Fine Angle Adjustment for Alignment Rain, Dust &amp; Insect Protection Frost &amp; Dew Protection High Grade Aspherical Lens")</f>
        <v>Barrera triple haz 250 metros High power dual beam Clear Viewfinder Visibility Fine Angle Adjustment for Alignment Rain, Dust &amp; Insect Protection Frost &amp; Dew Protection High Grade Aspherical Lens</v>
      </c>
      <c r="D456" s="4" t="str">
        <f>IFERROR(__xludf.DUMMYFUNCTION("""COMPUTED_VALUE"""),"HIKVISION")</f>
        <v>HIKVISION</v>
      </c>
      <c r="E456" s="4" t="str">
        <f>IFERROR(__xludf.DUMMYFUNCTION("""COMPUTED_VALUE"""),"DSPIT250")</f>
        <v>DSPIT250</v>
      </c>
      <c r="F456" s="4" t="str">
        <f>IFERROR(__xludf.DUMMYFUNCTION("""COMPUTED_VALUE"""),"ALARMAS &gt; BARRERAS INFRARROJAS EXTERIOR")</f>
        <v>ALARMAS &gt; BARRERAS INFRARROJAS EXTERIOR</v>
      </c>
      <c r="G456" s="5"/>
      <c r="H456" s="6">
        <f>IFERROR(__xludf.DUMMYFUNCTION("""COMPUTED_VALUE"""),192.5)</f>
        <v>192.5</v>
      </c>
      <c r="I456" s="7">
        <f>IFERROR(__xludf.DUMMYFUNCTION("""COMPUTED_VALUE"""),10.5)</f>
        <v>10.5</v>
      </c>
      <c r="J456" s="6">
        <f>IFERROR(__xludf.DUMMYFUNCTION("""COMPUTED_VALUE"""),231.0)</f>
        <v>231</v>
      </c>
      <c r="K456" s="6">
        <f>IFERROR(__xludf.DUMMYFUNCTION("""COMPUTED_VALUE"""),269.5)</f>
        <v>269.5</v>
      </c>
      <c r="L456" s="3"/>
      <c r="M456" s="3"/>
    </row>
    <row r="457" ht="48.0" customHeight="1">
      <c r="A457" s="3" t="str">
        <f>IFERROR(__xludf.DUMMYFUNCTION("""COMPUTED_VALUE"""),"DSPIT150FM")</f>
        <v>DSPIT150FM</v>
      </c>
      <c r="B457" s="4" t="str">
        <f>IFERROR(__xludf.DUMMYFUNCTION("""COMPUTED_VALUE"""),"BARRERA TRIPLE HAZ 150 METROS SELECTABLE FREQUENCY PHOTOELECTRIC DETEC")</f>
        <v>BARRERA TRIPLE HAZ 150 METROS SELECTABLE FREQUENCY PHOTOELECTRIC DETEC</v>
      </c>
      <c r="C457" s="4" t="str">
        <f>IFERROR(__xludf.DUMMYFUNCTION("""COMPUTED_VALUE"""),"Barrera Triple haz 150 metros Selectable Frequency Photoelectric Detector Frequency Modulation: Ch1-Ch4 Detection Range:150 High power quad beam Clear Viewfinder Visibility Fine Angle Adjustment for Alignment Rain, Dust &amp; Insect Protection Frost &amp; Dew Pro"&amp;"tection High Grade Aspherical Lens")</f>
        <v>Barrera Triple haz 150 metros Selectable Frequency Photoelectric Detector Frequency Modulation: Ch1-Ch4 Detection Range:150 High power quad beam Clear Viewfinder Visibility Fine Angle Adjustment for Alignment Rain, Dust &amp; Insect Protection Frost &amp; Dew Protection High Grade Aspherical Lens</v>
      </c>
      <c r="D457" s="4" t="str">
        <f>IFERROR(__xludf.DUMMYFUNCTION("""COMPUTED_VALUE"""),"HIKVISION")</f>
        <v>HIKVISION</v>
      </c>
      <c r="E457" s="4" t="str">
        <f>IFERROR(__xludf.DUMMYFUNCTION("""COMPUTED_VALUE"""),"DSPIT150FM")</f>
        <v>DSPIT150FM</v>
      </c>
      <c r="F457" s="4" t="str">
        <f>IFERROR(__xludf.DUMMYFUNCTION("""COMPUTED_VALUE"""),"ALARMAS &gt; BARRERAS INFRARROJAS EXTERIOR")</f>
        <v>ALARMAS &gt; BARRERAS INFRARROJAS EXTERIOR</v>
      </c>
      <c r="G457" s="5"/>
      <c r="H457" s="6">
        <f>IFERROR(__xludf.DUMMYFUNCTION("""COMPUTED_VALUE"""),286.0)</f>
        <v>286</v>
      </c>
      <c r="I457" s="7">
        <f>IFERROR(__xludf.DUMMYFUNCTION("""COMPUTED_VALUE"""),10.5)</f>
        <v>10.5</v>
      </c>
      <c r="J457" s="6">
        <f>IFERROR(__xludf.DUMMYFUNCTION("""COMPUTED_VALUE"""),343.2)</f>
        <v>343.2</v>
      </c>
      <c r="K457" s="6">
        <f>IFERROR(__xludf.DUMMYFUNCTION("""COMPUTED_VALUE"""),400.4)</f>
        <v>400.4</v>
      </c>
      <c r="L457" s="3"/>
      <c r="M457" s="3"/>
    </row>
    <row r="458" ht="48.0" customHeight="1">
      <c r="A458" s="3" t="str">
        <f>IFERROR(__xludf.DUMMYFUNCTION("""COMPUTED_VALUE"""),"DSPIQ250FM")</f>
        <v>DSPIQ250FM</v>
      </c>
      <c r="B458" s="4" t="str">
        <f>IFERROR(__xludf.DUMMYFUNCTION("""COMPUTED_VALUE"""),"BARRERA CUADRUPLE HAZ 250 METROS SELECTABLE FREQUENCY PHOTOELECTRIC DE")</f>
        <v>BARRERA CUADRUPLE HAZ 250 METROS SELECTABLE FREQUENCY PHOTOELECTRIC DE</v>
      </c>
      <c r="C458" s="4" t="str">
        <f>IFERROR(__xludf.DUMMYFUNCTION("""COMPUTED_VALUE"""),"Barrera cuadruple haz 250 metros Selectable Frequency Photoelectric Detector Frequency Modulation: Ch1-Ch4 Detection Range:250 High power quad beam Clear Viewfinder Visibility Fine Angle Adjustment for Alignment Rain, Dust &amp; Insect Protection Frost &amp; Dew "&amp;"Protection High Grade Aspherical Lens")</f>
        <v>Barrera cuadruple haz 250 metros Selectable Frequency Photoelectric Detector Frequency Modulation: Ch1-Ch4 Detection Range:250 High power quad beam Clear Viewfinder Visibility Fine Angle Adjustment for Alignment Rain, Dust &amp; Insect Protection Frost &amp; Dew Protection High Grade Aspherical Lens</v>
      </c>
      <c r="D458" s="4" t="str">
        <f>IFERROR(__xludf.DUMMYFUNCTION("""COMPUTED_VALUE"""),"HIKVISION")</f>
        <v>HIKVISION</v>
      </c>
      <c r="E458" s="4" t="str">
        <f>IFERROR(__xludf.DUMMYFUNCTION("""COMPUTED_VALUE"""),"DSPIQ250FM")</f>
        <v>DSPIQ250FM</v>
      </c>
      <c r="F458" s="4" t="str">
        <f>IFERROR(__xludf.DUMMYFUNCTION("""COMPUTED_VALUE"""),"ALARMAS &gt; BARRERAS INFRARROJAS EXTERIOR")</f>
        <v>ALARMAS &gt; BARRERAS INFRARROJAS EXTERIOR</v>
      </c>
      <c r="G458" s="5"/>
      <c r="H458" s="6">
        <f>IFERROR(__xludf.DUMMYFUNCTION("""COMPUTED_VALUE"""),478.5)</f>
        <v>478.5</v>
      </c>
      <c r="I458" s="7">
        <f>IFERROR(__xludf.DUMMYFUNCTION("""COMPUTED_VALUE"""),10.5)</f>
        <v>10.5</v>
      </c>
      <c r="J458" s="6">
        <f>IFERROR(__xludf.DUMMYFUNCTION("""COMPUTED_VALUE"""),574.2)</f>
        <v>574.2</v>
      </c>
      <c r="K458" s="6">
        <f>IFERROR(__xludf.DUMMYFUNCTION("""COMPUTED_VALUE"""),669.9)</f>
        <v>669.9</v>
      </c>
      <c r="L458" s="3"/>
      <c r="M458" s="3"/>
    </row>
    <row r="459" ht="48.0" customHeight="1">
      <c r="A459" s="3" t="str">
        <f>IFERROR(__xludf.DUMMYFUNCTION("""COMPUTED_VALUE"""),"TKPB30TK")</f>
        <v>TKPB30TK</v>
      </c>
      <c r="B459" s="4" t="str">
        <f>IFERROR(__xludf.DUMMYFUNCTION("""COMPUTED_VALUE"""),"DOBLE HAZ, DOBLE MODULACIÓN")</f>
        <v>DOBLE HAZ, DOBLE MODULACIÓN</v>
      </c>
      <c r="C459" s="4" t="str">
        <f>IFERROR(__xludf.DUMMYFUNCTION("""COMPUTED_VALUE"""),"Doble haz, doble modulación. Rango 30 metros")</f>
        <v>Doble haz, doble modulación. Rango 30 metros</v>
      </c>
      <c r="D459" s="4" t="str">
        <f>IFERROR(__xludf.DUMMYFUNCTION("""COMPUTED_VALUE"""),"TAKEX")</f>
        <v>TAKEX</v>
      </c>
      <c r="E459" s="4" t="str">
        <f>IFERROR(__xludf.DUMMYFUNCTION("""COMPUTED_VALUE"""),"TKPB30TK")</f>
        <v>TKPB30TK</v>
      </c>
      <c r="F459" s="4" t="str">
        <f>IFERROR(__xludf.DUMMYFUNCTION("""COMPUTED_VALUE"""),"ALARMAS &gt; BARRERAS INFRARROJAS EXTERIOR")</f>
        <v>ALARMAS &gt; BARRERAS INFRARROJAS EXTERIOR</v>
      </c>
      <c r="G459" s="5"/>
      <c r="H459" s="6">
        <f>IFERROR(__xludf.DUMMYFUNCTION("""COMPUTED_VALUE"""),126.8)</f>
        <v>126.8</v>
      </c>
      <c r="I459" s="7">
        <f>IFERROR(__xludf.DUMMYFUNCTION("""COMPUTED_VALUE"""),10.5)</f>
        <v>10.5</v>
      </c>
      <c r="J459" s="6">
        <f>IFERROR(__xludf.DUMMYFUNCTION("""COMPUTED_VALUE"""),152.16)</f>
        <v>152.16</v>
      </c>
      <c r="K459" s="6">
        <f>IFERROR(__xludf.DUMMYFUNCTION("""COMPUTED_VALUE"""),177.52)</f>
        <v>177.52</v>
      </c>
      <c r="L459" s="3"/>
      <c r="M459" s="3"/>
    </row>
    <row r="460" ht="48.0" customHeight="1">
      <c r="A460" s="3" t="str">
        <f>IFERROR(__xludf.DUMMYFUNCTION("""COMPUTED_VALUE"""),"TKPB60TK")</f>
        <v>TKPB60TK</v>
      </c>
      <c r="B460" s="4" t="str">
        <f>IFERROR(__xludf.DUMMYFUNCTION("""COMPUTED_VALUE"""),"DOBLE HAZ, DOBLE MODULACIÓN")</f>
        <v>DOBLE HAZ, DOBLE MODULACIÓN</v>
      </c>
      <c r="C460" s="4" t="str">
        <f>IFERROR(__xludf.DUMMYFUNCTION("""COMPUTED_VALUE"""),"Doble haz, doble modulación. Rango 60 metros")</f>
        <v>Doble haz, doble modulación. Rango 60 metros</v>
      </c>
      <c r="D460" s="4" t="str">
        <f>IFERROR(__xludf.DUMMYFUNCTION("""COMPUTED_VALUE"""),"TAKEX")</f>
        <v>TAKEX</v>
      </c>
      <c r="E460" s="4" t="str">
        <f>IFERROR(__xludf.DUMMYFUNCTION("""COMPUTED_VALUE"""),"TKPB60TK")</f>
        <v>TKPB60TK</v>
      </c>
      <c r="F460" s="4" t="str">
        <f>IFERROR(__xludf.DUMMYFUNCTION("""COMPUTED_VALUE"""),"ALARMAS &gt; BARRERAS INFRARROJAS EXTERIOR")</f>
        <v>ALARMAS &gt; BARRERAS INFRARROJAS EXTERIOR</v>
      </c>
      <c r="G460" s="5"/>
      <c r="H460" s="6">
        <f>IFERROR(__xludf.DUMMYFUNCTION("""COMPUTED_VALUE"""),132.67)</f>
        <v>132.67</v>
      </c>
      <c r="I460" s="7">
        <f>IFERROR(__xludf.DUMMYFUNCTION("""COMPUTED_VALUE"""),10.5)</f>
        <v>10.5</v>
      </c>
      <c r="J460" s="6">
        <f>IFERROR(__xludf.DUMMYFUNCTION("""COMPUTED_VALUE"""),159.2)</f>
        <v>159.2</v>
      </c>
      <c r="K460" s="6">
        <f>IFERROR(__xludf.DUMMYFUNCTION("""COMPUTED_VALUE"""),185.74)</f>
        <v>185.74</v>
      </c>
      <c r="L460" s="3"/>
      <c r="M460" s="3"/>
    </row>
    <row r="461" ht="48.0" customHeight="1">
      <c r="A461" s="3" t="str">
        <f>IFERROR(__xludf.DUMMYFUNCTION("""COMPUTED_VALUE"""),"TKPB100TK")</f>
        <v>TKPB100TK</v>
      </c>
      <c r="B461" s="4" t="str">
        <f>IFERROR(__xludf.DUMMYFUNCTION("""COMPUTED_VALUE"""),"DOBLE HAZ, DOBLE MODULACIÓN")</f>
        <v>DOBLE HAZ, DOBLE MODULACIÓN</v>
      </c>
      <c r="C461" s="4" t="str">
        <f>IFERROR(__xludf.DUMMYFUNCTION("""COMPUTED_VALUE"""),"Doble haz, doble modulación. Rango 100 metros")</f>
        <v>Doble haz, doble modulación. Rango 100 metros</v>
      </c>
      <c r="D461" s="4" t="str">
        <f>IFERROR(__xludf.DUMMYFUNCTION("""COMPUTED_VALUE"""),"TAKEX")</f>
        <v>TAKEX</v>
      </c>
      <c r="E461" s="4" t="str">
        <f>IFERROR(__xludf.DUMMYFUNCTION("""COMPUTED_VALUE"""),"TKPB100TK")</f>
        <v>TKPB100TK</v>
      </c>
      <c r="F461" s="4" t="str">
        <f>IFERROR(__xludf.DUMMYFUNCTION("""COMPUTED_VALUE"""),"ALARMAS &gt; BARRERAS INFRARROJAS EXTERIOR")</f>
        <v>ALARMAS &gt; BARRERAS INFRARROJAS EXTERIOR</v>
      </c>
      <c r="G461" s="5"/>
      <c r="H461" s="6">
        <f>IFERROR(__xludf.DUMMYFUNCTION("""COMPUTED_VALUE"""),173.64)</f>
        <v>173.64</v>
      </c>
      <c r="I461" s="7">
        <f>IFERROR(__xludf.DUMMYFUNCTION("""COMPUTED_VALUE"""),10.5)</f>
        <v>10.5</v>
      </c>
      <c r="J461" s="6">
        <f>IFERROR(__xludf.DUMMYFUNCTION("""COMPUTED_VALUE"""),208.37)</f>
        <v>208.37</v>
      </c>
      <c r="K461" s="6">
        <f>IFERROR(__xludf.DUMMYFUNCTION("""COMPUTED_VALUE"""),243.1)</f>
        <v>243.1</v>
      </c>
      <c r="L461" s="3"/>
      <c r="M461" s="3"/>
    </row>
    <row r="462" ht="48.0" customHeight="1">
      <c r="A462" s="3" t="str">
        <f>IFERROR(__xludf.DUMMYFUNCTION("""COMPUTED_VALUE"""),"TKPB100F")</f>
        <v>TKPB100F</v>
      </c>
      <c r="B462" s="4" t="str">
        <f>IFERROR(__xludf.DUMMYFUNCTION("""COMPUTED_VALUE"""),"CUATRO HACES SINCRONIZADOS CON DOBLE MODULACIÓN")</f>
        <v>CUATRO HACES SINCRONIZADOS CON DOBLE MODULACIÓN</v>
      </c>
      <c r="C462" s="4" t="str">
        <f>IFERROR(__xludf.DUMMYFUNCTION("""COMPUTED_VALUE"""),"Cuatro haces sincronizados con doble modulación. Rango 100 m.")</f>
        <v>Cuatro haces sincronizados con doble modulación. Rango 100 m.</v>
      </c>
      <c r="D462" s="4" t="str">
        <f>IFERROR(__xludf.DUMMYFUNCTION("""COMPUTED_VALUE"""),"TAKEX")</f>
        <v>TAKEX</v>
      </c>
      <c r="E462" s="4" t="str">
        <f>IFERROR(__xludf.DUMMYFUNCTION("""COMPUTED_VALUE"""),"TKPB100F")</f>
        <v>TKPB100F</v>
      </c>
      <c r="F462" s="4" t="str">
        <f>IFERROR(__xludf.DUMMYFUNCTION("""COMPUTED_VALUE"""),"ALARMAS &gt; BARRERAS INFRARROJAS EXTERIOR")</f>
        <v>ALARMAS &gt; BARRERAS INFRARROJAS EXTERIOR</v>
      </c>
      <c r="G462" s="5"/>
      <c r="H462" s="6">
        <f>IFERROR(__xludf.DUMMYFUNCTION("""COMPUTED_VALUE"""),345.29)</f>
        <v>345.29</v>
      </c>
      <c r="I462" s="7">
        <f>IFERROR(__xludf.DUMMYFUNCTION("""COMPUTED_VALUE"""),10.5)</f>
        <v>10.5</v>
      </c>
      <c r="J462" s="6">
        <f>IFERROR(__xludf.DUMMYFUNCTION("""COMPUTED_VALUE"""),414.35)</f>
        <v>414.35</v>
      </c>
      <c r="K462" s="6">
        <f>IFERROR(__xludf.DUMMYFUNCTION("""COMPUTED_VALUE"""),483.41)</f>
        <v>483.41</v>
      </c>
      <c r="L462" s="3"/>
      <c r="M462" s="3"/>
    </row>
    <row r="463" ht="48.0" customHeight="1">
      <c r="A463" s="3" t="str">
        <f>IFERROR(__xludf.DUMMYFUNCTION("""COMPUTED_VALUE"""),"TKPB200F")</f>
        <v>TKPB200F</v>
      </c>
      <c r="B463" s="4" t="str">
        <f>IFERROR(__xludf.DUMMYFUNCTION("""COMPUTED_VALUE"""),"CUATRO HACES SINCRONIZADOS CON DOBLE MODULACIÓN")</f>
        <v>CUATRO HACES SINCRONIZADOS CON DOBLE MODULACIÓN</v>
      </c>
      <c r="C463" s="4" t="str">
        <f>IFERROR(__xludf.DUMMYFUNCTION("""COMPUTED_VALUE"""),"Cuatro haces sincronizados con doble modulación. Rango 200 m.")</f>
        <v>Cuatro haces sincronizados con doble modulación. Rango 200 m.</v>
      </c>
      <c r="D463" s="4" t="str">
        <f>IFERROR(__xludf.DUMMYFUNCTION("""COMPUTED_VALUE"""),"TAKEX")</f>
        <v>TAKEX</v>
      </c>
      <c r="E463" s="4" t="str">
        <f>IFERROR(__xludf.DUMMYFUNCTION("""COMPUTED_VALUE"""),"TKPB200F")</f>
        <v>TKPB200F</v>
      </c>
      <c r="F463" s="4" t="str">
        <f>IFERROR(__xludf.DUMMYFUNCTION("""COMPUTED_VALUE"""),"ALARMAS &gt; BARRERAS INFRARROJAS EXTERIOR")</f>
        <v>ALARMAS &gt; BARRERAS INFRARROJAS EXTERIOR</v>
      </c>
      <c r="G463" s="5"/>
      <c r="H463" s="6">
        <f>IFERROR(__xludf.DUMMYFUNCTION("""COMPUTED_VALUE"""),351.13)</f>
        <v>351.13</v>
      </c>
      <c r="I463" s="7">
        <f>IFERROR(__xludf.DUMMYFUNCTION("""COMPUTED_VALUE"""),10.5)</f>
        <v>10.5</v>
      </c>
      <c r="J463" s="6">
        <f>IFERROR(__xludf.DUMMYFUNCTION("""COMPUTED_VALUE"""),421.36)</f>
        <v>421.36</v>
      </c>
      <c r="K463" s="6">
        <f>IFERROR(__xludf.DUMMYFUNCTION("""COMPUTED_VALUE"""),491.58)</f>
        <v>491.58</v>
      </c>
      <c r="L463" s="3"/>
      <c r="M463" s="3"/>
    </row>
    <row r="464" ht="48.0" customHeight="1">
      <c r="A464" s="3" t="str">
        <f>IFERROR(__xludf.DUMMYFUNCTION("""COMPUTED_VALUE"""),"TKPBIN100HF")</f>
        <v>TKPBIN100HF</v>
      </c>
      <c r="B464" s="4" t="str">
        <f>IFERROR(__xludf.DUMMYFUNCTION("""COMPUTED_VALUE"""),"BARRERA INTELIGENTE EXTERIOR CUATRO HACES SINCRONIZADOS CON DOBLE MODU")</f>
        <v>BARRERA INTELIGENTE EXTERIOR CUATRO HACES SINCRONIZADOS CON DOBLE MODU</v>
      </c>
      <c r="C464" s="4" t="str">
        <f>IFERROR(__xludf.DUMMYFUNCTION("""COMPUTED_VALUE"""),"Barrera inteligente exterior cuatro haces sincronizados con doble modulación. Rango: 100 metros, 4 frecuencias seleccionables")</f>
        <v>Barrera inteligente exterior cuatro haces sincronizados con doble modulación. Rango: 100 metros, 4 frecuencias seleccionables</v>
      </c>
      <c r="D464" s="4" t="str">
        <f>IFERROR(__xludf.DUMMYFUNCTION("""COMPUTED_VALUE"""),"TAKEX")</f>
        <v>TAKEX</v>
      </c>
      <c r="E464" s="4" t="str">
        <f>IFERROR(__xludf.DUMMYFUNCTION("""COMPUTED_VALUE"""),"TKPBIN100HF")</f>
        <v>TKPBIN100HF</v>
      </c>
      <c r="F464" s="4" t="str">
        <f>IFERROR(__xludf.DUMMYFUNCTION("""COMPUTED_VALUE"""),"ALARMAS &gt; BARRERAS INFRARROJAS EXTERIOR")</f>
        <v>ALARMAS &gt; BARRERAS INFRARROJAS EXTERIOR</v>
      </c>
      <c r="G464" s="5"/>
      <c r="H464" s="6">
        <f>IFERROR(__xludf.DUMMYFUNCTION("""COMPUTED_VALUE"""),378.44)</f>
        <v>378.44</v>
      </c>
      <c r="I464" s="7">
        <f>IFERROR(__xludf.DUMMYFUNCTION("""COMPUTED_VALUE"""),10.5)</f>
        <v>10.5</v>
      </c>
      <c r="J464" s="6">
        <f>IFERROR(__xludf.DUMMYFUNCTION("""COMPUTED_VALUE"""),454.13)</f>
        <v>454.13</v>
      </c>
      <c r="K464" s="6">
        <f>IFERROR(__xludf.DUMMYFUNCTION("""COMPUTED_VALUE"""),529.82)</f>
        <v>529.82</v>
      </c>
      <c r="L464" s="3"/>
      <c r="M464" s="3"/>
    </row>
    <row r="465" ht="48.0" customHeight="1">
      <c r="A465" s="3" t="str">
        <f>IFERROR(__xludf.DUMMYFUNCTION("""COMPUTED_VALUE"""),"TKPBIN200HF")</f>
        <v>TKPBIN200HF</v>
      </c>
      <c r="B465" s="4" t="str">
        <f>IFERROR(__xludf.DUMMYFUNCTION("""COMPUTED_VALUE"""),"BARRERA INTELIGENTE EXTERIOR CUATRO HACES SINCRONIZADOS CON DOBLE MODU")</f>
        <v>BARRERA INTELIGENTE EXTERIOR CUATRO HACES SINCRONIZADOS CON DOBLE MODU</v>
      </c>
      <c r="C465" s="4" t="str">
        <f>IFERROR(__xludf.DUMMYFUNCTION("""COMPUTED_VALUE"""),"Barrera inteligente exterior cuatro haces sincronizados con doble modulación. Rango: 200 metros, 4 frecuencias seleccionables")</f>
        <v>Barrera inteligente exterior cuatro haces sincronizados con doble modulación. Rango: 200 metros, 4 frecuencias seleccionables</v>
      </c>
      <c r="D465" s="4" t="str">
        <f>IFERROR(__xludf.DUMMYFUNCTION("""COMPUTED_VALUE"""),"TAKEX")</f>
        <v>TAKEX</v>
      </c>
      <c r="E465" s="4" t="str">
        <f>IFERROR(__xludf.DUMMYFUNCTION("""COMPUTED_VALUE"""),"TKPBIN200HF")</f>
        <v>TKPBIN200HF</v>
      </c>
      <c r="F465" s="4" t="str">
        <f>IFERROR(__xludf.DUMMYFUNCTION("""COMPUTED_VALUE"""),"ALARMAS &gt; BARRERAS INFRARROJAS EXTERIOR")</f>
        <v>ALARMAS &gt; BARRERAS INFRARROJAS EXTERIOR</v>
      </c>
      <c r="G465" s="5"/>
      <c r="H465" s="6">
        <f>IFERROR(__xludf.DUMMYFUNCTION("""COMPUTED_VALUE"""),397.95)</f>
        <v>397.95</v>
      </c>
      <c r="I465" s="7">
        <f>IFERROR(__xludf.DUMMYFUNCTION("""COMPUTED_VALUE"""),10.5)</f>
        <v>10.5</v>
      </c>
      <c r="J465" s="6">
        <f>IFERROR(__xludf.DUMMYFUNCTION("""COMPUTED_VALUE"""),477.54)</f>
        <v>477.54</v>
      </c>
      <c r="K465" s="6">
        <f>IFERROR(__xludf.DUMMYFUNCTION("""COMPUTED_VALUE"""),557.13)</f>
        <v>557.13</v>
      </c>
      <c r="L465" s="3"/>
      <c r="M465" s="3"/>
    </row>
    <row r="466" ht="48.0" customHeight="1">
      <c r="A466" s="3" t="str">
        <f>IFERROR(__xludf.DUMMYFUNCTION("""COMPUTED_VALUE"""),"TKTXF125E")</f>
        <v>TKTXF125E</v>
      </c>
      <c r="B466" s="4" t="str">
        <f>IFERROR(__xludf.DUMMYFUNCTION("""COMPUTED_VALUE"""),"BARRERA INFRARROJA INALAMBRICA PARA EXTERIOR 4 HACES")</f>
        <v>BARRERA INFRARROJA INALAMBRICA PARA EXTERIOR 4 HACES</v>
      </c>
      <c r="C466" s="4" t="str">
        <f>IFERROR(__xludf.DUMMYFUNCTION("""COMPUTED_VALUE"""),"Barrera infrarroja inalambrica para exterior 4 haces. 25/50/75/100 mts No incluye baterias, requiere 4 baterias modelo LS33600 o equivalente")</f>
        <v>Barrera infrarroja inalambrica para exterior 4 haces. 25/50/75/100 mts No incluye baterias, requiere 4 baterias modelo LS33600 o equivalente</v>
      </c>
      <c r="D466" s="4" t="str">
        <f>IFERROR(__xludf.DUMMYFUNCTION("""COMPUTED_VALUE"""),"TAKEX")</f>
        <v>TAKEX</v>
      </c>
      <c r="E466" s="4" t="str">
        <f>IFERROR(__xludf.DUMMYFUNCTION("""COMPUTED_VALUE"""),"TKTXF125E")</f>
        <v>TKTXF125E</v>
      </c>
      <c r="F466" s="4" t="str">
        <f>IFERROR(__xludf.DUMMYFUNCTION("""COMPUTED_VALUE"""),"ALARMAS &gt; BARRERAS INFRARROJAS EXTERIOR")</f>
        <v>ALARMAS &gt; BARRERAS INFRARROJAS EXTERIOR</v>
      </c>
      <c r="G466" s="5"/>
      <c r="H466" s="6">
        <f>IFERROR(__xludf.DUMMYFUNCTION("""COMPUTED_VALUE"""),548.9)</f>
        <v>548.9</v>
      </c>
      <c r="I466" s="7">
        <f>IFERROR(__xludf.DUMMYFUNCTION("""COMPUTED_VALUE"""),21.0)</f>
        <v>21</v>
      </c>
      <c r="J466" s="6">
        <f>IFERROR(__xludf.DUMMYFUNCTION("""COMPUTED_VALUE"""),658.68)</f>
        <v>658.68</v>
      </c>
      <c r="K466" s="6">
        <f>IFERROR(__xludf.DUMMYFUNCTION("""COMPUTED_VALUE"""),768.46)</f>
        <v>768.46</v>
      </c>
      <c r="L466" s="3"/>
      <c r="M466" s="3"/>
    </row>
    <row r="467" ht="48.0" customHeight="1">
      <c r="A467" s="3" t="str">
        <f>IFERROR(__xludf.DUMMYFUNCTION("""COMPUTED_VALUE"""),"AN900A30")</f>
        <v>AN900A30</v>
      </c>
      <c r="B467" s="4" t="str">
        <f>IFERROR(__xludf.DUMMYFUNCTION("""COMPUTED_VALUE"""),"DOBLE HAZ")</f>
        <v>DOBLE HAZ</v>
      </c>
      <c r="C467" s="4" t="str">
        <f>IFERROR(__xludf.DUMMYFUNCTION("""COMPUTED_VALUE"""),"Doble haz. Rango exterior 30 metros, interior 90m.")</f>
        <v>Doble haz. Rango exterior 30 metros, interior 90m.</v>
      </c>
      <c r="D467" s="4" t="str">
        <f>IFERROR(__xludf.DUMMYFUNCTION("""COMPUTED_VALUE"""),"FOCUS")</f>
        <v>FOCUS</v>
      </c>
      <c r="E467" s="4" t="str">
        <f>IFERROR(__xludf.DUMMYFUNCTION("""COMPUTED_VALUE"""),"AN900A30")</f>
        <v>AN900A30</v>
      </c>
      <c r="F467" s="4" t="str">
        <f>IFERROR(__xludf.DUMMYFUNCTION("""COMPUTED_VALUE"""),"ALARMAS &gt; BARRERAS INFRARROJAS EXTERIOR")</f>
        <v>ALARMAS &gt; BARRERAS INFRARROJAS EXTERIOR</v>
      </c>
      <c r="G467" s="5"/>
      <c r="H467" s="6">
        <f>IFERROR(__xludf.DUMMYFUNCTION("""COMPUTED_VALUE"""),31.9)</f>
        <v>31.9</v>
      </c>
      <c r="I467" s="7">
        <f>IFERROR(__xludf.DUMMYFUNCTION("""COMPUTED_VALUE"""),21.0)</f>
        <v>21</v>
      </c>
      <c r="J467" s="6">
        <f>IFERROR(__xludf.DUMMYFUNCTION("""COMPUTED_VALUE"""),38.28)</f>
        <v>38.28</v>
      </c>
      <c r="K467" s="6">
        <f>IFERROR(__xludf.DUMMYFUNCTION("""COMPUTED_VALUE"""),44.66)</f>
        <v>44.66</v>
      </c>
      <c r="L467" s="3"/>
      <c r="M467" s="3"/>
    </row>
    <row r="468" ht="48.0" customHeight="1">
      <c r="A468" s="3" t="str">
        <f>IFERROR(__xludf.DUMMYFUNCTION("""COMPUTED_VALUE"""),"AN900A60")</f>
        <v>AN900A60</v>
      </c>
      <c r="B468" s="4" t="str">
        <f>IFERROR(__xludf.DUMMYFUNCTION("""COMPUTED_VALUE"""),"DOBLE HAZ")</f>
        <v>DOBLE HAZ</v>
      </c>
      <c r="C468" s="4" t="str">
        <f>IFERROR(__xludf.DUMMYFUNCTION("""COMPUTED_VALUE"""),"Doble haz. Rango exterior 60m, interior 180m.")</f>
        <v>Doble haz. Rango exterior 60m, interior 180m.</v>
      </c>
      <c r="D468" s="4" t="str">
        <f>IFERROR(__xludf.DUMMYFUNCTION("""COMPUTED_VALUE"""),"FOCUS")</f>
        <v>FOCUS</v>
      </c>
      <c r="E468" s="4" t="str">
        <f>IFERROR(__xludf.DUMMYFUNCTION("""COMPUTED_VALUE"""),"AN900A60")</f>
        <v>AN900A60</v>
      </c>
      <c r="F468" s="4" t="str">
        <f>IFERROR(__xludf.DUMMYFUNCTION("""COMPUTED_VALUE"""),"ALARMAS &gt; BARRERAS INFRARROJAS EXTERIOR")</f>
        <v>ALARMAS &gt; BARRERAS INFRARROJAS EXTERIOR</v>
      </c>
      <c r="G468" s="5"/>
      <c r="H468" s="6">
        <f>IFERROR(__xludf.DUMMYFUNCTION("""COMPUTED_VALUE"""),46.26)</f>
        <v>46.26</v>
      </c>
      <c r="I468" s="7">
        <f>IFERROR(__xludf.DUMMYFUNCTION("""COMPUTED_VALUE"""),10.5)</f>
        <v>10.5</v>
      </c>
      <c r="J468" s="6">
        <f>IFERROR(__xludf.DUMMYFUNCTION("""COMPUTED_VALUE"""),55.51)</f>
        <v>55.51</v>
      </c>
      <c r="K468" s="6">
        <f>IFERROR(__xludf.DUMMYFUNCTION("""COMPUTED_VALUE"""),64.76)</f>
        <v>64.76</v>
      </c>
      <c r="L468" s="3"/>
      <c r="M468" s="3"/>
    </row>
    <row r="469" ht="48.0" customHeight="1">
      <c r="A469" s="3" t="str">
        <f>IFERROR(__xludf.DUMMYFUNCTION("""COMPUTED_VALUE"""),"A900A100")</f>
        <v>A900A100</v>
      </c>
      <c r="B469" s="4" t="str">
        <f>IFERROR(__xludf.DUMMYFUNCTION("""COMPUTED_VALUE"""),"DOBLE HAZ")</f>
        <v>DOBLE HAZ</v>
      </c>
      <c r="C469" s="4" t="str">
        <f>IFERROR(__xludf.DUMMYFUNCTION("""COMPUTED_VALUE"""),"Doble haz. Rango exterior 100m, interior 450m.")</f>
        <v>Doble haz. Rango exterior 100m, interior 450m.</v>
      </c>
      <c r="D469" s="4" t="str">
        <f>IFERROR(__xludf.DUMMYFUNCTION("""COMPUTED_VALUE"""),"FOCUS")</f>
        <v>FOCUS</v>
      </c>
      <c r="E469" s="4" t="str">
        <f>IFERROR(__xludf.DUMMYFUNCTION("""COMPUTED_VALUE"""),"A900A100")</f>
        <v>A900A100</v>
      </c>
      <c r="F469" s="4" t="str">
        <f>IFERROR(__xludf.DUMMYFUNCTION("""COMPUTED_VALUE"""),"ALARMAS &gt; BARRERAS INFRARROJAS EXTERIOR")</f>
        <v>ALARMAS &gt; BARRERAS INFRARROJAS EXTERIOR</v>
      </c>
      <c r="G469" s="5"/>
      <c r="H469" s="6">
        <f>IFERROR(__xludf.DUMMYFUNCTION("""COMPUTED_VALUE"""),53.83)</f>
        <v>53.83</v>
      </c>
      <c r="I469" s="7">
        <f>IFERROR(__xludf.DUMMYFUNCTION("""COMPUTED_VALUE"""),10.5)</f>
        <v>10.5</v>
      </c>
      <c r="J469" s="6">
        <f>IFERROR(__xludf.DUMMYFUNCTION("""COMPUTED_VALUE"""),64.6)</f>
        <v>64.6</v>
      </c>
      <c r="K469" s="6">
        <f>IFERROR(__xludf.DUMMYFUNCTION("""COMPUTED_VALUE"""),75.36)</f>
        <v>75.36</v>
      </c>
      <c r="L469" s="3"/>
      <c r="M469" s="3"/>
    </row>
    <row r="470" ht="48.0" customHeight="1">
      <c r="A470" s="3" t="str">
        <f>IFERROR(__xludf.DUMMYFUNCTION("""COMPUTED_VALUE"""),"A900B150")</f>
        <v>A900B150</v>
      </c>
      <c r="B470" s="4" t="str">
        <f>IFERROR(__xludf.DUMMYFUNCTION("""COMPUTED_VALUE"""),"TRIPLE HAZ")</f>
        <v>TRIPLE HAZ</v>
      </c>
      <c r="C470" s="4" t="str">
        <f>IFERROR(__xludf.DUMMYFUNCTION("""COMPUTED_VALUE"""),"Triple haz. Rango exterior 150m, interior 300m.")</f>
        <v>Triple haz. Rango exterior 150m, interior 300m.</v>
      </c>
      <c r="D470" s="4" t="str">
        <f>IFERROR(__xludf.DUMMYFUNCTION("""COMPUTED_VALUE"""),"FOCUS")</f>
        <v>FOCUS</v>
      </c>
      <c r="E470" s="4" t="str">
        <f>IFERROR(__xludf.DUMMYFUNCTION("""COMPUTED_VALUE"""),"A900B150")</f>
        <v>A900B150</v>
      </c>
      <c r="F470" s="4" t="str">
        <f>IFERROR(__xludf.DUMMYFUNCTION("""COMPUTED_VALUE"""),"ALARMAS &gt; BARRERAS INFRARROJAS EXTERIOR")</f>
        <v>ALARMAS &gt; BARRERAS INFRARROJAS EXTERIOR</v>
      </c>
      <c r="G470" s="5"/>
      <c r="H470" s="6">
        <f>IFERROR(__xludf.DUMMYFUNCTION("""COMPUTED_VALUE"""),84.22)</f>
        <v>84.22</v>
      </c>
      <c r="I470" s="7">
        <f>IFERROR(__xludf.DUMMYFUNCTION("""COMPUTED_VALUE"""),10.5)</f>
        <v>10.5</v>
      </c>
      <c r="J470" s="6">
        <f>IFERROR(__xludf.DUMMYFUNCTION("""COMPUTED_VALUE"""),101.06)</f>
        <v>101.06</v>
      </c>
      <c r="K470" s="6">
        <f>IFERROR(__xludf.DUMMYFUNCTION("""COMPUTED_VALUE"""),117.91)</f>
        <v>117.91</v>
      </c>
      <c r="L470" s="3"/>
      <c r="M470" s="3"/>
    </row>
    <row r="471" ht="48.0" customHeight="1">
      <c r="A471" s="3" t="str">
        <f>IFERROR(__xludf.DUMMYFUNCTION("""COMPUTED_VALUE"""),"A900C250")</f>
        <v>A900C250</v>
      </c>
      <c r="B471" s="4" t="str">
        <f>IFERROR(__xludf.DUMMYFUNCTION("""COMPUTED_VALUE"""),"TRIPLE HAZ")</f>
        <v>TRIPLE HAZ</v>
      </c>
      <c r="C471" s="4" t="str">
        <f>IFERROR(__xludf.DUMMYFUNCTION("""COMPUTED_VALUE"""),"Triple haz. Rango exterior 250m, interior 400m.")</f>
        <v>Triple haz. Rango exterior 250m, interior 400m.</v>
      </c>
      <c r="D471" s="4" t="str">
        <f>IFERROR(__xludf.DUMMYFUNCTION("""COMPUTED_VALUE"""),"FOCUS")</f>
        <v>FOCUS</v>
      </c>
      <c r="E471" s="4" t="str">
        <f>IFERROR(__xludf.DUMMYFUNCTION("""COMPUTED_VALUE"""),"A900C250")</f>
        <v>A900C250</v>
      </c>
      <c r="F471" s="4" t="str">
        <f>IFERROR(__xludf.DUMMYFUNCTION("""COMPUTED_VALUE"""),"ALARMAS &gt; BARRERAS INFRARROJAS EXTERIOR")</f>
        <v>ALARMAS &gt; BARRERAS INFRARROJAS EXTERIOR</v>
      </c>
      <c r="G471" s="5"/>
      <c r="H471" s="6">
        <f>IFERROR(__xludf.DUMMYFUNCTION("""COMPUTED_VALUE"""),104.5)</f>
        <v>104.5</v>
      </c>
      <c r="I471" s="7">
        <f>IFERROR(__xludf.DUMMYFUNCTION("""COMPUTED_VALUE"""),10.5)</f>
        <v>10.5</v>
      </c>
      <c r="J471" s="6">
        <f>IFERROR(__xludf.DUMMYFUNCTION("""COMPUTED_VALUE"""),125.4)</f>
        <v>125.4</v>
      </c>
      <c r="K471" s="6">
        <f>IFERROR(__xludf.DUMMYFUNCTION("""COMPUTED_VALUE"""),146.3)</f>
        <v>146.3</v>
      </c>
      <c r="L471" s="3"/>
      <c r="M471" s="3"/>
    </row>
    <row r="472" ht="48.0" customHeight="1">
      <c r="A472" s="3" t="str">
        <f>IFERROR(__xludf.DUMMYFUNCTION("""COMPUTED_VALUE"""),"ABL150D")</f>
        <v>ABL150D</v>
      </c>
      <c r="B472" s="4" t="str">
        <f>IFERROR(__xludf.DUMMYFUNCTION("""COMPUTED_VALUE"""),"SEXTUPLE HAZ")</f>
        <v>SEXTUPLE HAZ</v>
      </c>
      <c r="C472" s="4" t="str">
        <f>IFERROR(__xludf.DUMMYFUNCTION("""COMPUTED_VALUE"""),"Sextuple haz. Rango exterior 150m, interior 300m.")</f>
        <v>Sextuple haz. Rango exterior 150m, interior 300m.</v>
      </c>
      <c r="D472" s="4" t="str">
        <f>IFERROR(__xludf.DUMMYFUNCTION("""COMPUTED_VALUE"""),"FOCUS")</f>
        <v>FOCUS</v>
      </c>
      <c r="E472" s="4" t="str">
        <f>IFERROR(__xludf.DUMMYFUNCTION("""COMPUTED_VALUE"""),"ABL150D")</f>
        <v>ABL150D</v>
      </c>
      <c r="F472" s="4" t="str">
        <f>IFERROR(__xludf.DUMMYFUNCTION("""COMPUTED_VALUE"""),"ALARMAS &gt; BARRERAS INFRARROJAS EXTERIOR")</f>
        <v>ALARMAS &gt; BARRERAS INFRARROJAS EXTERIOR</v>
      </c>
      <c r="G472" s="5"/>
      <c r="H472" s="6">
        <f>IFERROR(__xludf.DUMMYFUNCTION("""COMPUTED_VALUE"""),104.5)</f>
        <v>104.5</v>
      </c>
      <c r="I472" s="7">
        <f>IFERROR(__xludf.DUMMYFUNCTION("""COMPUTED_VALUE"""),10.5)</f>
        <v>10.5</v>
      </c>
      <c r="J472" s="6">
        <f>IFERROR(__xludf.DUMMYFUNCTION("""COMPUTED_VALUE"""),125.4)</f>
        <v>125.4</v>
      </c>
      <c r="K472" s="6">
        <f>IFERROR(__xludf.DUMMYFUNCTION("""COMPUTED_VALUE"""),146.3)</f>
        <v>146.3</v>
      </c>
      <c r="L472" s="3"/>
      <c r="M472" s="3"/>
    </row>
    <row r="473" ht="48.0" customHeight="1">
      <c r="A473" s="3" t="str">
        <f>IFERROR(__xludf.DUMMYFUNCTION("""COMPUTED_VALUE"""),"ABH250F")</f>
        <v>ABH250F</v>
      </c>
      <c r="B473" s="4" t="str">
        <f>IFERROR(__xludf.DUMMYFUNCTION("""COMPUTED_VALUE"""),"CUADRUPLE HAZ")</f>
        <v>CUADRUPLE HAZ</v>
      </c>
      <c r="C473" s="4" t="str">
        <f>IFERROR(__xludf.DUMMYFUNCTION("""COMPUTED_VALUE"""),"Cuadruple haz. Rango exterior 250m")</f>
        <v>Cuadruple haz. Rango exterior 250m</v>
      </c>
      <c r="D473" s="4" t="str">
        <f>IFERROR(__xludf.DUMMYFUNCTION("""COMPUTED_VALUE"""),"FOCUS")</f>
        <v>FOCUS</v>
      </c>
      <c r="E473" s="4" t="str">
        <f>IFERROR(__xludf.DUMMYFUNCTION("""COMPUTED_VALUE"""),"ABH250F")</f>
        <v>ABH250F</v>
      </c>
      <c r="F473" s="4" t="str">
        <f>IFERROR(__xludf.DUMMYFUNCTION("""COMPUTED_VALUE"""),"ALARMAS &gt; BARRERAS INFRARROJAS EXTERIOR")</f>
        <v>ALARMAS &gt; BARRERAS INFRARROJAS EXTERIOR</v>
      </c>
      <c r="G473" s="5"/>
      <c r="H473" s="6">
        <f>IFERROR(__xludf.DUMMYFUNCTION("""COMPUTED_VALUE"""),114.84)</f>
        <v>114.84</v>
      </c>
      <c r="I473" s="7">
        <f>IFERROR(__xludf.DUMMYFUNCTION("""COMPUTED_VALUE"""),10.5)</f>
        <v>10.5</v>
      </c>
      <c r="J473" s="6">
        <f>IFERROR(__xludf.DUMMYFUNCTION("""COMPUTED_VALUE"""),137.81)</f>
        <v>137.81</v>
      </c>
      <c r="K473" s="6">
        <f>IFERROR(__xludf.DUMMYFUNCTION("""COMPUTED_VALUE"""),160.78)</f>
        <v>160.78</v>
      </c>
      <c r="L473" s="3"/>
      <c r="M473" s="3"/>
    </row>
    <row r="474" ht="48.0" customHeight="1">
      <c r="A474" s="3" t="str">
        <f>IFERROR(__xludf.DUMMYFUNCTION("""COMPUTED_VALUE"""),"ABX206")</f>
        <v>ABX206</v>
      </c>
      <c r="B474" s="4" t="str">
        <f>IFERROR(__xludf.DUMMYFUNCTION("""COMPUTED_VALUE"""),"BARRERA CON BARRAL 109 CM ALUMINIO RANGO: 20 M 6 BARRERAS")</f>
        <v>BARRERA CON BARRAL 109 CM ALUMINIO RANGO: 20 M 6 BARRERAS</v>
      </c>
      <c r="C474" s="4" t="str">
        <f>IFERROR(__xludf.DUMMYFUNCTION("""COMPUTED_VALUE"""),"Barrera con barral 109 cm aluminio Rango: 20 m 6 barreras")</f>
        <v>Barrera con barral 109 cm aluminio Rango: 20 m 6 barreras</v>
      </c>
      <c r="D474" s="4" t="str">
        <f>IFERROR(__xludf.DUMMYFUNCTION("""COMPUTED_VALUE"""),"FOCUS")</f>
        <v>FOCUS</v>
      </c>
      <c r="E474" s="4" t="str">
        <f>IFERROR(__xludf.DUMMYFUNCTION("""COMPUTED_VALUE"""),"ABX206")</f>
        <v>ABX206</v>
      </c>
      <c r="F474" s="4" t="str">
        <f>IFERROR(__xludf.DUMMYFUNCTION("""COMPUTED_VALUE"""),"ALARMAS &gt; BARRERAS TIPO BARRAL")</f>
        <v>ALARMAS &gt; BARRERAS TIPO BARRAL</v>
      </c>
      <c r="G474" s="5"/>
      <c r="H474" s="6">
        <f>IFERROR(__xludf.DUMMYFUNCTION("""COMPUTED_VALUE"""),102.36)</f>
        <v>102.36</v>
      </c>
      <c r="I474" s="7">
        <f>IFERROR(__xludf.DUMMYFUNCTION("""COMPUTED_VALUE"""),10.5)</f>
        <v>10.5</v>
      </c>
      <c r="J474" s="6">
        <f>IFERROR(__xludf.DUMMYFUNCTION("""COMPUTED_VALUE"""),122.83)</f>
        <v>122.83</v>
      </c>
      <c r="K474" s="6">
        <f>IFERROR(__xludf.DUMMYFUNCTION("""COMPUTED_VALUE"""),143.3)</f>
        <v>143.3</v>
      </c>
      <c r="L474" s="3"/>
      <c r="M474" s="3"/>
    </row>
    <row r="475" ht="48.0" customHeight="1">
      <c r="A475" s="3" t="str">
        <f>IFERROR(__xludf.DUMMYFUNCTION("""COMPUTED_VALUE"""),"ABI404")</f>
        <v>ABI404</v>
      </c>
      <c r="B475" s="4" t="str">
        <f>IFERROR(__xludf.DUMMYFUNCTION("""COMPUTED_VALUE"""),"BARRERA CON BARRAL 73 CM ALUMINIO RANGO: 40 M")</f>
        <v>BARRERA CON BARRAL 73 CM ALUMINIO RANGO: 40 M</v>
      </c>
      <c r="C475" s="4" t="str">
        <f>IFERROR(__xludf.DUMMYFUNCTION("""COMPUTED_VALUE"""),"Barrera con barral 73 cm aluminio Rango: 40 m 4 barreras, configuracion de cable sincronismo SI-NO, ajuste de disparo de 1 a dos barreras consecutivas")</f>
        <v>Barrera con barral 73 cm aluminio Rango: 40 m 4 barreras, configuracion de cable sincronismo SI-NO, ajuste de disparo de 1 a dos barreras consecutivas</v>
      </c>
      <c r="D475" s="4" t="str">
        <f>IFERROR(__xludf.DUMMYFUNCTION("""COMPUTED_VALUE"""),"FOCUS")</f>
        <v>FOCUS</v>
      </c>
      <c r="E475" s="4" t="str">
        <f>IFERROR(__xludf.DUMMYFUNCTION("""COMPUTED_VALUE"""),"ABI404")</f>
        <v>ABI404</v>
      </c>
      <c r="F475" s="4" t="str">
        <f>IFERROR(__xludf.DUMMYFUNCTION("""COMPUTED_VALUE"""),"ALARMAS &gt; BARRERAS TIPO BARRAL")</f>
        <v>ALARMAS &gt; BARRERAS TIPO BARRAL</v>
      </c>
      <c r="G475" s="5"/>
      <c r="H475" s="6">
        <f>IFERROR(__xludf.DUMMYFUNCTION("""COMPUTED_VALUE"""),82.94)</f>
        <v>82.94</v>
      </c>
      <c r="I475" s="7">
        <f>IFERROR(__xludf.DUMMYFUNCTION("""COMPUTED_VALUE"""),10.5)</f>
        <v>10.5</v>
      </c>
      <c r="J475" s="6">
        <f>IFERROR(__xludf.DUMMYFUNCTION("""COMPUTED_VALUE"""),99.53)</f>
        <v>99.53</v>
      </c>
      <c r="K475" s="6">
        <f>IFERROR(__xludf.DUMMYFUNCTION("""COMPUTED_VALUE"""),116.12)</f>
        <v>116.12</v>
      </c>
      <c r="L475" s="3"/>
      <c r="M475" s="3"/>
    </row>
    <row r="476" ht="48.0" customHeight="1">
      <c r="A476" s="3" t="str">
        <f>IFERROR(__xludf.DUMMYFUNCTION("""COMPUTED_VALUE"""),"ABI2012")</f>
        <v>ABI2012</v>
      </c>
      <c r="B476" s="4" t="str">
        <f>IFERROR(__xludf.DUMMYFUNCTION("""COMPUTED_VALUE"""),"BARRERA CON BARRAL 204 CM ALUMINIO RANGO: 20 M")</f>
        <v>BARRERA CON BARRAL 204 CM ALUMINIO RANGO: 20 M</v>
      </c>
      <c r="C476" s="4" t="str">
        <f>IFERROR(__xludf.DUMMYFUNCTION("""COMPUTED_VALUE"""),"Barrera con barral 204 cm aluminio Rango: 20 m 12 barreras, , configuracion de cable sincronismo SI-NO, ajuste de disparo de 1 a dos barreras consecutivas")</f>
        <v>Barrera con barral 204 cm aluminio Rango: 20 m 12 barreras, , configuracion de cable sincronismo SI-NO, ajuste de disparo de 1 a dos barreras consecutivas</v>
      </c>
      <c r="D476" s="4" t="str">
        <f>IFERROR(__xludf.DUMMYFUNCTION("""COMPUTED_VALUE"""),"FOCUS")</f>
        <v>FOCUS</v>
      </c>
      <c r="E476" s="4" t="str">
        <f>IFERROR(__xludf.DUMMYFUNCTION("""COMPUTED_VALUE"""),"ABI2012")</f>
        <v>ABI2012</v>
      </c>
      <c r="F476" s="4" t="str">
        <f>IFERROR(__xludf.DUMMYFUNCTION("""COMPUTED_VALUE"""),"ALARMAS &gt; BARRERAS TIPO BARRAL")</f>
        <v>ALARMAS &gt; BARRERAS TIPO BARRAL</v>
      </c>
      <c r="G476" s="5"/>
      <c r="H476" s="6">
        <f>IFERROR(__xludf.DUMMYFUNCTION("""COMPUTED_VALUE"""),133.98)</f>
        <v>133.98</v>
      </c>
      <c r="I476" s="7">
        <f>IFERROR(__xludf.DUMMYFUNCTION("""COMPUTED_VALUE"""),10.5)</f>
        <v>10.5</v>
      </c>
      <c r="J476" s="6">
        <f>IFERROR(__xludf.DUMMYFUNCTION("""COMPUTED_VALUE"""),160.78)</f>
        <v>160.78</v>
      </c>
      <c r="K476" s="6">
        <f>IFERROR(__xludf.DUMMYFUNCTION("""COMPUTED_VALUE"""),187.57)</f>
        <v>187.57</v>
      </c>
      <c r="L476" s="3"/>
      <c r="M476" s="3"/>
    </row>
    <row r="477" ht="48.0" customHeight="1">
      <c r="A477" s="3" t="str">
        <f>IFERROR(__xludf.DUMMYFUNCTION("""COMPUTED_VALUE"""),"ABX408")</f>
        <v>ABX408</v>
      </c>
      <c r="B477" s="4" t="str">
        <f>IFERROR(__xludf.DUMMYFUNCTION("""COMPUTED_VALUE"""),"BARRERA CON BARRAL 140 CM ALUMINIO RANGO: 40 M 8 BARRERAS")</f>
        <v>BARRERA CON BARRAL 140 CM ALUMINIO RANGO: 40 M 8 BARRERAS</v>
      </c>
      <c r="C477" s="4" t="str">
        <f>IFERROR(__xludf.DUMMYFUNCTION("""COMPUTED_VALUE"""),"Barrera con barral 140 cm aluminio Rango: 40 m 8 barreras")</f>
        <v>Barrera con barral 140 cm aluminio Rango: 40 m 8 barreras</v>
      </c>
      <c r="D477" s="4" t="str">
        <f>IFERROR(__xludf.DUMMYFUNCTION("""COMPUTED_VALUE"""),"FOCUS")</f>
        <v>FOCUS</v>
      </c>
      <c r="E477" s="4" t="str">
        <f>IFERROR(__xludf.DUMMYFUNCTION("""COMPUTED_VALUE"""),"ABX408")</f>
        <v>ABX408</v>
      </c>
      <c r="F477" s="4" t="str">
        <f>IFERROR(__xludf.DUMMYFUNCTION("""COMPUTED_VALUE"""),"ALARMAS &gt; BARRERAS TIPO BARRAL")</f>
        <v>ALARMAS &gt; BARRERAS TIPO BARRAL</v>
      </c>
      <c r="G477" s="5"/>
      <c r="H477" s="6">
        <f>IFERROR(__xludf.DUMMYFUNCTION("""COMPUTED_VALUE"""),121.22)</f>
        <v>121.22</v>
      </c>
      <c r="I477" s="7">
        <f>IFERROR(__xludf.DUMMYFUNCTION("""COMPUTED_VALUE"""),10.5)</f>
        <v>10.5</v>
      </c>
      <c r="J477" s="6">
        <f>IFERROR(__xludf.DUMMYFUNCTION("""COMPUTED_VALUE"""),145.46)</f>
        <v>145.46</v>
      </c>
      <c r="K477" s="6">
        <f>IFERROR(__xludf.DUMMYFUNCTION("""COMPUTED_VALUE"""),169.71)</f>
        <v>169.71</v>
      </c>
      <c r="L477" s="3"/>
      <c r="M477" s="3"/>
    </row>
    <row r="478" ht="48.0" customHeight="1">
      <c r="A478" s="3" t="str">
        <f>IFERROR(__xludf.DUMMYFUNCTION("""COMPUTED_VALUE"""),"ABX604")</f>
        <v>ABX604</v>
      </c>
      <c r="B478" s="4" t="str">
        <f>IFERROR(__xludf.DUMMYFUNCTION("""COMPUTED_VALUE"""),"BARRERA CON BARRAL DE 95 CM ALUMINIO RANGO: 60 M 4 BARRERAS")</f>
        <v>BARRERA CON BARRAL DE 95 CM ALUMINIO RANGO: 60 M 4 BARRERAS</v>
      </c>
      <c r="C478" s="4" t="str">
        <f>IFERROR(__xludf.DUMMYFUNCTION("""COMPUTED_VALUE"""),"Barrera con barral de 95 cm aluminio Rango: 60 m 4 barreras.")</f>
        <v>Barrera con barral de 95 cm aluminio Rango: 60 m 4 barreras.</v>
      </c>
      <c r="D478" s="4" t="str">
        <f>IFERROR(__xludf.DUMMYFUNCTION("""COMPUTED_VALUE"""),"FOCUS")</f>
        <v>FOCUS</v>
      </c>
      <c r="E478" s="4" t="str">
        <f>IFERROR(__xludf.DUMMYFUNCTION("""COMPUTED_VALUE"""),"ABX604")</f>
        <v>ABX604</v>
      </c>
      <c r="F478" s="4" t="str">
        <f>IFERROR(__xludf.DUMMYFUNCTION("""COMPUTED_VALUE"""),"ALARMAS &gt; BARRERAS TIPO BARRAL")</f>
        <v>ALARMAS &gt; BARRERAS TIPO BARRAL</v>
      </c>
      <c r="G478" s="5"/>
      <c r="H478" s="6">
        <f>IFERROR(__xludf.DUMMYFUNCTION("""COMPUTED_VALUE"""),86.9)</f>
        <v>86.9</v>
      </c>
      <c r="I478" s="7">
        <f>IFERROR(__xludf.DUMMYFUNCTION("""COMPUTED_VALUE"""),10.5)</f>
        <v>10.5</v>
      </c>
      <c r="J478" s="6">
        <f>IFERROR(__xludf.DUMMYFUNCTION("""COMPUTED_VALUE"""),104.28)</f>
        <v>104.28</v>
      </c>
      <c r="K478" s="6">
        <f>IFERROR(__xludf.DUMMYFUNCTION("""COMPUTED_VALUE"""),121.66)</f>
        <v>121.66</v>
      </c>
      <c r="L478" s="3"/>
      <c r="M478" s="3"/>
    </row>
    <row r="479" ht="48.0" customHeight="1">
      <c r="A479" s="3" t="str">
        <f>IFERROR(__xludf.DUMMYFUNCTION("""COMPUTED_VALUE"""),"ABI604")</f>
        <v>ABI604</v>
      </c>
      <c r="B479" s="4" t="str">
        <f>IFERROR(__xludf.DUMMYFUNCTION("""COMPUTED_VALUE"""),"BARRERA CON BARRAL DE 73 CM ALUMINIO RANGO: 60")</f>
        <v>BARRERA CON BARRAL DE 73 CM ALUMINIO RANGO: 60</v>
      </c>
      <c r="C479" s="4" t="str">
        <f>IFERROR(__xludf.DUMMYFUNCTION("""COMPUTED_VALUE"""),"Barrera con barral de 73 cm aluminio Rango: 60 m 4 barreras, configuracion de cable sincronismo SI-NO, ajuste de disparo de 1 a dos barreras consecutivas")</f>
        <v>Barrera con barral de 73 cm aluminio Rango: 60 m 4 barreras, configuracion de cable sincronismo SI-NO, ajuste de disparo de 1 a dos barreras consecutivas</v>
      </c>
      <c r="D479" s="4" t="str">
        <f>IFERROR(__xludf.DUMMYFUNCTION("""COMPUTED_VALUE"""),"FOCUS")</f>
        <v>FOCUS</v>
      </c>
      <c r="E479" s="4" t="str">
        <f>IFERROR(__xludf.DUMMYFUNCTION("""COMPUTED_VALUE"""),"ABI604")</f>
        <v>ABI604</v>
      </c>
      <c r="F479" s="4" t="str">
        <f>IFERROR(__xludf.DUMMYFUNCTION("""COMPUTED_VALUE"""),"ALARMAS &gt; BARRERAS TIPO BARRAL")</f>
        <v>ALARMAS &gt; BARRERAS TIPO BARRAL</v>
      </c>
      <c r="G479" s="5"/>
      <c r="H479" s="6">
        <f>IFERROR(__xludf.DUMMYFUNCTION("""COMPUTED_VALUE"""),92.51)</f>
        <v>92.51</v>
      </c>
      <c r="I479" s="7">
        <f>IFERROR(__xludf.DUMMYFUNCTION("""COMPUTED_VALUE"""),10.5)</f>
        <v>10.5</v>
      </c>
      <c r="J479" s="6">
        <f>IFERROR(__xludf.DUMMYFUNCTION("""COMPUTED_VALUE"""),111.01)</f>
        <v>111.01</v>
      </c>
      <c r="K479" s="6">
        <f>IFERROR(__xludf.DUMMYFUNCTION("""COMPUTED_VALUE"""),129.51)</f>
        <v>129.51</v>
      </c>
      <c r="L479" s="3"/>
      <c r="M479" s="3"/>
    </row>
    <row r="480" ht="48.0" customHeight="1">
      <c r="A480" s="3" t="str">
        <f>IFERROR(__xludf.DUMMYFUNCTION("""COMPUTED_VALUE"""),"ABX6012")</f>
        <v>ABX6012</v>
      </c>
      <c r="B480" s="4" t="str">
        <f>IFERROR(__xludf.DUMMYFUNCTION("""COMPUTED_VALUE"""),"BARRERA CON BARRAL 204 CM ALUMINIO RANGO: 60 M 12 BARRERAS")</f>
        <v>BARRERA CON BARRAL 204 CM ALUMINIO RANGO: 60 M 12 BARRERAS</v>
      </c>
      <c r="C480" s="4" t="str">
        <f>IFERROR(__xludf.DUMMYFUNCTION("""COMPUTED_VALUE"""),"Barrera con barral 204 cm aluminio Rango: 60 m 12 barreras")</f>
        <v>Barrera con barral 204 cm aluminio Rango: 60 m 12 barreras</v>
      </c>
      <c r="D480" s="4" t="str">
        <f>IFERROR(__xludf.DUMMYFUNCTION("""COMPUTED_VALUE"""),"FOCUS")</f>
        <v>FOCUS</v>
      </c>
      <c r="E480" s="4" t="str">
        <f>IFERROR(__xludf.DUMMYFUNCTION("""COMPUTED_VALUE"""),"ABX6012")</f>
        <v>ABX6012</v>
      </c>
      <c r="F480" s="4" t="str">
        <f>IFERROR(__xludf.DUMMYFUNCTION("""COMPUTED_VALUE"""),"ALARMAS &gt; BARRERAS TIPO BARRAL")</f>
        <v>ALARMAS &gt; BARRERAS TIPO BARRAL</v>
      </c>
      <c r="G480" s="5"/>
      <c r="H480" s="6">
        <f>IFERROR(__xludf.DUMMYFUNCTION("""COMPUTED_VALUE"""),172.26)</f>
        <v>172.26</v>
      </c>
      <c r="I480" s="7">
        <f>IFERROR(__xludf.DUMMYFUNCTION("""COMPUTED_VALUE"""),10.5)</f>
        <v>10.5</v>
      </c>
      <c r="J480" s="6">
        <f>IFERROR(__xludf.DUMMYFUNCTION("""COMPUTED_VALUE"""),206.71)</f>
        <v>206.71</v>
      </c>
      <c r="K480" s="6">
        <f>IFERROR(__xludf.DUMMYFUNCTION("""COMPUTED_VALUE"""),241.16)</f>
        <v>241.16</v>
      </c>
      <c r="L480" s="3"/>
      <c r="M480" s="3"/>
    </row>
    <row r="481" ht="48.0" customHeight="1">
      <c r="A481" s="3" t="str">
        <f>IFERROR(__xludf.DUMMYFUNCTION("""COMPUTED_VALUE"""),"TKMW50H")</f>
        <v>TKMW50H</v>
      </c>
      <c r="B481" s="4" t="str">
        <f>IFERROR(__xludf.DUMMYFUNCTION("""COMPUTED_VALUE"""),"BARRERA DE MICROONDAS EXTERIOR")</f>
        <v>BARRERA DE MICROONDAS EXTERIOR</v>
      </c>
      <c r="C481" s="4" t="str">
        <f>IFERROR(__xludf.DUMMYFUNCTION("""COMPUTED_VALUE"""),"Barrera de microondas exterior. Rango: 1 a 50m. Frecuencia H. Excelente comportamiento en cualquier tipo de meteorología.")</f>
        <v>Barrera de microondas exterior. Rango: 1 a 50m. Frecuencia H. Excelente comportamiento en cualquier tipo de meteorología.</v>
      </c>
      <c r="D481" s="4" t="str">
        <f>IFERROR(__xludf.DUMMYFUNCTION("""COMPUTED_VALUE"""),"TAKEX")</f>
        <v>TAKEX</v>
      </c>
      <c r="E481" s="4" t="str">
        <f>IFERROR(__xludf.DUMMYFUNCTION("""COMPUTED_VALUE"""),"TKMW50H")</f>
        <v>TKMW50H</v>
      </c>
      <c r="F481" s="4" t="str">
        <f>IFERROR(__xludf.DUMMYFUNCTION("""COMPUTED_VALUE"""),"ALARMAS &gt; BARRERAS MICROONDAS PARA EXTERIOR")</f>
        <v>ALARMAS &gt; BARRERAS MICROONDAS PARA EXTERIOR</v>
      </c>
      <c r="G481" s="5"/>
      <c r="H481" s="6">
        <f>IFERROR(__xludf.DUMMYFUNCTION("""COMPUTED_VALUE"""),479.6)</f>
        <v>479.6</v>
      </c>
      <c r="I481" s="7">
        <f>IFERROR(__xludf.DUMMYFUNCTION("""COMPUTED_VALUE"""),10.5)</f>
        <v>10.5</v>
      </c>
      <c r="J481" s="6">
        <f>IFERROR(__xludf.DUMMYFUNCTION("""COMPUTED_VALUE"""),575.52)</f>
        <v>575.52</v>
      </c>
      <c r="K481" s="6">
        <f>IFERROR(__xludf.DUMMYFUNCTION("""COMPUTED_VALUE"""),671.44)</f>
        <v>671.44</v>
      </c>
      <c r="L481" s="3"/>
      <c r="M481" s="3"/>
    </row>
    <row r="482" ht="48.0" customHeight="1">
      <c r="A482" s="3" t="str">
        <f>IFERROR(__xludf.DUMMYFUNCTION("""COMPUTED_VALUE"""),"TKMW50L")</f>
        <v>TKMW50L</v>
      </c>
      <c r="B482" s="4" t="str">
        <f>IFERROR(__xludf.DUMMYFUNCTION("""COMPUTED_VALUE"""),"BARRERA DE MICROONDAS EXTERIOR")</f>
        <v>BARRERA DE MICROONDAS EXTERIOR</v>
      </c>
      <c r="C482" s="4" t="str">
        <f>IFERROR(__xludf.DUMMYFUNCTION("""COMPUTED_VALUE"""),"Barrera de microondas exterior. Rango: 1 a 50m. Frecuencia L. Excelente comportamiento en cualquier tipo de meteorología.")</f>
        <v>Barrera de microondas exterior. Rango: 1 a 50m. Frecuencia L. Excelente comportamiento en cualquier tipo de meteorología.</v>
      </c>
      <c r="D482" s="4" t="str">
        <f>IFERROR(__xludf.DUMMYFUNCTION("""COMPUTED_VALUE"""),"TAKEX")</f>
        <v>TAKEX</v>
      </c>
      <c r="E482" s="4" t="str">
        <f>IFERROR(__xludf.DUMMYFUNCTION("""COMPUTED_VALUE"""),"TKMW50L")</f>
        <v>TKMW50L</v>
      </c>
      <c r="F482" s="4" t="str">
        <f>IFERROR(__xludf.DUMMYFUNCTION("""COMPUTED_VALUE"""),"ALARMAS &gt; BARRERAS MICROONDAS PARA EXTERIOR")</f>
        <v>ALARMAS &gt; BARRERAS MICROONDAS PARA EXTERIOR</v>
      </c>
      <c r="G482" s="5"/>
      <c r="H482" s="6">
        <f>IFERROR(__xludf.DUMMYFUNCTION("""COMPUTED_VALUE"""),479.6)</f>
        <v>479.6</v>
      </c>
      <c r="I482" s="7">
        <f>IFERROR(__xludf.DUMMYFUNCTION("""COMPUTED_VALUE"""),10.5)</f>
        <v>10.5</v>
      </c>
      <c r="J482" s="6">
        <f>IFERROR(__xludf.DUMMYFUNCTION("""COMPUTED_VALUE"""),575.52)</f>
        <v>575.52</v>
      </c>
      <c r="K482" s="6">
        <f>IFERROR(__xludf.DUMMYFUNCTION("""COMPUTED_VALUE"""),671.44)</f>
        <v>671.44</v>
      </c>
      <c r="L482" s="3"/>
      <c r="M482" s="3"/>
    </row>
    <row r="483" ht="48.0" customHeight="1">
      <c r="A483" s="3" t="str">
        <f>IFERROR(__xludf.DUMMYFUNCTION("""COMPUTED_VALUE"""),"TKMW100H")</f>
        <v>TKMW100H</v>
      </c>
      <c r="B483" s="4" t="str">
        <f>IFERROR(__xludf.DUMMYFUNCTION("""COMPUTED_VALUE"""),"BARRERA DE MICROONDAS EXTERIOR")</f>
        <v>BARRERA DE MICROONDAS EXTERIOR</v>
      </c>
      <c r="C483" s="4" t="str">
        <f>IFERROR(__xludf.DUMMYFUNCTION("""COMPUTED_VALUE"""),"Barrera de microondas exterior. Rango: 1 a 100m. Frecuencia H. Excelente comportamiento en cualquier tipo de meteorología.")</f>
        <v>Barrera de microondas exterior. Rango: 1 a 100m. Frecuencia H. Excelente comportamiento en cualquier tipo de meteorología.</v>
      </c>
      <c r="D483" s="4" t="str">
        <f>IFERROR(__xludf.DUMMYFUNCTION("""COMPUTED_VALUE"""),"TAKEX")</f>
        <v>TAKEX</v>
      </c>
      <c r="E483" s="4" t="str">
        <f>IFERROR(__xludf.DUMMYFUNCTION("""COMPUTED_VALUE"""),"TKMW100H")</f>
        <v>TKMW100H</v>
      </c>
      <c r="F483" s="4" t="str">
        <f>IFERROR(__xludf.DUMMYFUNCTION("""COMPUTED_VALUE"""),"ALARMAS &gt; BARRERAS MICROONDAS PARA EXTERIOR")</f>
        <v>ALARMAS &gt; BARRERAS MICROONDAS PARA EXTERIOR</v>
      </c>
      <c r="G483" s="5"/>
      <c r="H483" s="6">
        <f>IFERROR(__xludf.DUMMYFUNCTION("""COMPUTED_VALUE"""),595.1)</f>
        <v>595.1</v>
      </c>
      <c r="I483" s="7">
        <f>IFERROR(__xludf.DUMMYFUNCTION("""COMPUTED_VALUE"""),10.5)</f>
        <v>10.5</v>
      </c>
      <c r="J483" s="6">
        <f>IFERROR(__xludf.DUMMYFUNCTION("""COMPUTED_VALUE"""),714.12)</f>
        <v>714.12</v>
      </c>
      <c r="K483" s="6">
        <f>IFERROR(__xludf.DUMMYFUNCTION("""COMPUTED_VALUE"""),833.14)</f>
        <v>833.14</v>
      </c>
      <c r="L483" s="3"/>
      <c r="M483" s="3"/>
    </row>
    <row r="484" ht="48.0" customHeight="1">
      <c r="A484" s="3" t="str">
        <f>IFERROR(__xludf.DUMMYFUNCTION("""COMPUTED_VALUE"""),"TKMW100L")</f>
        <v>TKMW100L</v>
      </c>
      <c r="B484" s="4" t="str">
        <f>IFERROR(__xludf.DUMMYFUNCTION("""COMPUTED_VALUE"""),"BARRERA DE MICROONDAS EXTERIOR")</f>
        <v>BARRERA DE MICROONDAS EXTERIOR</v>
      </c>
      <c r="C484" s="4" t="str">
        <f>IFERROR(__xludf.DUMMYFUNCTION("""COMPUTED_VALUE"""),"Barrera de microondas exterior. Rango: 1 a 100m. Frecuencia L. Excelente comportamiento en cualquier tipo de meteorología.")</f>
        <v>Barrera de microondas exterior. Rango: 1 a 100m. Frecuencia L. Excelente comportamiento en cualquier tipo de meteorología.</v>
      </c>
      <c r="D484" s="4" t="str">
        <f>IFERROR(__xludf.DUMMYFUNCTION("""COMPUTED_VALUE"""),"TAKEX")</f>
        <v>TAKEX</v>
      </c>
      <c r="E484" s="4" t="str">
        <f>IFERROR(__xludf.DUMMYFUNCTION("""COMPUTED_VALUE"""),"TKMW100L")</f>
        <v>TKMW100L</v>
      </c>
      <c r="F484" s="4" t="str">
        <f>IFERROR(__xludf.DUMMYFUNCTION("""COMPUTED_VALUE"""),"ALARMAS &gt; BARRERAS MICROONDAS PARA EXTERIOR")</f>
        <v>ALARMAS &gt; BARRERAS MICROONDAS PARA EXTERIOR</v>
      </c>
      <c r="G484" s="5"/>
      <c r="H484" s="6">
        <f>IFERROR(__xludf.DUMMYFUNCTION("""COMPUTED_VALUE"""),595.1)</f>
        <v>595.1</v>
      </c>
      <c r="I484" s="7">
        <f>IFERROR(__xludf.DUMMYFUNCTION("""COMPUTED_VALUE"""),10.5)</f>
        <v>10.5</v>
      </c>
      <c r="J484" s="6">
        <f>IFERROR(__xludf.DUMMYFUNCTION("""COMPUTED_VALUE"""),714.12)</f>
        <v>714.12</v>
      </c>
      <c r="K484" s="6">
        <f>IFERROR(__xludf.DUMMYFUNCTION("""COMPUTED_VALUE"""),833.14)</f>
        <v>833.14</v>
      </c>
      <c r="L484" s="3"/>
      <c r="M484" s="3"/>
    </row>
    <row r="485" ht="48.0" customHeight="1">
      <c r="A485" s="3" t="str">
        <f>IFERROR(__xludf.DUMMYFUNCTION("""COMPUTED_VALUE"""),"TKCOM50XTH")</f>
        <v>TKCOM50XTH</v>
      </c>
      <c r="B485" s="4" t="str">
        <f>IFERROR(__xludf.DUMMYFUNCTION("""COMPUTED_VALUE"""),"BARRERA DUAL INFRARROJA MAS MICROONDAS PARA EXTERIOR 4 HACES")</f>
        <v>BARRERA DUAL INFRARROJA MAS MICROONDAS PARA EXTERIOR 4 HACES</v>
      </c>
      <c r="C485" s="4" t="str">
        <f>IFERROR(__xludf.DUMMYFUNCTION("""COMPUTED_VALUE"""),"Barrera DUAL infrarroja mas microondas para exterior 4 haces 50 metros")</f>
        <v>Barrera DUAL infrarroja mas microondas para exterior 4 haces 50 metros</v>
      </c>
      <c r="D485" s="4" t="str">
        <f>IFERROR(__xludf.DUMMYFUNCTION("""COMPUTED_VALUE"""),"TAKEX")</f>
        <v>TAKEX</v>
      </c>
      <c r="E485" s="4" t="str">
        <f>IFERROR(__xludf.DUMMYFUNCTION("""COMPUTED_VALUE"""),"TKCOM50XTH")</f>
        <v>TKCOM50XTH</v>
      </c>
      <c r="F485" s="4" t="str">
        <f>IFERROR(__xludf.DUMMYFUNCTION("""COMPUTED_VALUE"""),"ALARMAS &gt; BARRERAS MICROONDAS PARA EXTERIOR")</f>
        <v>ALARMAS &gt; BARRERAS MICROONDAS PARA EXTERIOR</v>
      </c>
      <c r="G485" s="5"/>
      <c r="H485" s="6">
        <f>IFERROR(__xludf.DUMMYFUNCTION("""COMPUTED_VALUE"""),903.1)</f>
        <v>903.1</v>
      </c>
      <c r="I485" s="7">
        <f>IFERROR(__xludf.DUMMYFUNCTION("""COMPUTED_VALUE"""),10.5)</f>
        <v>10.5</v>
      </c>
      <c r="J485" s="6">
        <f>IFERROR(__xludf.DUMMYFUNCTION("""COMPUTED_VALUE"""),1083.72)</f>
        <v>1083.72</v>
      </c>
      <c r="K485" s="6">
        <f>IFERROR(__xludf.DUMMYFUNCTION("""COMPUTED_VALUE"""),1264.34)</f>
        <v>1264.34</v>
      </c>
      <c r="L485" s="3"/>
      <c r="M485" s="3"/>
    </row>
    <row r="486" ht="48.0" customHeight="1">
      <c r="A486" s="3" t="str">
        <f>IFERROR(__xludf.DUMMYFUNCTION("""COMPUTED_VALUE"""),"TKCOMIN50HFH")</f>
        <v>TKCOMIN50HFH</v>
      </c>
      <c r="B486" s="4" t="str">
        <f>IFERROR(__xludf.DUMMYFUNCTION("""COMPUTED_VALUE"""),"BARRERA DUAL INFRARROJA MAS MICROONDAS PARA EXTERIOR 4 HACES")</f>
        <v>BARRERA DUAL INFRARROJA MAS MICROONDAS PARA EXTERIOR 4 HACES</v>
      </c>
      <c r="C486" s="4" t="str">
        <f>IFERROR(__xludf.DUMMYFUNCTION("""COMPUTED_VALUE"""),"Barrera DUAL infrarroja mas microondas para exterior 4 haces 50 metros FRECUENCIA H")</f>
        <v>Barrera DUAL infrarroja mas microondas para exterior 4 haces 50 metros FRECUENCIA H</v>
      </c>
      <c r="D486" s="4" t="str">
        <f>IFERROR(__xludf.DUMMYFUNCTION("""COMPUTED_VALUE"""),"TAKEX")</f>
        <v>TAKEX</v>
      </c>
      <c r="E486" s="4" t="str">
        <f>IFERROR(__xludf.DUMMYFUNCTION("""COMPUTED_VALUE"""),"TKCOMIN50HFH")</f>
        <v>TKCOMIN50HFH</v>
      </c>
      <c r="F486" s="4" t="str">
        <f>IFERROR(__xludf.DUMMYFUNCTION("""COMPUTED_VALUE"""),"ALARMAS &gt; BARRERAS MICROONDAS PARA EXTERIOR")</f>
        <v>ALARMAS &gt; BARRERAS MICROONDAS PARA EXTERIOR</v>
      </c>
      <c r="G486" s="5"/>
      <c r="H486" s="6">
        <f>IFERROR(__xludf.DUMMYFUNCTION("""COMPUTED_VALUE"""),2079.0)</f>
        <v>2079</v>
      </c>
      <c r="I486" s="7">
        <f>IFERROR(__xludf.DUMMYFUNCTION("""COMPUTED_VALUE"""),10.5)</f>
        <v>10.5</v>
      </c>
      <c r="J486" s="6">
        <f>IFERROR(__xludf.DUMMYFUNCTION("""COMPUTED_VALUE"""),2494.8)</f>
        <v>2494.8</v>
      </c>
      <c r="K486" s="6">
        <f>IFERROR(__xludf.DUMMYFUNCTION("""COMPUTED_VALUE"""),2910.6)</f>
        <v>2910.6</v>
      </c>
      <c r="L486" s="3"/>
      <c r="M486" s="3"/>
    </row>
    <row r="487" ht="48.0" customHeight="1">
      <c r="A487" s="3" t="str">
        <f>IFERROR(__xludf.DUMMYFUNCTION("""COMPUTED_VALUE"""),"TKCOMIN50HFL")</f>
        <v>TKCOMIN50HFL</v>
      </c>
      <c r="B487" s="4" t="str">
        <f>IFERROR(__xludf.DUMMYFUNCTION("""COMPUTED_VALUE"""),"BARRERA DUAL INFRARROJA MAS MICROONDAS PARA EXTERIOR 4 HACES")</f>
        <v>BARRERA DUAL INFRARROJA MAS MICROONDAS PARA EXTERIOR 4 HACES</v>
      </c>
      <c r="C487" s="4" t="str">
        <f>IFERROR(__xludf.DUMMYFUNCTION("""COMPUTED_VALUE"""),"Barrera DUAL infrarroja mas microondas para exterior 4 haces 50 metros FRECUENCIA L")</f>
        <v>Barrera DUAL infrarroja mas microondas para exterior 4 haces 50 metros FRECUENCIA L</v>
      </c>
      <c r="D487" s="4" t="str">
        <f>IFERROR(__xludf.DUMMYFUNCTION("""COMPUTED_VALUE"""),"TAKEX")</f>
        <v>TAKEX</v>
      </c>
      <c r="E487" s="4" t="str">
        <f>IFERROR(__xludf.DUMMYFUNCTION("""COMPUTED_VALUE"""),"TKCOMIN50HFL")</f>
        <v>TKCOMIN50HFL</v>
      </c>
      <c r="F487" s="4" t="str">
        <f>IFERROR(__xludf.DUMMYFUNCTION("""COMPUTED_VALUE"""),"ALARMAS &gt; BARRERAS MICROONDAS PARA EXTERIOR")</f>
        <v>ALARMAS &gt; BARRERAS MICROONDAS PARA EXTERIOR</v>
      </c>
      <c r="G487" s="5"/>
      <c r="H487" s="6">
        <f>IFERROR(__xludf.DUMMYFUNCTION("""COMPUTED_VALUE"""),2079.0)</f>
        <v>2079</v>
      </c>
      <c r="I487" s="7">
        <f>IFERROR(__xludf.DUMMYFUNCTION("""COMPUTED_VALUE"""),10.5)</f>
        <v>10.5</v>
      </c>
      <c r="J487" s="6">
        <f>IFERROR(__xludf.DUMMYFUNCTION("""COMPUTED_VALUE"""),2494.8)</f>
        <v>2494.8</v>
      </c>
      <c r="K487" s="6">
        <f>IFERROR(__xludf.DUMMYFUNCTION("""COMPUTED_VALUE"""),2910.6)</f>
        <v>2910.6</v>
      </c>
      <c r="L487" s="3"/>
      <c r="M487" s="3"/>
    </row>
    <row r="488" ht="48.0" customHeight="1">
      <c r="A488" s="3" t="str">
        <f>IFERROR(__xludf.DUMMYFUNCTION("""COMPUTED_VALUE"""),"HO03BB")</f>
        <v>HO03BB</v>
      </c>
      <c r="B488" s="4" t="str">
        <f>IFERROR(__xludf.DUMMYFUNCTION("""COMPUTED_VALUE"""),"MAGNÉTICO AUTOADHESIVO, PRECABLEADO")</f>
        <v>MAGNÉTICO AUTOADHESIVO, PRECABLEADO</v>
      </c>
      <c r="C488" s="4" t="str">
        <f>IFERROR(__xludf.DUMMYFUNCTION("""COMPUTED_VALUE"""),"Magnético Autoadhesivo, precableado. GAP 18mm Marrón")</f>
        <v>Magnético Autoadhesivo, precableado. GAP 18mm Marrón</v>
      </c>
      <c r="D488" s="4" t="str">
        <f>IFERROR(__xludf.DUMMYFUNCTION("""COMPUTED_VALUE"""),"OWL")</f>
        <v>OWL</v>
      </c>
      <c r="E488" s="4" t="str">
        <f>IFERROR(__xludf.DUMMYFUNCTION("""COMPUTED_VALUE"""),"HO03BB")</f>
        <v>HO03BB</v>
      </c>
      <c r="F488" s="4" t="str">
        <f>IFERROR(__xludf.DUMMYFUNCTION("""COMPUTED_VALUE"""),"ALARMAS &gt; SENSORES MAGNETICOS")</f>
        <v>ALARMAS &gt; SENSORES MAGNETICOS</v>
      </c>
      <c r="G488" s="5"/>
      <c r="H488" s="6">
        <f>IFERROR(__xludf.DUMMYFUNCTION("""COMPUTED_VALUE"""),1.76)</f>
        <v>1.76</v>
      </c>
      <c r="I488" s="7">
        <f>IFERROR(__xludf.DUMMYFUNCTION("""COMPUTED_VALUE"""),10.5)</f>
        <v>10.5</v>
      </c>
      <c r="J488" s="6">
        <f>IFERROR(__xludf.DUMMYFUNCTION("""COMPUTED_VALUE"""),2.11)</f>
        <v>2.11</v>
      </c>
      <c r="K488" s="6">
        <f>IFERROR(__xludf.DUMMYFUNCTION("""COMPUTED_VALUE"""),2.46)</f>
        <v>2.46</v>
      </c>
      <c r="L488" s="3"/>
      <c r="M488" s="3"/>
    </row>
    <row r="489" ht="48.0" customHeight="1">
      <c r="A489" s="3" t="str">
        <f>IFERROR(__xludf.DUMMYFUNCTION("""COMPUTED_VALUE"""),"HOBBX20")</f>
        <v>HOBBX20</v>
      </c>
      <c r="B489" s="4" t="str">
        <f>IFERROR(__xludf.DUMMYFUNCTION("""COMPUTED_VALUE"""),"MAGNÉTICO AUTOADHESIVO, PRECABLEADO")</f>
        <v>MAGNÉTICO AUTOADHESIVO, PRECABLEADO</v>
      </c>
      <c r="C489" s="4" t="str">
        <f>IFERROR(__xludf.DUMMYFUNCTION("""COMPUTED_VALUE"""),"Magnético Autoadhesivo, precableado. GAP 18mm Marrón. Blister x 20 unidades")</f>
        <v>Magnético Autoadhesivo, precableado. GAP 18mm Marrón. Blister x 20 unidades</v>
      </c>
      <c r="D489" s="4" t="str">
        <f>IFERROR(__xludf.DUMMYFUNCTION("""COMPUTED_VALUE"""),"OWL")</f>
        <v>OWL</v>
      </c>
      <c r="E489" s="4" t="str">
        <f>IFERROR(__xludf.DUMMYFUNCTION("""COMPUTED_VALUE"""),"HOBBX20")</f>
        <v>HOBBX20</v>
      </c>
      <c r="F489" s="4" t="str">
        <f>IFERROR(__xludf.DUMMYFUNCTION("""COMPUTED_VALUE"""),"ALARMAS &gt; SENSORES MAGNETICOS")</f>
        <v>ALARMAS &gt; SENSORES MAGNETICOS</v>
      </c>
      <c r="G489" s="5"/>
      <c r="H489" s="6">
        <f>IFERROR(__xludf.DUMMYFUNCTION("""COMPUTED_VALUE"""),31.68)</f>
        <v>31.68</v>
      </c>
      <c r="I489" s="7">
        <f>IFERROR(__xludf.DUMMYFUNCTION("""COMPUTED_VALUE"""),10.5)</f>
        <v>10.5</v>
      </c>
      <c r="J489" s="6">
        <f>IFERROR(__xludf.DUMMYFUNCTION("""COMPUTED_VALUE"""),38.02)</f>
        <v>38.02</v>
      </c>
      <c r="K489" s="6">
        <f>IFERROR(__xludf.DUMMYFUNCTION("""COMPUTED_VALUE"""),44.35)</f>
        <v>44.35</v>
      </c>
      <c r="L489" s="3"/>
      <c r="M489" s="3"/>
    </row>
    <row r="490" ht="48.0" customHeight="1">
      <c r="A490" s="3" t="str">
        <f>IFERROR(__xludf.DUMMYFUNCTION("""COMPUTED_VALUE"""),"HO03BW")</f>
        <v>HO03BW</v>
      </c>
      <c r="B490" s="4" t="str">
        <f>IFERROR(__xludf.DUMMYFUNCTION("""COMPUTED_VALUE"""),"MAGNÉTICO AUTOADHESIVO, PRECABLEADO")</f>
        <v>MAGNÉTICO AUTOADHESIVO, PRECABLEADO</v>
      </c>
      <c r="C490" s="4" t="str">
        <f>IFERROR(__xludf.DUMMYFUNCTION("""COMPUTED_VALUE"""),"Magnético Autoadhesivo, precableado. GAP 18mm blanco")</f>
        <v>Magnético Autoadhesivo, precableado. GAP 18mm blanco</v>
      </c>
      <c r="D490" s="4" t="str">
        <f>IFERROR(__xludf.DUMMYFUNCTION("""COMPUTED_VALUE"""),"OWL")</f>
        <v>OWL</v>
      </c>
      <c r="E490" s="4" t="str">
        <f>IFERROR(__xludf.DUMMYFUNCTION("""COMPUTED_VALUE"""),"HO03BW")</f>
        <v>HO03BW</v>
      </c>
      <c r="F490" s="4" t="str">
        <f>IFERROR(__xludf.DUMMYFUNCTION("""COMPUTED_VALUE"""),"ALARMAS &gt; SENSORES MAGNETICOS")</f>
        <v>ALARMAS &gt; SENSORES MAGNETICOS</v>
      </c>
      <c r="G490" s="5"/>
      <c r="H490" s="6">
        <f>IFERROR(__xludf.DUMMYFUNCTION("""COMPUTED_VALUE"""),1.76)</f>
        <v>1.76</v>
      </c>
      <c r="I490" s="7">
        <f>IFERROR(__xludf.DUMMYFUNCTION("""COMPUTED_VALUE"""),10.5)</f>
        <v>10.5</v>
      </c>
      <c r="J490" s="6">
        <f>IFERROR(__xludf.DUMMYFUNCTION("""COMPUTED_VALUE"""),2.11)</f>
        <v>2.11</v>
      </c>
      <c r="K490" s="6">
        <f>IFERROR(__xludf.DUMMYFUNCTION("""COMPUTED_VALUE"""),2.46)</f>
        <v>2.46</v>
      </c>
      <c r="L490" s="3"/>
      <c r="M490" s="3"/>
    </row>
    <row r="491" ht="48.0" customHeight="1">
      <c r="A491" s="3" t="str">
        <f>IFERROR(__xludf.DUMMYFUNCTION("""COMPUTED_VALUE"""),"HOBWX20")</f>
        <v>HOBWX20</v>
      </c>
      <c r="B491" s="4" t="str">
        <f>IFERROR(__xludf.DUMMYFUNCTION("""COMPUTED_VALUE"""),"MAGNÉTICO AUTOADHESIVO, PRECABLEADO")</f>
        <v>MAGNÉTICO AUTOADHESIVO, PRECABLEADO</v>
      </c>
      <c r="C491" s="4" t="str">
        <f>IFERROR(__xludf.DUMMYFUNCTION("""COMPUTED_VALUE"""),"Magnético Autoadhesivo, precableado. GAP 18mm blanco. Blister x 20 unidades")</f>
        <v>Magnético Autoadhesivo, precableado. GAP 18mm blanco. Blister x 20 unidades</v>
      </c>
      <c r="D491" s="4" t="str">
        <f>IFERROR(__xludf.DUMMYFUNCTION("""COMPUTED_VALUE"""),"OWL")</f>
        <v>OWL</v>
      </c>
      <c r="E491" s="4" t="str">
        <f>IFERROR(__xludf.DUMMYFUNCTION("""COMPUTED_VALUE"""),"HOBWX20")</f>
        <v>HOBWX20</v>
      </c>
      <c r="F491" s="4" t="str">
        <f>IFERROR(__xludf.DUMMYFUNCTION("""COMPUTED_VALUE"""),"ALARMAS &gt; SENSORES MAGNETICOS")</f>
        <v>ALARMAS &gt; SENSORES MAGNETICOS</v>
      </c>
      <c r="G491" s="5"/>
      <c r="H491" s="6">
        <f>IFERROR(__xludf.DUMMYFUNCTION("""COMPUTED_VALUE"""),31.68)</f>
        <v>31.68</v>
      </c>
      <c r="I491" s="7">
        <f>IFERROR(__xludf.DUMMYFUNCTION("""COMPUTED_VALUE"""),10.5)</f>
        <v>10.5</v>
      </c>
      <c r="J491" s="6">
        <f>IFERROR(__xludf.DUMMYFUNCTION("""COMPUTED_VALUE"""),38.02)</f>
        <v>38.02</v>
      </c>
      <c r="K491" s="6">
        <f>IFERROR(__xludf.DUMMYFUNCTION("""COMPUTED_VALUE"""),44.35)</f>
        <v>44.35</v>
      </c>
      <c r="L491" s="3"/>
      <c r="M491" s="3"/>
    </row>
    <row r="492" ht="48.0" customHeight="1">
      <c r="A492" s="3" t="str">
        <f>IFERROR(__xludf.DUMMYFUNCTION("""COMPUTED_VALUE"""),"HO03EB")</f>
        <v>HO03EB</v>
      </c>
      <c r="B492" s="4" t="str">
        <f>IFERROR(__xludf.DUMMYFUNCTION("""COMPUTED_VALUE"""),"MAGNÉTICO PARA EMBUTIR EN MADERA")</f>
        <v>MAGNÉTICO PARA EMBUTIR EN MADERA</v>
      </c>
      <c r="C492" s="4" t="str">
        <f>IFERROR(__xludf.DUMMYFUNCTION("""COMPUTED_VALUE"""),"Magnético Para embutir en madera. GAP 25mm Marrón")</f>
        <v>Magnético Para embutir en madera. GAP 25mm Marrón</v>
      </c>
      <c r="D492" s="4" t="str">
        <f>IFERROR(__xludf.DUMMYFUNCTION("""COMPUTED_VALUE"""),"OWL")</f>
        <v>OWL</v>
      </c>
      <c r="E492" s="4" t="str">
        <f>IFERROR(__xludf.DUMMYFUNCTION("""COMPUTED_VALUE"""),"HO03EB")</f>
        <v>HO03EB</v>
      </c>
      <c r="F492" s="4" t="str">
        <f>IFERROR(__xludf.DUMMYFUNCTION("""COMPUTED_VALUE"""),"ALARMAS &gt; SENSORES MAGNETICOS")</f>
        <v>ALARMAS &gt; SENSORES MAGNETICOS</v>
      </c>
      <c r="G492" s="5"/>
      <c r="H492" s="6">
        <f>IFERROR(__xludf.DUMMYFUNCTION("""COMPUTED_VALUE"""),1.76)</f>
        <v>1.76</v>
      </c>
      <c r="I492" s="7">
        <f>IFERROR(__xludf.DUMMYFUNCTION("""COMPUTED_VALUE"""),10.5)</f>
        <v>10.5</v>
      </c>
      <c r="J492" s="6">
        <f>IFERROR(__xludf.DUMMYFUNCTION("""COMPUTED_VALUE"""),2.11)</f>
        <v>2.11</v>
      </c>
      <c r="K492" s="6">
        <f>IFERROR(__xludf.DUMMYFUNCTION("""COMPUTED_VALUE"""),2.46)</f>
        <v>2.46</v>
      </c>
      <c r="L492" s="3"/>
      <c r="M492" s="3"/>
    </row>
    <row r="493" ht="48.0" customHeight="1">
      <c r="A493" s="3" t="str">
        <f>IFERROR(__xludf.DUMMYFUNCTION("""COMPUTED_VALUE"""),"HOEBX20")</f>
        <v>HOEBX20</v>
      </c>
      <c r="B493" s="4" t="str">
        <f>IFERROR(__xludf.DUMMYFUNCTION("""COMPUTED_VALUE"""),"MAGNÉTICO PARA EMBUTIR EN MADERA")</f>
        <v>MAGNÉTICO PARA EMBUTIR EN MADERA</v>
      </c>
      <c r="C493" s="4" t="str">
        <f>IFERROR(__xludf.DUMMYFUNCTION("""COMPUTED_VALUE"""),"Magnético Para embutir en madera. GAP 25mm Marrón. Blister x 20 unidades")</f>
        <v>Magnético Para embutir en madera. GAP 25mm Marrón. Blister x 20 unidades</v>
      </c>
      <c r="D493" s="4" t="str">
        <f>IFERROR(__xludf.DUMMYFUNCTION("""COMPUTED_VALUE"""),"OWL")</f>
        <v>OWL</v>
      </c>
      <c r="E493" s="4" t="str">
        <f>IFERROR(__xludf.DUMMYFUNCTION("""COMPUTED_VALUE"""),"HOEBX20")</f>
        <v>HOEBX20</v>
      </c>
      <c r="F493" s="4" t="str">
        <f>IFERROR(__xludf.DUMMYFUNCTION("""COMPUTED_VALUE"""),"ALARMAS &gt; SENSORES MAGNETICOS")</f>
        <v>ALARMAS &gt; SENSORES MAGNETICOS</v>
      </c>
      <c r="G493" s="5"/>
      <c r="H493" s="6">
        <f>IFERROR(__xludf.DUMMYFUNCTION("""COMPUTED_VALUE"""),31.68)</f>
        <v>31.68</v>
      </c>
      <c r="I493" s="7">
        <f>IFERROR(__xludf.DUMMYFUNCTION("""COMPUTED_VALUE"""),10.5)</f>
        <v>10.5</v>
      </c>
      <c r="J493" s="6">
        <f>IFERROR(__xludf.DUMMYFUNCTION("""COMPUTED_VALUE"""),38.02)</f>
        <v>38.02</v>
      </c>
      <c r="K493" s="6">
        <f>IFERROR(__xludf.DUMMYFUNCTION("""COMPUTED_VALUE"""),44.35)</f>
        <v>44.35</v>
      </c>
      <c r="L493" s="3"/>
      <c r="M493" s="3"/>
    </row>
    <row r="494" ht="48.0" customHeight="1">
      <c r="A494" s="3" t="str">
        <f>IFERROR(__xludf.DUMMYFUNCTION("""COMPUTED_VALUE"""),"HO03EW")</f>
        <v>HO03EW</v>
      </c>
      <c r="B494" s="4" t="str">
        <f>IFERROR(__xludf.DUMMYFUNCTION("""COMPUTED_VALUE"""),"MAGNÉTICO PARA EMBUTIR EN MADERA")</f>
        <v>MAGNÉTICO PARA EMBUTIR EN MADERA</v>
      </c>
      <c r="C494" s="4" t="str">
        <f>IFERROR(__xludf.DUMMYFUNCTION("""COMPUTED_VALUE"""),"Magnético Para embutir en madera. GAP 25mm Blanco")</f>
        <v>Magnético Para embutir en madera. GAP 25mm Blanco</v>
      </c>
      <c r="D494" s="4" t="str">
        <f>IFERROR(__xludf.DUMMYFUNCTION("""COMPUTED_VALUE"""),"OWL")</f>
        <v>OWL</v>
      </c>
      <c r="E494" s="4" t="str">
        <f>IFERROR(__xludf.DUMMYFUNCTION("""COMPUTED_VALUE"""),"HO03EW")</f>
        <v>HO03EW</v>
      </c>
      <c r="F494" s="4" t="str">
        <f>IFERROR(__xludf.DUMMYFUNCTION("""COMPUTED_VALUE"""),"ALARMAS &gt; SENSORES MAGNETICOS")</f>
        <v>ALARMAS &gt; SENSORES MAGNETICOS</v>
      </c>
      <c r="G494" s="5"/>
      <c r="H494" s="6">
        <f>IFERROR(__xludf.DUMMYFUNCTION("""COMPUTED_VALUE"""),1.76)</f>
        <v>1.76</v>
      </c>
      <c r="I494" s="7">
        <f>IFERROR(__xludf.DUMMYFUNCTION("""COMPUTED_VALUE"""),10.5)</f>
        <v>10.5</v>
      </c>
      <c r="J494" s="6">
        <f>IFERROR(__xludf.DUMMYFUNCTION("""COMPUTED_VALUE"""),2.11)</f>
        <v>2.11</v>
      </c>
      <c r="K494" s="6">
        <f>IFERROR(__xludf.DUMMYFUNCTION("""COMPUTED_VALUE"""),2.46)</f>
        <v>2.46</v>
      </c>
      <c r="L494" s="3"/>
      <c r="M494" s="3"/>
    </row>
    <row r="495" ht="48.0" customHeight="1">
      <c r="A495" s="3" t="str">
        <f>IFERROR(__xludf.DUMMYFUNCTION("""COMPUTED_VALUE"""),"HOEWX20")</f>
        <v>HOEWX20</v>
      </c>
      <c r="B495" s="4" t="str">
        <f>IFERROR(__xludf.DUMMYFUNCTION("""COMPUTED_VALUE"""),"MAGNÉTICO PARA EMBUTIR EN MADERA")</f>
        <v>MAGNÉTICO PARA EMBUTIR EN MADERA</v>
      </c>
      <c r="C495" s="4" t="str">
        <f>IFERROR(__xludf.DUMMYFUNCTION("""COMPUTED_VALUE"""),"Magnético Para embutir en madera. GAP 25mm Blanco. Blister x 20 unidades")</f>
        <v>Magnético Para embutir en madera. GAP 25mm Blanco. Blister x 20 unidades</v>
      </c>
      <c r="D495" s="4" t="str">
        <f>IFERROR(__xludf.DUMMYFUNCTION("""COMPUTED_VALUE"""),"OWL")</f>
        <v>OWL</v>
      </c>
      <c r="E495" s="4" t="str">
        <f>IFERROR(__xludf.DUMMYFUNCTION("""COMPUTED_VALUE"""),"HOEWX20")</f>
        <v>HOEWX20</v>
      </c>
      <c r="F495" s="4" t="str">
        <f>IFERROR(__xludf.DUMMYFUNCTION("""COMPUTED_VALUE"""),"ALARMAS &gt; SENSORES MAGNETICOS")</f>
        <v>ALARMAS &gt; SENSORES MAGNETICOS</v>
      </c>
      <c r="G495" s="5"/>
      <c r="H495" s="6">
        <f>IFERROR(__xludf.DUMMYFUNCTION("""COMPUTED_VALUE"""),31.68)</f>
        <v>31.68</v>
      </c>
      <c r="I495" s="7">
        <f>IFERROR(__xludf.DUMMYFUNCTION("""COMPUTED_VALUE"""),10.5)</f>
        <v>10.5</v>
      </c>
      <c r="J495" s="6">
        <f>IFERROR(__xludf.DUMMYFUNCTION("""COMPUTED_VALUE"""),38.02)</f>
        <v>38.02</v>
      </c>
      <c r="K495" s="6">
        <f>IFERROR(__xludf.DUMMYFUNCTION("""COMPUTED_VALUE"""),44.35)</f>
        <v>44.35</v>
      </c>
      <c r="L495" s="3"/>
      <c r="M495" s="3"/>
    </row>
    <row r="496" ht="48.0" customHeight="1">
      <c r="A496" s="3" t="str">
        <f>IFERROR(__xludf.DUMMYFUNCTION("""COMPUTED_VALUE"""),"HO03RB")</f>
        <v>HO03RB</v>
      </c>
      <c r="B496" s="4" t="str">
        <f>IFERROR(__xludf.DUMMYFUNCTION("""COMPUTED_VALUE"""),"MAGNÉTICO DE BORNERA, TAPA COBERTORA")</f>
        <v>MAGNÉTICO DE BORNERA, TAPA COBERTORA</v>
      </c>
      <c r="C496" s="4" t="str">
        <f>IFERROR(__xludf.DUMMYFUNCTION("""COMPUTED_VALUE"""),"Magnético de bornera, tapa cobertora. GAP 25mm Marrón")</f>
        <v>Magnético de bornera, tapa cobertora. GAP 25mm Marrón</v>
      </c>
      <c r="D496" s="4" t="str">
        <f>IFERROR(__xludf.DUMMYFUNCTION("""COMPUTED_VALUE"""),"OWL")</f>
        <v>OWL</v>
      </c>
      <c r="E496" s="4" t="str">
        <f>IFERROR(__xludf.DUMMYFUNCTION("""COMPUTED_VALUE"""),"HO03RB")</f>
        <v>HO03RB</v>
      </c>
      <c r="F496" s="4" t="str">
        <f>IFERROR(__xludf.DUMMYFUNCTION("""COMPUTED_VALUE"""),"ALARMAS &gt; SENSORES MAGNETICOS")</f>
        <v>ALARMAS &gt; SENSORES MAGNETICOS</v>
      </c>
      <c r="G496" s="5"/>
      <c r="H496" s="6">
        <f>IFERROR(__xludf.DUMMYFUNCTION("""COMPUTED_VALUE"""),1.76)</f>
        <v>1.76</v>
      </c>
      <c r="I496" s="7">
        <f>IFERROR(__xludf.DUMMYFUNCTION("""COMPUTED_VALUE"""),10.5)</f>
        <v>10.5</v>
      </c>
      <c r="J496" s="6">
        <f>IFERROR(__xludf.DUMMYFUNCTION("""COMPUTED_VALUE"""),2.11)</f>
        <v>2.11</v>
      </c>
      <c r="K496" s="6">
        <f>IFERROR(__xludf.DUMMYFUNCTION("""COMPUTED_VALUE"""),2.46)</f>
        <v>2.46</v>
      </c>
      <c r="L496" s="3"/>
      <c r="M496" s="3"/>
    </row>
    <row r="497" ht="48.0" customHeight="1">
      <c r="A497" s="3" t="str">
        <f>IFERROR(__xludf.DUMMYFUNCTION("""COMPUTED_VALUE"""),"HORBX10")</f>
        <v>HORBX10</v>
      </c>
      <c r="B497" s="4" t="str">
        <f>IFERROR(__xludf.DUMMYFUNCTION("""COMPUTED_VALUE"""),"MAGNÉTICO DE BORNERA, TAPA COBERTORA")</f>
        <v>MAGNÉTICO DE BORNERA, TAPA COBERTORA</v>
      </c>
      <c r="C497" s="4" t="str">
        <f>IFERROR(__xludf.DUMMYFUNCTION("""COMPUTED_VALUE"""),"Magnético de bornera, tapa cobertora. GAP 25mm Marrón. Blister x 10 unidades")</f>
        <v>Magnético de bornera, tapa cobertora. GAP 25mm Marrón. Blister x 10 unidades</v>
      </c>
      <c r="D497" s="4" t="str">
        <f>IFERROR(__xludf.DUMMYFUNCTION("""COMPUTED_VALUE"""),"OWL")</f>
        <v>OWL</v>
      </c>
      <c r="E497" s="4" t="str">
        <f>IFERROR(__xludf.DUMMYFUNCTION("""COMPUTED_VALUE"""),"HORBX10")</f>
        <v>HORBX10</v>
      </c>
      <c r="F497" s="4" t="str">
        <f>IFERROR(__xludf.DUMMYFUNCTION("""COMPUTED_VALUE"""),"ALARMAS &gt; SENSORES MAGNETICOS")</f>
        <v>ALARMAS &gt; SENSORES MAGNETICOS</v>
      </c>
      <c r="G497" s="5"/>
      <c r="H497" s="6">
        <f>IFERROR(__xludf.DUMMYFUNCTION("""COMPUTED_VALUE"""),15.84)</f>
        <v>15.84</v>
      </c>
      <c r="I497" s="7">
        <f>IFERROR(__xludf.DUMMYFUNCTION("""COMPUTED_VALUE"""),10.5)</f>
        <v>10.5</v>
      </c>
      <c r="J497" s="6">
        <f>IFERROR(__xludf.DUMMYFUNCTION("""COMPUTED_VALUE"""),19.01)</f>
        <v>19.01</v>
      </c>
      <c r="K497" s="6">
        <f>IFERROR(__xludf.DUMMYFUNCTION("""COMPUTED_VALUE"""),22.18)</f>
        <v>22.18</v>
      </c>
      <c r="L497" s="3"/>
      <c r="M497" s="3"/>
    </row>
    <row r="498" ht="48.0" customHeight="1">
      <c r="A498" s="3" t="str">
        <f>IFERROR(__xludf.DUMMYFUNCTION("""COMPUTED_VALUE"""),"HO03RW")</f>
        <v>HO03RW</v>
      </c>
      <c r="B498" s="4" t="str">
        <f>IFERROR(__xludf.DUMMYFUNCTION("""COMPUTED_VALUE"""),"MAGNÉTICO DE BORNERA, TAPA COBERTORA")</f>
        <v>MAGNÉTICO DE BORNERA, TAPA COBERTORA</v>
      </c>
      <c r="C498" s="4" t="str">
        <f>IFERROR(__xludf.DUMMYFUNCTION("""COMPUTED_VALUE"""),"Magnético de bornera, tapa cobertora. GAP 25mm Blanco")</f>
        <v>Magnético de bornera, tapa cobertora. GAP 25mm Blanco</v>
      </c>
      <c r="D498" s="4" t="str">
        <f>IFERROR(__xludf.DUMMYFUNCTION("""COMPUTED_VALUE"""),"OWL")</f>
        <v>OWL</v>
      </c>
      <c r="E498" s="4" t="str">
        <f>IFERROR(__xludf.DUMMYFUNCTION("""COMPUTED_VALUE"""),"HO03RW")</f>
        <v>HO03RW</v>
      </c>
      <c r="F498" s="4" t="str">
        <f>IFERROR(__xludf.DUMMYFUNCTION("""COMPUTED_VALUE"""),"ALARMAS &gt; SENSORES MAGNETICOS")</f>
        <v>ALARMAS &gt; SENSORES MAGNETICOS</v>
      </c>
      <c r="G498" s="5"/>
      <c r="H498" s="6">
        <f>IFERROR(__xludf.DUMMYFUNCTION("""COMPUTED_VALUE"""),1.76)</f>
        <v>1.76</v>
      </c>
      <c r="I498" s="7">
        <f>IFERROR(__xludf.DUMMYFUNCTION("""COMPUTED_VALUE"""),10.5)</f>
        <v>10.5</v>
      </c>
      <c r="J498" s="6">
        <f>IFERROR(__xludf.DUMMYFUNCTION("""COMPUTED_VALUE"""),2.11)</f>
        <v>2.11</v>
      </c>
      <c r="K498" s="6">
        <f>IFERROR(__xludf.DUMMYFUNCTION("""COMPUTED_VALUE"""),2.46)</f>
        <v>2.46</v>
      </c>
      <c r="L498" s="3"/>
      <c r="M498" s="3"/>
    </row>
    <row r="499" ht="48.0" customHeight="1">
      <c r="A499" s="3" t="str">
        <f>IFERROR(__xludf.DUMMYFUNCTION("""COMPUTED_VALUE"""),"HORWX10")</f>
        <v>HORWX10</v>
      </c>
      <c r="B499" s="4" t="str">
        <f>IFERROR(__xludf.DUMMYFUNCTION("""COMPUTED_VALUE"""),"MAGNÉTICO DE BORNERA, TAPA COBERTORA")</f>
        <v>MAGNÉTICO DE BORNERA, TAPA COBERTORA</v>
      </c>
      <c r="C499" s="4" t="str">
        <f>IFERROR(__xludf.DUMMYFUNCTION("""COMPUTED_VALUE"""),"Magnético de bornera, tapa cobertora. GAP 25mm Blanco. Blister x 10 unidades")</f>
        <v>Magnético de bornera, tapa cobertora. GAP 25mm Blanco. Blister x 10 unidades</v>
      </c>
      <c r="D499" s="4" t="str">
        <f>IFERROR(__xludf.DUMMYFUNCTION("""COMPUTED_VALUE"""),"OWL")</f>
        <v>OWL</v>
      </c>
      <c r="E499" s="4" t="str">
        <f>IFERROR(__xludf.DUMMYFUNCTION("""COMPUTED_VALUE"""),"HORWX10")</f>
        <v>HORWX10</v>
      </c>
      <c r="F499" s="4" t="str">
        <f>IFERROR(__xludf.DUMMYFUNCTION("""COMPUTED_VALUE"""),"ALARMAS &gt; SENSORES MAGNETICOS")</f>
        <v>ALARMAS &gt; SENSORES MAGNETICOS</v>
      </c>
      <c r="G499" s="5"/>
      <c r="H499" s="6">
        <f>IFERROR(__xludf.DUMMYFUNCTION("""COMPUTED_VALUE"""),15.84)</f>
        <v>15.84</v>
      </c>
      <c r="I499" s="7">
        <f>IFERROR(__xludf.DUMMYFUNCTION("""COMPUTED_VALUE"""),10.5)</f>
        <v>10.5</v>
      </c>
      <c r="J499" s="6">
        <f>IFERROR(__xludf.DUMMYFUNCTION("""COMPUTED_VALUE"""),19.01)</f>
        <v>19.01</v>
      </c>
      <c r="K499" s="6">
        <f>IFERROR(__xludf.DUMMYFUNCTION("""COMPUTED_VALUE"""),22.18)</f>
        <v>22.18</v>
      </c>
      <c r="L499" s="3"/>
      <c r="M499" s="3"/>
    </row>
    <row r="500" ht="48.0" customHeight="1">
      <c r="A500" s="3" t="str">
        <f>IFERROR(__xludf.DUMMYFUNCTION("""COMPUTED_VALUE"""),"HO03F")</f>
        <v>HO03F</v>
      </c>
      <c r="B500" s="4" t="str">
        <f>IFERROR(__xludf.DUMMYFUNCTION("""COMPUTED_VALUE"""),"MAGNÉTICO BLINDADO CON CARCASA ALUMINIO")</f>
        <v>MAGNÉTICO BLINDADO CON CARCASA ALUMINIO</v>
      </c>
      <c r="C500" s="4" t="str">
        <f>IFERROR(__xludf.DUMMYFUNCTION("""COMPUTED_VALUE"""),"Magnético blindado con carcasa aluminio. Gap 20mm. Medidas 50 mm x 20 mm x 10 mm con vaina acero inoxidable.")</f>
        <v>Magnético blindado con carcasa aluminio. Gap 20mm. Medidas 50 mm x 20 mm x 10 mm con vaina acero inoxidable.</v>
      </c>
      <c r="D500" s="4" t="str">
        <f>IFERROR(__xludf.DUMMYFUNCTION("""COMPUTED_VALUE"""),"OWL")</f>
        <v>OWL</v>
      </c>
      <c r="E500" s="4" t="str">
        <f>IFERROR(__xludf.DUMMYFUNCTION("""COMPUTED_VALUE"""),"HO03F")</f>
        <v>HO03F</v>
      </c>
      <c r="F500" s="4" t="str">
        <f>IFERROR(__xludf.DUMMYFUNCTION("""COMPUTED_VALUE"""),"ALARMAS &gt; SENSORES MAGNETICOS")</f>
        <v>ALARMAS &gt; SENSORES MAGNETICOS</v>
      </c>
      <c r="G500" s="5"/>
      <c r="H500" s="6">
        <f>IFERROR(__xludf.DUMMYFUNCTION("""COMPUTED_VALUE"""),7.59)</f>
        <v>7.59</v>
      </c>
      <c r="I500" s="7">
        <f>IFERROR(__xludf.DUMMYFUNCTION("""COMPUTED_VALUE"""),10.5)</f>
        <v>10.5</v>
      </c>
      <c r="J500" s="6">
        <f>IFERROR(__xludf.DUMMYFUNCTION("""COMPUTED_VALUE"""),9.11)</f>
        <v>9.11</v>
      </c>
      <c r="K500" s="6">
        <f>IFERROR(__xludf.DUMMYFUNCTION("""COMPUTED_VALUE"""),10.63)</f>
        <v>10.63</v>
      </c>
      <c r="L500" s="3"/>
      <c r="M500" s="3"/>
    </row>
    <row r="501" ht="48.0" customHeight="1">
      <c r="A501" s="3" t="str">
        <f>IFERROR(__xludf.DUMMYFUNCTION("""COMPUTED_VALUE"""),"HOFX10")</f>
        <v>HOFX10</v>
      </c>
      <c r="B501" s="4" t="str">
        <f>IFERROR(__xludf.DUMMYFUNCTION("""COMPUTED_VALUE"""),"MAGNÉTICO BLINDADO CON CARCASA ALUMINIO")</f>
        <v>MAGNÉTICO BLINDADO CON CARCASA ALUMINIO</v>
      </c>
      <c r="C501" s="4" t="str">
        <f>IFERROR(__xludf.DUMMYFUNCTION("""COMPUTED_VALUE"""),"Magnético blindado con carcasa aluminio. Gap 20mm. Medidas 50 mm x 20 mm x 10 mm Blister x 10 unidades con vaina acero inoxidable.")</f>
        <v>Magnético blindado con carcasa aluminio. Gap 20mm. Medidas 50 mm x 20 mm x 10 mm Blister x 10 unidades con vaina acero inoxidable.</v>
      </c>
      <c r="D501" s="4" t="str">
        <f>IFERROR(__xludf.DUMMYFUNCTION("""COMPUTED_VALUE"""),"OWL")</f>
        <v>OWL</v>
      </c>
      <c r="E501" s="4" t="str">
        <f>IFERROR(__xludf.DUMMYFUNCTION("""COMPUTED_VALUE"""),"HOFX10")</f>
        <v>HOFX10</v>
      </c>
      <c r="F501" s="4" t="str">
        <f>IFERROR(__xludf.DUMMYFUNCTION("""COMPUTED_VALUE"""),"ALARMAS &gt; SENSORES MAGNETICOS")</f>
        <v>ALARMAS &gt; SENSORES MAGNETICOS</v>
      </c>
      <c r="G501" s="5"/>
      <c r="H501" s="6">
        <f>IFERROR(__xludf.DUMMYFUNCTION("""COMPUTED_VALUE"""),68.31)</f>
        <v>68.31</v>
      </c>
      <c r="I501" s="7">
        <f>IFERROR(__xludf.DUMMYFUNCTION("""COMPUTED_VALUE"""),10.5)</f>
        <v>10.5</v>
      </c>
      <c r="J501" s="6">
        <f>IFERROR(__xludf.DUMMYFUNCTION("""COMPUTED_VALUE"""),81.97)</f>
        <v>81.97</v>
      </c>
      <c r="K501" s="6">
        <f>IFERROR(__xludf.DUMMYFUNCTION("""COMPUTED_VALUE"""),95.63)</f>
        <v>95.63</v>
      </c>
      <c r="L501" s="3"/>
      <c r="M501" s="3"/>
    </row>
    <row r="502" ht="48.0" customHeight="1">
      <c r="A502" s="3" t="str">
        <f>IFERROR(__xludf.DUMMYFUNCTION("""COMPUTED_VALUE"""),"DS-PD1-MC-MS")</f>
        <v>DS-PD1-MC-MS</v>
      </c>
      <c r="B502" s="4" t="str">
        <f>IFERROR(__xludf.DUMMYFUNCTION("""COMPUTED_VALUE"""),"MINI MAGNÉTICO BLINDADO CON CARCASA ALUMINIO")</f>
        <v>MINI MAGNÉTICO BLINDADO CON CARCASA ALUMINIO</v>
      </c>
      <c r="C502" s="4" t="str">
        <f>IFERROR(__xludf.DUMMYFUNCTION("""COMPUTED_VALUE"""),"Mini magnético blindado con carcasa aluminio. Gap 40mm")</f>
        <v>Mini magnético blindado con carcasa aluminio. Gap 40mm</v>
      </c>
      <c r="D502" s="4" t="str">
        <f>IFERROR(__xludf.DUMMYFUNCTION("""COMPUTED_VALUE"""),"HIKVISION")</f>
        <v>HIKVISION</v>
      </c>
      <c r="E502" s="4" t="str">
        <f>IFERROR(__xludf.DUMMYFUNCTION("""COMPUTED_VALUE"""),"DS-PD1-MC-MS")</f>
        <v>DS-PD1-MC-MS</v>
      </c>
      <c r="F502" s="4" t="str">
        <f>IFERROR(__xludf.DUMMYFUNCTION("""COMPUTED_VALUE"""),"ALARMAS &gt; SENSORES MAGNETICOS")</f>
        <v>ALARMAS &gt; SENSORES MAGNETICOS</v>
      </c>
      <c r="G502" s="5"/>
      <c r="H502" s="6">
        <f>IFERROR(__xludf.DUMMYFUNCTION("""COMPUTED_VALUE"""),7.59)</f>
        <v>7.59</v>
      </c>
      <c r="I502" s="7">
        <f>IFERROR(__xludf.DUMMYFUNCTION("""COMPUTED_VALUE"""),10.5)</f>
        <v>10.5</v>
      </c>
      <c r="J502" s="6">
        <f>IFERROR(__xludf.DUMMYFUNCTION("""COMPUTED_VALUE"""),9.11)</f>
        <v>9.11</v>
      </c>
      <c r="K502" s="6">
        <f>IFERROR(__xludf.DUMMYFUNCTION("""COMPUTED_VALUE"""),10.63)</f>
        <v>10.63</v>
      </c>
      <c r="L502" s="3"/>
      <c r="M502" s="3"/>
    </row>
    <row r="503" ht="48.0" customHeight="1">
      <c r="A503" s="3" t="str">
        <f>IFERROR(__xludf.DUMMYFUNCTION("""COMPUTED_VALUE"""),"HO03I")</f>
        <v>HO03I</v>
      </c>
      <c r="B503" s="4" t="str">
        <f>IFERROR(__xludf.DUMMYFUNCTION("""COMPUTED_VALUE"""),"MAGNÉTICO CARCASA ALUMINIO Y CABLE CON VAINA ACERO INOXIDABLE")</f>
        <v>MAGNÉTICO CARCASA ALUMINIO Y CABLE CON VAINA ACERO INOXIDABLE</v>
      </c>
      <c r="C503" s="4" t="str">
        <f>IFERROR(__xludf.DUMMYFUNCTION("""COMPUTED_VALUE"""),"Magnético carcasa aluminio y cable con vaina acero inoxidable.")</f>
        <v>Magnético carcasa aluminio y cable con vaina acero inoxidable.</v>
      </c>
      <c r="D503" s="4" t="str">
        <f>IFERROR(__xludf.DUMMYFUNCTION("""COMPUTED_VALUE"""),"OWL")</f>
        <v>OWL</v>
      </c>
      <c r="E503" s="4" t="str">
        <f>IFERROR(__xludf.DUMMYFUNCTION("""COMPUTED_VALUE"""),"HO03I")</f>
        <v>HO03I</v>
      </c>
      <c r="F503" s="4" t="str">
        <f>IFERROR(__xludf.DUMMYFUNCTION("""COMPUTED_VALUE"""),"ALARMAS &gt; SENSORES MAGNETICOS")</f>
        <v>ALARMAS &gt; SENSORES MAGNETICOS</v>
      </c>
      <c r="G503" s="5"/>
      <c r="H503" s="6">
        <f>IFERROR(__xludf.DUMMYFUNCTION("""COMPUTED_VALUE"""),11.55)</f>
        <v>11.55</v>
      </c>
      <c r="I503" s="7">
        <f>IFERROR(__xludf.DUMMYFUNCTION("""COMPUTED_VALUE"""),10.5)</f>
        <v>10.5</v>
      </c>
      <c r="J503" s="6">
        <f>IFERROR(__xludf.DUMMYFUNCTION("""COMPUTED_VALUE"""),13.86)</f>
        <v>13.86</v>
      </c>
      <c r="K503" s="6">
        <f>IFERROR(__xludf.DUMMYFUNCTION("""COMPUTED_VALUE"""),16.17)</f>
        <v>16.17</v>
      </c>
      <c r="L503" s="3"/>
      <c r="M503" s="3"/>
    </row>
    <row r="504" ht="48.0" customHeight="1">
      <c r="A504" s="3" t="str">
        <f>IFERROR(__xludf.DUMMYFUNCTION("""COMPUTED_VALUE"""),"HO03D")</f>
        <v>HO03D</v>
      </c>
      <c r="B504" s="4" t="str">
        <f>IFERROR(__xludf.DUMMYFUNCTION("""COMPUTED_VALUE"""),"MAGNÉTICO CARCASA ALUMINIO Y CABLE C/ VAINA ACERO INOXIDABLE")</f>
        <v>MAGNÉTICO CARCASA ALUMINIO Y CABLE C/ VAINA ACERO INOXIDABLE</v>
      </c>
      <c r="C504" s="4" t="str">
        <f>IFERROR(__xludf.DUMMYFUNCTION("""COMPUTED_VALUE"""),"Magnético carcasa aluminio y cable c/ vaina acero inoxidable. Gap 40mm.")</f>
        <v>Magnético carcasa aluminio y cable c/ vaina acero inoxidable. Gap 40mm.</v>
      </c>
      <c r="D504" s="4" t="str">
        <f>IFERROR(__xludf.DUMMYFUNCTION("""COMPUTED_VALUE"""),"OWL")</f>
        <v>OWL</v>
      </c>
      <c r="E504" s="4" t="str">
        <f>IFERROR(__xludf.DUMMYFUNCTION("""COMPUTED_VALUE"""),"HO03D")</f>
        <v>HO03D</v>
      </c>
      <c r="F504" s="4" t="str">
        <f>IFERROR(__xludf.DUMMYFUNCTION("""COMPUTED_VALUE"""),"ALARMAS &gt; SENSORES MAGNETICOS")</f>
        <v>ALARMAS &gt; SENSORES MAGNETICOS</v>
      </c>
      <c r="G504" s="5"/>
      <c r="H504" s="6">
        <f>IFERROR(__xludf.DUMMYFUNCTION("""COMPUTED_VALUE"""),15.4)</f>
        <v>15.4</v>
      </c>
      <c r="I504" s="7">
        <f>IFERROR(__xludf.DUMMYFUNCTION("""COMPUTED_VALUE"""),10.5)</f>
        <v>10.5</v>
      </c>
      <c r="J504" s="6">
        <f>IFERROR(__xludf.DUMMYFUNCTION("""COMPUTED_VALUE"""),18.48)</f>
        <v>18.48</v>
      </c>
      <c r="K504" s="6">
        <f>IFERROR(__xludf.DUMMYFUNCTION("""COMPUTED_VALUE"""),21.56)</f>
        <v>21.56</v>
      </c>
      <c r="L504" s="3"/>
      <c r="M504" s="3"/>
    </row>
    <row r="505" ht="48.0" customHeight="1">
      <c r="A505" s="3" t="str">
        <f>IFERROR(__xludf.DUMMYFUNCTION("""COMPUTED_VALUE"""),"DKRV15")</f>
        <v>DKRV15</v>
      </c>
      <c r="B505" s="4" t="str">
        <f>IFERROR(__xludf.DUMMYFUNCTION("""COMPUTED_VALUE"""),"DETECTOR ROTURA DE VIDRIO AMBIENTAL")</f>
        <v>DETECTOR ROTURA DE VIDRIO AMBIENTAL</v>
      </c>
      <c r="C505" s="4" t="str">
        <f>IFERROR(__xludf.DUMMYFUNCTION("""COMPUTED_VALUE"""),"Detector rotura de vidrio ambiental. Cobertura 10 mts.")</f>
        <v>Detector rotura de vidrio ambiental. Cobertura 10 mts.</v>
      </c>
      <c r="D505" s="4" t="str">
        <f>IFERROR(__xludf.DUMMYFUNCTION("""COMPUTED_VALUE"""),"TEKSOR")</f>
        <v>TEKSOR</v>
      </c>
      <c r="E505" s="4" t="str">
        <f>IFERROR(__xludf.DUMMYFUNCTION("""COMPUTED_VALUE"""),"DKRV15")</f>
        <v>DKRV15</v>
      </c>
      <c r="F505" s="4" t="str">
        <f>IFERROR(__xludf.DUMMYFUNCTION("""COMPUTED_VALUE"""),"ALARMAS &gt; DETECTOR DE ROTURA DE CRISTAL")</f>
        <v>ALARMAS &gt; DETECTOR DE ROTURA DE CRISTAL</v>
      </c>
      <c r="G505" s="5"/>
      <c r="H505" s="6">
        <f>IFERROR(__xludf.DUMMYFUNCTION("""COMPUTED_VALUE"""),13.2)</f>
        <v>13.2</v>
      </c>
      <c r="I505" s="7">
        <f>IFERROR(__xludf.DUMMYFUNCTION("""COMPUTED_VALUE"""),21.0)</f>
        <v>21</v>
      </c>
      <c r="J505" s="6">
        <f>IFERROR(__xludf.DUMMYFUNCTION("""COMPUTED_VALUE"""),15.84)</f>
        <v>15.84</v>
      </c>
      <c r="K505" s="6">
        <f>IFERROR(__xludf.DUMMYFUNCTION("""COMPUTED_VALUE"""),18.48)</f>
        <v>18.48</v>
      </c>
      <c r="L505" s="3"/>
      <c r="M505" s="3"/>
    </row>
    <row r="506" ht="48.0" customHeight="1">
      <c r="A506" s="3" t="str">
        <f>IFERROR(__xludf.DUMMYFUNCTION("""COMPUTED_VALUE"""),"DSPDBG8EG2")</f>
        <v>DSPDBG8EG2</v>
      </c>
      <c r="B506" s="4" t="str">
        <f>IFERROR(__xludf.DUMMYFUNCTION("""COMPUTED_VALUE"""),"DS-PDBG8-EG2 DETECTOR ROTURA DE VIDRIO AMBIENTAL DOBLE TECNOLOGÍA DE")</f>
        <v>DS-PDBG8-EG2 DETECTOR ROTURA DE VIDRIO AMBIENTAL DOBLE TECNOLOGÍA DE</v>
      </c>
      <c r="C506" s="4" t="str">
        <f>IFERROR(__xludf.DUMMYFUNCTION("""COMPUTED_VALUE"""),"DS-PDBG8-EG2 Detector rotura de vidrio ambiental doble tecnología de captación. Incluye EOL resistors（Alarm Resistance: 1K, 2K2, 4K7, 5K6, 6K8/) Cobertura 8m/120°")</f>
        <v>DS-PDBG8-EG2 Detector rotura de vidrio ambiental doble tecnología de captación. Incluye EOL resistors（Alarm Resistance: 1K, 2K2, 4K7, 5K6, 6K8/) Cobertura 8m/120°</v>
      </c>
      <c r="D506" s="4" t="str">
        <f>IFERROR(__xludf.DUMMYFUNCTION("""COMPUTED_VALUE"""),"HIKVISION")</f>
        <v>HIKVISION</v>
      </c>
      <c r="E506" s="4" t="str">
        <f>IFERROR(__xludf.DUMMYFUNCTION("""COMPUTED_VALUE"""),"DSPDBG8EG2")</f>
        <v>DSPDBG8EG2</v>
      </c>
      <c r="F506" s="4" t="str">
        <f>IFERROR(__xludf.DUMMYFUNCTION("""COMPUTED_VALUE"""),"ALARMAS &gt; DETECTOR DE ROTURA DE CRISTAL")</f>
        <v>ALARMAS &gt; DETECTOR DE ROTURA DE CRISTAL</v>
      </c>
      <c r="G506" s="5"/>
      <c r="H506" s="6">
        <f>IFERROR(__xludf.DUMMYFUNCTION("""COMPUTED_VALUE"""),19.25)</f>
        <v>19.25</v>
      </c>
      <c r="I506" s="7">
        <f>IFERROR(__xludf.DUMMYFUNCTION("""COMPUTED_VALUE"""),21.0)</f>
        <v>21</v>
      </c>
      <c r="J506" s="6">
        <f>IFERROR(__xludf.DUMMYFUNCTION("""COMPUTED_VALUE"""),23.1)</f>
        <v>23.1</v>
      </c>
      <c r="K506" s="6">
        <f>IFERROR(__xludf.DUMMYFUNCTION("""COMPUTED_VALUE"""),26.95)</f>
        <v>26.95</v>
      </c>
      <c r="L506" s="3"/>
      <c r="M506" s="3"/>
    </row>
    <row r="507" ht="48.0" customHeight="1">
      <c r="A507" s="3" t="str">
        <f>IFERROR(__xludf.DUMMYFUNCTION("""COMPUTED_VALUE"""),"DSCDG50AU")</f>
        <v>DSCDG50AU</v>
      </c>
      <c r="B507" s="4" t="str">
        <f>IFERROR(__xludf.DUMMYFUNCTION("""COMPUTED_VALUE"""),"DETECTOR DE ROTURA DE VIDRIO, ALCANCE DE 12MTS")</f>
        <v>DETECTOR DE ROTURA DE VIDRIO, ALCANCE DE 12MTS</v>
      </c>
      <c r="C507" s="4" t="str">
        <f>IFERROR(__xludf.DUMMYFUNCTION("""COMPUTED_VALUE"""),"Detector De Rotura De Vidrio, Alcance De 12Mts., Varios Tipos De Vidrios.")</f>
        <v>Detector De Rotura De Vidrio, Alcance De 12Mts., Varios Tipos De Vidrios.</v>
      </c>
      <c r="D507" s="4" t="str">
        <f>IFERROR(__xludf.DUMMYFUNCTION("""COMPUTED_VALUE"""),"DSC")</f>
        <v>DSC</v>
      </c>
      <c r="E507" s="4" t="str">
        <f>IFERROR(__xludf.DUMMYFUNCTION("""COMPUTED_VALUE"""),"DSCDG50AU")</f>
        <v>DSCDG50AU</v>
      </c>
      <c r="F507" s="4" t="str">
        <f>IFERROR(__xludf.DUMMYFUNCTION("""COMPUTED_VALUE"""),"ALARMAS &gt; DETECTOR DE ROTURA DE CRISTAL")</f>
        <v>ALARMAS &gt; DETECTOR DE ROTURA DE CRISTAL</v>
      </c>
      <c r="G507" s="5"/>
      <c r="H507" s="6">
        <f>IFERROR(__xludf.DUMMYFUNCTION("""COMPUTED_VALUE"""),24.1)</f>
        <v>24.1</v>
      </c>
      <c r="I507" s="7">
        <f>IFERROR(__xludf.DUMMYFUNCTION("""COMPUTED_VALUE"""),21.0)</f>
        <v>21</v>
      </c>
      <c r="J507" s="6">
        <f>IFERROR(__xludf.DUMMYFUNCTION("""COMPUTED_VALUE"""),28.92)</f>
        <v>28.92</v>
      </c>
      <c r="K507" s="6">
        <f>IFERROR(__xludf.DUMMYFUNCTION("""COMPUTED_VALUE"""),33.74)</f>
        <v>33.74</v>
      </c>
      <c r="L507" s="3"/>
      <c r="M507" s="3"/>
    </row>
    <row r="508" ht="48.0" customHeight="1">
      <c r="A508" s="3" t="str">
        <f>IFERROR(__xludf.DUMMYFUNCTION("""COMPUTED_VALUE"""),"EPA100P")</f>
        <v>EPA100P</v>
      </c>
      <c r="B508" s="4" t="str">
        <f>IFERROR(__xludf.DUMMYFUNCTION("""COMPUTED_VALUE"""),"SIRENA INTERIOR")</f>
        <v>SIRENA INTERIOR</v>
      </c>
      <c r="C508" s="4" t="str">
        <f>IFERROR(__xludf.DUMMYFUNCTION("""COMPUTED_VALUE"""),"Sirena interior. 110 dB en 12VDC/1m. Gabinte plástico")</f>
        <v>Sirena interior. 110 dB en 12VDC/1m. Gabinte plástico</v>
      </c>
      <c r="D508" s="4" t="str">
        <f>IFERROR(__xludf.DUMMYFUNCTION("""COMPUTED_VALUE"""),"GENERICO")</f>
        <v>GENERICO</v>
      </c>
      <c r="E508" s="4" t="str">
        <f>IFERROR(__xludf.DUMMYFUNCTION("""COMPUTED_VALUE"""),"EPA100P")</f>
        <v>EPA100P</v>
      </c>
      <c r="F508" s="4" t="str">
        <f>IFERROR(__xludf.DUMMYFUNCTION("""COMPUTED_VALUE"""),"ALARMAS &gt; SIRENAS - ESTROBOS - SEMAFORO")</f>
        <v>ALARMAS &gt; SIRENAS - ESTROBOS - SEMAFORO</v>
      </c>
      <c r="G508" s="5"/>
      <c r="H508" s="6">
        <f>IFERROR(__xludf.DUMMYFUNCTION("""COMPUTED_VALUE"""),5.39)</f>
        <v>5.39</v>
      </c>
      <c r="I508" s="7">
        <f>IFERROR(__xludf.DUMMYFUNCTION("""COMPUTED_VALUE"""),21.0)</f>
        <v>21</v>
      </c>
      <c r="J508" s="6">
        <f>IFERROR(__xludf.DUMMYFUNCTION("""COMPUTED_VALUE"""),6.47)</f>
        <v>6.47</v>
      </c>
      <c r="K508" s="6">
        <f>IFERROR(__xludf.DUMMYFUNCTION("""COMPUTED_VALUE"""),7.55)</f>
        <v>7.55</v>
      </c>
      <c r="L508" s="3"/>
      <c r="M508" s="3"/>
    </row>
    <row r="509" ht="48.0" customHeight="1">
      <c r="A509" s="3" t="str">
        <f>IFERROR(__xludf.DUMMYFUNCTION("""COMPUTED_VALUE"""),"DKSI108")</f>
        <v>DKSI108</v>
      </c>
      <c r="B509" s="4" t="str">
        <f>IFERROR(__xludf.DUMMYFUNCTION("""COMPUTED_VALUE"""),"SIRENA INTERIOR PIEZOELÉCTICA")</f>
        <v>SIRENA INTERIOR PIEZOELÉCTICA</v>
      </c>
      <c r="C509" s="4" t="str">
        <f>IFERROR(__xludf.DUMMYFUNCTION("""COMPUTED_VALUE"""),"Sirena interior piezoeléctica. 108 dB en 12VDC/1m. Gabinete plástico")</f>
        <v>Sirena interior piezoeléctica. 108 dB en 12VDC/1m. Gabinete plástico</v>
      </c>
      <c r="D509" s="4" t="str">
        <f>IFERROR(__xludf.DUMMYFUNCTION("""COMPUTED_VALUE"""),"TEKSOR")</f>
        <v>TEKSOR</v>
      </c>
      <c r="E509" s="4" t="str">
        <f>IFERROR(__xludf.DUMMYFUNCTION("""COMPUTED_VALUE"""),"DKSI108")</f>
        <v>DKSI108</v>
      </c>
      <c r="F509" s="4" t="str">
        <f>IFERROR(__xludf.DUMMYFUNCTION("""COMPUTED_VALUE"""),"ALARMAS &gt; SIRENAS - ESTROBOS - SEMAFORO")</f>
        <v>ALARMAS &gt; SIRENAS - ESTROBOS - SEMAFORO</v>
      </c>
      <c r="G509" s="5"/>
      <c r="H509" s="6">
        <f>IFERROR(__xludf.DUMMYFUNCTION("""COMPUTED_VALUE"""),5.39)</f>
        <v>5.39</v>
      </c>
      <c r="I509" s="7">
        <f>IFERROR(__xludf.DUMMYFUNCTION("""COMPUTED_VALUE"""),21.0)</f>
        <v>21</v>
      </c>
      <c r="J509" s="6">
        <f>IFERROR(__xludf.DUMMYFUNCTION("""COMPUTED_VALUE"""),6.47)</f>
        <v>6.47</v>
      </c>
      <c r="K509" s="6">
        <f>IFERROR(__xludf.DUMMYFUNCTION("""COMPUTED_VALUE"""),7.55)</f>
        <v>7.55</v>
      </c>
      <c r="L509" s="3"/>
      <c r="M509" s="3"/>
    </row>
    <row r="510" ht="48.0" customHeight="1">
      <c r="A510" s="3" t="str">
        <f>IFERROR(__xludf.DUMMYFUNCTION("""COMPUTED_VALUE"""),"EAS150")</f>
        <v>EAS150</v>
      </c>
      <c r="B510" s="4" t="str">
        <f>IFERROR(__xludf.DUMMYFUNCTION("""COMPUTED_VALUE"""),"SIRENA EXTERIOR")</f>
        <v>SIRENA EXTERIOR</v>
      </c>
      <c r="C510" s="4" t="str">
        <f>IFERROR(__xludf.DUMMYFUNCTION("""COMPUTED_VALUE"""),"Sirena exterior. 115 dB en 12VDC/1m. Gabinete plástico")</f>
        <v>Sirena exterior. 115 dB en 12VDC/1m. Gabinete plástico</v>
      </c>
      <c r="D510" s="4" t="str">
        <f>IFERROR(__xludf.DUMMYFUNCTION("""COMPUTED_VALUE"""),"GENERICO")</f>
        <v>GENERICO</v>
      </c>
      <c r="E510" s="4" t="str">
        <f>IFERROR(__xludf.DUMMYFUNCTION("""COMPUTED_VALUE"""),"EAS150")</f>
        <v>EAS150</v>
      </c>
      <c r="F510" s="4" t="str">
        <f>IFERROR(__xludf.DUMMYFUNCTION("""COMPUTED_VALUE"""),"ALARMAS &gt; SIRENAS - ESTROBOS - SEMAFORO")</f>
        <v>ALARMAS &gt; SIRENAS - ESTROBOS - SEMAFORO</v>
      </c>
      <c r="G510" s="5"/>
      <c r="H510" s="6">
        <f>IFERROR(__xludf.DUMMYFUNCTION("""COMPUTED_VALUE"""),19.71)</f>
        <v>19.71</v>
      </c>
      <c r="I510" s="7">
        <f>IFERROR(__xludf.DUMMYFUNCTION("""COMPUTED_VALUE"""),21.0)</f>
        <v>21</v>
      </c>
      <c r="J510" s="6">
        <f>IFERROR(__xludf.DUMMYFUNCTION("""COMPUTED_VALUE"""),23.65)</f>
        <v>23.65</v>
      </c>
      <c r="K510" s="6">
        <f>IFERROR(__xludf.DUMMYFUNCTION("""COMPUTED_VALUE"""),27.59)</f>
        <v>27.59</v>
      </c>
      <c r="L510" s="3"/>
      <c r="M510" s="3"/>
    </row>
    <row r="511" ht="48.0" customHeight="1">
      <c r="A511" s="3" t="str">
        <f>IFERROR(__xludf.DUMMYFUNCTION("""COMPUTED_VALUE"""),"HC103")</f>
        <v>HC103</v>
      </c>
      <c r="B511" s="4" t="str">
        <f>IFERROR(__xludf.DUMMYFUNCTION("""COMPUTED_VALUE"""),"MINI SIRENA DE INTERIOR CON STOBO ROJO")</f>
        <v>MINI SIRENA DE INTERIOR CON STOBO ROJO</v>
      </c>
      <c r="C511" s="4" t="str">
        <f>IFERROR(__xludf.DUMMYFUNCTION("""COMPUTED_VALUE"""),"Mini sirena de interior con stobo rojo")</f>
        <v>Mini sirena de interior con stobo rojo</v>
      </c>
      <c r="D511" s="4" t="str">
        <f>IFERROR(__xludf.DUMMYFUNCTION("""COMPUTED_VALUE"""),"OWL")</f>
        <v>OWL</v>
      </c>
      <c r="E511" s="4" t="str">
        <f>IFERROR(__xludf.DUMMYFUNCTION("""COMPUTED_VALUE"""),"HC103")</f>
        <v>HC103</v>
      </c>
      <c r="F511" s="4" t="str">
        <f>IFERROR(__xludf.DUMMYFUNCTION("""COMPUTED_VALUE"""),"ALARMAS &gt; SIRENAS - ESTROBOS - SEMAFORO")</f>
        <v>ALARMAS &gt; SIRENAS - ESTROBOS - SEMAFORO</v>
      </c>
      <c r="G511" s="5"/>
      <c r="H511" s="6">
        <f>IFERROR(__xludf.DUMMYFUNCTION("""COMPUTED_VALUE"""),6.05)</f>
        <v>6.05</v>
      </c>
      <c r="I511" s="7">
        <f>IFERROR(__xludf.DUMMYFUNCTION("""COMPUTED_VALUE"""),21.0)</f>
        <v>21</v>
      </c>
      <c r="J511" s="6">
        <f>IFERROR(__xludf.DUMMYFUNCTION("""COMPUTED_VALUE"""),7.26)</f>
        <v>7.26</v>
      </c>
      <c r="K511" s="6">
        <f>IFERROR(__xludf.DUMMYFUNCTION("""COMPUTED_VALUE"""),8.47)</f>
        <v>8.47</v>
      </c>
      <c r="L511" s="3"/>
      <c r="M511" s="3"/>
    </row>
    <row r="512" ht="48.0" customHeight="1">
      <c r="A512" s="3" t="str">
        <f>IFERROR(__xludf.DUMMYFUNCTION("""COMPUTED_VALUE"""),"DKECO108")</f>
        <v>DKECO108</v>
      </c>
      <c r="B512" s="4" t="str">
        <f>IFERROR(__xludf.DUMMYFUNCTION("""COMPUTED_VALUE"""),"SIRENA EXTERIOR")</f>
        <v>SIRENA EXTERIOR</v>
      </c>
      <c r="C512" s="4" t="str">
        <f>IFERROR(__xludf.DUMMYFUNCTION("""COMPUTED_VALUE"""),"Sirena exterior. 108 dB en 12VDC/1m. Gabinete plástico c/Strobo")</f>
        <v>Sirena exterior. 108 dB en 12VDC/1m. Gabinete plástico c/Strobo</v>
      </c>
      <c r="D512" s="4" t="str">
        <f>IFERROR(__xludf.DUMMYFUNCTION("""COMPUTED_VALUE"""),"TEKSOR")</f>
        <v>TEKSOR</v>
      </c>
      <c r="E512" s="4" t="str">
        <f>IFERROR(__xludf.DUMMYFUNCTION("""COMPUTED_VALUE"""),"DKECO108")</f>
        <v>DKECO108</v>
      </c>
      <c r="F512" s="4" t="str">
        <f>IFERROR(__xludf.DUMMYFUNCTION("""COMPUTED_VALUE"""),"ALARMAS &gt; SIRENAS - ESTROBOS - SEMAFORO")</f>
        <v>ALARMAS &gt; SIRENAS - ESTROBOS - SEMAFORO</v>
      </c>
      <c r="G512" s="5"/>
      <c r="H512" s="6">
        <f>IFERROR(__xludf.DUMMYFUNCTION("""COMPUTED_VALUE"""),22.0)</f>
        <v>22</v>
      </c>
      <c r="I512" s="7">
        <f>IFERROR(__xludf.DUMMYFUNCTION("""COMPUTED_VALUE"""),21.0)</f>
        <v>21</v>
      </c>
      <c r="J512" s="6">
        <f>IFERROR(__xludf.DUMMYFUNCTION("""COMPUTED_VALUE"""),26.4)</f>
        <v>26.4</v>
      </c>
      <c r="K512" s="6">
        <f>IFERROR(__xludf.DUMMYFUNCTION("""COMPUTED_VALUE"""),30.8)</f>
        <v>30.8</v>
      </c>
      <c r="L512" s="3"/>
      <c r="M512" s="3"/>
    </row>
    <row r="513" ht="48.0" customHeight="1">
      <c r="A513" s="3" t="str">
        <f>IFERROR(__xludf.DUMMYFUNCTION("""COMPUTED_VALUE"""),"EAS400")</f>
        <v>EAS400</v>
      </c>
      <c r="B513" s="4" t="str">
        <f>IFERROR(__xludf.DUMMYFUNCTION("""COMPUTED_VALUE"""),"SIRENA EXTERIOR")</f>
        <v>SIRENA EXTERIOR</v>
      </c>
      <c r="C513" s="4" t="str">
        <f>IFERROR(__xludf.DUMMYFUNCTION("""COMPUTED_VALUE"""),"Sirena exterior. 115 dB en 12VDC/1m. Gabinete plástico c/Flash")</f>
        <v>Sirena exterior. 115 dB en 12VDC/1m. Gabinete plástico c/Flash</v>
      </c>
      <c r="D513" s="4" t="str">
        <f>IFERROR(__xludf.DUMMYFUNCTION("""COMPUTED_VALUE"""),"GENERICO")</f>
        <v>GENERICO</v>
      </c>
      <c r="E513" s="4" t="str">
        <f>IFERROR(__xludf.DUMMYFUNCTION("""COMPUTED_VALUE"""),"EAS400")</f>
        <v>EAS400</v>
      </c>
      <c r="F513" s="4" t="str">
        <f>IFERROR(__xludf.DUMMYFUNCTION("""COMPUTED_VALUE"""),"ALARMAS &gt; SIRENAS - ESTROBOS - SEMAFORO")</f>
        <v>ALARMAS &gt; SIRENAS - ESTROBOS - SEMAFORO</v>
      </c>
      <c r="G513" s="5"/>
      <c r="H513" s="6">
        <f>IFERROR(__xludf.DUMMYFUNCTION("""COMPUTED_VALUE"""),25.19)</f>
        <v>25.19</v>
      </c>
      <c r="I513" s="7">
        <f>IFERROR(__xludf.DUMMYFUNCTION("""COMPUTED_VALUE"""),21.0)</f>
        <v>21</v>
      </c>
      <c r="J513" s="6">
        <f>IFERROR(__xludf.DUMMYFUNCTION("""COMPUTED_VALUE"""),30.23)</f>
        <v>30.23</v>
      </c>
      <c r="K513" s="6">
        <f>IFERROR(__xludf.DUMMYFUNCTION("""COMPUTED_VALUE"""),35.27)</f>
        <v>35.27</v>
      </c>
      <c r="L513" s="3"/>
      <c r="M513" s="3"/>
    </row>
    <row r="514" ht="48.0" customHeight="1">
      <c r="A514" s="3" t="str">
        <f>IFERROR(__xludf.DUMMYFUNCTION("""COMPUTED_VALUE"""),"DS-PS1-B")</f>
        <v>DS-PS1-B</v>
      </c>
      <c r="B514" s="4" t="str">
        <f>IFERROR(__xludf.DUMMYFUNCTION("""COMPUTED_VALUE"""),"MINI SIRENA INTERIOR")</f>
        <v>MINI SIRENA INTERIOR</v>
      </c>
      <c r="C514" s="4" t="str">
        <f>IFERROR(__xludf.DUMMYFUNCTION("""COMPUTED_VALUE"""),"Mini sirena interior - exterior con flash de 105DB a 30cm, protección IP54")</f>
        <v>Mini sirena interior - exterior con flash de 105DB a 30cm, protección IP54</v>
      </c>
      <c r="D514" s="4" t="str">
        <f>IFERROR(__xludf.DUMMYFUNCTION("""COMPUTED_VALUE"""),"HIKVISION")</f>
        <v>HIKVISION</v>
      </c>
      <c r="E514" s="4" t="str">
        <f>IFERROR(__xludf.DUMMYFUNCTION("""COMPUTED_VALUE"""),"DS-PS1-B")</f>
        <v>DS-PS1-B</v>
      </c>
      <c r="F514" s="4" t="str">
        <f>IFERROR(__xludf.DUMMYFUNCTION("""COMPUTED_VALUE"""),"ALARMAS &gt; SIRENAS - ESTROBOS - SEMAFORO")</f>
        <v>ALARMAS &gt; SIRENAS - ESTROBOS - SEMAFORO</v>
      </c>
      <c r="G514" s="5"/>
      <c r="H514" s="6">
        <f>IFERROR(__xludf.DUMMYFUNCTION("""COMPUTED_VALUE"""),14.85)</f>
        <v>14.85</v>
      </c>
      <c r="I514" s="7">
        <f>IFERROR(__xludf.DUMMYFUNCTION("""COMPUTED_VALUE"""),21.0)</f>
        <v>21</v>
      </c>
      <c r="J514" s="6">
        <f>IFERROR(__xludf.DUMMYFUNCTION("""COMPUTED_VALUE"""),17.82)</f>
        <v>17.82</v>
      </c>
      <c r="K514" s="6">
        <f>IFERROR(__xludf.DUMMYFUNCTION("""COMPUTED_VALUE"""),20.79)</f>
        <v>20.79</v>
      </c>
      <c r="L514" s="3"/>
      <c r="M514" s="3"/>
    </row>
    <row r="515" ht="48.0" customHeight="1">
      <c r="A515" s="3" t="str">
        <f>IFERROR(__xludf.DUMMYFUNCTION("""COMPUTED_VALUE"""),"ES280R")</f>
        <v>ES280R</v>
      </c>
      <c r="B515" s="4" t="str">
        <f>IFERROR(__xludf.DUMMYFUNCTION("""COMPUTED_VALUE"""),"SIRENA 30W")</f>
        <v>SIRENA 30W</v>
      </c>
      <c r="C515" s="4" t="str">
        <f>IFERROR(__xludf.DUMMYFUNCTION("""COMPUTED_VALUE"""),"Sirena 30W. Sirena exponencial. Blanco, tipo nautica")</f>
        <v>Sirena 30W. Sirena exponencial. Blanco, tipo nautica</v>
      </c>
      <c r="D515" s="4" t="str">
        <f>IFERROR(__xludf.DUMMYFUNCTION("""COMPUTED_VALUE"""),"DIALSEC")</f>
        <v>DIALSEC</v>
      </c>
      <c r="E515" s="4" t="str">
        <f>IFERROR(__xludf.DUMMYFUNCTION("""COMPUTED_VALUE"""),"ES280R")</f>
        <v>ES280R</v>
      </c>
      <c r="F515" s="4" t="str">
        <f>IFERROR(__xludf.DUMMYFUNCTION("""COMPUTED_VALUE"""),"ALARMAS &gt; SIRENAS - ESTROBOS - SEMAFORO")</f>
        <v>ALARMAS &gt; SIRENAS - ESTROBOS - SEMAFORO</v>
      </c>
      <c r="G515" s="5"/>
      <c r="H515" s="6">
        <f>IFERROR(__xludf.DUMMYFUNCTION("""COMPUTED_VALUE"""),12.1)</f>
        <v>12.1</v>
      </c>
      <c r="I515" s="7">
        <f>IFERROR(__xludf.DUMMYFUNCTION("""COMPUTED_VALUE"""),21.0)</f>
        <v>21</v>
      </c>
      <c r="J515" s="6">
        <f>IFERROR(__xludf.DUMMYFUNCTION("""COMPUTED_VALUE"""),14.52)</f>
        <v>14.52</v>
      </c>
      <c r="K515" s="6">
        <f>IFERROR(__xludf.DUMMYFUNCTION("""COMPUTED_VALUE"""),16.94)</f>
        <v>16.94</v>
      </c>
      <c r="L515" s="3"/>
      <c r="M515" s="3"/>
    </row>
    <row r="516" ht="48.0" customHeight="1">
      <c r="A516" s="3" t="str">
        <f>IFERROR(__xludf.DUMMYFUNCTION("""COMPUTED_VALUE"""),"HC05C")</f>
        <v>HC05C</v>
      </c>
      <c r="B516" s="4" t="str">
        <f>IFERROR(__xludf.DUMMYFUNCTION("""COMPUTED_VALUE"""),"LUZ STROBO COLOR AZUL O ROJO")</f>
        <v>LUZ STROBO COLOR AZUL O ROJO</v>
      </c>
      <c r="C516" s="4" t="str">
        <f>IFERROR(__xludf.DUMMYFUNCTION("""COMPUTED_VALUE"""),"Luz Strobo color azul o rojo")</f>
        <v>Luz Strobo color azul o rojo</v>
      </c>
      <c r="D516" s="4" t="str">
        <f>IFERROR(__xludf.DUMMYFUNCTION("""COMPUTED_VALUE"""),"DIALSEC")</f>
        <v>DIALSEC</v>
      </c>
      <c r="E516" s="4" t="str">
        <f>IFERROR(__xludf.DUMMYFUNCTION("""COMPUTED_VALUE"""),"HC05C")</f>
        <v>HC05C</v>
      </c>
      <c r="F516" s="4" t="str">
        <f>IFERROR(__xludf.DUMMYFUNCTION("""COMPUTED_VALUE"""),"ALARMAS &gt; SIRENAS - ESTROBOS - SEMAFORO")</f>
        <v>ALARMAS &gt; SIRENAS - ESTROBOS - SEMAFORO</v>
      </c>
      <c r="G516" s="5"/>
      <c r="H516" s="6">
        <f>IFERROR(__xludf.DUMMYFUNCTION("""COMPUTED_VALUE"""),4.95)</f>
        <v>4.95</v>
      </c>
      <c r="I516" s="7">
        <f>IFERROR(__xludf.DUMMYFUNCTION("""COMPUTED_VALUE"""),21.0)</f>
        <v>21</v>
      </c>
      <c r="J516" s="6">
        <f>IFERROR(__xludf.DUMMYFUNCTION("""COMPUTED_VALUE"""),5.94)</f>
        <v>5.94</v>
      </c>
      <c r="K516" s="6">
        <f>IFERROR(__xludf.DUMMYFUNCTION("""COMPUTED_VALUE"""),6.93)</f>
        <v>6.93</v>
      </c>
      <c r="L516" s="3"/>
      <c r="M516" s="3"/>
    </row>
    <row r="517" ht="48.0" customHeight="1">
      <c r="A517" s="3" t="str">
        <f>IFERROR(__xludf.DUMMYFUNCTION("""COMPUTED_VALUE"""),"DKSEMA")</f>
        <v>DKSEMA</v>
      </c>
      <c r="B517" s="4" t="str">
        <f>IFERROR(__xludf.DUMMYFUNCTION("""COMPUTED_VALUE"""),"SEMÁFORO PARA GARAJE DE LED Y BUZZER, ALIMENTACIÓN 220V,")</f>
        <v>SEMÁFORO PARA GARAJE DE LED Y BUZZER, ALIMENTACIÓN 220V,</v>
      </c>
      <c r="C517" s="4" t="str">
        <f>IFERROR(__xludf.DUMMYFUNCTION("""COMPUTED_VALUE"""),"Semáforo para Garaje de Led y buzzer, alimentación 220V, doble estado.")</f>
        <v>Semáforo para Garaje de Led y buzzer, alimentación 220V, doble estado.</v>
      </c>
      <c r="D517" s="4" t="str">
        <f>IFERROR(__xludf.DUMMYFUNCTION("""COMPUTED_VALUE"""),"TEKSOR")</f>
        <v>TEKSOR</v>
      </c>
      <c r="E517" s="4" t="str">
        <f>IFERROR(__xludf.DUMMYFUNCTION("""COMPUTED_VALUE"""),"DKSEMA")</f>
        <v>DKSEMA</v>
      </c>
      <c r="F517" s="4" t="str">
        <f>IFERROR(__xludf.DUMMYFUNCTION("""COMPUTED_VALUE"""),"ALARMAS &gt; SIRENAS - ESTROBOS - SEMAFORO")</f>
        <v>ALARMAS &gt; SIRENAS - ESTROBOS - SEMAFORO</v>
      </c>
      <c r="G517" s="5"/>
      <c r="H517" s="6">
        <f>IFERROR(__xludf.DUMMYFUNCTION("""COMPUTED_VALUE"""),48.4)</f>
        <v>48.4</v>
      </c>
      <c r="I517" s="7">
        <f>IFERROR(__xludf.DUMMYFUNCTION("""COMPUTED_VALUE"""),21.0)</f>
        <v>21</v>
      </c>
      <c r="J517" s="6">
        <f>IFERROR(__xludf.DUMMYFUNCTION("""COMPUTED_VALUE"""),58.08)</f>
        <v>58.08</v>
      </c>
      <c r="K517" s="6">
        <f>IFERROR(__xludf.DUMMYFUNCTION("""COMPUTED_VALUE"""),67.76)</f>
        <v>67.76</v>
      </c>
      <c r="L517" s="3"/>
      <c r="M517" s="3"/>
    </row>
    <row r="518" ht="48.0" customHeight="1">
      <c r="A518" s="3" t="str">
        <f>IFERROR(__xludf.DUMMYFUNCTION("""COMPUTED_VALUE"""),"TKSEMAFOROABO20KIT")</f>
        <v>TKSEMAFOROABO20KIT</v>
      </c>
      <c r="B518" s="4" t="str">
        <f>IFERROR(__xludf.DUMMYFUNCTION("""COMPUTED_VALUE"""),"KIT SEMÁFORO PARA GARAJE DE LED Y BUZZER, ALIMENTACIÓN")</f>
        <v>KIT SEMÁFORO PARA GARAJE DE LED Y BUZZER, ALIMENTACIÓN</v>
      </c>
      <c r="C518" s="4" t="str">
        <f>IFERROR(__xludf.DUMMYFUNCTION("""COMPUTED_VALUE"""),"KIT Semáforo para Garaje de Led y buzzer, alimentación 220V, doble estado. + Barrera ABO20")</f>
        <v>KIT Semáforo para Garaje de Led y buzzer, alimentación 220V, doble estado. + Barrera ABO20</v>
      </c>
      <c r="D518" s="4" t="str">
        <f>IFERROR(__xludf.DUMMYFUNCTION("""COMPUTED_VALUE"""),"TEKSOR")</f>
        <v>TEKSOR</v>
      </c>
      <c r="E518" s="4" t="str">
        <f>IFERROR(__xludf.DUMMYFUNCTION("""COMPUTED_VALUE"""),"TKSEMAFOROABO20KIT")</f>
        <v>TKSEMAFOROABO20KIT</v>
      </c>
      <c r="F518" s="4" t="str">
        <f>IFERROR(__xludf.DUMMYFUNCTION("""COMPUTED_VALUE"""),"ALARMAS &gt; SIRENAS - ESTROBOS - SEMAFORO")</f>
        <v>ALARMAS &gt; SIRENAS - ESTROBOS - SEMAFORO</v>
      </c>
      <c r="G518" s="5"/>
      <c r="H518" s="6">
        <f>IFERROR(__xludf.DUMMYFUNCTION("""COMPUTED_VALUE"""),59.46)</f>
        <v>59.46</v>
      </c>
      <c r="I518" s="7">
        <f>IFERROR(__xludf.DUMMYFUNCTION("""COMPUTED_VALUE"""),21.0)</f>
        <v>21</v>
      </c>
      <c r="J518" s="6">
        <f>IFERROR(__xludf.DUMMYFUNCTION("""COMPUTED_VALUE"""),71.35)</f>
        <v>71.35</v>
      </c>
      <c r="K518" s="6">
        <f>IFERROR(__xludf.DUMMYFUNCTION("""COMPUTED_VALUE"""),83.24)</f>
        <v>83.24</v>
      </c>
      <c r="L518" s="3"/>
      <c r="M518" s="3"/>
    </row>
    <row r="519" ht="48.0" customHeight="1">
      <c r="A519" s="3" t="str">
        <f>IFERROR(__xludf.DUMMYFUNCTION("""COMPUTED_VALUE"""),"TKSEMAFOROHO03IKIT")</f>
        <v>TKSEMAFOROHO03IKIT</v>
      </c>
      <c r="B519" s="4" t="str">
        <f>IFERROR(__xludf.DUMMYFUNCTION("""COMPUTED_VALUE"""),"KIT SEMÁFORO PARA GARAJE DE LED Y BUZZER, ALIMENTACIÓN")</f>
        <v>KIT SEMÁFORO PARA GARAJE DE LED Y BUZZER, ALIMENTACIÓN</v>
      </c>
      <c r="C519" s="4" t="str">
        <f>IFERROR(__xludf.DUMMYFUNCTION("""COMPUTED_VALUE"""),"KIT Semáforo para Garaje de Led y buzzer, alimentación 220V, doble estado + Magnético portón HO03I")</f>
        <v>KIT Semáforo para Garaje de Led y buzzer, alimentación 220V, doble estado + Magnético portón HO03I</v>
      </c>
      <c r="D519" s="4" t="str">
        <f>IFERROR(__xludf.DUMMYFUNCTION("""COMPUTED_VALUE"""),"TEKSOR")</f>
        <v>TEKSOR</v>
      </c>
      <c r="E519" s="4" t="str">
        <f>IFERROR(__xludf.DUMMYFUNCTION("""COMPUTED_VALUE"""),"TKSEMAFOROHO03IKIT")</f>
        <v>TKSEMAFOROHO03IKIT</v>
      </c>
      <c r="F519" s="4" t="str">
        <f>IFERROR(__xludf.DUMMYFUNCTION("""COMPUTED_VALUE"""),"ALARMAS &gt; SIRENAS - ESTROBOS - SEMAFORO")</f>
        <v>ALARMAS &gt; SIRENAS - ESTROBOS - SEMAFORO</v>
      </c>
      <c r="G519" s="5"/>
      <c r="H519" s="6">
        <f>IFERROR(__xludf.DUMMYFUNCTION("""COMPUTED_VALUE"""),56.95)</f>
        <v>56.95</v>
      </c>
      <c r="I519" s="7">
        <f>IFERROR(__xludf.DUMMYFUNCTION("""COMPUTED_VALUE"""),21.0)</f>
        <v>21</v>
      </c>
      <c r="J519" s="6">
        <f>IFERROR(__xludf.DUMMYFUNCTION("""COMPUTED_VALUE"""),68.34)</f>
        <v>68.34</v>
      </c>
      <c r="K519" s="6">
        <f>IFERROR(__xludf.DUMMYFUNCTION("""COMPUTED_VALUE"""),79.73)</f>
        <v>79.73</v>
      </c>
      <c r="L519" s="3"/>
      <c r="M519" s="3"/>
    </row>
    <row r="520" ht="48.0" customHeight="1">
      <c r="A520" s="3" t="str">
        <f>IFERROR(__xludf.DUMMYFUNCTION("""COMPUTED_VALUE"""),"WA1834-B")</f>
        <v>WA1834-B</v>
      </c>
      <c r="B520" s="4" t="str">
        <f>IFERROR(__xludf.DUMMYFUNCTION("""COMPUTED_VALUE"""),"CAMPANA ALARMA 15CM 220V BLANCA")</f>
        <v>CAMPANA ALARMA 15CM 220V BLANCA</v>
      </c>
      <c r="C520" s="4" t="str">
        <f>IFERROR(__xludf.DUMMYFUNCTION("""COMPUTED_VALUE"""),"Campana alarma 15cm 220v blanca")</f>
        <v>Campana alarma 15cm 220v blanca</v>
      </c>
      <c r="D520" s="4" t="str">
        <f>IFERROR(__xludf.DUMMYFUNCTION("""COMPUTED_VALUE"""),"GENERICO")</f>
        <v>GENERICO</v>
      </c>
      <c r="E520" s="4" t="str">
        <f>IFERROR(__xludf.DUMMYFUNCTION("""COMPUTED_VALUE"""),"WA1834-B")</f>
        <v>WA1834-B</v>
      </c>
      <c r="F520" s="4" t="str">
        <f>IFERROR(__xludf.DUMMYFUNCTION("""COMPUTED_VALUE"""),"ALARMAS &gt; SIRENAS - ESTROBOS - SEMAFORO")</f>
        <v>ALARMAS &gt; SIRENAS - ESTROBOS - SEMAFORO</v>
      </c>
      <c r="G520" s="5"/>
      <c r="H520" s="6">
        <f>IFERROR(__xludf.DUMMYFUNCTION("""COMPUTED_VALUE"""),32.36)</f>
        <v>32.36</v>
      </c>
      <c r="I520" s="7">
        <f>IFERROR(__xludf.DUMMYFUNCTION("""COMPUTED_VALUE"""),21.0)</f>
        <v>21</v>
      </c>
      <c r="J520" s="6">
        <f>IFERROR(__xludf.DUMMYFUNCTION("""COMPUTED_VALUE"""),38.83)</f>
        <v>38.83</v>
      </c>
      <c r="K520" s="6">
        <f>IFERROR(__xludf.DUMMYFUNCTION("""COMPUTED_VALUE"""),45.3)</f>
        <v>45.3</v>
      </c>
      <c r="L520" s="3"/>
      <c r="M520" s="3"/>
    </row>
    <row r="521" ht="48.0" customHeight="1">
      <c r="A521" s="3" t="str">
        <f>IFERROR(__xludf.DUMMYFUNCTION("""COMPUTED_VALUE"""),"WA1835-C")</f>
        <v>WA1835-C</v>
      </c>
      <c r="B521" s="4" t="str">
        <f>IFERROR(__xludf.DUMMYFUNCTION("""COMPUTED_VALUE"""),"CAMPANA ALARMA 15CM 220V/12V CON TRANSFORMADOR CROMADA")</f>
        <v>CAMPANA ALARMA 15CM 220V/12V CON TRANSFORMADOR CROMADA</v>
      </c>
      <c r="C521" s="4" t="str">
        <f>IFERROR(__xludf.DUMMYFUNCTION("""COMPUTED_VALUE"""),"Campana alarma 15cm 220v/12v con transformador cromada")</f>
        <v>Campana alarma 15cm 220v/12v con transformador cromada</v>
      </c>
      <c r="D521" s="4" t="str">
        <f>IFERROR(__xludf.DUMMYFUNCTION("""COMPUTED_VALUE"""),"GENERICO")</f>
        <v>GENERICO</v>
      </c>
      <c r="E521" s="4" t="str">
        <f>IFERROR(__xludf.DUMMYFUNCTION("""COMPUTED_VALUE"""),"WA1835-C")</f>
        <v>WA1835-C</v>
      </c>
      <c r="F521" s="4" t="str">
        <f>IFERROR(__xludf.DUMMYFUNCTION("""COMPUTED_VALUE"""),"ALARMAS &gt; SIRENAS - ESTROBOS - SEMAFORO")</f>
        <v>ALARMAS &gt; SIRENAS - ESTROBOS - SEMAFORO</v>
      </c>
      <c r="G521" s="5"/>
      <c r="H521" s="6">
        <f>IFERROR(__xludf.DUMMYFUNCTION("""COMPUTED_VALUE"""),40.21)</f>
        <v>40.21</v>
      </c>
      <c r="I521" s="7">
        <f>IFERROR(__xludf.DUMMYFUNCTION("""COMPUTED_VALUE"""),21.0)</f>
        <v>21</v>
      </c>
      <c r="J521" s="6">
        <f>IFERROR(__xludf.DUMMYFUNCTION("""COMPUTED_VALUE"""),48.25)</f>
        <v>48.25</v>
      </c>
      <c r="K521" s="6">
        <f>IFERROR(__xludf.DUMMYFUNCTION("""COMPUTED_VALUE"""),56.29)</f>
        <v>56.29</v>
      </c>
      <c r="L521" s="3"/>
      <c r="M521" s="3"/>
    </row>
    <row r="522" ht="48.0" customHeight="1">
      <c r="A522" s="3" t="str">
        <f>IFERROR(__xludf.DUMMYFUNCTION("""COMPUTED_VALUE"""),"WA1837-B")</f>
        <v>WA1837-B</v>
      </c>
      <c r="B522" s="4" t="str">
        <f>IFERROR(__xludf.DUMMYFUNCTION("""COMPUTED_VALUE"""),"CAMPANA ALARMA 15CM 220V/12V CON TRANSFORMADOR BLANCA")</f>
        <v>CAMPANA ALARMA 15CM 220V/12V CON TRANSFORMADOR BLANCA</v>
      </c>
      <c r="C522" s="4" t="str">
        <f>IFERROR(__xludf.DUMMYFUNCTION("""COMPUTED_VALUE"""),"Campana alarma 15cm 220v/12v con transformador blanca")</f>
        <v>Campana alarma 15cm 220v/12v con transformador blanca</v>
      </c>
      <c r="D522" s="4" t="str">
        <f>IFERROR(__xludf.DUMMYFUNCTION("""COMPUTED_VALUE"""),"GENERICO")</f>
        <v>GENERICO</v>
      </c>
      <c r="E522" s="4" t="str">
        <f>IFERROR(__xludf.DUMMYFUNCTION("""COMPUTED_VALUE"""),"WA1837-B")</f>
        <v>WA1837-B</v>
      </c>
      <c r="F522" s="4" t="str">
        <f>IFERROR(__xludf.DUMMYFUNCTION("""COMPUTED_VALUE"""),"ALARMAS &gt; SIRENAS - ESTROBOS - SEMAFORO")</f>
        <v>ALARMAS &gt; SIRENAS - ESTROBOS - SEMAFORO</v>
      </c>
      <c r="G522" s="5"/>
      <c r="H522" s="6">
        <f>IFERROR(__xludf.DUMMYFUNCTION("""COMPUTED_VALUE"""),35.09)</f>
        <v>35.09</v>
      </c>
      <c r="I522" s="7">
        <f>IFERROR(__xludf.DUMMYFUNCTION("""COMPUTED_VALUE"""),21.0)</f>
        <v>21</v>
      </c>
      <c r="J522" s="6">
        <f>IFERROR(__xludf.DUMMYFUNCTION("""COMPUTED_VALUE"""),42.11)</f>
        <v>42.11</v>
      </c>
      <c r="K522" s="6">
        <f>IFERROR(__xludf.DUMMYFUNCTION("""COMPUTED_VALUE"""),49.13)</f>
        <v>49.13</v>
      </c>
      <c r="L522" s="3"/>
      <c r="M522" s="3"/>
    </row>
    <row r="523" ht="48.0" customHeight="1">
      <c r="A523" s="3" t="str">
        <f>IFERROR(__xludf.DUMMYFUNCTION("""COMPUTED_VALUE"""),"HWCE3")</f>
        <v>HWCE3</v>
      </c>
      <c r="B523" s="4" t="str">
        <f>IFERROR(__xludf.DUMMYFUNCTION("""COMPUTED_VALUE"""),"RECEPTOR CODE ENCRIPTOR CON 2 LLAVEROS 4 BOTONES Y 1 RELAY")</f>
        <v>RECEPTOR CODE ENCRIPTOR CON 2 LLAVEROS 4 BOTONES Y 1 RELAY</v>
      </c>
      <c r="C523" s="4" t="str">
        <f>IFERROR(__xludf.DUMMYFUNCTION("""COMPUTED_VALUE"""),"Receptor CODE ENCRIPTOR con 2 llaveros 4 botones y 1 relay. Compatible bus de datos con centrales: Honeywell Vista, DSC series PC y Power, Napco Gemenni y Caddx NX")</f>
        <v>Receptor CODE ENCRIPTOR con 2 llaveros 4 botones y 1 relay. Compatible bus de datos con centrales: Honeywell Vista, DSC series PC y Power, Napco Gemenni y Caddx NX</v>
      </c>
      <c r="D523" s="4" t="str">
        <f>IFERROR(__xludf.DUMMYFUNCTION("""COMPUTED_VALUE"""),"HONEYWELL")</f>
        <v>HONEYWELL</v>
      </c>
      <c r="E523" s="4" t="str">
        <f>IFERROR(__xludf.DUMMYFUNCTION("""COMPUTED_VALUE"""),"HWCE3")</f>
        <v>HWCE3</v>
      </c>
      <c r="F523" s="4" t="str">
        <f>IFERROR(__xludf.DUMMYFUNCTION("""COMPUTED_VALUE"""),"ALARMAS &gt; CONTROLES Y RECEPTORES REMOTOS – LINEA INALAMBRICA")</f>
        <v>ALARMAS &gt; CONTROLES Y RECEPTORES REMOTOS – LINEA INALAMBRICA</v>
      </c>
      <c r="G523" s="5"/>
      <c r="H523" s="6">
        <f>IFERROR(__xludf.DUMMYFUNCTION("""COMPUTED_VALUE"""),117.15)</f>
        <v>117.15</v>
      </c>
      <c r="I523" s="7">
        <f>IFERROR(__xludf.DUMMYFUNCTION("""COMPUTED_VALUE"""),21.0)</f>
        <v>21</v>
      </c>
      <c r="J523" s="6">
        <f>IFERROR(__xludf.DUMMYFUNCTION("""COMPUTED_VALUE"""),140.58)</f>
        <v>140.58</v>
      </c>
      <c r="K523" s="6">
        <f>IFERROR(__xludf.DUMMYFUNCTION("""COMPUTED_VALUE"""),164.01)</f>
        <v>164.01</v>
      </c>
      <c r="L523" s="3"/>
      <c r="M523" s="3"/>
    </row>
    <row r="524" ht="48.0" customHeight="1">
      <c r="A524" s="3" t="str">
        <f>IFERROR(__xludf.DUMMYFUNCTION("""COMPUTED_VALUE"""),"HWCEREMLXB")</f>
        <v>HWCEREMLXB</v>
      </c>
      <c r="B524" s="4" t="str">
        <f>IFERROR(__xludf.DUMMYFUNCTION("""COMPUTED_VALUE"""),"TRANSMISOR ADICIONAL DE 4 BOTONES PARA CE3")</f>
        <v>TRANSMISOR ADICIONAL DE 4 BOTONES PARA CE3</v>
      </c>
      <c r="C524" s="4" t="str">
        <f>IFERROR(__xludf.DUMMYFUNCTION("""COMPUTED_VALUE"""),"Transmisor adicional de 4 botones para CE3")</f>
        <v>Transmisor adicional de 4 botones para CE3</v>
      </c>
      <c r="D524" s="4" t="str">
        <f>IFERROR(__xludf.DUMMYFUNCTION("""COMPUTED_VALUE"""),"HONEYWELL")</f>
        <v>HONEYWELL</v>
      </c>
      <c r="E524" s="4" t="str">
        <f>IFERROR(__xludf.DUMMYFUNCTION("""COMPUTED_VALUE"""),"HWCEREMLXB")</f>
        <v>HWCEREMLXB</v>
      </c>
      <c r="F524" s="4" t="str">
        <f>IFERROR(__xludf.DUMMYFUNCTION("""COMPUTED_VALUE"""),"ALARMAS &gt; CONTROLES Y RECEPTORES REMOTOS – LINEA INALAMBRICA")</f>
        <v>ALARMAS &gt; CONTROLES Y RECEPTORES REMOTOS – LINEA INALAMBRICA</v>
      </c>
      <c r="G524" s="5"/>
      <c r="H524" s="6">
        <f>IFERROR(__xludf.DUMMYFUNCTION("""COMPUTED_VALUE"""),34.99)</f>
        <v>34.99</v>
      </c>
      <c r="I524" s="7">
        <f>IFERROR(__xludf.DUMMYFUNCTION("""COMPUTED_VALUE"""),21.0)</f>
        <v>21</v>
      </c>
      <c r="J524" s="6">
        <f>IFERROR(__xludf.DUMMYFUNCTION("""COMPUTED_VALUE"""),41.99)</f>
        <v>41.99</v>
      </c>
      <c r="K524" s="6">
        <f>IFERROR(__xludf.DUMMYFUNCTION("""COMPUTED_VALUE"""),48.99)</f>
        <v>48.99</v>
      </c>
      <c r="L524" s="3"/>
      <c r="M524" s="3"/>
    </row>
    <row r="525" ht="48.0" customHeight="1">
      <c r="A525" s="3" t="str">
        <f>IFERROR(__xludf.DUMMYFUNCTION("""COMPUTED_VALUE"""),"DKPREPANIC")</f>
        <v>DKPREPANIC</v>
      </c>
      <c r="B525" s="4" t="str">
        <f>IFERROR(__xludf.DUMMYFUNCTION("""COMPUTED_VALUE"""),"TEMPORIZADOR QUE PERMITE MANTENER UN EVENTO POR UN DETERMINADO")</f>
        <v>TEMPORIZADOR QUE PERMITE MANTENER UN EVENTO POR UN DETERMINADO</v>
      </c>
      <c r="C525" s="4" t="str">
        <f>IFERROR(__xludf.DUMMYFUNCTION("""COMPUTED_VALUE"""),"Temporizador que permite mantener un evento por un determinado tiempo antes de generar alarma Funcionamiento: al recibir un pulso comienza a contar un tiempo programable, si antes de que transcurra dicho tiempo recibe la cancelacion del evento, se normali"&amp;"za y en caso de no recibir al aviso genara alarma")</f>
        <v>Temporizador que permite mantener un evento por un determinado tiempo antes de generar alarma Funcionamiento: al recibir un pulso comienza a contar un tiempo programable, si antes de que transcurra dicho tiempo recibe la cancelacion del evento, se normaliza y en caso de no recibir al aviso genara alarma</v>
      </c>
      <c r="D525" s="4" t="str">
        <f>IFERROR(__xludf.DUMMYFUNCTION("""COMPUTED_VALUE"""),"TEKSOR")</f>
        <v>TEKSOR</v>
      </c>
      <c r="E525" s="4" t="str">
        <f>IFERROR(__xludf.DUMMYFUNCTION("""COMPUTED_VALUE"""),"DKPREPANIC")</f>
        <v>DKPREPANIC</v>
      </c>
      <c r="F525" s="4" t="str">
        <f>IFERROR(__xludf.DUMMYFUNCTION("""COMPUTED_VALUE"""),"ALARMAS &gt; CONTROLES Y RECEPTORES REMOTOS – LINEA INALAMBRICA")</f>
        <v>ALARMAS &gt; CONTROLES Y RECEPTORES REMOTOS – LINEA INALAMBRICA</v>
      </c>
      <c r="G525" s="5"/>
      <c r="H525" s="6">
        <f>IFERROR(__xludf.DUMMYFUNCTION("""COMPUTED_VALUE"""),26.4)</f>
        <v>26.4</v>
      </c>
      <c r="I525" s="7">
        <f>IFERROR(__xludf.DUMMYFUNCTION("""COMPUTED_VALUE"""),21.0)</f>
        <v>21</v>
      </c>
      <c r="J525" s="6">
        <f>IFERROR(__xludf.DUMMYFUNCTION("""COMPUTED_VALUE"""),31.68)</f>
        <v>31.68</v>
      </c>
      <c r="K525" s="6">
        <f>IFERROR(__xludf.DUMMYFUNCTION("""COMPUTED_VALUE"""),36.96)</f>
        <v>36.96</v>
      </c>
      <c r="L525" s="3"/>
      <c r="M525" s="3"/>
    </row>
    <row r="526" ht="48.0" customHeight="1">
      <c r="A526" s="3" t="str">
        <f>IFERROR(__xludf.DUMMYFUNCTION("""COMPUTED_VALUE"""),"ELSETDM1100PLUS")</f>
        <v>ELSETDM1100PLUS</v>
      </c>
      <c r="B526" s="4" t="str">
        <f>IFERROR(__xludf.DUMMYFUNCTION("""COMPUTED_VALUE"""),"SET-DM1-100 PLUS INCLUYE 2 TRANSMISORES DE UN BOTÓN TRA-DMT1-100")</f>
        <v>SET-DM1-100 PLUS INCLUYE 2 TRANSMISORES DE UN BOTÓN TRA-DMT1-100</v>
      </c>
      <c r="C526" s="4" t="str">
        <f>IFERROR(__xludf.DUMMYFUNCTION("""COMPUTED_VALUE"""),"SET-DM1-100 PLUS incluye 2 transmisores de un botón TRA-DMT1-100 y un receptor Alcance aproximado en campo abierto: 150 m · Acepta hasta 112 pulsadores ·Alimentación 12 VCC · Número de canales / salidas de relé: 1 · ON / OFF ( biestable) · Apagado automát"&amp;"ico después del tiempo programado (tiempo de modo de salida monoestable: desde 0,25 segundos hasta 4 horas) · Alarma de sabotaje tipo terminal NC")</f>
        <v>SET-DM1-100 PLUS incluye 2 transmisores de un botón TRA-DMT1-100 y un receptor Alcance aproximado en campo abierto: 150 m · Acepta hasta 112 pulsadores ·Alimentación 12 VCC · Número de canales / salidas de relé: 1 · ON / OFF ( biestable) · Apagado automático después del tiempo programado (tiempo de modo de salida monoestable: desde 0,25 segundos hasta 4 horas) · Alarma de sabotaje tipo terminal NC</v>
      </c>
      <c r="D526" s="4" t="str">
        <f>IFERROR(__xludf.DUMMYFUNCTION("""COMPUTED_VALUE"""),"ELMES")</f>
        <v>ELMES</v>
      </c>
      <c r="E526" s="4" t="str">
        <f>IFERROR(__xludf.DUMMYFUNCTION("""COMPUTED_VALUE"""),"ELSETDM1100PLUS")</f>
        <v>ELSETDM1100PLUS</v>
      </c>
      <c r="F526" s="4" t="str">
        <f>IFERROR(__xludf.DUMMYFUNCTION("""COMPUTED_VALUE"""),"ALARMAS &gt; CONTROLES Y RECEPTORES REMOTOS – LINEA INALAMBRICA")</f>
        <v>ALARMAS &gt; CONTROLES Y RECEPTORES REMOTOS – LINEA INALAMBRICA</v>
      </c>
      <c r="G526" s="5"/>
      <c r="H526" s="6">
        <f>IFERROR(__xludf.DUMMYFUNCTION("""COMPUTED_VALUE"""),39.94)</f>
        <v>39.94</v>
      </c>
      <c r="I526" s="7">
        <f>IFERROR(__xludf.DUMMYFUNCTION("""COMPUTED_VALUE"""),21.0)</f>
        <v>21</v>
      </c>
      <c r="J526" s="6">
        <f>IFERROR(__xludf.DUMMYFUNCTION("""COMPUTED_VALUE"""),47.93)</f>
        <v>47.93</v>
      </c>
      <c r="K526" s="6">
        <f>IFERROR(__xludf.DUMMYFUNCTION("""COMPUTED_VALUE"""),55.92)</f>
        <v>55.92</v>
      </c>
      <c r="L526" s="3"/>
      <c r="M526" s="3"/>
    </row>
    <row r="527" ht="48.0" customHeight="1">
      <c r="A527" s="3" t="str">
        <f>IFERROR(__xludf.DUMMYFUNCTION("""COMPUTED_VALUE"""),"EL-TX-TRA1100")</f>
        <v>EL-TX-TRA1100</v>
      </c>
      <c r="B527" s="4" t="str">
        <f>IFERROR(__xludf.DUMMYFUNCTION("""COMPUTED_VALUE"""),"TRA-DMT1-100 TRANSMISOR DE UN CANAL PARA EL SET-DM1-100 PLUS")</f>
        <v>TRA-DMT1-100 TRANSMISOR DE UN CANAL PARA EL SET-DM1-100 PLUS</v>
      </c>
      <c r="C527" s="4" t="str">
        <f>IFERROR(__xludf.DUMMYFUNCTION("""COMPUTED_VALUE"""),"TRA-DMT1-100 transmisor de un canal para el SET-DM1-100 PLUS Potencia de transmisión de 3-5 mW Alimentación batería 12V tipo 23A (incluida) · Rango promedio: 150 m en campo abierto. Cantidad de canales: 1")</f>
        <v>TRA-DMT1-100 transmisor de un canal para el SET-DM1-100 PLUS Potencia de transmisión de 3-5 mW Alimentación batería 12V tipo 23A (incluida) · Rango promedio: 150 m en campo abierto. Cantidad de canales: 1</v>
      </c>
      <c r="D527" s="4" t="str">
        <f>IFERROR(__xludf.DUMMYFUNCTION("""COMPUTED_VALUE"""),"ELMES")</f>
        <v>ELMES</v>
      </c>
      <c r="E527" s="4" t="str">
        <f>IFERROR(__xludf.DUMMYFUNCTION("""COMPUTED_VALUE"""),"EL-TX-TRA1100")</f>
        <v>EL-TX-TRA1100</v>
      </c>
      <c r="F527" s="4" t="str">
        <f>IFERROR(__xludf.DUMMYFUNCTION("""COMPUTED_VALUE"""),"ALARMAS &gt; CONTROLES Y RECEPTORES REMOTOS – LINEA INALAMBRICA")</f>
        <v>ALARMAS &gt; CONTROLES Y RECEPTORES REMOTOS – LINEA INALAMBRICA</v>
      </c>
      <c r="G527" s="5"/>
      <c r="H527" s="6">
        <f>IFERROR(__xludf.DUMMYFUNCTION("""COMPUTED_VALUE"""),14.74)</f>
        <v>14.74</v>
      </c>
      <c r="I527" s="7">
        <f>IFERROR(__xludf.DUMMYFUNCTION("""COMPUTED_VALUE"""),21.0)</f>
        <v>21</v>
      </c>
      <c r="J527" s="6">
        <f>IFERROR(__xludf.DUMMYFUNCTION("""COMPUTED_VALUE"""),17.69)</f>
        <v>17.69</v>
      </c>
      <c r="K527" s="6">
        <f>IFERROR(__xludf.DUMMYFUNCTION("""COMPUTED_VALUE"""),20.64)</f>
        <v>20.64</v>
      </c>
      <c r="L527" s="3"/>
      <c r="M527" s="3"/>
    </row>
    <row r="528" ht="48.0" customHeight="1">
      <c r="A528" s="3" t="str">
        <f>IFERROR(__xludf.DUMMYFUNCTION("""COMPUTED_VALUE"""),"ELSETDM2100PLUS")</f>
        <v>ELSETDM2100PLUS</v>
      </c>
      <c r="B528" s="4" t="str">
        <f>IFERROR(__xludf.DUMMYFUNCTION("""COMPUTED_VALUE"""),"SET-DM2-100 PLUS INCLUYE 2 TRANSMISORES DE DOS BOTONES TRA-DMT2-100")</f>
        <v>SET-DM2-100 PLUS INCLUYE 2 TRANSMISORES DE DOS BOTONES TRA-DMT2-100</v>
      </c>
      <c r="C528" s="4" t="str">
        <f>IFERROR(__xludf.DUMMYFUNCTION("""COMPUTED_VALUE"""),"SET-DM2-100 PLUS incluye 2 transmisores de dos botones TRA-DMT2-100 y un receptor Alcance aproximado en campo abierto: 150 m · Acepta hasta 104 pulsadores · Alimentación: 12 VCC · Número de canales / salidas de relé: 2")</f>
        <v>SET-DM2-100 PLUS incluye 2 transmisores de dos botones TRA-DMT2-100 y un receptor Alcance aproximado en campo abierto: 150 m · Acepta hasta 104 pulsadores · Alimentación: 12 VCC · Número de canales / salidas de relé: 2</v>
      </c>
      <c r="D528" s="4" t="str">
        <f>IFERROR(__xludf.DUMMYFUNCTION("""COMPUTED_VALUE"""),"ELMES")</f>
        <v>ELMES</v>
      </c>
      <c r="E528" s="4" t="str">
        <f>IFERROR(__xludf.DUMMYFUNCTION("""COMPUTED_VALUE"""),"ELSETDM2100PLUS")</f>
        <v>ELSETDM2100PLUS</v>
      </c>
      <c r="F528" s="4" t="str">
        <f>IFERROR(__xludf.DUMMYFUNCTION("""COMPUTED_VALUE"""),"ALARMAS &gt; CONTROLES Y RECEPTORES REMOTOS – LINEA INALAMBRICA")</f>
        <v>ALARMAS &gt; CONTROLES Y RECEPTORES REMOTOS – LINEA INALAMBRICA</v>
      </c>
      <c r="G528" s="5"/>
      <c r="H528" s="6">
        <f>IFERROR(__xludf.DUMMYFUNCTION("""COMPUTED_VALUE"""),47.54)</f>
        <v>47.54</v>
      </c>
      <c r="I528" s="7">
        <f>IFERROR(__xludf.DUMMYFUNCTION("""COMPUTED_VALUE"""),21.0)</f>
        <v>21</v>
      </c>
      <c r="J528" s="6">
        <f>IFERROR(__xludf.DUMMYFUNCTION("""COMPUTED_VALUE"""),57.05)</f>
        <v>57.05</v>
      </c>
      <c r="K528" s="6">
        <f>IFERROR(__xludf.DUMMYFUNCTION("""COMPUTED_VALUE"""),66.56)</f>
        <v>66.56</v>
      </c>
      <c r="L528" s="3"/>
      <c r="M528" s="3"/>
    </row>
    <row r="529" ht="48.0" customHeight="1">
      <c r="A529" s="3" t="str">
        <f>IFERROR(__xludf.DUMMYFUNCTION("""COMPUTED_VALUE"""),"EL-TX-TRA2100")</f>
        <v>EL-TX-TRA2100</v>
      </c>
      <c r="B529" s="4" t="str">
        <f>IFERROR(__xludf.DUMMYFUNCTION("""COMPUTED_VALUE"""),"TRA-DMT2-100 TRANSMISOR DE DOS CANALES CONTROL REMOTO PARA EL")</f>
        <v>TRA-DMT2-100 TRANSMISOR DE DOS CANALES CONTROL REMOTO PARA EL</v>
      </c>
      <c r="C529" s="4" t="str">
        <f>IFERROR(__xludf.DUMMYFUNCTION("""COMPUTED_VALUE"""),"TRA-DMT2-100 transmisor de dos canales Control remoto para el SET-DM2-100 PLUS · Potencia de transmisión de 3-5 mW · Alimentación batería 12V tipo 23A (incluida) · Rango promedio: 150 m en campo abierto · Cantidad de canales: 2")</f>
        <v>TRA-DMT2-100 transmisor de dos canales Control remoto para el SET-DM2-100 PLUS · Potencia de transmisión de 3-5 mW · Alimentación batería 12V tipo 23A (incluida) · Rango promedio: 150 m en campo abierto · Cantidad de canales: 2</v>
      </c>
      <c r="D529" s="4" t="str">
        <f>IFERROR(__xludf.DUMMYFUNCTION("""COMPUTED_VALUE"""),"ELMES")</f>
        <v>ELMES</v>
      </c>
      <c r="E529" s="4" t="str">
        <f>IFERROR(__xludf.DUMMYFUNCTION("""COMPUTED_VALUE"""),"EL-TX-TRA2100")</f>
        <v>EL-TX-TRA2100</v>
      </c>
      <c r="F529" s="4" t="str">
        <f>IFERROR(__xludf.DUMMYFUNCTION("""COMPUTED_VALUE"""),"ALARMAS &gt; CONTROLES Y RECEPTORES REMOTOS – LINEA INALAMBRICA")</f>
        <v>ALARMAS &gt; CONTROLES Y RECEPTORES REMOTOS – LINEA INALAMBRICA</v>
      </c>
      <c r="G529" s="5"/>
      <c r="H529" s="6">
        <f>IFERROR(__xludf.DUMMYFUNCTION("""COMPUTED_VALUE"""),15.68)</f>
        <v>15.68</v>
      </c>
      <c r="I529" s="7">
        <f>IFERROR(__xludf.DUMMYFUNCTION("""COMPUTED_VALUE"""),21.0)</f>
        <v>21</v>
      </c>
      <c r="J529" s="6">
        <f>IFERROR(__xludf.DUMMYFUNCTION("""COMPUTED_VALUE"""),18.82)</f>
        <v>18.82</v>
      </c>
      <c r="K529" s="6">
        <f>IFERROR(__xludf.DUMMYFUNCTION("""COMPUTED_VALUE"""),21.95)</f>
        <v>21.95</v>
      </c>
      <c r="L529" s="3"/>
      <c r="M529" s="3"/>
    </row>
    <row r="530" ht="48.0" customHeight="1">
      <c r="A530" s="3" t="str">
        <f>IFERROR(__xludf.DUMMYFUNCTION("""COMPUTED_VALUE"""),"ELSETDM2200PLUS")</f>
        <v>ELSETDM2200PLUS</v>
      </c>
      <c r="B530" s="4" t="str">
        <f>IFERROR(__xludf.DUMMYFUNCTION("""COMPUTED_VALUE"""),"SET-DM2-200 PLUS INCLUYE UN TRANSMISOR DE DOS BOTONES TRA-DMT2-200")</f>
        <v>SET-DM2-200 PLUS INCLUYE UN TRANSMISOR DE DOS BOTONES TRA-DMT2-200</v>
      </c>
      <c r="C530" s="4" t="str">
        <f>IFERROR(__xludf.DUMMYFUNCTION("""COMPUTED_VALUE"""),"SET-DM2-200 PLUS incluye un transmisor de dos botones TRA-DMT2-200 (bateria 9V no Incluida) y un receptor. Alcance aproximado en campo abierto: 250 m Acepta hasta 104 transmsores · Fuente de alimentación: 12 VCC · Número de canales / salidas de relé: 2")</f>
        <v>SET-DM2-200 PLUS incluye un transmisor de dos botones TRA-DMT2-200 (bateria 9V no Incluida) y un receptor. Alcance aproximado en campo abierto: 250 m Acepta hasta 104 transmsores · Fuente de alimentación: 12 VCC · Número de canales / salidas de relé: 2</v>
      </c>
      <c r="D530" s="4" t="str">
        <f>IFERROR(__xludf.DUMMYFUNCTION("""COMPUTED_VALUE"""),"ELMES")</f>
        <v>ELMES</v>
      </c>
      <c r="E530" s="4" t="str">
        <f>IFERROR(__xludf.DUMMYFUNCTION("""COMPUTED_VALUE"""),"ELSETDM2200PLUS")</f>
        <v>ELSETDM2200PLUS</v>
      </c>
      <c r="F530" s="4" t="str">
        <f>IFERROR(__xludf.DUMMYFUNCTION("""COMPUTED_VALUE"""),"ALARMAS &gt; CONTROLES Y RECEPTORES REMOTOS – LINEA INALAMBRICA")</f>
        <v>ALARMAS &gt; CONTROLES Y RECEPTORES REMOTOS – LINEA INALAMBRICA</v>
      </c>
      <c r="G530" s="5"/>
      <c r="H530" s="6">
        <f>IFERROR(__xludf.DUMMYFUNCTION("""COMPUTED_VALUE"""),49.74)</f>
        <v>49.74</v>
      </c>
      <c r="I530" s="7">
        <f>IFERROR(__xludf.DUMMYFUNCTION("""COMPUTED_VALUE"""),21.0)</f>
        <v>21</v>
      </c>
      <c r="J530" s="6">
        <f>IFERROR(__xludf.DUMMYFUNCTION("""COMPUTED_VALUE"""),59.69)</f>
        <v>59.69</v>
      </c>
      <c r="K530" s="6">
        <f>IFERROR(__xludf.DUMMYFUNCTION("""COMPUTED_VALUE"""),69.64)</f>
        <v>69.64</v>
      </c>
      <c r="L530" s="3"/>
      <c r="M530" s="3"/>
    </row>
    <row r="531" ht="48.0" customHeight="1">
      <c r="A531" s="3" t="str">
        <f>IFERROR(__xludf.DUMMYFUNCTION("""COMPUTED_VALUE"""),"EL-TX-TRA2200")</f>
        <v>EL-TX-TRA2200</v>
      </c>
      <c r="B531" s="4" t="str">
        <f>IFERROR(__xludf.DUMMYFUNCTION("""COMPUTED_VALUE"""),"TRA-DMT2-200 ES UN TRANSMISOR DE DOS CANALES PARA EL")</f>
        <v>TRA-DMT2-200 ES UN TRANSMISOR DE DOS CANALES PARA EL</v>
      </c>
      <c r="C531" s="4" t="str">
        <f>IFERROR(__xludf.DUMMYFUNCTION("""COMPUTED_VALUE"""),"TRA-DMT2-200 es un transmisor de dos canales para el SET-DM2-200 PLUS · Potencia de transmisión de &lt; 5 mW · Alimentación: batería de 9 V (no incluida) · Rango promedio: 250 m en campo abierto · Cantidad de canales: 2 Transmisor de 2 canales ·")</f>
        <v>TRA-DMT2-200 es un transmisor de dos canales para el SET-DM2-200 PLUS · Potencia de transmisión de &lt; 5 mW · Alimentación: batería de 9 V (no incluida) · Rango promedio: 250 m en campo abierto · Cantidad de canales: 2 Transmisor de 2 canales ·</v>
      </c>
      <c r="D531" s="4" t="str">
        <f>IFERROR(__xludf.DUMMYFUNCTION("""COMPUTED_VALUE"""),"ELMES")</f>
        <v>ELMES</v>
      </c>
      <c r="E531" s="4" t="str">
        <f>IFERROR(__xludf.DUMMYFUNCTION("""COMPUTED_VALUE"""),"EL-TX-TRA2200")</f>
        <v>EL-TX-TRA2200</v>
      </c>
      <c r="F531" s="4" t="str">
        <f>IFERROR(__xludf.DUMMYFUNCTION("""COMPUTED_VALUE"""),"ALARMAS &gt; CONTROLES Y RECEPTORES REMOTOS – LINEA INALAMBRICA")</f>
        <v>ALARMAS &gt; CONTROLES Y RECEPTORES REMOTOS – LINEA INALAMBRICA</v>
      </c>
      <c r="G531" s="5"/>
      <c r="H531" s="6">
        <f>IFERROR(__xludf.DUMMYFUNCTION("""COMPUTED_VALUE"""),26.9)</f>
        <v>26.9</v>
      </c>
      <c r="I531" s="7">
        <f>IFERROR(__xludf.DUMMYFUNCTION("""COMPUTED_VALUE"""),21.0)</f>
        <v>21</v>
      </c>
      <c r="J531" s="6">
        <f>IFERROR(__xludf.DUMMYFUNCTION("""COMPUTED_VALUE"""),32.28)</f>
        <v>32.28</v>
      </c>
      <c r="K531" s="6">
        <f>IFERROR(__xludf.DUMMYFUNCTION("""COMPUTED_VALUE"""),37.66)</f>
        <v>37.66</v>
      </c>
      <c r="L531" s="3"/>
      <c r="M531" s="3"/>
    </row>
    <row r="532" ht="48.0" customHeight="1">
      <c r="A532" s="3" t="str">
        <f>IFERROR(__xludf.DUMMYFUNCTION("""COMPUTED_VALUE"""),"ELSETDM4100PLUS")</f>
        <v>ELSETDM4100PLUS</v>
      </c>
      <c r="B532" s="4" t="str">
        <f>IFERROR(__xludf.DUMMYFUNCTION("""COMPUTED_VALUE"""),"SET DE 4 CANALES DE 150 METROS INCLUYE UN")</f>
        <v>SET DE 4 CANALES DE 150 METROS INCLUYE UN</v>
      </c>
      <c r="C532" s="4" t="str">
        <f>IFERROR(__xludf.DUMMYFUNCTION("""COMPUTED_VALUE"""),"Set de 4 canales de 150 metros incluye un transmisor de 4 botones TRA-DMT4-100 y un receptor. Alcance aproximado en campo abierto: 150 m Acepta hasta 104 transmsores · Fuente de alimentación: 12 VCC · Número de canales / salidas de relé: 4")</f>
        <v>Set de 4 canales de 150 metros incluye un transmisor de 4 botones TRA-DMT4-100 y un receptor. Alcance aproximado en campo abierto: 150 m Acepta hasta 104 transmsores · Fuente de alimentación: 12 VCC · Número de canales / salidas de relé: 4</v>
      </c>
      <c r="D532" s="4" t="str">
        <f>IFERROR(__xludf.DUMMYFUNCTION("""COMPUTED_VALUE"""),"ELMES")</f>
        <v>ELMES</v>
      </c>
      <c r="E532" s="4" t="str">
        <f>IFERROR(__xludf.DUMMYFUNCTION("""COMPUTED_VALUE"""),"ELSETDM4100PLUS")</f>
        <v>ELSETDM4100PLUS</v>
      </c>
      <c r="F532" s="4" t="str">
        <f>IFERROR(__xludf.DUMMYFUNCTION("""COMPUTED_VALUE"""),"ALARMAS &gt; CONTROLES Y RECEPTORES REMOTOS – LINEA INALAMBRICA")</f>
        <v>ALARMAS &gt; CONTROLES Y RECEPTORES REMOTOS – LINEA INALAMBRICA</v>
      </c>
      <c r="G532" s="5"/>
      <c r="H532" s="6">
        <f>IFERROR(__xludf.DUMMYFUNCTION("""COMPUTED_VALUE"""),49.61)</f>
        <v>49.61</v>
      </c>
      <c r="I532" s="7">
        <f>IFERROR(__xludf.DUMMYFUNCTION("""COMPUTED_VALUE"""),21.0)</f>
        <v>21</v>
      </c>
      <c r="J532" s="6">
        <f>IFERROR(__xludf.DUMMYFUNCTION("""COMPUTED_VALUE"""),59.53)</f>
        <v>59.53</v>
      </c>
      <c r="K532" s="6">
        <f>IFERROR(__xludf.DUMMYFUNCTION("""COMPUTED_VALUE"""),69.45)</f>
        <v>69.45</v>
      </c>
      <c r="L532" s="3"/>
      <c r="M532" s="3"/>
    </row>
    <row r="533" ht="48.0" customHeight="1">
      <c r="A533" s="3" t="str">
        <f>IFERROR(__xludf.DUMMYFUNCTION("""COMPUTED_VALUE"""),"EL-TX-TRA4100")</f>
        <v>EL-TX-TRA4100</v>
      </c>
      <c r="B533" s="4" t="str">
        <f>IFERROR(__xludf.DUMMYFUNCTION("""COMPUTED_VALUE"""),"TRANSMISOR DE 4 CANALES DE 150 METROS PARA EL")</f>
        <v>TRANSMISOR DE 4 CANALES DE 150 METROS PARA EL</v>
      </c>
      <c r="C533" s="4" t="str">
        <f>IFERROR(__xludf.DUMMYFUNCTION("""COMPUTED_VALUE"""),"Transmisor de 4 canales de 150 metros para el ELSETDM4100PLUS · Potencia de transmisión de 3-5 mW · Alimentación batería 12V tipo 23A (incluida) · Rango promedio: 150 m en campo abierto · Cantidad de canales: 4")</f>
        <v>Transmisor de 4 canales de 150 metros para el ELSETDM4100PLUS · Potencia de transmisión de 3-5 mW · Alimentación batería 12V tipo 23A (incluida) · Rango promedio: 150 m en campo abierto · Cantidad de canales: 4</v>
      </c>
      <c r="D533" s="4" t="str">
        <f>IFERROR(__xludf.DUMMYFUNCTION("""COMPUTED_VALUE"""),"ELMES")</f>
        <v>ELMES</v>
      </c>
      <c r="E533" s="4" t="str">
        <f>IFERROR(__xludf.DUMMYFUNCTION("""COMPUTED_VALUE"""),"EL-TX-TRA4100")</f>
        <v>EL-TX-TRA4100</v>
      </c>
      <c r="F533" s="4" t="str">
        <f>IFERROR(__xludf.DUMMYFUNCTION("""COMPUTED_VALUE"""),"ALARMAS &gt; CONTROLES Y RECEPTORES REMOTOS – LINEA INALAMBRICA")</f>
        <v>ALARMAS &gt; CONTROLES Y RECEPTORES REMOTOS – LINEA INALAMBRICA</v>
      </c>
      <c r="G533" s="5"/>
      <c r="H533" s="6">
        <f>IFERROR(__xludf.DUMMYFUNCTION("""COMPUTED_VALUE"""),22.51)</f>
        <v>22.51</v>
      </c>
      <c r="I533" s="7">
        <f>IFERROR(__xludf.DUMMYFUNCTION("""COMPUTED_VALUE"""),21.0)</f>
        <v>21</v>
      </c>
      <c r="J533" s="6">
        <f>IFERROR(__xludf.DUMMYFUNCTION("""COMPUTED_VALUE"""),27.01)</f>
        <v>27.01</v>
      </c>
      <c r="K533" s="6">
        <f>IFERROR(__xludf.DUMMYFUNCTION("""COMPUTED_VALUE"""),31.51)</f>
        <v>31.51</v>
      </c>
      <c r="L533" s="3"/>
      <c r="M533" s="3"/>
    </row>
    <row r="534" ht="48.0" customHeight="1">
      <c r="A534" s="3" t="str">
        <f>IFERROR(__xludf.DUMMYFUNCTION("""COMPUTED_VALUE"""),"OWHO02")</f>
        <v>OWHO02</v>
      </c>
      <c r="B534" s="4" t="str">
        <f>IFERROR(__xludf.DUMMYFUNCTION("""COMPUTED_VALUE"""),"PULSADOR DE EMERGENCIA NORMAL ABIERTO/CERRADO")</f>
        <v>PULSADOR DE EMERGENCIA NORMAL ABIERTO/CERRADO</v>
      </c>
      <c r="C534" s="4" t="str">
        <f>IFERROR(__xludf.DUMMYFUNCTION("""COMPUTED_VALUE"""),"Pulsador de emergencia normal abierto/cerrado.")</f>
        <v>Pulsador de emergencia normal abierto/cerrado.</v>
      </c>
      <c r="D534" s="4" t="str">
        <f>IFERROR(__xludf.DUMMYFUNCTION("""COMPUTED_VALUE"""),"OWL")</f>
        <v>OWL</v>
      </c>
      <c r="E534" s="4" t="str">
        <f>IFERROR(__xludf.DUMMYFUNCTION("""COMPUTED_VALUE"""),"OWHO02")</f>
        <v>OWHO02</v>
      </c>
      <c r="F534" s="4" t="str">
        <f>IFERROR(__xludf.DUMMYFUNCTION("""COMPUTED_VALUE"""),"ALARMAS &gt; PULSADORES")</f>
        <v>ALARMAS &gt; PULSADORES</v>
      </c>
      <c r="G534" s="5"/>
      <c r="H534" s="6">
        <f>IFERROR(__xludf.DUMMYFUNCTION("""COMPUTED_VALUE"""),2.09)</f>
        <v>2.09</v>
      </c>
      <c r="I534" s="7">
        <f>IFERROR(__xludf.DUMMYFUNCTION("""COMPUTED_VALUE"""),21.0)</f>
        <v>21</v>
      </c>
      <c r="J534" s="6">
        <f>IFERROR(__xludf.DUMMYFUNCTION("""COMPUTED_VALUE"""),2.51)</f>
        <v>2.51</v>
      </c>
      <c r="K534" s="6">
        <f>IFERROR(__xludf.DUMMYFUNCTION("""COMPUTED_VALUE"""),2.93)</f>
        <v>2.93</v>
      </c>
      <c r="L534" s="3"/>
      <c r="M534" s="3"/>
    </row>
    <row r="535" ht="48.0" customHeight="1">
      <c r="A535" s="3" t="str">
        <f>IFERROR(__xludf.DUMMYFUNCTION("""COMPUTED_VALUE"""),"OWHO01")</f>
        <v>OWHO01</v>
      </c>
      <c r="B535" s="4" t="str">
        <f>IFERROR(__xludf.DUMMYFUNCTION("""COMPUTED_VALUE"""),"PULSADOR DE EMERGENCIA CON RETENCIÓN Y LLAVE DESBLOQUEO, NORMAL")</f>
        <v>PULSADOR DE EMERGENCIA CON RETENCIÓN Y LLAVE DESBLOQUEO, NORMAL</v>
      </c>
      <c r="C535" s="4" t="str">
        <f>IFERROR(__xludf.DUMMYFUNCTION("""COMPUTED_VALUE"""),"Pulsador de emergencia con retención y llave desbloqueo, normal abierto/cerrado.")</f>
        <v>Pulsador de emergencia con retención y llave desbloqueo, normal abierto/cerrado.</v>
      </c>
      <c r="D535" s="4" t="str">
        <f>IFERROR(__xludf.DUMMYFUNCTION("""COMPUTED_VALUE"""),"OWL")</f>
        <v>OWL</v>
      </c>
      <c r="E535" s="4" t="str">
        <f>IFERROR(__xludf.DUMMYFUNCTION("""COMPUTED_VALUE"""),"OWHO01")</f>
        <v>OWHO01</v>
      </c>
      <c r="F535" s="4" t="str">
        <f>IFERROR(__xludf.DUMMYFUNCTION("""COMPUTED_VALUE"""),"ALARMAS &gt; PULSADORES")</f>
        <v>ALARMAS &gt; PULSADORES</v>
      </c>
      <c r="G535" s="5"/>
      <c r="H535" s="6">
        <f>IFERROR(__xludf.DUMMYFUNCTION("""COMPUTED_VALUE"""),2.09)</f>
        <v>2.09</v>
      </c>
      <c r="I535" s="7">
        <f>IFERROR(__xludf.DUMMYFUNCTION("""COMPUTED_VALUE"""),21.0)</f>
        <v>21</v>
      </c>
      <c r="J535" s="6">
        <f>IFERROR(__xludf.DUMMYFUNCTION("""COMPUTED_VALUE"""),2.51)</f>
        <v>2.51</v>
      </c>
      <c r="K535" s="6">
        <f>IFERROR(__xludf.DUMMYFUNCTION("""COMPUTED_VALUE"""),2.93)</f>
        <v>2.93</v>
      </c>
      <c r="L535" s="3"/>
      <c r="M535" s="3"/>
    </row>
    <row r="536" ht="48.0" customHeight="1">
      <c r="A536" s="3" t="str">
        <f>IFERROR(__xludf.DUMMYFUNCTION("""COMPUTED_VALUE"""),"DSPDSKMVG3")</f>
        <v>DSPDSKMVG3</v>
      </c>
      <c r="B536" s="4" t="str">
        <f>IFERROR(__xludf.DUMMYFUNCTION("""COMPUTED_VALUE"""),"DS-PDSKM-VG3(O-STD) SÍSMICO DETECTOR DE IMPACTO SHOCK SENSOR RANGE UP")</f>
        <v>DS-PDSKM-VG3(O-STD) SÍSMICO DETECTOR DE IMPACTO SHOCK SENSOR RANGE UP</v>
      </c>
      <c r="C536" s="4" t="str">
        <f>IFERROR(__xludf.DUMMYFUNCTION("""COMPUTED_VALUE"""),"DS-PDSKM-VG3(O-STD) sísmico Detector de impacto Shock Sensor Range Up to 5m Radius Sensitivity 8 Levels by DIP Switch Feature Digital Processing Support Tamper Protection Front,Rear Interface Alarm Output Normally Closed LED Indicator Blue(Alarm),Red(Nois"&amp;"e Indication) Transmission Transmission Method Wired Electrical Characteristics Power Supply 9 - 16 VDC")</f>
        <v>DS-PDSKM-VG3(O-STD) sísmico Detector de impacto Shock Sensor Range Up to 5m Radius Sensitivity 8 Levels by DIP Switch Feature Digital Processing Support Tamper Protection Front,Rear Interface Alarm Output Normally Closed LED Indicator Blue(Alarm),Red(Noise Indication) Transmission Transmission Method Wired Electrical Characteristics Power Supply 9 - 16 VDC</v>
      </c>
      <c r="D536" s="4" t="str">
        <f>IFERROR(__xludf.DUMMYFUNCTION("""COMPUTED_VALUE"""),"HIKVISION")</f>
        <v>HIKVISION</v>
      </c>
      <c r="E536" s="4" t="str">
        <f>IFERROR(__xludf.DUMMYFUNCTION("""COMPUTED_VALUE"""),"DSPDSKMVG3")</f>
        <v>DSPDSKMVG3</v>
      </c>
      <c r="F536" s="4" t="str">
        <f>IFERROR(__xludf.DUMMYFUNCTION("""COMPUTED_VALUE"""),"CONECTIVIDAD &gt; SWITCH")</f>
        <v>CONECTIVIDAD &gt; SWITCH</v>
      </c>
      <c r="G536" s="5"/>
      <c r="H536" s="6">
        <f>IFERROR(__xludf.DUMMYFUNCTION("""COMPUTED_VALUE"""),48.4)</f>
        <v>48.4</v>
      </c>
      <c r="I536" s="7">
        <f>IFERROR(__xludf.DUMMYFUNCTION("""COMPUTED_VALUE"""),21.0)</f>
        <v>21</v>
      </c>
      <c r="J536" s="6">
        <f>IFERROR(__xludf.DUMMYFUNCTION("""COMPUTED_VALUE"""),58.08)</f>
        <v>58.08</v>
      </c>
      <c r="K536" s="6">
        <f>IFERROR(__xludf.DUMMYFUNCTION("""COMPUTED_VALUE"""),67.76)</f>
        <v>67.76</v>
      </c>
      <c r="L536" s="3"/>
      <c r="M536" s="3"/>
    </row>
    <row r="537" ht="48.0" customHeight="1">
      <c r="A537" s="3" t="str">
        <f>IFERROR(__xludf.DUMMYFUNCTION("""COMPUTED_VALUE"""),"HWSC110")</f>
        <v>HWSC110</v>
      </c>
      <c r="B537" s="4" t="str">
        <f>IFERROR(__xludf.DUMMYFUNCTION("""COMPUTED_VALUE"""),"BASE DE MONTAJE PARA SENSOR SC100/SC105")</f>
        <v>BASE DE MONTAJE PARA SENSOR SC100/SC105</v>
      </c>
      <c r="C537" s="4" t="str">
        <f>IFERROR(__xludf.DUMMYFUNCTION("""COMPUTED_VALUE"""),"Base de montaje para sensor SC100/SC105")</f>
        <v>Base de montaje para sensor SC100/SC105</v>
      </c>
      <c r="D537" s="4" t="str">
        <f>IFERROR(__xludf.DUMMYFUNCTION("""COMPUTED_VALUE"""),"HONEYWELL")</f>
        <v>HONEYWELL</v>
      </c>
      <c r="E537" s="4" t="str">
        <f>IFERROR(__xludf.DUMMYFUNCTION("""COMPUTED_VALUE"""),"HWSC110")</f>
        <v>HWSC110</v>
      </c>
      <c r="F537" s="4" t="str">
        <f>IFERROR(__xludf.DUMMYFUNCTION("""COMPUTED_VALUE"""),"ALARMAS &gt; DETECTORES ESPECIALES")</f>
        <v>ALARMAS &gt; DETECTORES ESPECIALES</v>
      </c>
      <c r="G537" s="5"/>
      <c r="H537" s="6">
        <f>IFERROR(__xludf.DUMMYFUNCTION("""COMPUTED_VALUE"""),33.0)</f>
        <v>33</v>
      </c>
      <c r="I537" s="7">
        <f>IFERROR(__xludf.DUMMYFUNCTION("""COMPUTED_VALUE"""),21.0)</f>
        <v>21</v>
      </c>
      <c r="J537" s="6">
        <f>IFERROR(__xludf.DUMMYFUNCTION("""COMPUTED_VALUE"""),39.6)</f>
        <v>39.6</v>
      </c>
      <c r="K537" s="6">
        <f>IFERROR(__xludf.DUMMYFUNCTION("""COMPUTED_VALUE"""),46.2)</f>
        <v>46.2</v>
      </c>
      <c r="L537" s="3"/>
      <c r="M537" s="3"/>
    </row>
    <row r="538" ht="48.0" customHeight="1">
      <c r="A538" s="3" t="str">
        <f>IFERROR(__xludf.DUMMYFUNCTION("""COMPUTED_VALUE"""),"HWSC113")</f>
        <v>HWSC113</v>
      </c>
      <c r="B538" s="4" t="str">
        <f>IFERROR(__xludf.DUMMYFUNCTION("""COMPUTED_VALUE"""),"TRANSMISOR DE TEST INTERNO PARA SENSOR DE VIBRACIÓN SC100")</f>
        <v>TRANSMISOR DE TEST INTERNO PARA SENSOR DE VIBRACIÓN SC100</v>
      </c>
      <c r="C538" s="4" t="str">
        <f>IFERROR(__xludf.DUMMYFUNCTION("""COMPUTED_VALUE"""),"Transmisor de Test Interno para Sensor de Vibración SC100. Permite realizar un test completo del funcionamiento del sensor, incluyendo si el montaje se ha hecho correctamente")</f>
        <v>Transmisor de Test Interno para Sensor de Vibración SC100. Permite realizar un test completo del funcionamiento del sensor, incluyendo si el montaje se ha hecho correctamente</v>
      </c>
      <c r="D538" s="4" t="str">
        <f>IFERROR(__xludf.DUMMYFUNCTION("""COMPUTED_VALUE"""),"HONEYWELL")</f>
        <v>HONEYWELL</v>
      </c>
      <c r="E538" s="4" t="str">
        <f>IFERROR(__xludf.DUMMYFUNCTION("""COMPUTED_VALUE"""),"HWSC113")</f>
        <v>HWSC113</v>
      </c>
      <c r="F538" s="4" t="str">
        <f>IFERROR(__xludf.DUMMYFUNCTION("""COMPUTED_VALUE"""),"ALARMAS &gt; DETECTORES ESPECIALES")</f>
        <v>ALARMAS &gt; DETECTORES ESPECIALES</v>
      </c>
      <c r="G538" s="5"/>
      <c r="H538" s="6">
        <f>IFERROR(__xludf.DUMMYFUNCTION("""COMPUTED_VALUE"""),28.88)</f>
        <v>28.88</v>
      </c>
      <c r="I538" s="7">
        <f>IFERROR(__xludf.DUMMYFUNCTION("""COMPUTED_VALUE"""),21.0)</f>
        <v>21</v>
      </c>
      <c r="J538" s="6">
        <f>IFERROR(__xludf.DUMMYFUNCTION("""COMPUTED_VALUE"""),34.66)</f>
        <v>34.66</v>
      </c>
      <c r="K538" s="6">
        <f>IFERROR(__xludf.DUMMYFUNCTION("""COMPUTED_VALUE"""),40.43)</f>
        <v>40.43</v>
      </c>
      <c r="L538" s="3"/>
      <c r="M538" s="3"/>
    </row>
    <row r="539" ht="48.0" customHeight="1">
      <c r="A539" s="3" t="str">
        <f>IFERROR(__xludf.DUMMYFUNCTION("""COMPUTED_VALUE"""),"DKS100")</f>
        <v>DKS100</v>
      </c>
      <c r="B539" s="4" t="str">
        <f>IFERROR(__xludf.DUMMYFUNCTION("""COMPUTED_VALUE"""),"SENSOR DE INUNDACIÓN")</f>
        <v>SENSOR DE INUNDACIÓN</v>
      </c>
      <c r="C539" s="4" t="str">
        <f>IFERROR(__xludf.DUMMYFUNCTION("""COMPUTED_VALUE"""),"Sensor de inundación. Nivel de sensibilidad (Hi or Low) seleccionable. Relay de salida Incluye sonda y se puede adicionar una segunda sonda DKS100-SONDA")</f>
        <v>Sensor de inundación. Nivel de sensibilidad (Hi or Low) seleccionable. Relay de salida Incluye sonda y se puede adicionar una segunda sonda DKS100-SONDA</v>
      </c>
      <c r="D539" s="4" t="str">
        <f>IFERROR(__xludf.DUMMYFUNCTION("""COMPUTED_VALUE"""),"TEKSOR")</f>
        <v>TEKSOR</v>
      </c>
      <c r="E539" s="4" t="str">
        <f>IFERROR(__xludf.DUMMYFUNCTION("""COMPUTED_VALUE"""),"DKS100")</f>
        <v>DKS100</v>
      </c>
      <c r="F539" s="4" t="str">
        <f>IFERROR(__xludf.DUMMYFUNCTION("""COMPUTED_VALUE"""),"ALARMAS &gt; DETECTORES ESPECIALES")</f>
        <v>ALARMAS &gt; DETECTORES ESPECIALES</v>
      </c>
      <c r="G539" s="5"/>
      <c r="H539" s="6">
        <f>IFERROR(__xludf.DUMMYFUNCTION("""COMPUTED_VALUE"""),38.5)</f>
        <v>38.5</v>
      </c>
      <c r="I539" s="7">
        <f>IFERROR(__xludf.DUMMYFUNCTION("""COMPUTED_VALUE"""),21.0)</f>
        <v>21</v>
      </c>
      <c r="J539" s="6">
        <f>IFERROR(__xludf.DUMMYFUNCTION("""COMPUTED_VALUE"""),46.2)</f>
        <v>46.2</v>
      </c>
      <c r="K539" s="6">
        <f>IFERROR(__xludf.DUMMYFUNCTION("""COMPUTED_VALUE"""),53.9)</f>
        <v>53.9</v>
      </c>
      <c r="L539" s="3"/>
      <c r="M539" s="3"/>
    </row>
    <row r="540" ht="48.0" customHeight="1">
      <c r="A540" s="3" t="str">
        <f>IFERROR(__xludf.DUMMYFUNCTION("""COMPUTED_VALUE"""),"DKS100-SONDA")</f>
        <v>DKS100-SONDA</v>
      </c>
      <c r="B540" s="4" t="str">
        <f>IFERROR(__xludf.DUMMYFUNCTION("""COMPUTED_VALUE"""),"SONDA AUXILIAR PARA SENSOR DE INUNDACIÓN DKS100")</f>
        <v>SONDA AUXILIAR PARA SENSOR DE INUNDACIÓN DKS100</v>
      </c>
      <c r="C540" s="4" t="str">
        <f>IFERROR(__xludf.DUMMYFUNCTION("""COMPUTED_VALUE"""),"Sonda auxiliar para Sensor de inundación DKS100")</f>
        <v>Sonda auxiliar para Sensor de inundación DKS100</v>
      </c>
      <c r="D540" s="4" t="str">
        <f>IFERROR(__xludf.DUMMYFUNCTION("""COMPUTED_VALUE"""),"TEKSOR")</f>
        <v>TEKSOR</v>
      </c>
      <c r="E540" s="4" t="str">
        <f>IFERROR(__xludf.DUMMYFUNCTION("""COMPUTED_VALUE"""),"DKS100-SONDA")</f>
        <v>DKS100-SONDA</v>
      </c>
      <c r="F540" s="4" t="str">
        <f>IFERROR(__xludf.DUMMYFUNCTION("""COMPUTED_VALUE"""),"ALARMAS &gt; DETECTORES ESPECIALES")</f>
        <v>ALARMAS &gt; DETECTORES ESPECIALES</v>
      </c>
      <c r="G540" s="5"/>
      <c r="H540" s="6">
        <f>IFERROR(__xludf.DUMMYFUNCTION("""COMPUTED_VALUE"""),11.0)</f>
        <v>11</v>
      </c>
      <c r="I540" s="7">
        <f>IFERROR(__xludf.DUMMYFUNCTION("""COMPUTED_VALUE"""),21.0)</f>
        <v>21</v>
      </c>
      <c r="J540" s="6">
        <f>IFERROR(__xludf.DUMMYFUNCTION("""COMPUTED_VALUE"""),13.2)</f>
        <v>13.2</v>
      </c>
      <c r="K540" s="6">
        <f>IFERROR(__xludf.DUMMYFUNCTION("""COMPUTED_VALUE"""),15.4)</f>
        <v>15.4</v>
      </c>
      <c r="L540" s="3"/>
      <c r="M540" s="3"/>
    </row>
    <row r="541" ht="48.0" customHeight="1">
      <c r="A541" s="3" t="str">
        <f>IFERROR(__xludf.DUMMYFUNCTION("""COMPUTED_VALUE"""),"DKS300")</f>
        <v>DKS300</v>
      </c>
      <c r="B541" s="4" t="str">
        <f>IFERROR(__xludf.DUMMYFUNCTION("""COMPUTED_VALUE"""),"SENSOR DE TEMPERATURA DUAL CON DISPLAY INDICADOR")</f>
        <v>SENSOR DE TEMPERATURA DUAL CON DISPLAY INDICADOR</v>
      </c>
      <c r="C541" s="4" t="str">
        <f>IFERROR(__xludf.DUMMYFUNCTION("""COMPUTED_VALUE"""),"Sensor de temperatura dual con display indicador. Incluye sonda de temperatura interna local y se le puede adicionar una sonda remota (no incluida) para conexión en cámaras frigoríficas.")</f>
        <v>Sensor de temperatura dual con display indicador. Incluye sonda de temperatura interna local y se le puede adicionar una sonda remota (no incluida) para conexión en cámaras frigoríficas.</v>
      </c>
      <c r="D541" s="4" t="str">
        <f>IFERROR(__xludf.DUMMYFUNCTION("""COMPUTED_VALUE"""),"TEKSOR")</f>
        <v>TEKSOR</v>
      </c>
      <c r="E541" s="4" t="str">
        <f>IFERROR(__xludf.DUMMYFUNCTION("""COMPUTED_VALUE"""),"DKS300")</f>
        <v>DKS300</v>
      </c>
      <c r="F541" s="4" t="str">
        <f>IFERROR(__xludf.DUMMYFUNCTION("""COMPUTED_VALUE"""),"ALARMAS &gt; DETECTORES ESPECIALES")</f>
        <v>ALARMAS &gt; DETECTORES ESPECIALES</v>
      </c>
      <c r="G541" s="5"/>
      <c r="H541" s="6">
        <f>IFERROR(__xludf.DUMMYFUNCTION("""COMPUTED_VALUE"""),44.0)</f>
        <v>44</v>
      </c>
      <c r="I541" s="7">
        <f>IFERROR(__xludf.DUMMYFUNCTION("""COMPUTED_VALUE"""),21.0)</f>
        <v>21</v>
      </c>
      <c r="J541" s="6">
        <f>IFERROR(__xludf.DUMMYFUNCTION("""COMPUTED_VALUE"""),52.8)</f>
        <v>52.8</v>
      </c>
      <c r="K541" s="6">
        <f>IFERROR(__xludf.DUMMYFUNCTION("""COMPUTED_VALUE"""),61.6)</f>
        <v>61.6</v>
      </c>
      <c r="L541" s="3"/>
      <c r="M541" s="3"/>
    </row>
    <row r="542" ht="48.0" customHeight="1">
      <c r="A542" s="3" t="str">
        <f>IFERROR(__xludf.DUMMYFUNCTION("""COMPUTED_VALUE"""),"DKS300-SONDA15")</f>
        <v>DKS300-SONDA15</v>
      </c>
      <c r="B542" s="4" t="str">
        <f>IFERROR(__xludf.DUMMYFUNCTION("""COMPUTED_VALUE"""),"SONDA REMOTA PARA SENSOR DKS300 DE 1")</f>
        <v>SONDA REMOTA PARA SENSOR DKS300 DE 1</v>
      </c>
      <c r="C542" s="4" t="str">
        <f>IFERROR(__xludf.DUMMYFUNCTION("""COMPUTED_VALUE"""),"Sonda remota para sensor DKS300 de 1.50 metros")</f>
        <v>Sonda remota para sensor DKS300 de 1.50 metros</v>
      </c>
      <c r="D542" s="4" t="str">
        <f>IFERROR(__xludf.DUMMYFUNCTION("""COMPUTED_VALUE"""),"TEKSOR")</f>
        <v>TEKSOR</v>
      </c>
      <c r="E542" s="4" t="str">
        <f>IFERROR(__xludf.DUMMYFUNCTION("""COMPUTED_VALUE"""),"DKS300-SONDA15")</f>
        <v>DKS300-SONDA15</v>
      </c>
      <c r="F542" s="4" t="str">
        <f>IFERROR(__xludf.DUMMYFUNCTION("""COMPUTED_VALUE"""),"ALARMAS &gt; DETECTORES ESPECIALES")</f>
        <v>ALARMAS &gt; DETECTORES ESPECIALES</v>
      </c>
      <c r="G542" s="5"/>
      <c r="H542" s="6">
        <f>IFERROR(__xludf.DUMMYFUNCTION("""COMPUTED_VALUE"""),10.78)</f>
        <v>10.78</v>
      </c>
      <c r="I542" s="7">
        <f>IFERROR(__xludf.DUMMYFUNCTION("""COMPUTED_VALUE"""),21.0)</f>
        <v>21</v>
      </c>
      <c r="J542" s="6">
        <f>IFERROR(__xludf.DUMMYFUNCTION("""COMPUTED_VALUE"""),12.94)</f>
        <v>12.94</v>
      </c>
      <c r="K542" s="6">
        <f>IFERROR(__xludf.DUMMYFUNCTION("""COMPUTED_VALUE"""),15.09)</f>
        <v>15.09</v>
      </c>
      <c r="L542" s="3"/>
      <c r="M542" s="3"/>
    </row>
    <row r="543" ht="48.0" customHeight="1">
      <c r="A543" s="3" t="str">
        <f>IFERROR(__xludf.DUMMYFUNCTION("""COMPUTED_VALUE"""),"DKS300-SONDA40")</f>
        <v>DKS300-SONDA40</v>
      </c>
      <c r="B543" s="4" t="str">
        <f>IFERROR(__xludf.DUMMYFUNCTION("""COMPUTED_VALUE"""),"SONDA REMOTA PARA SENSOR DKS300 DE 4 METROS")</f>
        <v>SONDA REMOTA PARA SENSOR DKS300 DE 4 METROS</v>
      </c>
      <c r="C543" s="4" t="str">
        <f>IFERROR(__xludf.DUMMYFUNCTION("""COMPUTED_VALUE"""),"Sonda remota para sensor DKS300 de 4 metros")</f>
        <v>Sonda remota para sensor DKS300 de 4 metros</v>
      </c>
      <c r="D543" s="4" t="str">
        <f>IFERROR(__xludf.DUMMYFUNCTION("""COMPUTED_VALUE"""),"TEKSOR")</f>
        <v>TEKSOR</v>
      </c>
      <c r="E543" s="4" t="str">
        <f>IFERROR(__xludf.DUMMYFUNCTION("""COMPUTED_VALUE"""),"DKS300-SONDA40")</f>
        <v>DKS300-SONDA40</v>
      </c>
      <c r="F543" s="4" t="str">
        <f>IFERROR(__xludf.DUMMYFUNCTION("""COMPUTED_VALUE"""),"ALARMAS &gt; DETECTORES ESPECIALES")</f>
        <v>ALARMAS &gt; DETECTORES ESPECIALES</v>
      </c>
      <c r="G543" s="5"/>
      <c r="H543" s="6">
        <f>IFERROR(__xludf.DUMMYFUNCTION("""COMPUTED_VALUE"""),15.4)</f>
        <v>15.4</v>
      </c>
      <c r="I543" s="7">
        <f>IFERROR(__xludf.DUMMYFUNCTION("""COMPUTED_VALUE"""),21.0)</f>
        <v>21</v>
      </c>
      <c r="J543" s="6">
        <f>IFERROR(__xludf.DUMMYFUNCTION("""COMPUTED_VALUE"""),18.48)</f>
        <v>18.48</v>
      </c>
      <c r="K543" s="6">
        <f>IFERROR(__xludf.DUMMYFUNCTION("""COMPUTED_VALUE"""),21.56)</f>
        <v>21.56</v>
      </c>
      <c r="L543" s="3"/>
      <c r="M543" s="3"/>
    </row>
    <row r="544" ht="48.0" customHeight="1">
      <c r="A544" s="3" t="str">
        <f>IFERROR(__xludf.DUMMYFUNCTION("""COMPUTED_VALUE"""),"HWTS300R")</f>
        <v>HWTS300R</v>
      </c>
      <c r="B544" s="4" t="str">
        <f>IFERROR(__xludf.DUMMYFUNCTION("""COMPUTED_VALUE"""),"SONDA REMOTA PARA SENSOR TS300")</f>
        <v>SONDA REMOTA PARA SENSOR TS300</v>
      </c>
      <c r="C544" s="4" t="str">
        <f>IFERROR(__xludf.DUMMYFUNCTION("""COMPUTED_VALUE"""),"Sonda remota para sensor TS300.")</f>
        <v>Sonda remota para sensor TS300.</v>
      </c>
      <c r="D544" s="4" t="str">
        <f>IFERROR(__xludf.DUMMYFUNCTION("""COMPUTED_VALUE"""),"HONEYWELL")</f>
        <v>HONEYWELL</v>
      </c>
      <c r="E544" s="4" t="str">
        <f>IFERROR(__xludf.DUMMYFUNCTION("""COMPUTED_VALUE"""),"HWTS300R")</f>
        <v>HWTS300R</v>
      </c>
      <c r="F544" s="4" t="str">
        <f>IFERROR(__xludf.DUMMYFUNCTION("""COMPUTED_VALUE"""),"ALARMAS &gt; DETECTORES ESPECIALES")</f>
        <v>ALARMAS &gt; DETECTORES ESPECIALES</v>
      </c>
      <c r="G544" s="5"/>
      <c r="H544" s="6">
        <f>IFERROR(__xludf.DUMMYFUNCTION("""COMPUTED_VALUE"""),20.9)</f>
        <v>20.9</v>
      </c>
      <c r="I544" s="7">
        <f>IFERROR(__xludf.DUMMYFUNCTION("""COMPUTED_VALUE"""),21.0)</f>
        <v>21</v>
      </c>
      <c r="J544" s="6">
        <f>IFERROR(__xludf.DUMMYFUNCTION("""COMPUTED_VALUE"""),25.08)</f>
        <v>25.08</v>
      </c>
      <c r="K544" s="6">
        <f>IFERROR(__xludf.DUMMYFUNCTION("""COMPUTED_VALUE"""),29.26)</f>
        <v>29.26</v>
      </c>
      <c r="L544" s="3"/>
      <c r="M544" s="3"/>
    </row>
    <row r="545" ht="48.0" customHeight="1">
      <c r="A545" s="3" t="str">
        <f>IFERROR(__xludf.DUMMYFUNCTION("""COMPUTED_VALUE"""),"FPV2TEL")</f>
        <v>FPV2TEL</v>
      </c>
      <c r="B545" s="4" t="str">
        <f>IFERROR(__xludf.DUMMYFUNCTION("""COMPUTED_VALUE"""),"DISCADOR TELEFONICO 9 NÚMEROS EN MEMORIAS , MENSAJES DE")</f>
        <v>DISCADOR TELEFONICO 9 NÚMEROS EN MEMORIAS , MENSAJES DE</v>
      </c>
      <c r="C545" s="4" t="str">
        <f>IFERROR(__xludf.DUMMYFUNCTION("""COMPUTED_VALUE"""),"Discador telefonico 9 números en memorias , Mensajes de voz para cada salida. Micrófono y parlante. Salida para micrófono y parlantes remotos. 6 entradas programables. 4 salidas programables. permite el control a distancia del panel, incluyendo la activac"&amp;"ión, desactivación, control de PGM´s y conocer el estado de activación")</f>
        <v>Discador telefonico 9 números en memorias , Mensajes de voz para cada salida. Micrófono y parlante. Salida para micrófono y parlantes remotos. 6 entradas programables. 4 salidas programables. permite el control a distancia del panel, incluyendo la activación, desactivación, control de PGM´s y conocer el estado de activación</v>
      </c>
      <c r="D545" s="4" t="str">
        <f>IFERROR(__xludf.DUMMYFUNCTION("""COMPUTED_VALUE"""),"PYRONIX")</f>
        <v>PYRONIX</v>
      </c>
      <c r="E545" s="4" t="str">
        <f>IFERROR(__xludf.DUMMYFUNCTION("""COMPUTED_VALUE"""),"FPV2TEL")</f>
        <v>FPV2TEL</v>
      </c>
      <c r="F545" s="4" t="str">
        <f>IFERROR(__xludf.DUMMYFUNCTION("""COMPUTED_VALUE"""),"ALARMAS &gt; DISCADOR TELEFONICO")</f>
        <v>ALARMAS &gt; DISCADOR TELEFONICO</v>
      </c>
      <c r="G545" s="5"/>
      <c r="H545" s="6">
        <f>IFERROR(__xludf.DUMMYFUNCTION("""COMPUTED_VALUE"""),163.9)</f>
        <v>163.9</v>
      </c>
      <c r="I545" s="7">
        <f>IFERROR(__xludf.DUMMYFUNCTION("""COMPUTED_VALUE"""),21.0)</f>
        <v>21</v>
      </c>
      <c r="J545" s="6">
        <f>IFERROR(__xludf.DUMMYFUNCTION("""COMPUTED_VALUE"""),196.68)</f>
        <v>196.68</v>
      </c>
      <c r="K545" s="6">
        <f>IFERROR(__xludf.DUMMYFUNCTION("""COMPUTED_VALUE"""),229.46)</f>
        <v>229.46</v>
      </c>
      <c r="L545" s="3"/>
      <c r="M545" s="3"/>
    </row>
    <row r="546" ht="48.0" customHeight="1">
      <c r="A546" s="3" t="str">
        <f>IFERROR(__xludf.DUMMYFUNCTION("""COMPUTED_VALUE"""),"DT20")</f>
        <v>DT20</v>
      </c>
      <c r="B546" s="4" t="str">
        <f>IFERROR(__xludf.DUMMYFUNCTION("""COMPUTED_VALUE"""),"DISCADOR TELEFONICO 20 NÚMEROS EN MEMORIAS , MENSAJES DE")</f>
        <v>DISCADOR TELEFONICO 20 NÚMEROS EN MEMORIAS , MENSAJES DE</v>
      </c>
      <c r="C546" s="4" t="str">
        <f>IFERROR(__xludf.DUMMYFUNCTION("""COMPUTED_VALUE"""),"Discador telefonico 20 números en memorias , Mensajes de voz para cada salida. Log de eventos de 256 memoria con registro de día y hora.")</f>
        <v>Discador telefonico 20 números en memorias , Mensajes de voz para cada salida. Log de eventos de 256 memoria con registro de día y hora.</v>
      </c>
      <c r="D546" s="4" t="str">
        <f>IFERROR(__xludf.DUMMYFUNCTION("""COMPUTED_VALUE"""),"QUASAR")</f>
        <v>QUASAR</v>
      </c>
      <c r="E546" s="4" t="str">
        <f>IFERROR(__xludf.DUMMYFUNCTION("""COMPUTED_VALUE"""),"DT20")</f>
        <v>DT20</v>
      </c>
      <c r="F546" s="4" t="str">
        <f>IFERROR(__xludf.DUMMYFUNCTION("""COMPUTED_VALUE"""),"ALARMAS &gt; DISCADOR TELEFONICO")</f>
        <v>ALARMAS &gt; DISCADOR TELEFONICO</v>
      </c>
      <c r="G546" s="5"/>
      <c r="H546" s="6">
        <f>IFERROR(__xludf.DUMMYFUNCTION("""COMPUTED_VALUE"""),190.3)</f>
        <v>190.3</v>
      </c>
      <c r="I546" s="7">
        <f>IFERROR(__xludf.DUMMYFUNCTION("""COMPUTED_VALUE"""),10.5)</f>
        <v>10.5</v>
      </c>
      <c r="J546" s="6">
        <f>IFERROR(__xludf.DUMMYFUNCTION("""COMPUTED_VALUE"""),228.36)</f>
        <v>228.36</v>
      </c>
      <c r="K546" s="6">
        <f>IFERROR(__xludf.DUMMYFUNCTION("""COMPUTED_VALUE"""),266.42)</f>
        <v>266.42</v>
      </c>
      <c r="L546" s="3"/>
      <c r="M546" s="3"/>
    </row>
    <row r="547" ht="48.0" customHeight="1">
      <c r="A547" s="3" t="str">
        <f>IFERROR(__xludf.DUMMYFUNCTION("""COMPUTED_VALUE"""),"AGTAG")</f>
        <v>AGTAG</v>
      </c>
      <c r="B547" s="4" t="str">
        <f>IFERROR(__xludf.DUMMYFUNCTION("""COMPUTED_VALUE"""),"BOTÓN IDENTIFICADOR PARA ACTIVE GUARD 125KHZ")</f>
        <v>BOTÓN IDENTIFICADOR PARA ACTIVE GUARD 125KHZ</v>
      </c>
      <c r="C547" s="4" t="str">
        <f>IFERROR(__xludf.DUMMYFUNCTION("""COMPUTED_VALUE"""),"Botón identificador para ACTIVE GUARD 125KHz")</f>
        <v>Botón identificador para ACTIVE GUARD 125KHz</v>
      </c>
      <c r="D547" s="4" t="str">
        <f>IFERROR(__xludf.DUMMYFUNCTION("""COMPUTED_VALUE"""),"EBS")</f>
        <v>EBS</v>
      </c>
      <c r="E547" s="4" t="str">
        <f>IFERROR(__xludf.DUMMYFUNCTION("""COMPUTED_VALUE"""),"AGTAG")</f>
        <v>AGTAG</v>
      </c>
      <c r="F547" s="4" t="str">
        <f>IFERROR(__xludf.DUMMYFUNCTION("""COMPUTED_VALUE"""),"MONITOREO &gt; CONTROL DE RONDAS GPRS")</f>
        <v>MONITOREO &gt; CONTROL DE RONDAS GPRS</v>
      </c>
      <c r="G547" s="5"/>
      <c r="H547" s="6">
        <f>IFERROR(__xludf.DUMMYFUNCTION("""COMPUTED_VALUE"""),3.8)</f>
        <v>3.8</v>
      </c>
      <c r="I547" s="7">
        <f>IFERROR(__xludf.DUMMYFUNCTION("""COMPUTED_VALUE"""),21.0)</f>
        <v>21</v>
      </c>
      <c r="J547" s="6">
        <f>IFERROR(__xludf.DUMMYFUNCTION("""COMPUTED_VALUE"""),4.56)</f>
        <v>4.56</v>
      </c>
      <c r="K547" s="6">
        <f>IFERROR(__xludf.DUMMYFUNCTION("""COMPUTED_VALUE"""),5.32)</f>
        <v>5.32</v>
      </c>
      <c r="L547" s="3"/>
      <c r="M547" s="3"/>
    </row>
    <row r="548" ht="48.0" customHeight="1">
      <c r="A548" s="3" t="str">
        <f>IFERROR(__xludf.DUMMYFUNCTION("""COMPUTED_VALUE"""),"AGP3")</f>
        <v>AGP3</v>
      </c>
      <c r="B548" s="4" t="str">
        <f>IFERROR(__xludf.DUMMYFUNCTION("""COMPUTED_VALUE"""),"PROGRAMADOR Y DESCARGA DE DATOS PARA ACTIVE GUARD")</f>
        <v>PROGRAMADOR Y DESCARGA DE DATOS PARA ACTIVE GUARD</v>
      </c>
      <c r="C548" s="4" t="str">
        <f>IFERROR(__xludf.DUMMYFUNCTION("""COMPUTED_VALUE"""),"Programador y descarga de datos para ACTIVE GUARD")</f>
        <v>Programador y descarga de datos para ACTIVE GUARD</v>
      </c>
      <c r="D548" s="4" t="str">
        <f>IFERROR(__xludf.DUMMYFUNCTION("""COMPUTED_VALUE"""),"EBS")</f>
        <v>EBS</v>
      </c>
      <c r="E548" s="4" t="str">
        <f>IFERROR(__xludf.DUMMYFUNCTION("""COMPUTED_VALUE"""),"AGP3")</f>
        <v>AGP3</v>
      </c>
      <c r="F548" s="4" t="str">
        <f>IFERROR(__xludf.DUMMYFUNCTION("""COMPUTED_VALUE"""),"MONITOREO &gt; CONTROL DE RONDAS GPRS")</f>
        <v>MONITOREO &gt; CONTROL DE RONDAS GPRS</v>
      </c>
      <c r="G548" s="5"/>
      <c r="H548" s="6">
        <f>IFERROR(__xludf.DUMMYFUNCTION("""COMPUTED_VALUE"""),74.25)</f>
        <v>74.25</v>
      </c>
      <c r="I548" s="7">
        <f>IFERROR(__xludf.DUMMYFUNCTION("""COMPUTED_VALUE"""),21.0)</f>
        <v>21</v>
      </c>
      <c r="J548" s="6">
        <f>IFERROR(__xludf.DUMMYFUNCTION("""COMPUTED_VALUE"""),89.1)</f>
        <v>89.1</v>
      </c>
      <c r="K548" s="6">
        <f>IFERROR(__xludf.DUMMYFUNCTION("""COMPUTED_VALUE"""),103.95)</f>
        <v>103.95</v>
      </c>
      <c r="L548" s="3"/>
      <c r="M548" s="3"/>
    </row>
    <row r="549" ht="48.0" customHeight="1">
      <c r="A549" s="3" t="str">
        <f>IFERROR(__xludf.DUMMYFUNCTION("""COMPUTED_VALUE"""),"ATC100D")</f>
        <v>ATC100D</v>
      </c>
      <c r="B549" s="4" t="str">
        <f>IFERROR(__xludf.DUMMYFUNCTION("""COMPUTED_VALUE"""),"COMUNICADOR GPRS 2G 8 ENTRADAS DE ALARMAS UNIVERSAL")</f>
        <v>COMUNICADOR GPRS 2G 8 ENTRADAS DE ALARMAS UNIVERSAL</v>
      </c>
      <c r="C549" s="4" t="str">
        <f>IFERROR(__xludf.DUMMYFUNCTION("""COMPUTED_VALUE"""),"Comunicador GPRS 2G 8 entradas de alarmas UNIVERSAL. SMS. FULL DATA con linea SP y MG de Paradox, NX4,8,16, conectado a un puerto directo. Back UP por SMS")</f>
        <v>Comunicador GPRS 2G 8 entradas de alarmas UNIVERSAL. SMS. FULL DATA con linea SP y MG de Paradox, NX4,8,16, conectado a un puerto directo. Back UP por SMS</v>
      </c>
      <c r="D549" s="4" t="str">
        <f>IFERROR(__xludf.DUMMYFUNCTION("""COMPUTED_VALUE"""),"KP")</f>
        <v>KP</v>
      </c>
      <c r="E549" s="4" t="str">
        <f>IFERROR(__xludf.DUMMYFUNCTION("""COMPUTED_VALUE"""),"ATC100D")</f>
        <v>ATC100D</v>
      </c>
      <c r="F549" s="4" t="str">
        <f>IFERROR(__xludf.DUMMYFUNCTION("""COMPUTED_VALUE"""),"MONITOREO &gt; COMUNICADORES GPRS / WIFI /ETHERNET")</f>
        <v>MONITOREO &gt; COMUNICADORES GPRS / WIFI /ETHERNET</v>
      </c>
      <c r="G549" s="5"/>
      <c r="H549" s="6">
        <f>IFERROR(__xludf.DUMMYFUNCTION("""COMPUTED_VALUE"""),39.6)</f>
        <v>39.6</v>
      </c>
      <c r="I549" s="7">
        <f>IFERROR(__xludf.DUMMYFUNCTION("""COMPUTED_VALUE"""),21.0)</f>
        <v>21</v>
      </c>
      <c r="J549" s="6">
        <f>IFERROR(__xludf.DUMMYFUNCTION("""COMPUTED_VALUE"""),47.52)</f>
        <v>47.52</v>
      </c>
      <c r="K549" s="6">
        <f>IFERROR(__xludf.DUMMYFUNCTION("""COMPUTED_VALUE"""),55.44)</f>
        <v>55.44</v>
      </c>
      <c r="L549" s="3"/>
      <c r="M549" s="3"/>
    </row>
    <row r="550" ht="48.0" customHeight="1">
      <c r="A550" s="3" t="str">
        <f>IFERROR(__xludf.DUMMYFUNCTION("""COMPUTED_VALUE"""),"LX3NBQ40-DUP1")</f>
        <v>LX3NBQ40-DUP1</v>
      </c>
      <c r="B550" s="4" t="str">
        <f>IFERROR(__xludf.DUMMYFUNCTION("""COMPUTED_VALUE"""),"TRANSMISOR UNIVERSAL CON TECNOLOGÍA 4G, GPRS COMPATIBLE CON CUALQUIER")</f>
        <v>TRANSMISOR UNIVERSAL CON TECNOLOGÍA 4G, GPRS COMPATIBLE CON CUALQUIER</v>
      </c>
      <c r="C550" s="4" t="str">
        <f>IFERROR(__xludf.DUMMYFUNCTION("""COMPUTED_VALUE"""),"Transmisor universal con tecnología 4G, GPRS compatible con cualquier sistema de alarma, soporta protocolo CID, transmisión 4G/GPRS/SMS, posee 8 entradas o salidas configurables")</f>
        <v>Transmisor universal con tecnología 4G, GPRS compatible con cualquier sistema de alarma, soporta protocolo CID, transmisión 4G/GPRS/SMS, posee 8 entradas o salidas configurables</v>
      </c>
      <c r="D550" s="4" t="str">
        <f>IFERROR(__xludf.DUMMYFUNCTION("""COMPUTED_VALUE"""),"EBS")</f>
        <v>EBS</v>
      </c>
      <c r="E550" s="4" t="str">
        <f>IFERROR(__xludf.DUMMYFUNCTION("""COMPUTED_VALUE"""),"LX3NBQ40")</f>
        <v>LX3NBQ40</v>
      </c>
      <c r="F550" s="4" t="str">
        <f>IFERROR(__xludf.DUMMYFUNCTION("""COMPUTED_VALUE"""),"MONITOREO &gt; COMUNICADORES GPRS / WIFI /ETHERNET")</f>
        <v>MONITOREO &gt; COMUNICADORES GPRS / WIFI /ETHERNET</v>
      </c>
      <c r="G550" s="5"/>
      <c r="H550" s="6">
        <f>IFERROR(__xludf.DUMMYFUNCTION("""COMPUTED_VALUE"""),120.89)</f>
        <v>120.89</v>
      </c>
      <c r="I550" s="7">
        <f>IFERROR(__xludf.DUMMYFUNCTION("""COMPUTED_VALUE"""),10.5)</f>
        <v>10.5</v>
      </c>
      <c r="J550" s="6">
        <f>IFERROR(__xludf.DUMMYFUNCTION("""COMPUTED_VALUE"""),145.07)</f>
        <v>145.07</v>
      </c>
      <c r="K550" s="6">
        <f>IFERROR(__xludf.DUMMYFUNCTION("""COMPUTED_VALUE"""),169.25)</f>
        <v>169.25</v>
      </c>
      <c r="L550" s="3"/>
      <c r="M550" s="3"/>
    </row>
    <row r="551" ht="48.0" customHeight="1">
      <c r="A551" s="3" t="str">
        <f>IFERROR(__xludf.DUMMYFUNCTION("""COMPUTED_VALUE"""),"LX30BQ40T-DUP1")</f>
        <v>LX30BQ40T-DUP1</v>
      </c>
      <c r="B551" s="4" t="str">
        <f>IFERROR(__xludf.DUMMYFUNCTION("""COMPUTED_VALUE"""),"TRANSMISOR UNIVERSAL CON TECNOLOGÍA 4G, GPRS COMPATIBLE CON CUALQUIER")</f>
        <v>TRANSMISOR UNIVERSAL CON TECNOLOGÍA 4G, GPRS COMPATIBLE CON CUALQUIER</v>
      </c>
      <c r="C551" s="4" t="str">
        <f>IFERROR(__xludf.DUMMYFUNCTION("""COMPUTED_VALUE"""),"Transmisor universal con tecnología 4G, GPRS compatible con cualquier sistema de alarma, soporta protocolo CID, transmisión 4G/GPRS/SMS,posee 8 entradas o salidas configurables y conexión al BUS de datos a centrales DSC, Paradox, Honeywell")</f>
        <v>Transmisor universal con tecnología 4G, GPRS compatible con cualquier sistema de alarma, soporta protocolo CID, transmisión 4G/GPRS/SMS,posee 8 entradas o salidas configurables y conexión al BUS de datos a centrales DSC, Paradox, Honeywell</v>
      </c>
      <c r="D551" s="4" t="str">
        <f>IFERROR(__xludf.DUMMYFUNCTION("""COMPUTED_VALUE"""),"EBS")</f>
        <v>EBS</v>
      </c>
      <c r="E551" s="4" t="str">
        <f>IFERROR(__xludf.DUMMYFUNCTION("""COMPUTED_VALUE"""),"LX30BQ40T")</f>
        <v>LX30BQ40T</v>
      </c>
      <c r="F551" s="4" t="str">
        <f>IFERROR(__xludf.DUMMYFUNCTION("""COMPUTED_VALUE"""),"MONITOREO &gt; COMUNICADORES GPRS / WIFI /ETHERNET")</f>
        <v>MONITOREO &gt; COMUNICADORES GPRS / WIFI /ETHERNET</v>
      </c>
      <c r="G551" s="5"/>
      <c r="H551" s="6">
        <f>IFERROR(__xludf.DUMMYFUNCTION("""COMPUTED_VALUE"""),130.9)</f>
        <v>130.9</v>
      </c>
      <c r="I551" s="7">
        <f>IFERROR(__xludf.DUMMYFUNCTION("""COMPUTED_VALUE"""),10.5)</f>
        <v>10.5</v>
      </c>
      <c r="J551" s="6">
        <f>IFERROR(__xludf.DUMMYFUNCTION("""COMPUTED_VALUE"""),157.08)</f>
        <v>157.08</v>
      </c>
      <c r="K551" s="6">
        <f>IFERROR(__xludf.DUMMYFUNCTION("""COMPUTED_VALUE"""),183.26)</f>
        <v>183.26</v>
      </c>
      <c r="L551" s="3"/>
      <c r="M551" s="3"/>
    </row>
    <row r="552" ht="48.0" customHeight="1">
      <c r="A552" s="3" t="str">
        <f>IFERROR(__xludf.DUMMYFUNCTION("""COMPUTED_VALUE"""),"EPX40060")</f>
        <v>EPX40060</v>
      </c>
      <c r="B552" s="4" t="str">
        <f>IFERROR(__xludf.DUMMYFUNCTION("""COMPUTED_VALUE"""),"TRANSMISOR UNIVERSAL DUAL CON TECNOLOGÍA IP Y 3G, COMPATIBLE")</f>
        <v>TRANSMISOR UNIVERSAL DUAL CON TECNOLOGÍA IP Y 3G, COMPATIBLE</v>
      </c>
      <c r="C552" s="4" t="str">
        <f>IFERROR(__xludf.DUMMYFUNCTION("""COMPUTED_VALUE"""),"Transmisor universal DUAL con tecnología IP y 3G, compatible con cualquier sistema de alarma, soporta protocolo CID y SIA, transmisión IP/3G/GPRS/SMS, posee 9 entradas y una salida")</f>
        <v>Transmisor universal DUAL con tecnología IP y 3G, compatible con cualquier sistema de alarma, soporta protocolo CID y SIA, transmisión IP/3G/GPRS/SMS, posee 9 entradas y una salida</v>
      </c>
      <c r="D552" s="4" t="str">
        <f>IFERROR(__xludf.DUMMYFUNCTION("""COMPUTED_VALUE"""),"EBS")</f>
        <v>EBS</v>
      </c>
      <c r="E552" s="4" t="str">
        <f>IFERROR(__xludf.DUMMYFUNCTION("""COMPUTED_VALUE"""),"EPX40060")</f>
        <v>EPX40060</v>
      </c>
      <c r="F552" s="4" t="str">
        <f>IFERROR(__xludf.DUMMYFUNCTION("""COMPUTED_VALUE"""),"MONITOREO &gt; COMUNICADORES GPRS / WIFI /ETHERNET")</f>
        <v>MONITOREO &gt; COMUNICADORES GPRS / WIFI /ETHERNET</v>
      </c>
      <c r="G552" s="5"/>
      <c r="H552" s="6">
        <f>IFERROR(__xludf.DUMMYFUNCTION("""COMPUTED_VALUE"""),187.0)</f>
        <v>187</v>
      </c>
      <c r="I552" s="7">
        <f>IFERROR(__xludf.DUMMYFUNCTION("""COMPUTED_VALUE"""),10.5)</f>
        <v>10.5</v>
      </c>
      <c r="J552" s="6">
        <f>IFERROR(__xludf.DUMMYFUNCTION("""COMPUTED_VALUE"""),224.4)</f>
        <v>224.4</v>
      </c>
      <c r="K552" s="6">
        <f>IFERROR(__xludf.DUMMYFUNCTION("""COMPUTED_VALUE"""),261.8)</f>
        <v>261.8</v>
      </c>
      <c r="L552" s="3"/>
      <c r="M552" s="3"/>
    </row>
    <row r="553" ht="48.0" customHeight="1">
      <c r="A553" s="3" t="str">
        <f>IFERROR(__xludf.DUMMYFUNCTION("""COMPUTED_VALUE"""),"LXGAB-OBDLX-9")</f>
        <v>LXGAB-OBDLX-9</v>
      </c>
      <c r="B553" s="4" t="str">
        <f>IFERROR(__xludf.DUMMYFUNCTION("""COMPUTED_VALUE"""),"GABINETE PLÁSTICO PARA COMUNICADORES EBS LX30BQ40T Y LX3NBQ40")</f>
        <v>GABINETE PLÁSTICO PARA COMUNICADORES EBS LX30BQ40T Y LX3NBQ40</v>
      </c>
      <c r="C553" s="4" t="str">
        <f>IFERROR(__xludf.DUMMYFUNCTION("""COMPUTED_VALUE"""),"Gabinete plástico para Comunicadores EBS LX30BQ40T y LX3NBQ40")</f>
        <v>Gabinete plástico para Comunicadores EBS LX30BQ40T y LX3NBQ40</v>
      </c>
      <c r="D553" s="4" t="str">
        <f>IFERROR(__xludf.DUMMYFUNCTION("""COMPUTED_VALUE"""),"EBS")</f>
        <v>EBS</v>
      </c>
      <c r="E553" s="4" t="str">
        <f>IFERROR(__xludf.DUMMYFUNCTION("""COMPUTED_VALUE"""),"LXGAB-OBDLX-9")</f>
        <v>LXGAB-OBDLX-9</v>
      </c>
      <c r="F553" s="4" t="str">
        <f>IFERROR(__xludf.DUMMYFUNCTION("""COMPUTED_VALUE"""),"MONITOREO &gt; COMUNICADORES GPRS / WIFI /ETHERNET")</f>
        <v>MONITOREO &gt; COMUNICADORES GPRS / WIFI /ETHERNET</v>
      </c>
      <c r="G553" s="5"/>
      <c r="H553" s="6">
        <f>IFERROR(__xludf.DUMMYFUNCTION("""COMPUTED_VALUE"""),5.28)</f>
        <v>5.28</v>
      </c>
      <c r="I553" s="7">
        <f>IFERROR(__xludf.DUMMYFUNCTION("""COMPUTED_VALUE"""),21.0)</f>
        <v>21</v>
      </c>
      <c r="J553" s="6">
        <f>IFERROR(__xludf.DUMMYFUNCTION("""COMPUTED_VALUE"""),6.34)</f>
        <v>6.34</v>
      </c>
      <c r="K553" s="6">
        <f>IFERROR(__xludf.DUMMYFUNCTION("""COMPUTED_VALUE"""),7.39)</f>
        <v>7.39</v>
      </c>
      <c r="L553" s="3"/>
      <c r="M553" s="3"/>
    </row>
    <row r="554" ht="48.0" customHeight="1">
      <c r="A554" s="3" t="str">
        <f>IFERROR(__xludf.DUMMYFUNCTION("""COMPUTED_VALUE"""),"GABGPRS")</f>
        <v>GABGPRS</v>
      </c>
      <c r="B554" s="4" t="str">
        <f>IFERROR(__xludf.DUMMYFUNCTION("""COMPUTED_VALUE"""),"GABINETE METÁLICO PARA COMUNICADORES EBS")</f>
        <v>GABINETE METÁLICO PARA COMUNICADORES EBS</v>
      </c>
      <c r="C554" s="4" t="str">
        <f>IFERROR(__xludf.DUMMYFUNCTION("""COMPUTED_VALUE"""),"Gabinete metálico para Comunicadores EBS")</f>
        <v>Gabinete metálico para Comunicadores EBS</v>
      </c>
      <c r="D554" s="4" t="str">
        <f>IFERROR(__xludf.DUMMYFUNCTION("""COMPUTED_VALUE"""),"GENERICO")</f>
        <v>GENERICO</v>
      </c>
      <c r="E554" s="4" t="str">
        <f>IFERROR(__xludf.DUMMYFUNCTION("""COMPUTED_VALUE"""),"GABGPRS")</f>
        <v>GABGPRS</v>
      </c>
      <c r="F554" s="4" t="str">
        <f>IFERROR(__xludf.DUMMYFUNCTION("""COMPUTED_VALUE"""),"MONITOREO &gt; COMUNICADORES GPRS / WIFI /ETHERNET")</f>
        <v>MONITOREO &gt; COMUNICADORES GPRS / WIFI /ETHERNET</v>
      </c>
      <c r="G554" s="5"/>
      <c r="H554" s="6">
        <f>IFERROR(__xludf.DUMMYFUNCTION("""COMPUTED_VALUE"""),18.15)</f>
        <v>18.15</v>
      </c>
      <c r="I554" s="7">
        <f>IFERROR(__xludf.DUMMYFUNCTION("""COMPUTED_VALUE"""),21.0)</f>
        <v>21</v>
      </c>
      <c r="J554" s="6">
        <f>IFERROR(__xludf.DUMMYFUNCTION("""COMPUTED_VALUE"""),21.78)</f>
        <v>21.78</v>
      </c>
      <c r="K554" s="6">
        <f>IFERROR(__xludf.DUMMYFUNCTION("""COMPUTED_VALUE"""),25.41)</f>
        <v>25.41</v>
      </c>
      <c r="L554" s="3"/>
      <c r="M554" s="3"/>
    </row>
    <row r="555" ht="48.0" customHeight="1">
      <c r="A555" s="3" t="str">
        <f>IFERROR(__xludf.DUMMYFUNCTION("""COMPUTED_VALUE"""),"LXPROG")</f>
        <v>LXPROG</v>
      </c>
      <c r="B555" s="4" t="str">
        <f>IFERROR(__xludf.DUMMYFUNCTION("""COMPUTED_VALUE"""),"CABLE PARA PROGRAMAR LOS TRANSMISORES LEXUS LINEA VIEJA")</f>
        <v>CABLE PARA PROGRAMAR LOS TRANSMISORES LEXUS LINEA VIEJA</v>
      </c>
      <c r="C555" s="4" t="str">
        <f>IFERROR(__xludf.DUMMYFUNCTION("""COMPUTED_VALUE"""),"Cable para programar los transmisores LEXUS linea vieja")</f>
        <v>Cable para programar los transmisores LEXUS linea vieja</v>
      </c>
      <c r="D555" s="4" t="str">
        <f>IFERROR(__xludf.DUMMYFUNCTION("""COMPUTED_VALUE"""),"EBS")</f>
        <v>EBS</v>
      </c>
      <c r="E555" s="4" t="str">
        <f>IFERROR(__xludf.DUMMYFUNCTION("""COMPUTED_VALUE"""),"LXPROG")</f>
        <v>LXPROG</v>
      </c>
      <c r="F555" s="4" t="str">
        <f>IFERROR(__xludf.DUMMYFUNCTION("""COMPUTED_VALUE"""),"MONITOREO &gt; COMUNICADORES GPRS / WIFI /ETHERNET")</f>
        <v>MONITOREO &gt; COMUNICADORES GPRS / WIFI /ETHERNET</v>
      </c>
      <c r="G555" s="5"/>
      <c r="H555" s="6">
        <f>IFERROR(__xludf.DUMMYFUNCTION("""COMPUTED_VALUE"""),11.0)</f>
        <v>11</v>
      </c>
      <c r="I555" s="7">
        <f>IFERROR(__xludf.DUMMYFUNCTION("""COMPUTED_VALUE"""),21.0)</f>
        <v>21</v>
      </c>
      <c r="J555" s="6">
        <f>IFERROR(__xludf.DUMMYFUNCTION("""COMPUTED_VALUE"""),13.2)</f>
        <v>13.2</v>
      </c>
      <c r="K555" s="6">
        <f>IFERROR(__xludf.DUMMYFUNCTION("""COMPUTED_VALUE"""),15.4)</f>
        <v>15.4</v>
      </c>
      <c r="L555" s="3"/>
      <c r="M555" s="3"/>
    </row>
    <row r="556" ht="48.0" customHeight="1">
      <c r="A556" s="3" t="str">
        <f>IFERROR(__xludf.DUMMYFUNCTION("""COMPUTED_VALUE"""),"LXDATA")</f>
        <v>LXDATA</v>
      </c>
      <c r="B556" s="4" t="str">
        <f>IFERROR(__xludf.DUMMYFUNCTION("""COMPUTED_VALUE"""),"CABLE PARA DESCARGA DE DATOS LOS TRANSMISORES LEXUS LINEA VIEJA")</f>
        <v>CABLE PARA DESCARGA DE DATOS LOS TRANSMISORES LEXUS LINEA VIEJA</v>
      </c>
      <c r="C556" s="4" t="str">
        <f>IFERROR(__xludf.DUMMYFUNCTION("""COMPUTED_VALUE"""),"Cable para descarga de datos los transmisores LEXUS linea vieja")</f>
        <v>Cable para descarga de datos los transmisores LEXUS linea vieja</v>
      </c>
      <c r="D556" s="4" t="str">
        <f>IFERROR(__xludf.DUMMYFUNCTION("""COMPUTED_VALUE"""),"EBS")</f>
        <v>EBS</v>
      </c>
      <c r="E556" s="4" t="str">
        <f>IFERROR(__xludf.DUMMYFUNCTION("""COMPUTED_VALUE"""),"LXDATA")</f>
        <v>LXDATA</v>
      </c>
      <c r="F556" s="4" t="str">
        <f>IFERROR(__xludf.DUMMYFUNCTION("""COMPUTED_VALUE"""),"MONITOREO &gt; COMUNICADORES GPRS / WIFI /ETHERNET")</f>
        <v>MONITOREO &gt; COMUNICADORES GPRS / WIFI /ETHERNET</v>
      </c>
      <c r="G556" s="5"/>
      <c r="H556" s="6">
        <f>IFERROR(__xludf.DUMMYFUNCTION("""COMPUTED_VALUE"""),11.0)</f>
        <v>11</v>
      </c>
      <c r="I556" s="7">
        <f>IFERROR(__xludf.DUMMYFUNCTION("""COMPUTED_VALUE"""),21.0)</f>
        <v>21</v>
      </c>
      <c r="J556" s="6">
        <f>IFERROR(__xludf.DUMMYFUNCTION("""COMPUTED_VALUE"""),13.2)</f>
        <v>13.2</v>
      </c>
      <c r="K556" s="6">
        <f>IFERROR(__xludf.DUMMYFUNCTION("""COMPUTED_VALUE"""),15.4)</f>
        <v>15.4</v>
      </c>
      <c r="L556" s="3"/>
      <c r="M556" s="3"/>
    </row>
    <row r="557" ht="48.0" customHeight="1">
      <c r="A557" s="3" t="str">
        <f>IFERROR(__xludf.DUMMYFUNCTION("""COMPUTED_VALUE"""),"GDPROG")</f>
        <v>GDPROG</v>
      </c>
      <c r="B557" s="4" t="str">
        <f>IFERROR(__xludf.DUMMYFUNCTION("""COMPUTED_VALUE"""),"MODULO PARA PROGRAMAR LOS TRANSMISORES LX30 LINEA NUEVA")</f>
        <v>MODULO PARA PROGRAMAR LOS TRANSMISORES LX30 LINEA NUEVA</v>
      </c>
      <c r="C557" s="4" t="str">
        <f>IFERROR(__xludf.DUMMYFUNCTION("""COMPUTED_VALUE"""),"Modulo para programar los transmisores LX30 linea nueva")</f>
        <v>Modulo para programar los transmisores LX30 linea nueva</v>
      </c>
      <c r="D557" s="4" t="str">
        <f>IFERROR(__xludf.DUMMYFUNCTION("""COMPUTED_VALUE"""),"EBS")</f>
        <v>EBS</v>
      </c>
      <c r="E557" s="4" t="str">
        <f>IFERROR(__xludf.DUMMYFUNCTION("""COMPUTED_VALUE"""),"GDPROG")</f>
        <v>GDPROG</v>
      </c>
      <c r="F557" s="4" t="str">
        <f>IFERROR(__xludf.DUMMYFUNCTION("""COMPUTED_VALUE"""),"MONITOREO &gt; COMUNICADORES GPRS / WIFI /ETHERNET")</f>
        <v>MONITOREO &gt; COMUNICADORES GPRS / WIFI /ETHERNET</v>
      </c>
      <c r="G557" s="5"/>
      <c r="H557" s="6">
        <f>IFERROR(__xludf.DUMMYFUNCTION("""COMPUTED_VALUE"""),22.0)</f>
        <v>22</v>
      </c>
      <c r="I557" s="7">
        <f>IFERROR(__xludf.DUMMYFUNCTION("""COMPUTED_VALUE"""),21.0)</f>
        <v>21</v>
      </c>
      <c r="J557" s="6">
        <f>IFERROR(__xludf.DUMMYFUNCTION("""COMPUTED_VALUE"""),26.4)</f>
        <v>26.4</v>
      </c>
      <c r="K557" s="6">
        <f>IFERROR(__xludf.DUMMYFUNCTION("""COMPUTED_VALUE"""),30.8)</f>
        <v>30.8</v>
      </c>
      <c r="L557" s="3"/>
      <c r="M557" s="3"/>
    </row>
    <row r="558" ht="48.0" customHeight="1">
      <c r="A558" s="3" t="str">
        <f>IFERROR(__xludf.DUMMYFUNCTION("""COMPUTED_VALUE"""),"LXMINIPROGBT")</f>
        <v>LXMINIPROGBT</v>
      </c>
      <c r="B558" s="4" t="str">
        <f>IFERROR(__xludf.DUMMYFUNCTION("""COMPUTED_VALUE"""),"CABLE BLUETOOTH PARA PROGRAMAR LOS TRANSMISORES LEXUS LÍNEA LX20-LX30")</f>
        <v>CABLE BLUETOOTH PARA PROGRAMAR LOS TRANSMISORES LEXUS LÍNEA LX20-LX30</v>
      </c>
      <c r="C558" s="4" t="str">
        <f>IFERROR(__xludf.DUMMYFUNCTION("""COMPUTED_VALUE"""),"Cable Bluetooth para programar los transmisores LEXUS Línea LX20-LX30 en adelante")</f>
        <v>Cable Bluetooth para programar los transmisores LEXUS Línea LX20-LX30 en adelante</v>
      </c>
      <c r="D558" s="4" t="str">
        <f>IFERROR(__xludf.DUMMYFUNCTION("""COMPUTED_VALUE"""),"EBS")</f>
        <v>EBS</v>
      </c>
      <c r="E558" s="4" t="str">
        <f>IFERROR(__xludf.DUMMYFUNCTION("""COMPUTED_VALUE"""),"LXMINIPROGBT")</f>
        <v>LXMINIPROGBT</v>
      </c>
      <c r="F558" s="4" t="str">
        <f>IFERROR(__xludf.DUMMYFUNCTION("""COMPUTED_VALUE"""),"MONITOREO &gt; COMUNICADORES GPRS / WIFI /ETHERNET")</f>
        <v>MONITOREO &gt; COMUNICADORES GPRS / WIFI /ETHERNET</v>
      </c>
      <c r="G558" s="5"/>
      <c r="H558" s="6">
        <f>IFERROR(__xludf.DUMMYFUNCTION("""COMPUTED_VALUE"""),77.0)</f>
        <v>77</v>
      </c>
      <c r="I558" s="7">
        <f>IFERROR(__xludf.DUMMYFUNCTION("""COMPUTED_VALUE"""),21.0)</f>
        <v>21</v>
      </c>
      <c r="J558" s="6">
        <f>IFERROR(__xludf.DUMMYFUNCTION("""COMPUTED_VALUE"""),92.4)</f>
        <v>92.4</v>
      </c>
      <c r="K558" s="6">
        <f>IFERROR(__xludf.DUMMYFUNCTION("""COMPUTED_VALUE"""),107.8)</f>
        <v>107.8</v>
      </c>
      <c r="L558" s="3"/>
      <c r="M558" s="3"/>
    </row>
    <row r="559" ht="48.0" customHeight="1">
      <c r="A559" s="3" t="str">
        <f>IFERROR(__xludf.DUMMYFUNCTION("""COMPUTED_VALUE"""),"DXACTIVE")</f>
        <v>DXACTIVE</v>
      </c>
      <c r="B559" s="4" t="str">
        <f>IFERROR(__xludf.DUMMYFUNCTION("""COMPUTED_VALUE"""),"EQUIPO UNIVERSAL WIFI CON GABINETE PARA AUTOMONITOREO")</f>
        <v>EQUIPO UNIVERSAL WIFI CON GABINETE PARA AUTOMONITOREO</v>
      </c>
      <c r="C559" s="4" t="str">
        <f>IFERROR(__xludf.DUMMYFUNCTION("""COMPUTED_VALUE"""),"Equipo Universal WIFI con Gabinete para automonitoreo")</f>
        <v>Equipo Universal WIFI con Gabinete para automonitoreo</v>
      </c>
      <c r="D559" s="4" t="str">
        <f>IFERROR(__xludf.DUMMYFUNCTION("""COMPUTED_VALUE"""),"DX")</f>
        <v>DX</v>
      </c>
      <c r="E559" s="4" t="str">
        <f>IFERROR(__xludf.DUMMYFUNCTION("""COMPUTED_VALUE"""),"DXACTIVE")</f>
        <v>DXACTIVE</v>
      </c>
      <c r="F559" s="4" t="str">
        <f>IFERROR(__xludf.DUMMYFUNCTION("""COMPUTED_VALUE"""),"MONITOREO &gt; COMUNICADORES GPRS / WIFI /ETHERNET")</f>
        <v>MONITOREO &gt; COMUNICADORES GPRS / WIFI /ETHERNET</v>
      </c>
      <c r="G559" s="5"/>
      <c r="H559" s="6">
        <f>IFERROR(__xludf.DUMMYFUNCTION("""COMPUTED_VALUE"""),64.68)</f>
        <v>64.68</v>
      </c>
      <c r="I559" s="7">
        <f>IFERROR(__xludf.DUMMYFUNCTION("""COMPUTED_VALUE"""),10.5)</f>
        <v>10.5</v>
      </c>
      <c r="J559" s="6">
        <f>IFERROR(__xludf.DUMMYFUNCTION("""COMPUTED_VALUE"""),77.62)</f>
        <v>77.62</v>
      </c>
      <c r="K559" s="6">
        <f>IFERROR(__xludf.DUMMYFUNCTION("""COMPUTED_VALUE"""),90.55)</f>
        <v>90.55</v>
      </c>
      <c r="L559" s="3"/>
      <c r="M559" s="3"/>
    </row>
    <row r="560" ht="48.0" customHeight="1">
      <c r="A560" s="3" t="str">
        <f>IFERROR(__xludf.DUMMYFUNCTION("""COMPUTED_VALUE"""),"DXFULLWIFI")</f>
        <v>DXFULLWIFI</v>
      </c>
      <c r="B560" s="4" t="str">
        <f>IFERROR(__xludf.DUMMYFUNCTION("""COMPUTED_VALUE"""),"EQUIPO TIP RING UNIVERSAL WIFI CON GABINETE AUTOMONITOREO")</f>
        <v>EQUIPO TIP RING UNIVERSAL WIFI CON GABINETE AUTOMONITOREO</v>
      </c>
      <c r="C560" s="4" t="str">
        <f>IFERROR(__xludf.DUMMYFUNCTION("""COMPUTED_VALUE"""),"Equipo Tip Ring Universal Wifi con Gabinete automonitoreo")</f>
        <v>Equipo Tip Ring Universal Wifi con Gabinete automonitoreo</v>
      </c>
      <c r="D560" s="4" t="str">
        <f>IFERROR(__xludf.DUMMYFUNCTION("""COMPUTED_VALUE"""),"DX")</f>
        <v>DX</v>
      </c>
      <c r="E560" s="4" t="str">
        <f>IFERROR(__xludf.DUMMYFUNCTION("""COMPUTED_VALUE"""),"DXFULLWIFI")</f>
        <v>DXFULLWIFI</v>
      </c>
      <c r="F560" s="4" t="str">
        <f>IFERROR(__xludf.DUMMYFUNCTION("""COMPUTED_VALUE"""),"MONITOREO &gt; COMUNICADORES GPRS / WIFI /ETHERNET")</f>
        <v>MONITOREO &gt; COMUNICADORES GPRS / WIFI /ETHERNET</v>
      </c>
      <c r="G560" s="5"/>
      <c r="H560" s="6">
        <f>IFERROR(__xludf.DUMMYFUNCTION("""COMPUTED_VALUE"""),79.53)</f>
        <v>79.53</v>
      </c>
      <c r="I560" s="7">
        <f>IFERROR(__xludf.DUMMYFUNCTION("""COMPUTED_VALUE"""),10.5)</f>
        <v>10.5</v>
      </c>
      <c r="J560" s="6">
        <f>IFERROR(__xludf.DUMMYFUNCTION("""COMPUTED_VALUE"""),95.44)</f>
        <v>95.44</v>
      </c>
      <c r="K560" s="6">
        <f>IFERROR(__xludf.DUMMYFUNCTION("""COMPUTED_VALUE"""),111.34)</f>
        <v>111.34</v>
      </c>
      <c r="L560" s="3"/>
      <c r="M560" s="3"/>
    </row>
    <row r="561" ht="48.0" customHeight="1">
      <c r="A561" s="3" t="str">
        <f>IFERROR(__xludf.DUMMYFUNCTION("""COMPUTED_VALUE"""),"DXFULLWIFIMAX")</f>
        <v>DXFULLWIFIMAX</v>
      </c>
      <c r="B561" s="4" t="str">
        <f>IFERROR(__xludf.DUMMYFUNCTION("""COMPUTED_VALUE"""),"EQUIPO TIP RING UNIVERSAL WIFI CON GABINETE PARA MONITOREO")</f>
        <v>EQUIPO TIP RING UNIVERSAL WIFI CON GABINETE PARA MONITOREO</v>
      </c>
      <c r="C561" s="4" t="str">
        <f>IFERROR(__xludf.DUMMYFUNCTION("""COMPUTED_VALUE"""),"Equipo Tip Ring Universal Wifi con Gabinete para monitoreo")</f>
        <v>Equipo Tip Ring Universal Wifi con Gabinete para monitoreo</v>
      </c>
      <c r="D561" s="4" t="str">
        <f>IFERROR(__xludf.DUMMYFUNCTION("""COMPUTED_VALUE"""),"DX")</f>
        <v>DX</v>
      </c>
      <c r="E561" s="4" t="str">
        <f>IFERROR(__xludf.DUMMYFUNCTION("""COMPUTED_VALUE"""),"DXFULLWIFIMAX")</f>
        <v>DXFULLWIFIMAX</v>
      </c>
      <c r="F561" s="4" t="str">
        <f>IFERROR(__xludf.DUMMYFUNCTION("""COMPUTED_VALUE"""),"MONITOREO &gt; COMUNICADORES GPRS / WIFI /ETHERNET")</f>
        <v>MONITOREO &gt; COMUNICADORES GPRS / WIFI /ETHERNET</v>
      </c>
      <c r="G561" s="5"/>
      <c r="H561" s="6">
        <f>IFERROR(__xludf.DUMMYFUNCTION("""COMPUTED_VALUE"""),87.45)</f>
        <v>87.45</v>
      </c>
      <c r="I561" s="7">
        <f>IFERROR(__xludf.DUMMYFUNCTION("""COMPUTED_VALUE"""),10.5)</f>
        <v>10.5</v>
      </c>
      <c r="J561" s="6">
        <f>IFERROR(__xludf.DUMMYFUNCTION("""COMPUTED_VALUE"""),104.94)</f>
        <v>104.94</v>
      </c>
      <c r="K561" s="6">
        <f>IFERROR(__xludf.DUMMYFUNCTION("""COMPUTED_VALUE"""),122.43)</f>
        <v>122.43</v>
      </c>
      <c r="L561" s="3"/>
      <c r="M561" s="3"/>
    </row>
    <row r="562" ht="48.0" customHeight="1">
      <c r="A562" s="3" t="str">
        <f>IFERROR(__xludf.DUMMYFUNCTION("""COMPUTED_VALUE"""),"DXSAM2")</f>
        <v>DXSAM2</v>
      </c>
      <c r="B562" s="4" t="str">
        <f>IFERROR(__xludf.DUMMYFUNCTION("""COMPUTED_VALUE"""),"SAM2 DSC® NGA® PARADOX® HONEYWELLL®2G/3G/4G CON GABINETE")</f>
        <v>SAM2 DSC® NGA® PARADOX® HONEYWELLL®2G/3G/4G CON GABINETE</v>
      </c>
      <c r="C562" s="4" t="str">
        <f>IFERROR(__xludf.DUMMYFUNCTION("""COMPUTED_VALUE"""),"Sam2 DSC® NGA® PARADOX® HONEYWELLL®2G/3G/4G con Gabinete")</f>
        <v>Sam2 DSC® NGA® PARADOX® HONEYWELLL®2G/3G/4G con Gabinete</v>
      </c>
      <c r="D562" s="4" t="str">
        <f>IFERROR(__xludf.DUMMYFUNCTION("""COMPUTED_VALUE"""),"DX")</f>
        <v>DX</v>
      </c>
      <c r="E562" s="4" t="str">
        <f>IFERROR(__xludf.DUMMYFUNCTION("""COMPUTED_VALUE"""),"DXSAM2")</f>
        <v>DXSAM2</v>
      </c>
      <c r="F562" s="4" t="str">
        <f>IFERROR(__xludf.DUMMYFUNCTION("""COMPUTED_VALUE"""),"MONITOREO &gt; COMUNICADORES GPRS / WIFI /ETHERNET")</f>
        <v>MONITOREO &gt; COMUNICADORES GPRS / WIFI /ETHERNET</v>
      </c>
      <c r="G562" s="5"/>
      <c r="H562" s="6">
        <f>IFERROR(__xludf.DUMMYFUNCTION("""COMPUTED_VALUE"""),136.95)</f>
        <v>136.95</v>
      </c>
      <c r="I562" s="7">
        <f>IFERROR(__xludf.DUMMYFUNCTION("""COMPUTED_VALUE"""),10.5)</f>
        <v>10.5</v>
      </c>
      <c r="J562" s="6">
        <f>IFERROR(__xludf.DUMMYFUNCTION("""COMPUTED_VALUE"""),164.34)</f>
        <v>164.34</v>
      </c>
      <c r="K562" s="6">
        <f>IFERROR(__xludf.DUMMYFUNCTION("""COMPUTED_VALUE"""),191.73)</f>
        <v>191.73</v>
      </c>
      <c r="L562" s="3"/>
      <c r="M562" s="3"/>
    </row>
    <row r="563" ht="48.0" customHeight="1">
      <c r="A563" s="3" t="str">
        <f>IFERROR(__xludf.DUMMYFUNCTION("""COMPUTED_VALUE"""),"DXSAM2WIFI")</f>
        <v>DXSAM2WIFI</v>
      </c>
      <c r="B563" s="4" t="str">
        <f>IFERROR(__xludf.DUMMYFUNCTION("""COMPUTED_VALUE"""),"SAM2 DSC® PARADOX® HONEYWELLL®2G/3G/4G WIFI CON GABINETE")</f>
        <v>SAM2 DSC® PARADOX® HONEYWELLL®2G/3G/4G WIFI CON GABINETE</v>
      </c>
      <c r="C563" s="4" t="str">
        <f>IFERROR(__xludf.DUMMYFUNCTION("""COMPUTED_VALUE"""),"Sam2 DSC® PARADOX® HONEYWELLL®2G/3G/4G WIFI con Gabinete")</f>
        <v>Sam2 DSC® PARADOX® HONEYWELLL®2G/3G/4G WIFI con Gabinete</v>
      </c>
      <c r="D563" s="4" t="str">
        <f>IFERROR(__xludf.DUMMYFUNCTION("""COMPUTED_VALUE"""),"DX")</f>
        <v>DX</v>
      </c>
      <c r="E563" s="4" t="str">
        <f>IFERROR(__xludf.DUMMYFUNCTION("""COMPUTED_VALUE"""),"DXSAM2WIFI")</f>
        <v>DXSAM2WIFI</v>
      </c>
      <c r="F563" s="4" t="str">
        <f>IFERROR(__xludf.DUMMYFUNCTION("""COMPUTED_VALUE"""),"MONITOREO &gt; COMUNICADORES GPRS / WIFI /ETHERNET")</f>
        <v>MONITOREO &gt; COMUNICADORES GPRS / WIFI /ETHERNET</v>
      </c>
      <c r="G563" s="5"/>
      <c r="H563" s="6">
        <f>IFERROR(__xludf.DUMMYFUNCTION("""COMPUTED_VALUE"""),147.84)</f>
        <v>147.84</v>
      </c>
      <c r="I563" s="7">
        <f>IFERROR(__xludf.DUMMYFUNCTION("""COMPUTED_VALUE"""),10.5)</f>
        <v>10.5</v>
      </c>
      <c r="J563" s="6">
        <f>IFERROR(__xludf.DUMMYFUNCTION("""COMPUTED_VALUE"""),177.41)</f>
        <v>177.41</v>
      </c>
      <c r="K563" s="6">
        <f>IFERROR(__xludf.DUMMYFUNCTION("""COMPUTED_VALUE"""),206.98)</f>
        <v>206.98</v>
      </c>
      <c r="L563" s="3"/>
      <c r="M563" s="3"/>
    </row>
    <row r="564" ht="48.0" customHeight="1">
      <c r="A564" s="3" t="str">
        <f>IFERROR(__xludf.DUMMYFUNCTION("""COMPUTED_VALUE"""),"DXSAM2WIFI-ETHERNET")</f>
        <v>DXSAM2WIFI-ETHERNET</v>
      </c>
      <c r="B564" s="4" t="str">
        <f>IFERROR(__xludf.DUMMYFUNCTION("""COMPUTED_VALUE"""),"COMUNICADOR DE ALARMAS SAM2 DSC® NG® PARADOX® HONEYWELLL® CW®")</f>
        <v>COMUNICADOR DE ALARMAS SAM2 DSC® NG® PARADOX® HONEYWELLL® CW®</v>
      </c>
      <c r="C564" s="4" t="str">
        <f>IFERROR(__xludf.DUMMYFUNCTION("""COMPUTED_VALUE"""),"Comunicador de alarmas Sam2 DSC® NG® PARADOX® HONEYWELLL® CW® INTELBRAS® 2G/3G/4G WIFI/ ETHERNET CON GABINETE")</f>
        <v>Comunicador de alarmas Sam2 DSC® NG® PARADOX® HONEYWELLL® CW® INTELBRAS® 2G/3G/4G WIFI/ ETHERNET CON GABINETE</v>
      </c>
      <c r="D564" s="4" t="str">
        <f>IFERROR(__xludf.DUMMYFUNCTION("""COMPUTED_VALUE"""),"DX")</f>
        <v>DX</v>
      </c>
      <c r="E564" s="4" t="str">
        <f>IFERROR(__xludf.DUMMYFUNCTION("""COMPUTED_VALUE"""),"DXSAM2WIFI-ETHERNET")</f>
        <v>DXSAM2WIFI-ETHERNET</v>
      </c>
      <c r="F564" s="4" t="str">
        <f>IFERROR(__xludf.DUMMYFUNCTION("""COMPUTED_VALUE"""),"MONITOREO &gt; COMUNICADORES GPRS / WIFI /ETHERNET")</f>
        <v>MONITOREO &gt; COMUNICADORES GPRS / WIFI /ETHERNET</v>
      </c>
      <c r="G564" s="5"/>
      <c r="H564" s="6">
        <f>IFERROR(__xludf.DUMMYFUNCTION("""COMPUTED_VALUE"""),155.43)</f>
        <v>155.43</v>
      </c>
      <c r="I564" s="7">
        <f>IFERROR(__xludf.DUMMYFUNCTION("""COMPUTED_VALUE"""),10.5)</f>
        <v>10.5</v>
      </c>
      <c r="J564" s="6">
        <f>IFERROR(__xludf.DUMMYFUNCTION("""COMPUTED_VALUE"""),186.52)</f>
        <v>186.52</v>
      </c>
      <c r="K564" s="6">
        <f>IFERROR(__xludf.DUMMYFUNCTION("""COMPUTED_VALUE"""),217.6)</f>
        <v>217.6</v>
      </c>
      <c r="L564" s="3"/>
      <c r="M564" s="3"/>
    </row>
    <row r="565" ht="48.0" customHeight="1">
      <c r="A565" s="3" t="str">
        <f>IFERROR(__xludf.DUMMYFUNCTION("""COMPUTED_VALUE"""),"DX2S2G3G4GWIFI")</f>
        <v>DX2S2G3G4GWIFI</v>
      </c>
      <c r="B565" s="4" t="str">
        <f>IFERROR(__xludf.DUMMYFUNCTION("""COMPUTED_VALUE"""),"EQUIPO UNIVERSAL 2G/3G/4G/WIFI/SMS/EMAIL")</f>
        <v>EQUIPO UNIVERSAL 2G/3G/4G/WIFI/SMS/EMAIL</v>
      </c>
      <c r="C565" s="4" t="str">
        <f>IFERROR(__xludf.DUMMYFUNCTION("""COMPUTED_VALUE"""),"Equipo Universal 2G/3G/4G/WIFI/SMS/EMAIL. Conexión TIP RING 4 entradas digitales, 4 salidas OC. Comandos 2G/3G/4G Comandos SMS -E-mail")</f>
        <v>Equipo Universal 2G/3G/4G/WIFI/SMS/EMAIL. Conexión TIP RING 4 entradas digitales, 4 salidas OC. Comandos 2G/3G/4G Comandos SMS -E-mail</v>
      </c>
      <c r="D565" s="4" t="str">
        <f>IFERROR(__xludf.DUMMYFUNCTION("""COMPUTED_VALUE"""),"DX")</f>
        <v>DX</v>
      </c>
      <c r="E565" s="4" t="str">
        <f>IFERROR(__xludf.DUMMYFUNCTION("""COMPUTED_VALUE"""),"DX2S2G3G4GWIFI")</f>
        <v>DX2S2G3G4GWIFI</v>
      </c>
      <c r="F565" s="4" t="str">
        <f>IFERROR(__xludf.DUMMYFUNCTION("""COMPUTED_VALUE"""),"MONITOREO &gt; COMUNICADORES GPRS / WIFI /ETHERNET")</f>
        <v>MONITOREO &gt; COMUNICADORES GPRS / WIFI /ETHERNET</v>
      </c>
      <c r="G565" s="5"/>
      <c r="H565" s="6">
        <f>IFERROR(__xludf.DUMMYFUNCTION("""COMPUTED_VALUE"""),150.7)</f>
        <v>150.7</v>
      </c>
      <c r="I565" s="7">
        <f>IFERROR(__xludf.DUMMYFUNCTION("""COMPUTED_VALUE"""),10.5)</f>
        <v>10.5</v>
      </c>
      <c r="J565" s="6">
        <f>IFERROR(__xludf.DUMMYFUNCTION("""COMPUTED_VALUE"""),180.84)</f>
        <v>180.84</v>
      </c>
      <c r="K565" s="6">
        <f>IFERROR(__xludf.DUMMYFUNCTION("""COMPUTED_VALUE"""),210.98)</f>
        <v>210.98</v>
      </c>
      <c r="L565" s="3"/>
      <c r="M565" s="3"/>
    </row>
    <row r="566" ht="48.0" customHeight="1">
      <c r="A566" s="3" t="str">
        <f>IFERROR(__xludf.DUMMYFUNCTION("""COMPUTED_VALUE"""),"DXCAM")</f>
        <v>DXCAM</v>
      </c>
      <c r="B566" s="4" t="str">
        <f>IFERROR(__xludf.DUMMYFUNCTION("""COMPUTED_VALUE"""),"CÁMARA VERIFICACIÓN VISUAL DE ALARRMAS")</f>
        <v>CÁMARA VERIFICACIÓN VISUAL DE ALARRMAS</v>
      </c>
      <c r="C566" s="4" t="str">
        <f>IFERROR(__xludf.DUMMYFUNCTION("""COMPUTED_VALUE"""),"Cámara Verificación Visual de Alarrmas")</f>
        <v>Cámara Verificación Visual de Alarrmas</v>
      </c>
      <c r="D566" s="4" t="str">
        <f>IFERROR(__xludf.DUMMYFUNCTION("""COMPUTED_VALUE"""),"DX")</f>
        <v>DX</v>
      </c>
      <c r="E566" s="4" t="str">
        <f>IFERROR(__xludf.DUMMYFUNCTION("""COMPUTED_VALUE"""),"DXCAM")</f>
        <v>DXCAM</v>
      </c>
      <c r="F566" s="4" t="str">
        <f>IFERROR(__xludf.DUMMYFUNCTION("""COMPUTED_VALUE"""),"MONITOREO &gt; COMUNICADORES GPRS / WIFI /ETHERNET")</f>
        <v>MONITOREO &gt; COMUNICADORES GPRS / WIFI /ETHERNET</v>
      </c>
      <c r="G566" s="5"/>
      <c r="H566" s="6">
        <f>IFERROR(__xludf.DUMMYFUNCTION("""COMPUTED_VALUE"""),68.2)</f>
        <v>68.2</v>
      </c>
      <c r="I566" s="7">
        <f>IFERROR(__xludf.DUMMYFUNCTION("""COMPUTED_VALUE"""),10.5)</f>
        <v>10.5</v>
      </c>
      <c r="J566" s="6">
        <f>IFERROR(__xludf.DUMMYFUNCTION("""COMPUTED_VALUE"""),81.84)</f>
        <v>81.84</v>
      </c>
      <c r="K566" s="6">
        <f>IFERROR(__xludf.DUMMYFUNCTION("""COMPUTED_VALUE"""),95.48)</f>
        <v>95.48</v>
      </c>
      <c r="L566" s="3"/>
      <c r="M566" s="3"/>
    </row>
    <row r="567" ht="48.0" customHeight="1">
      <c r="A567" s="3" t="str">
        <f>IFERROR(__xludf.DUMMYFUNCTION("""COMPUTED_VALUE"""),"DXCABLE")</f>
        <v>DXCABLE</v>
      </c>
      <c r="B567" s="4" t="str">
        <f>IFERROR(__xludf.DUMMYFUNCTION("""COMPUTED_VALUE"""),"CABLE DE PROGRAMACIÓN SAM2")</f>
        <v>CABLE DE PROGRAMACIÓN SAM2</v>
      </c>
      <c r="C567" s="4" t="str">
        <f>IFERROR(__xludf.DUMMYFUNCTION("""COMPUTED_VALUE"""),"Cable de Programación Sam2")</f>
        <v>Cable de Programación Sam2</v>
      </c>
      <c r="D567" s="4" t="str">
        <f>IFERROR(__xludf.DUMMYFUNCTION("""COMPUTED_VALUE"""),"DX")</f>
        <v>DX</v>
      </c>
      <c r="E567" s="4" t="str">
        <f>IFERROR(__xludf.DUMMYFUNCTION("""COMPUTED_VALUE"""),"DXCABLE")</f>
        <v>DXCABLE</v>
      </c>
      <c r="F567" s="4" t="str">
        <f>IFERROR(__xludf.DUMMYFUNCTION("""COMPUTED_VALUE"""),"MONITOREO &gt; COMUNICADORES GPRS / WIFI /ETHERNET")</f>
        <v>MONITOREO &gt; COMUNICADORES GPRS / WIFI /ETHERNET</v>
      </c>
      <c r="G567" s="5"/>
      <c r="H567" s="6">
        <f>IFERROR(__xludf.DUMMYFUNCTION("""COMPUTED_VALUE"""),23.1)</f>
        <v>23.1</v>
      </c>
      <c r="I567" s="7">
        <f>IFERROR(__xludf.DUMMYFUNCTION("""COMPUTED_VALUE"""),21.0)</f>
        <v>21</v>
      </c>
      <c r="J567" s="6">
        <f>IFERROR(__xludf.DUMMYFUNCTION("""COMPUTED_VALUE"""),27.72)</f>
        <v>27.72</v>
      </c>
      <c r="K567" s="6">
        <f>IFERROR(__xludf.DUMMYFUNCTION("""COMPUTED_VALUE"""),32.34)</f>
        <v>32.34</v>
      </c>
      <c r="L567" s="3"/>
      <c r="M567" s="3"/>
    </row>
    <row r="568" ht="48.0" customHeight="1">
      <c r="A568" s="3" t="str">
        <f>IFERROR(__xludf.DUMMYFUNCTION("""COMPUTED_VALUE"""),"DXSAT7")</f>
        <v>DXSAT7</v>
      </c>
      <c r="B568" s="4" t="str">
        <f>IFERROR(__xludf.DUMMYFUNCTION("""COMPUTED_VALUE"""),"LOCALIZADOR SATELITAL DUAL SIM REÚNE TECNOLOGÍA DE POSICIONAMIENTO SAT")</f>
        <v>LOCALIZADOR SATELITAL DUAL SIM REÚNE TECNOLOGÍA DE POSICIONAMIENTO SAT</v>
      </c>
      <c r="C568" s="4" t="str">
        <f>IFERROR(__xludf.DUMMYFUNCTION("""COMPUTED_VALUE"""),"Localizador satelital Dual SIM Reúne tecnología de posicionamiento satelital GPS de ultima generación y comunicación 2G/3G/4G integrados. En conjunto permiten efectuar el seguimiento del vehículo tanto en zonas rurales donde solo funcionan redes 2G/3G com"&amp;"o en las grandes ciudades donde utiliza toda la potencia y velocidad de las redes 4G. Sin Plataforma")</f>
        <v>Localizador satelital Dual SIM Reúne tecnología de posicionamiento satelital GPS de ultima generación y comunicación 2G/3G/4G integrados. En conjunto permiten efectuar el seguimiento del vehículo tanto en zonas rurales donde solo funcionan redes 2G/3G como en las grandes ciudades donde utiliza toda la potencia y velocidad de las redes 4G. Sin Plataforma</v>
      </c>
      <c r="D568" s="4" t="str">
        <f>IFERROR(__xludf.DUMMYFUNCTION("""COMPUTED_VALUE"""),"DX")</f>
        <v>DX</v>
      </c>
      <c r="E568" s="4" t="str">
        <f>IFERROR(__xludf.DUMMYFUNCTION("""COMPUTED_VALUE"""),"DXSAT7")</f>
        <v>DXSAT7</v>
      </c>
      <c r="F568" s="4" t="str">
        <f>IFERROR(__xludf.DUMMYFUNCTION("""COMPUTED_VALUE"""),"MONITOREO &gt; COMUNICADORES GPRS / WIFI /ETHERNET")</f>
        <v>MONITOREO &gt; COMUNICADORES GPRS / WIFI /ETHERNET</v>
      </c>
      <c r="G568" s="5"/>
      <c r="H568" s="6">
        <f>IFERROR(__xludf.DUMMYFUNCTION("""COMPUTED_VALUE"""),144.54)</f>
        <v>144.54</v>
      </c>
      <c r="I568" s="7">
        <f>IFERROR(__xludf.DUMMYFUNCTION("""COMPUTED_VALUE"""),21.0)</f>
        <v>21</v>
      </c>
      <c r="J568" s="6">
        <f>IFERROR(__xludf.DUMMYFUNCTION("""COMPUTED_VALUE"""),173.45)</f>
        <v>173.45</v>
      </c>
      <c r="K568" s="6">
        <f>IFERROR(__xludf.DUMMYFUNCTION("""COMPUTED_VALUE"""),202.36)</f>
        <v>202.36</v>
      </c>
      <c r="L568" s="3"/>
      <c r="M568" s="3"/>
    </row>
    <row r="569" ht="48.0" customHeight="1">
      <c r="A569" s="3" t="str">
        <f>IFERROR(__xludf.DUMMYFUNCTION("""COMPUTED_VALUE"""),"NTWIFIA")</f>
        <v>NTWIFIA</v>
      </c>
      <c r="B569" s="4" t="str">
        <f>IFERROR(__xludf.DUMMYFUNCTION("""COMPUTED_VALUE"""),"COMUNICADOR WIFI APP COMUNICACIÓN X BUS DE DATOS DSC®")</f>
        <v>COMUNICADOR WIFI APP COMUNICACIÓN X BUS DE DATOS DSC®</v>
      </c>
      <c r="C569" s="4" t="str">
        <f>IFERROR(__xludf.DUMMYFUNCTION("""COMPUTED_VALUE"""),"Comunicador WIFI APP comunicación x bus de datos DSC® PARADOX® HONEYWELL® x bus de datos, apto para monitoreo o automonitoreo. Pedir modelo WiFi App A2K48 para usar con paneles Alonso-Garnet")</f>
        <v>Comunicador WIFI APP comunicación x bus de datos DSC® PARADOX® HONEYWELL® x bus de datos, apto para monitoreo o automonitoreo. Pedir modelo WiFi App A2K48 para usar con paneles Alonso-Garnet</v>
      </c>
      <c r="D569" s="4" t="str">
        <f>IFERROR(__xludf.DUMMYFUNCTION("""COMPUTED_VALUE"""),"NETIO")</f>
        <v>NETIO</v>
      </c>
      <c r="E569" s="4" t="str">
        <f>IFERROR(__xludf.DUMMYFUNCTION("""COMPUTED_VALUE"""),"NTWIFIA")</f>
        <v>NTWIFIA</v>
      </c>
      <c r="F569" s="4" t="str">
        <f>IFERROR(__xludf.DUMMYFUNCTION("""COMPUTED_VALUE"""),"MONITOREO &gt; COMUNICADORES GPRS / WIFI /ETHERNET")</f>
        <v>MONITOREO &gt; COMUNICADORES GPRS / WIFI /ETHERNET</v>
      </c>
      <c r="G569" s="5"/>
      <c r="H569" s="6">
        <f>IFERROR(__xludf.DUMMYFUNCTION("""COMPUTED_VALUE"""),71.5)</f>
        <v>71.5</v>
      </c>
      <c r="I569" s="7">
        <f>IFERROR(__xludf.DUMMYFUNCTION("""COMPUTED_VALUE"""),10.5)</f>
        <v>10.5</v>
      </c>
      <c r="J569" s="6">
        <f>IFERROR(__xludf.DUMMYFUNCTION("""COMPUTED_VALUE"""),85.8)</f>
        <v>85.8</v>
      </c>
      <c r="K569" s="6">
        <f>IFERROR(__xludf.DUMMYFUNCTION("""COMPUTED_VALUE"""),100.1)</f>
        <v>100.1</v>
      </c>
      <c r="L569" s="3"/>
      <c r="M569" s="3"/>
    </row>
    <row r="570" ht="48.0" customHeight="1">
      <c r="A570" s="3" t="str">
        <f>IFERROR(__xludf.DUMMYFUNCTION("""COMPUTED_VALUE"""),"NT-WIFIA2K48")</f>
        <v>NT-WIFIA2K48</v>
      </c>
      <c r="B570" s="4" t="str">
        <f>IFERROR(__xludf.DUMMYFUNCTION("""COMPUTED_VALUE"""),"COMUNICADOR WIFI APP CONEXIÓN PUERTO C485, COMPATIBLE CON PANELES")</f>
        <v>COMUNICADOR WIFI APP CONEXIÓN PUERTO C485, COMPATIBLE CON PANELES</v>
      </c>
      <c r="C570" s="4" t="str">
        <f>IFERROR(__xludf.DUMMYFUNCTION("""COMPUTED_VALUE"""),"Comunicador WIFI APP conexión puerto C485, compatible con paneles A2K8/A2K4NG/PC732 Alonso-Garnet")</f>
        <v>Comunicador WIFI APP conexión puerto C485, compatible con paneles A2K8/A2K4NG/PC732 Alonso-Garnet</v>
      </c>
      <c r="D570" s="4" t="str">
        <f>IFERROR(__xludf.DUMMYFUNCTION("""COMPUTED_VALUE"""),"NETIO")</f>
        <v>NETIO</v>
      </c>
      <c r="E570" s="4" t="str">
        <f>IFERROR(__xludf.DUMMYFUNCTION("""COMPUTED_VALUE"""),"NT-WIFIA2K48")</f>
        <v>NT-WIFIA2K48</v>
      </c>
      <c r="F570" s="4" t="str">
        <f>IFERROR(__xludf.DUMMYFUNCTION("""COMPUTED_VALUE"""),"MONITOREO &gt; COMUNICADORES GPRS / WIFI /ETHERNET")</f>
        <v>MONITOREO &gt; COMUNICADORES GPRS / WIFI /ETHERNET</v>
      </c>
      <c r="G570" s="5"/>
      <c r="H570" s="6">
        <f>IFERROR(__xludf.DUMMYFUNCTION("""COMPUTED_VALUE"""),71.5)</f>
        <v>71.5</v>
      </c>
      <c r="I570" s="7">
        <f>IFERROR(__xludf.DUMMYFUNCTION("""COMPUTED_VALUE"""),10.5)</f>
        <v>10.5</v>
      </c>
      <c r="J570" s="6">
        <f>IFERROR(__xludf.DUMMYFUNCTION("""COMPUTED_VALUE"""),85.8)</f>
        <v>85.8</v>
      </c>
      <c r="K570" s="6">
        <f>IFERROR(__xludf.DUMMYFUNCTION("""COMPUTED_VALUE"""),100.1)</f>
        <v>100.1</v>
      </c>
      <c r="L570" s="3"/>
      <c r="M570" s="3"/>
    </row>
    <row r="571" ht="48.0" customHeight="1">
      <c r="A571" s="3" t="str">
        <f>IFERROR(__xludf.DUMMYFUNCTION("""COMPUTED_VALUE"""),"NTLINK4G")</f>
        <v>NTLINK4G</v>
      </c>
      <c r="B571" s="4" t="str">
        <f>IFERROR(__xludf.DUMMYFUNCTION("""COMPUTED_VALUE"""),"COMUNICADOR KEYBUS NT-LINK 4G APP COMUNICACIÓN X BUS DE")</f>
        <v>COMUNICADOR KEYBUS NT-LINK 4G APP COMUNICACIÓN X BUS DE</v>
      </c>
      <c r="C571" s="4" t="str">
        <f>IFERROR(__xludf.DUMMYFUNCTION("""COMPUTED_VALUE"""),"Comunicador KEYBUS NT-LINK 4G APP comunicación x bus de datos DSC® PARADOX® HONEYWELL® 2G/3G x bus de datos, apto para monitoreo o automonitoreo. Pedir modelo Nt-A2K8/4NG 3G para usar con paneles Alonso-Garnet")</f>
        <v>Comunicador KEYBUS NT-LINK 4G APP comunicación x bus de datos DSC® PARADOX® HONEYWELL® 2G/3G x bus de datos, apto para monitoreo o automonitoreo. Pedir modelo Nt-A2K8/4NG 3G para usar con paneles Alonso-Garnet</v>
      </c>
      <c r="D571" s="4" t="str">
        <f>IFERROR(__xludf.DUMMYFUNCTION("""COMPUTED_VALUE"""),"NETIO")</f>
        <v>NETIO</v>
      </c>
      <c r="E571" s="4" t="str">
        <f>IFERROR(__xludf.DUMMYFUNCTION("""COMPUTED_VALUE"""),"NTLINK4G")</f>
        <v>NTLINK4G</v>
      </c>
      <c r="F571" s="4" t="str">
        <f>IFERROR(__xludf.DUMMYFUNCTION("""COMPUTED_VALUE"""),"MONITOREO &gt; COMUNICADORES GPRS / WIFI /ETHERNET")</f>
        <v>MONITOREO &gt; COMUNICADORES GPRS / WIFI /ETHERNET</v>
      </c>
      <c r="G571" s="5"/>
      <c r="H571" s="6">
        <f>IFERROR(__xludf.DUMMYFUNCTION("""COMPUTED_VALUE"""),110.0)</f>
        <v>110</v>
      </c>
      <c r="I571" s="7">
        <f>IFERROR(__xludf.DUMMYFUNCTION("""COMPUTED_VALUE"""),10.5)</f>
        <v>10.5</v>
      </c>
      <c r="J571" s="6">
        <f>IFERROR(__xludf.DUMMYFUNCTION("""COMPUTED_VALUE"""),132.0)</f>
        <v>132</v>
      </c>
      <c r="K571" s="6">
        <f>IFERROR(__xludf.DUMMYFUNCTION("""COMPUTED_VALUE"""),154.0)</f>
        <v>154</v>
      </c>
      <c r="L571" s="3"/>
      <c r="M571" s="3"/>
    </row>
    <row r="572" ht="48.0" customHeight="1">
      <c r="A572" s="3" t="str">
        <f>IFERROR(__xludf.DUMMYFUNCTION("""COMPUTED_VALUE"""),"NT-A2K8/4NG4G")</f>
        <v>NT-A2K8/4NG4G</v>
      </c>
      <c r="B572" s="4" t="str">
        <f>IFERROR(__xludf.DUMMYFUNCTION("""COMPUTED_VALUE"""),"COMUNICADOR IP PUERTO C485 4G")</f>
        <v>COMUNICADOR IP PUERTO C485 4G</v>
      </c>
      <c r="C572" s="4" t="str">
        <f>IFERROR(__xludf.DUMMYFUNCTION("""COMPUTED_VALUE"""),"Comunicador IP puerto C485 4G - GPRS - SMS (ALONSO) compatble con paneles A2K8/A2K4NG/PC732G")</f>
        <v>Comunicador IP puerto C485 4G - GPRS - SMS (ALONSO) compatble con paneles A2K8/A2K4NG/PC732G</v>
      </c>
      <c r="D572" s="4" t="str">
        <f>IFERROR(__xludf.DUMMYFUNCTION("""COMPUTED_VALUE"""),"NETIO")</f>
        <v>NETIO</v>
      </c>
      <c r="E572" s="4" t="str">
        <f>IFERROR(__xludf.DUMMYFUNCTION("""COMPUTED_VALUE"""),"NT-A2K8/4NG4G")</f>
        <v>NT-A2K8/4NG4G</v>
      </c>
      <c r="F572" s="4" t="str">
        <f>IFERROR(__xludf.DUMMYFUNCTION("""COMPUTED_VALUE"""),"MONITOREO &gt; COMUNICADORES GPRS / WIFI /ETHERNET")</f>
        <v>MONITOREO &gt; COMUNICADORES GPRS / WIFI /ETHERNET</v>
      </c>
      <c r="G572" s="5"/>
      <c r="H572" s="6">
        <f>IFERROR(__xludf.DUMMYFUNCTION("""COMPUTED_VALUE"""),110.0)</f>
        <v>110</v>
      </c>
      <c r="I572" s="7">
        <f>IFERROR(__xludf.DUMMYFUNCTION("""COMPUTED_VALUE"""),10.5)</f>
        <v>10.5</v>
      </c>
      <c r="J572" s="6">
        <f>IFERROR(__xludf.DUMMYFUNCTION("""COMPUTED_VALUE"""),132.0)</f>
        <v>132</v>
      </c>
      <c r="K572" s="6">
        <f>IFERROR(__xludf.DUMMYFUNCTION("""COMPUTED_VALUE"""),154.0)</f>
        <v>154</v>
      </c>
      <c r="L572" s="3"/>
      <c r="M572" s="3"/>
    </row>
    <row r="573" ht="48.0" customHeight="1">
      <c r="A573" s="3" t="str">
        <f>IFERROR(__xludf.DUMMYFUNCTION("""COMPUTED_VALUE"""),"NTCOM24G")</f>
        <v>NTCOM24G</v>
      </c>
      <c r="B573" s="4" t="str">
        <f>IFERROR(__xludf.DUMMYFUNCTION("""COMPUTED_VALUE"""),"COMUNICADOR UNIVERSAL VÍA 4G")</f>
        <v>COMUNICADOR UNIVERSAL VÍA 4G</v>
      </c>
      <c r="C573" s="4" t="str">
        <f>IFERROR(__xludf.DUMMYFUNCTION("""COMPUTED_VALUE"""),"Comunicador universal vía 4G - 2G - SMS")</f>
        <v>Comunicador universal vía 4G - 2G - SMS</v>
      </c>
      <c r="D573" s="4" t="str">
        <f>IFERROR(__xludf.DUMMYFUNCTION("""COMPUTED_VALUE"""),"NETIO")</f>
        <v>NETIO</v>
      </c>
      <c r="E573" s="4" t="str">
        <f>IFERROR(__xludf.DUMMYFUNCTION("""COMPUTED_VALUE"""),"NTCOM24G")</f>
        <v>NTCOM24G</v>
      </c>
      <c r="F573" s="4" t="str">
        <f>IFERROR(__xludf.DUMMYFUNCTION("""COMPUTED_VALUE"""),"MONITOREO &gt; COMUNICADORES GPRS / WIFI /ETHERNET")</f>
        <v>MONITOREO &gt; COMUNICADORES GPRS / WIFI /ETHERNET</v>
      </c>
      <c r="G573" s="5"/>
      <c r="H573" s="6">
        <f>IFERROR(__xludf.DUMMYFUNCTION("""COMPUTED_VALUE"""),148.5)</f>
        <v>148.5</v>
      </c>
      <c r="I573" s="7">
        <f>IFERROR(__xludf.DUMMYFUNCTION("""COMPUTED_VALUE"""),10.5)</f>
        <v>10.5</v>
      </c>
      <c r="J573" s="6">
        <f>IFERROR(__xludf.DUMMYFUNCTION("""COMPUTED_VALUE"""),178.2)</f>
        <v>178.2</v>
      </c>
      <c r="K573" s="6">
        <f>IFERROR(__xludf.DUMMYFUNCTION("""COMPUTED_VALUE"""),207.9)</f>
        <v>207.9</v>
      </c>
      <c r="L573" s="3"/>
      <c r="M573" s="3"/>
    </row>
    <row r="574" ht="48.0" customHeight="1">
      <c r="A574" s="3" t="str">
        <f>IFERROR(__xludf.DUMMYFUNCTION("""COMPUTED_VALUE"""),"NTCABLE")</f>
        <v>NTCABLE</v>
      </c>
      <c r="B574" s="4" t="str">
        <f>IFERROR(__xludf.DUMMYFUNCTION("""COMPUTED_VALUE"""),"CABLE DE PROGRAMACIÓN COMUNICADOR NETIO")</f>
        <v>CABLE DE PROGRAMACIÓN COMUNICADOR NETIO</v>
      </c>
      <c r="C574" s="4" t="str">
        <f>IFERROR(__xludf.DUMMYFUNCTION("""COMPUTED_VALUE"""),"Cable de Programación Comunicador Netio")</f>
        <v>Cable de Programación Comunicador Netio</v>
      </c>
      <c r="D574" s="4" t="str">
        <f>IFERROR(__xludf.DUMMYFUNCTION("""COMPUTED_VALUE"""),"NETIO")</f>
        <v>NETIO</v>
      </c>
      <c r="E574" s="4" t="str">
        <f>IFERROR(__xludf.DUMMYFUNCTION("""COMPUTED_VALUE"""),"NTCABLE")</f>
        <v>NTCABLE</v>
      </c>
      <c r="F574" s="4" t="str">
        <f>IFERROR(__xludf.DUMMYFUNCTION("""COMPUTED_VALUE"""),"MONITOREO &gt; COMUNICADORES GPRS / WIFI /ETHERNET")</f>
        <v>MONITOREO &gt; COMUNICADORES GPRS / WIFI /ETHERNET</v>
      </c>
      <c r="G574" s="5"/>
      <c r="H574" s="6">
        <f>IFERROR(__xludf.DUMMYFUNCTION("""COMPUTED_VALUE"""),31.9)</f>
        <v>31.9</v>
      </c>
      <c r="I574" s="7">
        <f>IFERROR(__xludf.DUMMYFUNCTION("""COMPUTED_VALUE"""),21.0)</f>
        <v>21</v>
      </c>
      <c r="J574" s="6">
        <f>IFERROR(__xludf.DUMMYFUNCTION("""COMPUTED_VALUE"""),38.28)</f>
        <v>38.28</v>
      </c>
      <c r="K574" s="6">
        <f>IFERROR(__xludf.DUMMYFUNCTION("""COMPUTED_VALUE"""),44.66)</f>
        <v>44.66</v>
      </c>
      <c r="L574" s="3"/>
      <c r="M574" s="3"/>
    </row>
    <row r="575" ht="48.0" customHeight="1">
      <c r="A575" s="3" t="str">
        <f>IFERROR(__xludf.DUMMYFUNCTION("""COMPUTED_VALUE"""),"ANTENA")</f>
        <v>ANTENA</v>
      </c>
      <c r="B575" s="4" t="str">
        <f>IFERROR(__xludf.DUMMYFUNCTION("""COMPUTED_VALUE"""),"ANTENA CUATRIBANDA GPRS")</f>
        <v>ANTENA CUATRIBANDA GPRS</v>
      </c>
      <c r="C575" s="4" t="str">
        <f>IFERROR(__xludf.DUMMYFUNCTION("""COMPUTED_VALUE"""),"Antena cuatribanda GPRS")</f>
        <v>Antena cuatribanda GPRS</v>
      </c>
      <c r="D575" s="4" t="str">
        <f>IFERROR(__xludf.DUMMYFUNCTION("""COMPUTED_VALUE"""),"GENERICO")</f>
        <v>GENERICO</v>
      </c>
      <c r="E575" s="4" t="str">
        <f>IFERROR(__xludf.DUMMYFUNCTION("""COMPUTED_VALUE"""),"ANTENA")</f>
        <v>ANTENA</v>
      </c>
      <c r="F575" s="4" t="str">
        <f>IFERROR(__xludf.DUMMYFUNCTION("""COMPUTED_VALUE"""),"MONITOREO &gt; COMUNICADORES GPRS / WIFI /ETHERNET")</f>
        <v>MONITOREO &gt; COMUNICADORES GPRS / WIFI /ETHERNET</v>
      </c>
      <c r="G575" s="5"/>
      <c r="H575" s="6">
        <f>IFERROR(__xludf.DUMMYFUNCTION("""COMPUTED_VALUE"""),7.7)</f>
        <v>7.7</v>
      </c>
      <c r="I575" s="7">
        <f>IFERROR(__xludf.DUMMYFUNCTION("""COMPUTED_VALUE"""),21.0)</f>
        <v>21</v>
      </c>
      <c r="J575" s="6">
        <f>IFERROR(__xludf.DUMMYFUNCTION("""COMPUTED_VALUE"""),9.24)</f>
        <v>9.24</v>
      </c>
      <c r="K575" s="6">
        <f>IFERROR(__xludf.DUMMYFUNCTION("""COMPUTED_VALUE"""),10.78)</f>
        <v>10.78</v>
      </c>
      <c r="L575" s="3"/>
      <c r="M575" s="3"/>
    </row>
    <row r="576" ht="48.0" customHeight="1">
      <c r="A576" s="3" t="str">
        <f>IFERROR(__xludf.DUMMYFUNCTION("""COMPUTED_VALUE"""),"ATS100A")</f>
        <v>ATS100A</v>
      </c>
      <c r="B576" s="4" t="str">
        <f>IFERROR(__xludf.DUMMYFUNCTION("""COMPUTED_VALUE"""),"TRANSMISOR DE 8 ENTRADAS DE ALARMA SINTETIZADA VHF (155174MHZ)")</f>
        <v>TRANSMISOR DE 8 ENTRADAS DE ALARMA SINTETIZADA VHF (155174MHZ)</v>
      </c>
      <c r="C576" s="4" t="str">
        <f>IFERROR(__xludf.DUMMYFUNCTION("""COMPUTED_VALUE"""),"Transmisor de 8 entradas de alarma sintetizada VHF (155174MHz) Incluye antena")</f>
        <v>Transmisor de 8 entradas de alarma sintetizada VHF (155174MHz) Incluye antena</v>
      </c>
      <c r="D576" s="4" t="str">
        <f>IFERROR(__xludf.DUMMYFUNCTION("""COMPUTED_VALUE"""),"KP")</f>
        <v>KP</v>
      </c>
      <c r="E576" s="4" t="str">
        <f>IFERROR(__xludf.DUMMYFUNCTION("""COMPUTED_VALUE"""),"ATS100A")</f>
        <v>ATS100A</v>
      </c>
      <c r="F576" s="4" t="str">
        <f>IFERROR(__xludf.DUMMYFUNCTION("""COMPUTED_VALUE"""),"MONITOREO &gt; TRANSMISORES PARA MONITOREO INALÁMBRICO")</f>
        <v>MONITOREO &gt; TRANSMISORES PARA MONITOREO INALÁMBRICO</v>
      </c>
      <c r="G576" s="5"/>
      <c r="H576" s="6">
        <f>IFERROR(__xludf.DUMMYFUNCTION("""COMPUTED_VALUE"""),187.0)</f>
        <v>187</v>
      </c>
      <c r="I576" s="7">
        <f>IFERROR(__xludf.DUMMYFUNCTION("""COMPUTED_VALUE"""),10.5)</f>
        <v>10.5</v>
      </c>
      <c r="J576" s="6">
        <f>IFERROR(__xludf.DUMMYFUNCTION("""COMPUTED_VALUE"""),224.4)</f>
        <v>224.4</v>
      </c>
      <c r="K576" s="6">
        <f>IFERROR(__xludf.DUMMYFUNCTION("""COMPUTED_VALUE"""),261.8)</f>
        <v>261.8</v>
      </c>
      <c r="L576" s="3"/>
      <c r="M576" s="3"/>
    </row>
    <row r="577" ht="48.0" customHeight="1">
      <c r="A577" s="3" t="str">
        <f>IFERROR(__xludf.DUMMYFUNCTION("""COMPUTED_VALUE"""),"ATSU100MA")</f>
        <v>ATSU100MA</v>
      </c>
      <c r="B577" s="4" t="str">
        <f>IFERROR(__xludf.DUMMYFUNCTION("""COMPUTED_VALUE"""),"TRANSMISOR DE 8 ENTRADAS DE ALARMA SINTETIZADA UHF (450469")</f>
        <v>TRANSMISOR DE 8 ENTRADAS DE ALARMA SINTETIZADA UHF (450469</v>
      </c>
      <c r="C577" s="4" t="str">
        <f>IFERROR(__xludf.DUMMYFUNCTION("""COMPUTED_VALUE"""),"Transmisor de 8 entradas de alarma sintetizada UHF (450469.9875MHz) Antena")</f>
        <v>Transmisor de 8 entradas de alarma sintetizada UHF (450469.9875MHz) Antena</v>
      </c>
      <c r="D577" s="4" t="str">
        <f>IFERROR(__xludf.DUMMYFUNCTION("""COMPUTED_VALUE"""),"KP")</f>
        <v>KP</v>
      </c>
      <c r="E577" s="4" t="str">
        <f>IFERROR(__xludf.DUMMYFUNCTION("""COMPUTED_VALUE"""),"ATSU100MA")</f>
        <v>ATSU100MA</v>
      </c>
      <c r="F577" s="4" t="str">
        <f>IFERROR(__xludf.DUMMYFUNCTION("""COMPUTED_VALUE"""),"MONITOREO &gt; TRANSMISORES PARA MONITOREO INALÁMBRICO")</f>
        <v>MONITOREO &gt; TRANSMISORES PARA MONITOREO INALÁMBRICO</v>
      </c>
      <c r="G577" s="5"/>
      <c r="H577" s="6">
        <f>IFERROR(__xludf.DUMMYFUNCTION("""COMPUTED_VALUE"""),187.0)</f>
        <v>187</v>
      </c>
      <c r="I577" s="7">
        <f>IFERROR(__xludf.DUMMYFUNCTION("""COMPUTED_VALUE"""),10.5)</f>
        <v>10.5</v>
      </c>
      <c r="J577" s="6">
        <f>IFERROR(__xludf.DUMMYFUNCTION("""COMPUTED_VALUE"""),224.4)</f>
        <v>224.4</v>
      </c>
      <c r="K577" s="6">
        <f>IFERROR(__xludf.DUMMYFUNCTION("""COMPUTED_VALUE"""),261.8)</f>
        <v>261.8</v>
      </c>
      <c r="L577" s="3"/>
      <c r="M577" s="3"/>
    </row>
    <row r="578" ht="48.0" customHeight="1">
      <c r="A578" s="3" t="str">
        <f>IFERROR(__xludf.DUMMYFUNCTION("""COMPUTED_VALUE"""),"DI100T")</f>
        <v>DI100T</v>
      </c>
      <c r="B578" s="4" t="str">
        <f>IFERROR(__xludf.DUMMYFUNCTION("""COMPUTED_VALUE"""),"INTERFACE FULLDATA TRANSFER (DTMF) CONTACTID")</f>
        <v>INTERFACE FULLDATA TRANSFER (DTMF) CONTACTID</v>
      </c>
      <c r="C578" s="4" t="str">
        <f>IFERROR(__xludf.DUMMYFUNCTION("""COMPUTED_VALUE"""),"Interface Fulldata Transfer (DTMF) ContactID")</f>
        <v>Interface Fulldata Transfer (DTMF) ContactID</v>
      </c>
      <c r="D578" s="4" t="str">
        <f>IFERROR(__xludf.DUMMYFUNCTION("""COMPUTED_VALUE"""),"KP")</f>
        <v>KP</v>
      </c>
      <c r="E578" s="4" t="str">
        <f>IFERROR(__xludf.DUMMYFUNCTION("""COMPUTED_VALUE"""),"DI100T")</f>
        <v>DI100T</v>
      </c>
      <c r="F578" s="4" t="str">
        <f>IFERROR(__xludf.DUMMYFUNCTION("""COMPUTED_VALUE"""),"MONITOREO &gt; TRANSMISORES PARA MONITOREO INALÁMBRICO")</f>
        <v>MONITOREO &gt; TRANSMISORES PARA MONITOREO INALÁMBRICO</v>
      </c>
      <c r="G578" s="5"/>
      <c r="H578" s="6">
        <f>IFERROR(__xludf.DUMMYFUNCTION("""COMPUTED_VALUE"""),20.9)</f>
        <v>20.9</v>
      </c>
      <c r="I578" s="7">
        <f>IFERROR(__xludf.DUMMYFUNCTION("""COMPUTED_VALUE"""),10.5)</f>
        <v>10.5</v>
      </c>
      <c r="J578" s="6">
        <f>IFERROR(__xludf.DUMMYFUNCTION("""COMPUTED_VALUE"""),25.08)</f>
        <v>25.08</v>
      </c>
      <c r="K578" s="6">
        <f>IFERROR(__xludf.DUMMYFUNCTION("""COMPUTED_VALUE"""),29.26)</f>
        <v>29.26</v>
      </c>
      <c r="L578" s="3"/>
      <c r="M578" s="3"/>
    </row>
    <row r="579" ht="48.0" customHeight="1">
      <c r="A579" s="3" t="str">
        <f>IFERROR(__xludf.DUMMYFUNCTION("""COMPUTED_VALUE"""),"EXPRECIUM2")</f>
        <v>EXPRECIUM2</v>
      </c>
      <c r="B579" s="4" t="str">
        <f>IFERROR(__xludf.DUMMYFUNCTION("""COMPUTED_VALUE"""),"PLACA RECEPTORA TELEFONICA PCI DE DOS LINEAS")</f>
        <v>PLACA RECEPTORA TELEFONICA PCI DE DOS LINEAS</v>
      </c>
      <c r="C579" s="4" t="str">
        <f>IFERROR(__xludf.DUMMYFUNCTION("""COMPUTED_VALUE"""),"Placa receptora telefonica PCI de dos lineas")</f>
        <v>Placa receptora telefonica PCI de dos lineas</v>
      </c>
      <c r="D579" s="4" t="str">
        <f>IFERROR(__xludf.DUMMYFUNCTION("""COMPUTED_VALUE"""),"MCDI")</f>
        <v>MCDI</v>
      </c>
      <c r="E579" s="4" t="str">
        <f>IFERROR(__xludf.DUMMYFUNCTION("""COMPUTED_VALUE"""),"EXPRECIUM2")</f>
        <v>EXPRECIUM2</v>
      </c>
      <c r="F579" s="4" t="str">
        <f>IFERROR(__xludf.DUMMYFUNCTION("""COMPUTED_VALUE"""),"MONITOREO &gt; RECEPTORES PARA MONITOREO INALÁMBRICO")</f>
        <v>MONITOREO &gt; RECEPTORES PARA MONITOREO INALÁMBRICO</v>
      </c>
      <c r="G579" s="5"/>
      <c r="H579" s="6">
        <f>IFERROR(__xludf.DUMMYFUNCTION("""COMPUTED_VALUE"""),1650.0)</f>
        <v>1650</v>
      </c>
      <c r="I579" s="7">
        <f>IFERROR(__xludf.DUMMYFUNCTION("""COMPUTED_VALUE"""),21.0)</f>
        <v>21</v>
      </c>
      <c r="J579" s="6">
        <f>IFERROR(__xludf.DUMMYFUNCTION("""COMPUTED_VALUE"""),1980.0)</f>
        <v>1980</v>
      </c>
      <c r="K579" s="6">
        <f>IFERROR(__xludf.DUMMYFUNCTION("""COMPUTED_VALUE"""),2310.0)</f>
        <v>2310</v>
      </c>
      <c r="L579" s="3"/>
      <c r="M579" s="3"/>
    </row>
    <row r="580" ht="48.0" customHeight="1">
      <c r="A580" s="3" t="str">
        <f>IFERROR(__xludf.DUMMYFUNCTION("""COMPUTED_VALUE"""),"SMR5000FBH")</f>
        <v>SMR5000FBH</v>
      </c>
      <c r="B580" s="4" t="str">
        <f>IFERROR(__xludf.DUMMYFUNCTION("""COMPUTED_VALUE"""),"REPETIDOR BANDA CON RADIO INCLUÍDA BSR100")</f>
        <v>REPETIDOR BANDA CON RADIO INCLUÍDA BSR100</v>
      </c>
      <c r="C580" s="4" t="str">
        <f>IFERROR(__xludf.DUMMYFUNCTION("""COMPUTED_VALUE"""),"Repetidor Banda con radio incluída BSR100")</f>
        <v>Repetidor Banda con radio incluída BSR100</v>
      </c>
      <c r="D580" s="4" t="str">
        <f>IFERROR(__xludf.DUMMYFUNCTION("""COMPUTED_VALUE"""),"KP")</f>
        <v>KP</v>
      </c>
      <c r="E580" s="4" t="str">
        <f>IFERROR(__xludf.DUMMYFUNCTION("""COMPUTED_VALUE"""),"SMR5000FBH")</f>
        <v>SMR5000FBH</v>
      </c>
      <c r="F580" s="4" t="str">
        <f>IFERROR(__xludf.DUMMYFUNCTION("""COMPUTED_VALUE"""),"MONITOREO &gt; RECEPTORES PARA MONITOREO INALÁMBRICO")</f>
        <v>MONITOREO &gt; RECEPTORES PARA MONITOREO INALÁMBRICO</v>
      </c>
      <c r="G580" s="5"/>
      <c r="H580" s="6">
        <f>IFERROR(__xludf.DUMMYFUNCTION("""COMPUTED_VALUE"""),4357.91)</f>
        <v>4357.91</v>
      </c>
      <c r="I580" s="7">
        <f>IFERROR(__xludf.DUMMYFUNCTION("""COMPUTED_VALUE"""),10.5)</f>
        <v>10.5</v>
      </c>
      <c r="J580" s="6">
        <f>IFERROR(__xludf.DUMMYFUNCTION("""COMPUTED_VALUE"""),5229.49)</f>
        <v>5229.49</v>
      </c>
      <c r="K580" s="6">
        <f>IFERROR(__xludf.DUMMYFUNCTION("""COMPUTED_VALUE"""),6101.07)</f>
        <v>6101.07</v>
      </c>
      <c r="L580" s="3"/>
      <c r="M580" s="3"/>
    </row>
    <row r="581" ht="48.0" customHeight="1">
      <c r="A581" s="3" t="str">
        <f>IFERROR(__xludf.DUMMYFUNCTION("""COMPUTED_VALUE"""),"RCI5000NR")</f>
        <v>RCI5000NR</v>
      </c>
      <c r="B581" s="4" t="str">
        <f>IFERROR(__xludf.DUMMYFUNCTION("""COMPUTED_VALUE"""),"BASE DE MONITOREO RADIAL UHF/VHF, 64000 USUARIOS")</f>
        <v>BASE DE MONITOREO RADIAL UHF/VHF, 64000 USUARIOS</v>
      </c>
      <c r="C581" s="4" t="str">
        <f>IFERROR(__xludf.DUMMYFUNCTION("""COMPUTED_VALUE"""),"Base de monitoreo Radial UHF/VHF, 64000 usuarios")</f>
        <v>Base de monitoreo Radial UHF/VHF, 64000 usuarios</v>
      </c>
      <c r="D581" s="4" t="str">
        <f>IFERROR(__xludf.DUMMYFUNCTION("""COMPUTED_VALUE"""),"KP")</f>
        <v>KP</v>
      </c>
      <c r="E581" s="4" t="str">
        <f>IFERROR(__xludf.DUMMYFUNCTION("""COMPUTED_VALUE"""),"RCI5000NR")</f>
        <v>RCI5000NR</v>
      </c>
      <c r="F581" s="4" t="str">
        <f>IFERROR(__xludf.DUMMYFUNCTION("""COMPUTED_VALUE"""),"MONITOREO &gt; RECEPTORES PARA MONITOREO INALÁMBRICO")</f>
        <v>MONITOREO &gt; RECEPTORES PARA MONITOREO INALÁMBRICO</v>
      </c>
      <c r="G581" s="5"/>
      <c r="H581" s="6">
        <f>IFERROR(__xludf.DUMMYFUNCTION("""COMPUTED_VALUE"""),3655.03)</f>
        <v>3655.03</v>
      </c>
      <c r="I581" s="7">
        <f>IFERROR(__xludf.DUMMYFUNCTION("""COMPUTED_VALUE"""),10.5)</f>
        <v>10.5</v>
      </c>
      <c r="J581" s="6">
        <f>IFERROR(__xludf.DUMMYFUNCTION("""COMPUTED_VALUE"""),4386.04)</f>
        <v>4386.04</v>
      </c>
      <c r="K581" s="6">
        <f>IFERROR(__xludf.DUMMYFUNCTION("""COMPUTED_VALUE"""),5117.04)</f>
        <v>5117.04</v>
      </c>
      <c r="L581" s="3"/>
      <c r="M581" s="3"/>
    </row>
    <row r="582" ht="48.0" customHeight="1">
      <c r="A582" s="3" t="str">
        <f>IFERROR(__xludf.DUMMYFUNCTION("""COMPUTED_VALUE"""),"FTU100A")</f>
        <v>FTU100A</v>
      </c>
      <c r="B582" s="4" t="str">
        <f>IFERROR(__xludf.DUMMYFUNCTION("""COMPUTED_VALUE"""),"PROGRAMADOR DE CAMPO 100 PARA ATS")</f>
        <v>PROGRAMADOR DE CAMPO 100 PARA ATS</v>
      </c>
      <c r="C582" s="4" t="str">
        <f>IFERROR(__xludf.DUMMYFUNCTION("""COMPUTED_VALUE"""),"Programador de campo 100 para ATS")</f>
        <v>Programador de campo 100 para ATS</v>
      </c>
      <c r="D582" s="4" t="str">
        <f>IFERROR(__xludf.DUMMYFUNCTION("""COMPUTED_VALUE"""),"KP")</f>
        <v>KP</v>
      </c>
      <c r="E582" s="4" t="str">
        <f>IFERROR(__xludf.DUMMYFUNCTION("""COMPUTED_VALUE"""),"FTU100A")</f>
        <v>FTU100A</v>
      </c>
      <c r="F582" s="4" t="str">
        <f>IFERROR(__xludf.DUMMYFUNCTION("""COMPUTED_VALUE"""),"MONITOREO &gt; RECEPTORES PARA MONITOREO INALÁMBRICO")</f>
        <v>MONITOREO &gt; RECEPTORES PARA MONITOREO INALÁMBRICO</v>
      </c>
      <c r="G582" s="5"/>
      <c r="H582" s="6">
        <f>IFERROR(__xludf.DUMMYFUNCTION("""COMPUTED_VALUE"""),41.25)</f>
        <v>41.25</v>
      </c>
      <c r="I582" s="7">
        <f>IFERROR(__xludf.DUMMYFUNCTION("""COMPUTED_VALUE"""),10.5)</f>
        <v>10.5</v>
      </c>
      <c r="J582" s="6">
        <f>IFERROR(__xludf.DUMMYFUNCTION("""COMPUTED_VALUE"""),49.5)</f>
        <v>49.5</v>
      </c>
      <c r="K582" s="6">
        <f>IFERROR(__xludf.DUMMYFUNCTION("""COMPUTED_VALUE"""),57.75)</f>
        <v>57.75</v>
      </c>
      <c r="L582" s="3"/>
      <c r="M582" s="3"/>
    </row>
    <row r="583" ht="48.0" customHeight="1">
      <c r="A583" s="3" t="str">
        <f>IFERROR(__xludf.DUMMYFUNCTION("""COMPUTED_VALUE"""),"RSINT001")</f>
        <v>RSINT001</v>
      </c>
      <c r="B583" s="4" t="str">
        <f>IFERROR(__xludf.DUMMYFUNCTION("""COMPUTED_VALUE"""),"ADAPTADOR DE PROGRAMACIÓN PARA SOFTWARE GUP5000")</f>
        <v>ADAPTADOR DE PROGRAMACIÓN PARA SOFTWARE GUP5000</v>
      </c>
      <c r="C583" s="4" t="str">
        <f>IFERROR(__xludf.DUMMYFUNCTION("""COMPUTED_VALUE"""),"Adaptador de programación para software GUP5000")</f>
        <v>Adaptador de programación para software GUP5000</v>
      </c>
      <c r="D583" s="4" t="str">
        <f>IFERROR(__xludf.DUMMYFUNCTION("""COMPUTED_VALUE"""),"KP")</f>
        <v>KP</v>
      </c>
      <c r="E583" s="4" t="str">
        <f>IFERROR(__xludf.DUMMYFUNCTION("""COMPUTED_VALUE"""),"RSINT001")</f>
        <v>RSINT001</v>
      </c>
      <c r="F583" s="4" t="str">
        <f>IFERROR(__xludf.DUMMYFUNCTION("""COMPUTED_VALUE"""),"MONITOREO &gt; RECEPTORES PARA MONITOREO INALÁMBRICO")</f>
        <v>MONITOREO &gt; RECEPTORES PARA MONITOREO INALÁMBRICO</v>
      </c>
      <c r="G583" s="5"/>
      <c r="H583" s="6">
        <f>IFERROR(__xludf.DUMMYFUNCTION("""COMPUTED_VALUE"""),285.66)</f>
        <v>285.66</v>
      </c>
      <c r="I583" s="7">
        <f>IFERROR(__xludf.DUMMYFUNCTION("""COMPUTED_VALUE"""),21.0)</f>
        <v>21</v>
      </c>
      <c r="J583" s="6">
        <f>IFERROR(__xludf.DUMMYFUNCTION("""COMPUTED_VALUE"""),342.79)</f>
        <v>342.79</v>
      </c>
      <c r="K583" s="6">
        <f>IFERROR(__xludf.DUMMYFUNCTION("""COMPUTED_VALUE"""),399.92)</f>
        <v>399.92</v>
      </c>
      <c r="L583" s="3"/>
      <c r="M583" s="3"/>
    </row>
    <row r="584" ht="48.0" customHeight="1">
      <c r="A584" s="3" t="str">
        <f>IFERROR(__xludf.DUMMYFUNCTION("""COMPUTED_VALUE"""),"BSR100M")</f>
        <v>BSR100M</v>
      </c>
      <c r="B584" s="4" t="str">
        <f>IFERROR(__xludf.DUMMYFUNCTION("""COMPUTED_VALUE"""),"RADIO EXTERNA VHF / UHF PARA BASE DTRCI5000, RCI5000,")</f>
        <v>RADIO EXTERNA VHF / UHF PARA BASE DTRCI5000, RCI5000,</v>
      </c>
      <c r="C584" s="4" t="str">
        <f>IFERROR(__xludf.DUMMYFUNCTION("""COMPUTED_VALUE"""),"Radio externa VHF / UHF para base DTRCI5000, RCI5000, RCI5000 y SMR5000")</f>
        <v>Radio externa VHF / UHF para base DTRCI5000, RCI5000, RCI5000 y SMR5000</v>
      </c>
      <c r="D584" s="4" t="str">
        <f>IFERROR(__xludf.DUMMYFUNCTION("""COMPUTED_VALUE"""),"KP")</f>
        <v>KP</v>
      </c>
      <c r="E584" s="4" t="str">
        <f>IFERROR(__xludf.DUMMYFUNCTION("""COMPUTED_VALUE"""),"BSR100M")</f>
        <v>BSR100M</v>
      </c>
      <c r="F584" s="4" t="str">
        <f>IFERROR(__xludf.DUMMYFUNCTION("""COMPUTED_VALUE"""),"MONITOREO &gt; RECEPTORES PARA MONITOREO INALÁMBRICO")</f>
        <v>MONITOREO &gt; RECEPTORES PARA MONITOREO INALÁMBRICO</v>
      </c>
      <c r="G584" s="5"/>
      <c r="H584" s="6">
        <f>IFERROR(__xludf.DUMMYFUNCTION("""COMPUTED_VALUE"""),930.57)</f>
        <v>930.57</v>
      </c>
      <c r="I584" s="7">
        <f>IFERROR(__xludf.DUMMYFUNCTION("""COMPUTED_VALUE"""),10.5)</f>
        <v>10.5</v>
      </c>
      <c r="J584" s="6">
        <f>IFERROR(__xludf.DUMMYFUNCTION("""COMPUTED_VALUE"""),1116.68)</f>
        <v>1116.68</v>
      </c>
      <c r="K584" s="6">
        <f>IFERROR(__xludf.DUMMYFUNCTION("""COMPUTED_VALUE"""),1302.8)</f>
        <v>1302.8</v>
      </c>
      <c r="L584" s="3"/>
      <c r="M584" s="3"/>
    </row>
    <row r="585" ht="48.0" customHeight="1">
      <c r="A585" s="3" t="str">
        <f>IFERROR(__xludf.DUMMYFUNCTION("""COMPUTED_VALUE"""),"DSK2802")</f>
        <v>DSK2802</v>
      </c>
      <c r="B585" s="4" t="str">
        <f>IFERROR(__xludf.DUMMYFUNCTION("""COMPUTED_VALUE"""),"PANEL DE CONTROL DE ACCESOS DE 2 PUERTAS, ALMACENAMIENTO")</f>
        <v>PANEL DE CONTROL DE ACCESOS DE 2 PUERTAS, ALMACENAMIENTO</v>
      </c>
      <c r="C585" s="4" t="str">
        <f>IFERROR(__xludf.DUMMYFUNCTION("""COMPUTED_VALUE"""),"Panel de control de accesos de 2 puertas, almacenamiento de hasta 10,000 tarjetas y 50,000 eventos. Conexión TCP/IP. Soporta 4 lectores Wiegand. Entrada de alarmas, 2 para sensores de estado de puertas, dos entradas de pulsador rex, 2 entrada de alarmas. "&amp;"4 Salidas de rele, dos para cerraduras y 2 para alarmas")</f>
        <v>Panel de control de accesos de 2 puertas, almacenamiento de hasta 10,000 tarjetas y 50,000 eventos. Conexión TCP/IP. Soporta 4 lectores Wiegand. Entrada de alarmas, 2 para sensores de estado de puertas, dos entradas de pulsador rex, 2 entrada de alarmas. 4 Salidas de rele, dos para cerraduras y 2 para alarmas</v>
      </c>
      <c r="D585" s="4" t="str">
        <f>IFERROR(__xludf.DUMMYFUNCTION("""COMPUTED_VALUE"""),"HIKVISION")</f>
        <v>HIKVISION</v>
      </c>
      <c r="E585" s="4" t="str">
        <f>IFERROR(__xludf.DUMMYFUNCTION("""COMPUTED_VALUE"""),"DSK2802")</f>
        <v>DSK2802</v>
      </c>
      <c r="F585" s="4" t="str">
        <f>IFERROR(__xludf.DUMMYFUNCTION("""COMPUTED_VALUE"""),"CONTROL DE ACCESO &gt; CONTROL DE ACCESOS HIKVISION CONTROLADORAS Y LECTORAS")</f>
        <v>CONTROL DE ACCESO &gt; CONTROL DE ACCESOS HIKVISION CONTROLADORAS Y LECTORAS</v>
      </c>
      <c r="G585" s="5"/>
      <c r="H585" s="6">
        <f>IFERROR(__xludf.DUMMYFUNCTION("""COMPUTED_VALUE"""),165.0)</f>
        <v>165</v>
      </c>
      <c r="I585" s="7">
        <f>IFERROR(__xludf.DUMMYFUNCTION("""COMPUTED_VALUE"""),21.0)</f>
        <v>21</v>
      </c>
      <c r="J585" s="6">
        <f>IFERROR(__xludf.DUMMYFUNCTION("""COMPUTED_VALUE"""),198.0)</f>
        <v>198</v>
      </c>
      <c r="K585" s="6">
        <f>IFERROR(__xludf.DUMMYFUNCTION("""COMPUTED_VALUE"""),231.0)</f>
        <v>231</v>
      </c>
      <c r="L585" s="3"/>
      <c r="M585" s="3"/>
    </row>
    <row r="586" ht="48.0" customHeight="1">
      <c r="A586" s="3" t="str">
        <f>IFERROR(__xludf.DUMMYFUNCTION("""COMPUTED_VALUE"""),"DSK2804")</f>
        <v>DSK2804</v>
      </c>
      <c r="B586" s="4" t="str">
        <f>IFERROR(__xludf.DUMMYFUNCTION("""COMPUTED_VALUE"""),"PANEL DE CONTROL DE ACCESOS DE 4 PUERTAS, ALMACENAMIENTO")</f>
        <v>PANEL DE CONTROL DE ACCESOS DE 4 PUERTAS, ALMACENAMIENTO</v>
      </c>
      <c r="C586" s="4" t="str">
        <f>IFERROR(__xludf.DUMMYFUNCTION("""COMPUTED_VALUE"""),"Panel de control de accesos de 4 puertas, almacenamiento de hasta 10,000 tarjetas y 50,000 eventos. Conexión TCP/IP. Soporta 4 lectores Wiegand. Entrada de alarmas, 4 para sensores de estado de puertas, 4 entradas de pulsador rex y 4 entrada de alarmas. 8"&amp;" Salidas de rele, 4 para cerraduras y 4 para alarmas")</f>
        <v>Panel de control de accesos de 4 puertas, almacenamiento de hasta 10,000 tarjetas y 50,000 eventos. Conexión TCP/IP. Soporta 4 lectores Wiegand. Entrada de alarmas, 4 para sensores de estado de puertas, 4 entradas de pulsador rex y 4 entrada de alarmas. 8 Salidas de rele, 4 para cerraduras y 4 para alarmas</v>
      </c>
      <c r="D586" s="4" t="str">
        <f>IFERROR(__xludf.DUMMYFUNCTION("""COMPUTED_VALUE"""),"HIKVISION")</f>
        <v>HIKVISION</v>
      </c>
      <c r="E586" s="4" t="str">
        <f>IFERROR(__xludf.DUMMYFUNCTION("""COMPUTED_VALUE"""),"DSK2804")</f>
        <v>DSK2804</v>
      </c>
      <c r="F586" s="4" t="str">
        <f>IFERROR(__xludf.DUMMYFUNCTION("""COMPUTED_VALUE"""),"CONTROL DE ACCESO &gt; CONTROL DE ACCESOS HIKVISION CONTROLADORAS Y LECTORAS")</f>
        <v>CONTROL DE ACCESO &gt; CONTROL DE ACCESOS HIKVISION CONTROLADORAS Y LECTORAS</v>
      </c>
      <c r="G586" s="5"/>
      <c r="H586" s="6">
        <f>IFERROR(__xludf.DUMMYFUNCTION("""COMPUTED_VALUE"""),176.0)</f>
        <v>176</v>
      </c>
      <c r="I586" s="7">
        <f>IFERROR(__xludf.DUMMYFUNCTION("""COMPUTED_VALUE"""),21.0)</f>
        <v>21</v>
      </c>
      <c r="J586" s="6">
        <f>IFERROR(__xludf.DUMMYFUNCTION("""COMPUTED_VALUE"""),211.2)</f>
        <v>211.2</v>
      </c>
      <c r="K586" s="6">
        <f>IFERROR(__xludf.DUMMYFUNCTION("""COMPUTED_VALUE"""),246.4)</f>
        <v>246.4</v>
      </c>
      <c r="L586" s="3"/>
      <c r="M586" s="3"/>
    </row>
    <row r="587" ht="48.0" customHeight="1">
      <c r="A587" s="3" t="str">
        <f>IFERROR(__xludf.DUMMYFUNCTION("""COMPUTED_VALUE"""),"DSK2602")</f>
        <v>DSK2602</v>
      </c>
      <c r="B587" s="4" t="str">
        <f>IFERROR(__xludf.DUMMYFUNCTION("""COMPUTED_VALUE"""),"PANEL DE CONTROL DE ACCESOS DE 2 PUERTAS, ALMACENAMIENTO")</f>
        <v>PANEL DE CONTROL DE ACCESOS DE 2 PUERTAS, ALMACENAMIENTO</v>
      </c>
      <c r="C587" s="4" t="str">
        <f>IFERROR(__xludf.DUMMYFUNCTION("""COMPUTED_VALUE"""),"Panel de control de accesos de 2 puertas, almacenamiento de hasta 100,000 tarjetas y 300,000 eventos. Conexión TCP/IP y RS-485. Soporta 4 lectores Wiegand o 4 lectores RS485. Entrada de 4 alarmas, 2 para sensores de estado de puertas, dos entradas de puls"&amp;"ador rex, entrada de sabotaje. 4 Salidas de rele, dos para cerraduras y 2 para alarmas")</f>
        <v>Panel de control de accesos de 2 puertas, almacenamiento de hasta 100,000 tarjetas y 300,000 eventos. Conexión TCP/IP y RS-485. Soporta 4 lectores Wiegand o 4 lectores RS485. Entrada de 4 alarmas, 2 para sensores de estado de puertas, dos entradas de pulsador rex, entrada de sabotaje. 4 Salidas de rele, dos para cerraduras y 2 para alarmas</v>
      </c>
      <c r="D587" s="4" t="str">
        <f>IFERROR(__xludf.DUMMYFUNCTION("""COMPUTED_VALUE"""),"HIKVISION")</f>
        <v>HIKVISION</v>
      </c>
      <c r="E587" s="4" t="str">
        <f>IFERROR(__xludf.DUMMYFUNCTION("""COMPUTED_VALUE"""),"DSK2602")</f>
        <v>DSK2602</v>
      </c>
      <c r="F587" s="4" t="str">
        <f>IFERROR(__xludf.DUMMYFUNCTION("""COMPUTED_VALUE"""),"CONTROL DE ACCESO &gt; CONTROL DE ACCESOS HIKVISION CONTROLADORAS Y LECTORAS")</f>
        <v>CONTROL DE ACCESO &gt; CONTROL DE ACCESOS HIKVISION CONTROLADORAS Y LECTORAS</v>
      </c>
      <c r="G587" s="5"/>
      <c r="H587" s="6">
        <f>IFERROR(__xludf.DUMMYFUNCTION("""COMPUTED_VALUE"""),325.6)</f>
        <v>325.6</v>
      </c>
      <c r="I587" s="7">
        <f>IFERROR(__xludf.DUMMYFUNCTION("""COMPUTED_VALUE"""),21.0)</f>
        <v>21</v>
      </c>
      <c r="J587" s="6">
        <f>IFERROR(__xludf.DUMMYFUNCTION("""COMPUTED_VALUE"""),390.72)</f>
        <v>390.72</v>
      </c>
      <c r="K587" s="6">
        <f>IFERROR(__xludf.DUMMYFUNCTION("""COMPUTED_VALUE"""),455.84)</f>
        <v>455.84</v>
      </c>
      <c r="L587" s="3"/>
      <c r="M587" s="3"/>
    </row>
    <row r="588" ht="48.0" customHeight="1">
      <c r="A588" s="3" t="str">
        <f>IFERROR(__xludf.DUMMYFUNCTION("""COMPUTED_VALUE"""),"DS-K2604T")</f>
        <v>DS-K2604T</v>
      </c>
      <c r="B588" s="4" t="str">
        <f>IFERROR(__xludf.DUMMYFUNCTION("""COMPUTED_VALUE"""),"PANEL DE CONTROL DE ACCESOS DE 4 PUERTAS, ALMACENAMIENTO")</f>
        <v>PANEL DE CONTROL DE ACCESOS DE 4 PUERTAS, ALMACENAMIENTO</v>
      </c>
      <c r="C588" s="4" t="str">
        <f>IFERROR(__xludf.DUMMYFUNCTION("""COMPUTED_VALUE"""),"Panel de control de accesos de 4 puertas, almacenamiento de hasta 100,000 tarjetas y 300,000 eventos. Conexión TCP/IP y RS-485. Soporta 4 lectores Wiegand o 8 lectores RS485. Entrada de alarmas, 4 para sensores de estado de puertas, 4 entradas de pulsador"&amp;" rex, entrada de sabotaje. 8 Salidas de rele, 4 para cerraduras y 4 para alarmas.")</f>
        <v>Panel de control de accesos de 4 puertas, almacenamiento de hasta 100,000 tarjetas y 300,000 eventos. Conexión TCP/IP y RS-485. Soporta 4 lectores Wiegand o 8 lectores RS485. Entrada de alarmas, 4 para sensores de estado de puertas, 4 entradas de pulsador rex, entrada de sabotaje. 8 Salidas de rele, 4 para cerraduras y 4 para alarmas.</v>
      </c>
      <c r="D588" s="4" t="str">
        <f>IFERROR(__xludf.DUMMYFUNCTION("""COMPUTED_VALUE"""),"HIKVISION")</f>
        <v>HIKVISION</v>
      </c>
      <c r="E588" s="4" t="str">
        <f>IFERROR(__xludf.DUMMYFUNCTION("""COMPUTED_VALUE"""),"DS-K2604T")</f>
        <v>DS-K2604T</v>
      </c>
      <c r="F588" s="4" t="str">
        <f>IFERROR(__xludf.DUMMYFUNCTION("""COMPUTED_VALUE"""),"CONTROL DE ACCESO &gt; CONTROL DE ACCESOS HIKVISION CONTROLADORAS Y LECTORAS")</f>
        <v>CONTROL DE ACCESO &gt; CONTROL DE ACCESOS HIKVISION CONTROLADORAS Y LECTORAS</v>
      </c>
      <c r="G588" s="5"/>
      <c r="H588" s="6">
        <f>IFERROR(__xludf.DUMMYFUNCTION("""COMPUTED_VALUE"""),405.9)</f>
        <v>405.9</v>
      </c>
      <c r="I588" s="7">
        <f>IFERROR(__xludf.DUMMYFUNCTION("""COMPUTED_VALUE"""),21.0)</f>
        <v>21</v>
      </c>
      <c r="J588" s="6">
        <f>IFERROR(__xludf.DUMMYFUNCTION("""COMPUTED_VALUE"""),487.08)</f>
        <v>487.08</v>
      </c>
      <c r="K588" s="6">
        <f>IFERROR(__xludf.DUMMYFUNCTION("""COMPUTED_VALUE"""),568.26)</f>
        <v>568.26</v>
      </c>
      <c r="L588" s="3"/>
      <c r="M588" s="3"/>
    </row>
    <row r="589" ht="48.0" customHeight="1">
      <c r="A589" s="3" t="str">
        <f>IFERROR(__xludf.DUMMYFUNCTION("""COMPUTED_VALUE"""),"KITFUENTEACCEOS8")</f>
        <v>KITFUENTEACCEOS8</v>
      </c>
      <c r="B589" s="4" t="str">
        <f>IFERROR(__xludf.DUMMYFUNCTION("""COMPUTED_VALUE"""),"KIT COMPUESTO POR GABINETE METALICO GABCENM Y FUENTE DE")</f>
        <v>KIT COMPUESTO POR GABINETE METALICO GABCENM Y FUENTE DE</v>
      </c>
      <c r="C589" s="4" t="str">
        <f>IFERROR(__xludf.DUMMYFUNCTION("""COMPUTED_VALUE"""),"Kit compuesto por gabinete metalico GABCENM y fuente de alimentacion SWUPS128 con cargador de bateria 8A para controladoras serie DSK2602/04 y DSK2802/2804 y bateria 12V 7A")</f>
        <v>Kit compuesto por gabinete metalico GABCENM y fuente de alimentacion SWUPS128 con cargador de bateria 8A para controladoras serie DSK2602/04 y DSK2802/2804 y bateria 12V 7A</v>
      </c>
      <c r="D589" s="4" t="str">
        <f>IFERROR(__xludf.DUMMYFUNCTION("""COMPUTED_VALUE"""),"GENERICO")</f>
        <v>GENERICO</v>
      </c>
      <c r="E589" s="4" t="str">
        <f>IFERROR(__xludf.DUMMYFUNCTION("""COMPUTED_VALUE"""),"KITFUENTEACCEOS8")</f>
        <v>KITFUENTEACCEOS8</v>
      </c>
      <c r="F589" s="4" t="str">
        <f>IFERROR(__xludf.DUMMYFUNCTION("""COMPUTED_VALUE"""),"CONTROL DE ACCESO &gt; CONTROL DE ACCESOS HIKVISION CONTROLADORAS Y LECTORAS")</f>
        <v>CONTROL DE ACCESO &gt; CONTROL DE ACCESOS HIKVISION CONTROLADORAS Y LECTORAS</v>
      </c>
      <c r="G589" s="5"/>
      <c r="H589" s="6">
        <f>IFERROR(__xludf.DUMMYFUNCTION("""COMPUTED_VALUE"""),82.43)</f>
        <v>82.43</v>
      </c>
      <c r="I589" s="7">
        <f>IFERROR(__xludf.DUMMYFUNCTION("""COMPUTED_VALUE"""),21.0)</f>
        <v>21</v>
      </c>
      <c r="J589" s="6">
        <f>IFERROR(__xludf.DUMMYFUNCTION("""COMPUTED_VALUE"""),98.92)</f>
        <v>98.92</v>
      </c>
      <c r="K589" s="6">
        <f>IFERROR(__xludf.DUMMYFUNCTION("""COMPUTED_VALUE"""),115.4)</f>
        <v>115.4</v>
      </c>
      <c r="L589" s="3"/>
      <c r="M589" s="3"/>
    </row>
    <row r="590" ht="48.0" customHeight="1">
      <c r="A590" s="3" t="str">
        <f>IFERROR(__xludf.DUMMYFUNCTION("""COMPUTED_VALUE"""),"DS-K2604T-MB")</f>
        <v>DS-K2604T-MB</v>
      </c>
      <c r="B590" s="4" t="str">
        <f>IFERROR(__xludf.DUMMYFUNCTION("""COMPUTED_VALUE"""),"ACCESS CONTROLLER MAIN BOARD FOUR-DOOR ACCESS CONTROLLER, STORAGE WITH")</f>
        <v>ACCESS CONTROLLER MAIN BOARD FOUR-DOOR ACCESS CONTROLLER, STORAGE WITH</v>
      </c>
      <c r="C590" s="4" t="str">
        <f>IFERROR(__xludf.DUMMYFUNCTION("""COMPUTED_VALUE"""),"Access controller main board Four-door Access Controller, Storage with 100,000 cards and 300,000 access control events. Uplink Communication: TCP/IP、ISUP5.0 and RS-485; ISAPI、OSDP Accessible Card Reader: 4 Wiegand readers or 8 RS485 readers; Input interfa"&amp;"ce: 4 alarm input, Door Sensor×4, Door Switch×4, Case Input×8, Fire Alarm Linkage×1, Tamper-proof×1; Output interface: Door Switch Relay×4, Alarm Relay×4.")</f>
        <v>Access controller main board Four-door Access Controller, Storage with 100,000 cards and 300,000 access control events. Uplink Communication: TCP/IP、ISUP5.0 and RS-485; ISAPI、OSDP Accessible Card Reader: 4 Wiegand readers or 8 RS485 readers; Input interface: 4 alarm input, Door Sensor×4, Door Switch×4, Case Input×8, Fire Alarm Linkage×1, Tamper-proof×1; Output interface: Door Switch Relay×4, Alarm Relay×4.</v>
      </c>
      <c r="D590" s="4" t="str">
        <f>IFERROR(__xludf.DUMMYFUNCTION("""COMPUTED_VALUE"""),"HIKVISION")</f>
        <v>HIKVISION</v>
      </c>
      <c r="E590" s="4" t="str">
        <f>IFERROR(__xludf.DUMMYFUNCTION("""COMPUTED_VALUE"""),"DS-K2604T-MB")</f>
        <v>DS-K2604T-MB</v>
      </c>
      <c r="F590" s="4" t="str">
        <f>IFERROR(__xludf.DUMMYFUNCTION("""COMPUTED_VALUE"""),"CONECTIVIDAD &gt; SWITCH")</f>
        <v>CONECTIVIDAD &gt; SWITCH</v>
      </c>
      <c r="G590" s="5"/>
      <c r="H590" s="6">
        <f>IFERROR(__xludf.DUMMYFUNCTION("""COMPUTED_VALUE"""),205.7)</f>
        <v>205.7</v>
      </c>
      <c r="I590" s="7">
        <f>IFERROR(__xludf.DUMMYFUNCTION("""COMPUTED_VALUE"""),21.0)</f>
        <v>21</v>
      </c>
      <c r="J590" s="6">
        <f>IFERROR(__xludf.DUMMYFUNCTION("""COMPUTED_VALUE"""),246.84)</f>
        <v>246.84</v>
      </c>
      <c r="K590" s="6">
        <f>IFERROR(__xludf.DUMMYFUNCTION("""COMPUTED_VALUE"""),287.98)</f>
        <v>287.98</v>
      </c>
      <c r="L590" s="3"/>
      <c r="M590" s="3"/>
    </row>
    <row r="591" ht="48.0" customHeight="1">
      <c r="A591" s="3" t="str">
        <f>IFERROR(__xludf.DUMMYFUNCTION("""COMPUTED_VALUE"""),"DS-K2602T-MB")</f>
        <v>DS-K2602T-MB</v>
      </c>
      <c r="B591" s="4" t="str">
        <f>IFERROR(__xludf.DUMMYFUNCTION("""COMPUTED_VALUE"""),"ACCESS CONTROLLER MAIN BOARD DOUBLE-DOOR ACCESS CONTROLLER, STORAGE WI")</f>
        <v>ACCESS CONTROLLER MAIN BOARD DOUBLE-DOOR ACCESS CONTROLLER, STORAGE WI</v>
      </c>
      <c r="C591" s="4" t="str">
        <f>IFERROR(__xludf.DUMMYFUNCTION("""COMPUTED_VALUE"""),"Access controller main board Double-door Access Controller, Storage with 100,000 cards and 300,000 access control events. Uplink Communication: TCP/IP 、ISUP5.0 and RS-485; ISAPI、OSDP Accessible Card Reader: 4 Wiegand readers or 4 RS485 readers; Input inte"&amp;"rface: 4 alarm input, Door Sensor×2, Door Switch×2, Case Input×4, Fire Alarm Linkage×1, Tamper-proof×1; Output interface: Door Switch Relay×2, Alarm Relay×2.")</f>
        <v>Access controller main board Double-door Access Controller, Storage with 100,000 cards and 300,000 access control events. Uplink Communication: TCP/IP 、ISUP5.0 and RS-485; ISAPI、OSDP Accessible Card Reader: 4 Wiegand readers or 4 RS485 readers; Input interface: 4 alarm input, Door Sensor×2, Door Switch×2, Case Input×4, Fire Alarm Linkage×1, Tamper-proof×1; Output interface: Door Switch Relay×2, Alarm Relay×2.</v>
      </c>
      <c r="D591" s="4" t="str">
        <f>IFERROR(__xludf.DUMMYFUNCTION("""COMPUTED_VALUE"""),"HIKVISION")</f>
        <v>HIKVISION</v>
      </c>
      <c r="E591" s="4" t="str">
        <f>IFERROR(__xludf.DUMMYFUNCTION("""COMPUTED_VALUE"""),"DS-K2602T-MB")</f>
        <v>DS-K2602T-MB</v>
      </c>
      <c r="F591" s="4" t="str">
        <f>IFERROR(__xludf.DUMMYFUNCTION("""COMPUTED_VALUE"""),"CONECTIVIDAD &gt; SWITCH")</f>
        <v>CONECTIVIDAD &gt; SWITCH</v>
      </c>
      <c r="G591" s="5"/>
      <c r="H591" s="6">
        <f>IFERROR(__xludf.DUMMYFUNCTION("""COMPUTED_VALUE"""),174.9)</f>
        <v>174.9</v>
      </c>
      <c r="I591" s="7">
        <f>IFERROR(__xludf.DUMMYFUNCTION("""COMPUTED_VALUE"""),21.0)</f>
        <v>21</v>
      </c>
      <c r="J591" s="6">
        <f>IFERROR(__xludf.DUMMYFUNCTION("""COMPUTED_VALUE"""),209.88)</f>
        <v>209.88</v>
      </c>
      <c r="K591" s="6">
        <f>IFERROR(__xludf.DUMMYFUNCTION("""COMPUTED_VALUE"""),244.86)</f>
        <v>244.86</v>
      </c>
      <c r="L591" s="3"/>
      <c r="M591" s="3"/>
    </row>
    <row r="592" ht="48.0" customHeight="1">
      <c r="A592" s="3" t="str">
        <f>IFERROR(__xludf.DUMMYFUNCTION("""COMPUTED_VALUE"""),"DSK1802M")</f>
        <v>DSK1802M</v>
      </c>
      <c r="B592" s="4" t="str">
        <f>IFERROR(__xludf.DUMMYFUNCTION("""COMPUTED_VALUE"""),"LECTOR DE PROXIMIDAD MIFARE, PROTOCOLO WIEGAND (W26/W34) PROTOCOL, APT")</f>
        <v>LECTOR DE PROXIMIDAD MIFARE, PROTOCOLO WIEGAND (W26/W34) PROTOCOL, APT</v>
      </c>
      <c r="C592" s="4" t="str">
        <f>IFERROR(__xludf.DUMMYFUNCTION("""COMPUTED_VALUE"""),"Lector de proximidad Mifare, protocolo Wiegand (W26/W34) protocol, apto para exterior IP65.")</f>
        <v>Lector de proximidad Mifare, protocolo Wiegand (W26/W34) protocol, apto para exterior IP65.</v>
      </c>
      <c r="D592" s="4" t="str">
        <f>IFERROR(__xludf.DUMMYFUNCTION("""COMPUTED_VALUE"""),"HIKVISION")</f>
        <v>HIKVISION</v>
      </c>
      <c r="E592" s="4" t="str">
        <f>IFERROR(__xludf.DUMMYFUNCTION("""COMPUTED_VALUE"""),"DSK1802M")</f>
        <v>DSK1802M</v>
      </c>
      <c r="F592" s="4" t="str">
        <f>IFERROR(__xludf.DUMMYFUNCTION("""COMPUTED_VALUE"""),"CONTROL DE ACCESO &gt; CONTROL DE ACCESOS HIKVISION CONTROLADORAS Y LECTORAS")</f>
        <v>CONTROL DE ACCESO &gt; CONTROL DE ACCESOS HIKVISION CONTROLADORAS Y LECTORAS</v>
      </c>
      <c r="G592" s="5"/>
      <c r="H592" s="6">
        <f>IFERROR(__xludf.DUMMYFUNCTION("""COMPUTED_VALUE"""),23.43)</f>
        <v>23.43</v>
      </c>
      <c r="I592" s="7">
        <f>IFERROR(__xludf.DUMMYFUNCTION("""COMPUTED_VALUE"""),21.0)</f>
        <v>21</v>
      </c>
      <c r="J592" s="6">
        <f>IFERROR(__xludf.DUMMYFUNCTION("""COMPUTED_VALUE"""),28.12)</f>
        <v>28.12</v>
      </c>
      <c r="K592" s="6">
        <f>IFERROR(__xludf.DUMMYFUNCTION("""COMPUTED_VALUE"""),32.8)</f>
        <v>32.8</v>
      </c>
      <c r="L592" s="3"/>
      <c r="M592" s="3"/>
    </row>
    <row r="593" ht="48.0" customHeight="1">
      <c r="A593" s="3" t="str">
        <f>IFERROR(__xludf.DUMMYFUNCTION("""COMPUTED_VALUE"""),"DSK1802MK")</f>
        <v>DSK1802MK</v>
      </c>
      <c r="B593" s="4" t="str">
        <f>IFERROR(__xludf.DUMMYFUNCTION("""COMPUTED_VALUE"""),"LECTOR DE PROXIMIDAD MIFARE CON TECLADO, PROTOCOLOWIEGAND (W26/W34) PR")</f>
        <v>LECTOR DE PROXIMIDAD MIFARE CON TECLADO, PROTOCOLOWIEGAND (W26/W34) PR</v>
      </c>
      <c r="C593" s="4" t="str">
        <f>IFERROR(__xludf.DUMMYFUNCTION("""COMPUTED_VALUE"""),"Lector de proximidad Mifare con teclado, protocoloWiegand (W26/W34) protocol, apto para exterior IP65")</f>
        <v>Lector de proximidad Mifare con teclado, protocoloWiegand (W26/W34) protocol, apto para exterior IP65</v>
      </c>
      <c r="D593" s="4" t="str">
        <f>IFERROR(__xludf.DUMMYFUNCTION("""COMPUTED_VALUE"""),"HIKVISION")</f>
        <v>HIKVISION</v>
      </c>
      <c r="E593" s="4" t="str">
        <f>IFERROR(__xludf.DUMMYFUNCTION("""COMPUTED_VALUE"""),"DSK1802MK")</f>
        <v>DSK1802MK</v>
      </c>
      <c r="F593" s="4" t="str">
        <f>IFERROR(__xludf.DUMMYFUNCTION("""COMPUTED_VALUE"""),"CONTROL DE ACCESO &gt; CONTROL DE ACCESOS HIKVISION CONTROLADORAS Y LECTORAS")</f>
        <v>CONTROL DE ACCESO &gt; CONTROL DE ACCESOS HIKVISION CONTROLADORAS Y LECTORAS</v>
      </c>
      <c r="G593" s="5"/>
      <c r="H593" s="6">
        <f>IFERROR(__xludf.DUMMYFUNCTION("""COMPUTED_VALUE"""),30.25)</f>
        <v>30.25</v>
      </c>
      <c r="I593" s="7">
        <f>IFERROR(__xludf.DUMMYFUNCTION("""COMPUTED_VALUE"""),21.0)</f>
        <v>21</v>
      </c>
      <c r="J593" s="6">
        <f>IFERROR(__xludf.DUMMYFUNCTION("""COMPUTED_VALUE"""),36.3)</f>
        <v>36.3</v>
      </c>
      <c r="K593" s="6">
        <f>IFERROR(__xludf.DUMMYFUNCTION("""COMPUTED_VALUE"""),42.35)</f>
        <v>42.35</v>
      </c>
      <c r="L593" s="3"/>
      <c r="M593" s="3"/>
    </row>
    <row r="594" ht="48.0" customHeight="1">
      <c r="A594" s="3" t="str">
        <f>IFERROR(__xludf.DUMMYFUNCTION("""COMPUTED_VALUE"""),"DSK1101M")</f>
        <v>DSK1101M</v>
      </c>
      <c r="B594" s="4" t="str">
        <f>IFERROR(__xludf.DUMMYFUNCTION("""COMPUTED_VALUE"""),"LECTOR DE PROXIMIDAD MIFARE, PROTOCOLO RS485 Y WIEGAND (W26/W34)")</f>
        <v>LECTOR DE PROXIMIDAD MIFARE, PROTOCOLO RS485 Y WIEGAND (W26/W34)</v>
      </c>
      <c r="C594" s="4" t="str">
        <f>IFERROR(__xludf.DUMMYFUNCTION("""COMPUTED_VALUE"""),"Lector de proximidad Mifare, protocolo RS485 y Wiegand (W26/W34); antisabotaje, apto para exterior IP 64")</f>
        <v>Lector de proximidad Mifare, protocolo RS485 y Wiegand (W26/W34); antisabotaje, apto para exterior IP 64</v>
      </c>
      <c r="D594" s="4" t="str">
        <f>IFERROR(__xludf.DUMMYFUNCTION("""COMPUTED_VALUE"""),"HIKVISION")</f>
        <v>HIKVISION</v>
      </c>
      <c r="E594" s="4" t="str">
        <f>IFERROR(__xludf.DUMMYFUNCTION("""COMPUTED_VALUE"""),"DSK1101M")</f>
        <v>DSK1101M</v>
      </c>
      <c r="F594" s="4" t="str">
        <f>IFERROR(__xludf.DUMMYFUNCTION("""COMPUTED_VALUE"""),"CONTROL DE ACCESO &gt; CONTROL DE ACCESOS HIKVISION CONTROLADORAS Y LECTORAS")</f>
        <v>CONTROL DE ACCESO &gt; CONTROL DE ACCESOS HIKVISION CONTROLADORAS Y LECTORAS</v>
      </c>
      <c r="G594" s="5"/>
      <c r="H594" s="6">
        <f>IFERROR(__xludf.DUMMYFUNCTION("""COMPUTED_VALUE"""),29.48)</f>
        <v>29.48</v>
      </c>
      <c r="I594" s="7">
        <f>IFERROR(__xludf.DUMMYFUNCTION("""COMPUTED_VALUE"""),21.0)</f>
        <v>21</v>
      </c>
      <c r="J594" s="6">
        <f>IFERROR(__xludf.DUMMYFUNCTION("""COMPUTED_VALUE"""),35.38)</f>
        <v>35.38</v>
      </c>
      <c r="K594" s="6">
        <f>IFERROR(__xludf.DUMMYFUNCTION("""COMPUTED_VALUE"""),41.27)</f>
        <v>41.27</v>
      </c>
      <c r="L594" s="3"/>
      <c r="M594" s="3"/>
    </row>
    <row r="595" ht="48.0" customHeight="1">
      <c r="A595" s="3" t="str">
        <f>IFERROR(__xludf.DUMMYFUNCTION("""COMPUTED_VALUE"""),"DSK1101MK")</f>
        <v>DSK1101MK</v>
      </c>
      <c r="B595" s="4" t="str">
        <f>IFERROR(__xludf.DUMMYFUNCTION("""COMPUTED_VALUE"""),"LECTOR DE PROXIMIDAD MIFARE CON TECLADO, PROTOCOLO RS485 Y")</f>
        <v>LECTOR DE PROXIMIDAD MIFARE CON TECLADO, PROTOCOLO RS485 Y</v>
      </c>
      <c r="C595" s="4" t="str">
        <f>IFERROR(__xludf.DUMMYFUNCTION("""COMPUTED_VALUE"""),"Lector de proximidad Mifare con teclado, protocolo RS485 y Wiegand (W26/W34); antisabotaje, apto para exterior IP 64")</f>
        <v>Lector de proximidad Mifare con teclado, protocolo RS485 y Wiegand (W26/W34); antisabotaje, apto para exterior IP 64</v>
      </c>
      <c r="D595" s="4" t="str">
        <f>IFERROR(__xludf.DUMMYFUNCTION("""COMPUTED_VALUE"""),"HIKVISION")</f>
        <v>HIKVISION</v>
      </c>
      <c r="E595" s="4" t="str">
        <f>IFERROR(__xludf.DUMMYFUNCTION("""COMPUTED_VALUE"""),"DSK1101MK")</f>
        <v>DSK1101MK</v>
      </c>
      <c r="F595" s="4" t="str">
        <f>IFERROR(__xludf.DUMMYFUNCTION("""COMPUTED_VALUE"""),"CONTROL DE ACCESO &gt; CONTROL DE ACCESOS HIKVISION CONTROLADORAS Y LECTORAS")</f>
        <v>CONTROL DE ACCESO &gt; CONTROL DE ACCESOS HIKVISION CONTROLADORAS Y LECTORAS</v>
      </c>
      <c r="G595" s="5"/>
      <c r="H595" s="6">
        <f>IFERROR(__xludf.DUMMYFUNCTION("""COMPUTED_VALUE"""),36.3)</f>
        <v>36.3</v>
      </c>
      <c r="I595" s="7">
        <f>IFERROR(__xludf.DUMMYFUNCTION("""COMPUTED_VALUE"""),21.0)</f>
        <v>21</v>
      </c>
      <c r="J595" s="6">
        <f>IFERROR(__xludf.DUMMYFUNCTION("""COMPUTED_VALUE"""),43.56)</f>
        <v>43.56</v>
      </c>
      <c r="K595" s="6">
        <f>IFERROR(__xludf.DUMMYFUNCTION("""COMPUTED_VALUE"""),50.82)</f>
        <v>50.82</v>
      </c>
      <c r="L595" s="3"/>
      <c r="M595" s="3"/>
    </row>
    <row r="596" ht="48.0" customHeight="1">
      <c r="A596" s="3" t="str">
        <f>IFERROR(__xludf.DUMMYFUNCTION("""COMPUTED_VALUE"""),"DSK1102M")</f>
        <v>DSK1102M</v>
      </c>
      <c r="B596" s="4" t="str">
        <f>IFERROR(__xludf.DUMMYFUNCTION("""COMPUTED_VALUE"""),"LECTOR DE PROXIMIDAD MIFARE, PROTOCOLO RS485 Y WIEGAND (W26/W34)")</f>
        <v>LECTOR DE PROXIMIDAD MIFARE, PROTOCOLO RS485 Y WIEGAND (W26/W34)</v>
      </c>
      <c r="C596" s="4" t="str">
        <f>IFERROR(__xludf.DUMMYFUNCTION("""COMPUTED_VALUE"""),"Lector de proximidad Mifare, protocolo RS485 y Wiegand (W26/W34); antisabotaje, apto para exterior IP 64")</f>
        <v>Lector de proximidad Mifare, protocolo RS485 y Wiegand (W26/W34); antisabotaje, apto para exterior IP 64</v>
      </c>
      <c r="D596" s="4" t="str">
        <f>IFERROR(__xludf.DUMMYFUNCTION("""COMPUTED_VALUE"""),"HIKVISION")</f>
        <v>HIKVISION</v>
      </c>
      <c r="E596" s="4" t="str">
        <f>IFERROR(__xludf.DUMMYFUNCTION("""COMPUTED_VALUE"""),"DSK1102M")</f>
        <v>DSK1102M</v>
      </c>
      <c r="F596" s="4" t="str">
        <f>IFERROR(__xludf.DUMMYFUNCTION("""COMPUTED_VALUE"""),"CONTROL DE ACCESO &gt; CONTROL DE ACCESOS HIKVISION CONTROLADORAS Y LECTORAS")</f>
        <v>CONTROL DE ACCESO &gt; CONTROL DE ACCESOS HIKVISION CONTROLADORAS Y LECTORAS</v>
      </c>
      <c r="G596" s="5"/>
      <c r="H596" s="6">
        <f>IFERROR(__xludf.DUMMYFUNCTION("""COMPUTED_VALUE"""),36.3)</f>
        <v>36.3</v>
      </c>
      <c r="I596" s="7">
        <f>IFERROR(__xludf.DUMMYFUNCTION("""COMPUTED_VALUE"""),21.0)</f>
        <v>21</v>
      </c>
      <c r="J596" s="6">
        <f>IFERROR(__xludf.DUMMYFUNCTION("""COMPUTED_VALUE"""),43.56)</f>
        <v>43.56</v>
      </c>
      <c r="K596" s="6">
        <f>IFERROR(__xludf.DUMMYFUNCTION("""COMPUTED_VALUE"""),50.82)</f>
        <v>50.82</v>
      </c>
      <c r="L596" s="3"/>
      <c r="M596" s="3"/>
    </row>
    <row r="597" ht="48.0" customHeight="1">
      <c r="A597" s="3" t="str">
        <f>IFERROR(__xludf.DUMMYFUNCTION("""COMPUTED_VALUE"""),"DSK1102AMK")</f>
        <v>DSK1102AMK</v>
      </c>
      <c r="B597" s="4" t="str">
        <f>IFERROR(__xludf.DUMMYFUNCTION("""COMPUTED_VALUE"""),"LECTOR DE PROXIMIDAD MIFARE (FREQUENCY: 13")</f>
        <v>LECTOR DE PROXIMIDAD MIFARE (FREQUENCY: 13</v>
      </c>
      <c r="C597" s="4" t="str">
        <f>IFERROR(__xludf.DUMMYFUNCTION("""COMPUTED_VALUE"""),"Lector de proximidad Mifare (Frequency: 13.56 MHz) con teclado, protocolo RS485 y Wiegand (W26/W34) ; antisabotaje, apto para exterior IP64. Medidas 121 mm × 86.5 mm × 14 mm")</f>
        <v>Lector de proximidad Mifare (Frequency: 13.56 MHz) con teclado, protocolo RS485 y Wiegand (W26/W34) ; antisabotaje, apto para exterior IP64. Medidas 121 mm × 86.5 mm × 14 mm</v>
      </c>
      <c r="D597" s="4" t="str">
        <f>IFERROR(__xludf.DUMMYFUNCTION("""COMPUTED_VALUE"""),"HIKVISION")</f>
        <v>HIKVISION</v>
      </c>
      <c r="E597" s="4" t="str">
        <f>IFERROR(__xludf.DUMMYFUNCTION("""COMPUTED_VALUE"""),"DSK1102AMK")</f>
        <v>DSK1102AMK</v>
      </c>
      <c r="F597" s="4" t="str">
        <f>IFERROR(__xludf.DUMMYFUNCTION("""COMPUTED_VALUE"""),"CONTROL DE ACCESO &gt; CONTROL DE ACCESOS HIKVISION CONTROLADORAS Y LECTORAS")</f>
        <v>CONTROL DE ACCESO &gt; CONTROL DE ACCESOS HIKVISION CONTROLADORAS Y LECTORAS</v>
      </c>
      <c r="G597" s="5"/>
      <c r="H597" s="6">
        <f>IFERROR(__xludf.DUMMYFUNCTION("""COMPUTED_VALUE"""),46.2)</f>
        <v>46.2</v>
      </c>
      <c r="I597" s="7">
        <f>IFERROR(__xludf.DUMMYFUNCTION("""COMPUTED_VALUE"""),21.0)</f>
        <v>21</v>
      </c>
      <c r="J597" s="6">
        <f>IFERROR(__xludf.DUMMYFUNCTION("""COMPUTED_VALUE"""),55.44)</f>
        <v>55.44</v>
      </c>
      <c r="K597" s="6">
        <f>IFERROR(__xludf.DUMMYFUNCTION("""COMPUTED_VALUE"""),64.68)</f>
        <v>64.68</v>
      </c>
      <c r="L597" s="3"/>
      <c r="M597" s="3"/>
    </row>
    <row r="598" ht="48.0" customHeight="1">
      <c r="A598" s="3" t="str">
        <f>IFERROR(__xludf.DUMMYFUNCTION("""COMPUTED_VALUE"""),"DSK1107AM")</f>
        <v>DSK1107AM</v>
      </c>
      <c r="B598" s="4" t="str">
        <f>IFERROR(__xludf.DUMMYFUNCTION("""COMPUTED_VALUE"""),"LECTOR DE PROXIMIDAD MIFARE (FREQUENCY: 13")</f>
        <v>LECTOR DE PROXIMIDAD MIFARE (FREQUENCY: 13</v>
      </c>
      <c r="C598" s="4" t="str">
        <f>IFERROR(__xludf.DUMMYFUNCTION("""COMPUTED_VALUE"""),"Lector de proximidad Mifare (Frequency: 13.56 MHz), protocolo RS485 y Wiegand (W26/W34) y OSDP; antisabotaje, apto para exterior IP65. Medidas 115 mm × 44 mm × 22 mm")</f>
        <v>Lector de proximidad Mifare (Frequency: 13.56 MHz), protocolo RS485 y Wiegand (W26/W34) y OSDP; antisabotaje, apto para exterior IP65. Medidas 115 mm × 44 mm × 22 mm</v>
      </c>
      <c r="D598" s="4" t="str">
        <f>IFERROR(__xludf.DUMMYFUNCTION("""COMPUTED_VALUE"""),"HIKVISION")</f>
        <v>HIKVISION</v>
      </c>
      <c r="E598" s="4" t="str">
        <f>IFERROR(__xludf.DUMMYFUNCTION("""COMPUTED_VALUE"""),"DSK1107AM")</f>
        <v>DSK1107AM</v>
      </c>
      <c r="F598" s="4" t="str">
        <f>IFERROR(__xludf.DUMMYFUNCTION("""COMPUTED_VALUE"""),"CONTROL DE ACCESO &gt; CONTROL DE ACCESOS HIKVISION CONTROLADORAS Y LECTORAS")</f>
        <v>CONTROL DE ACCESO &gt; CONTROL DE ACCESOS HIKVISION CONTROLADORAS Y LECTORAS</v>
      </c>
      <c r="G598" s="5"/>
      <c r="H598" s="6">
        <f>IFERROR(__xludf.DUMMYFUNCTION("""COMPUTED_VALUE"""),34.1)</f>
        <v>34.1</v>
      </c>
      <c r="I598" s="7">
        <f>IFERROR(__xludf.DUMMYFUNCTION("""COMPUTED_VALUE"""),21.0)</f>
        <v>21</v>
      </c>
      <c r="J598" s="6">
        <f>IFERROR(__xludf.DUMMYFUNCTION("""COMPUTED_VALUE"""),40.92)</f>
        <v>40.92</v>
      </c>
      <c r="K598" s="6">
        <f>IFERROR(__xludf.DUMMYFUNCTION("""COMPUTED_VALUE"""),47.74)</f>
        <v>47.74</v>
      </c>
      <c r="L598" s="3"/>
      <c r="M598" s="3"/>
    </row>
    <row r="599" ht="48.0" customHeight="1">
      <c r="A599" s="3" t="str">
        <f>IFERROR(__xludf.DUMMYFUNCTION("""COMPUTED_VALUE"""),"DSK1107AMK")</f>
        <v>DSK1107AMK</v>
      </c>
      <c r="B599" s="4" t="str">
        <f>IFERROR(__xludf.DUMMYFUNCTION("""COMPUTED_VALUE"""),"LECTOR DE PROXIMIDAD MIFARE (FREQUENCY: 13")</f>
        <v>LECTOR DE PROXIMIDAD MIFARE (FREQUENCY: 13</v>
      </c>
      <c r="C599" s="4" t="str">
        <f>IFERROR(__xludf.DUMMYFUNCTION("""COMPUTED_VALUE"""),"Lector de proximidad Mifare (Frequency: 13.56 MHz) con teclado, protocolo RS485 y Wiegand (W26/W34) y OSDP; antisabotaje, apto para exterior IP65. Medidas 115 mm × 44 mm × 22 mm")</f>
        <v>Lector de proximidad Mifare (Frequency: 13.56 MHz) con teclado, protocolo RS485 y Wiegand (W26/W34) y OSDP; antisabotaje, apto para exterior IP65. Medidas 115 mm × 44 mm × 22 mm</v>
      </c>
      <c r="D599" s="4" t="str">
        <f>IFERROR(__xludf.DUMMYFUNCTION("""COMPUTED_VALUE"""),"HIKVISION")</f>
        <v>HIKVISION</v>
      </c>
      <c r="E599" s="4" t="str">
        <f>IFERROR(__xludf.DUMMYFUNCTION("""COMPUTED_VALUE"""),"DSK1107AMK")</f>
        <v>DSK1107AMK</v>
      </c>
      <c r="F599" s="4" t="str">
        <f>IFERROR(__xludf.DUMMYFUNCTION("""COMPUTED_VALUE"""),"CONTROL DE ACCESO &gt; CONTROL DE ACCESOS HIKVISION CONTROLADORAS Y LECTORAS")</f>
        <v>CONTROL DE ACCESO &gt; CONTROL DE ACCESOS HIKVISION CONTROLADORAS Y LECTORAS</v>
      </c>
      <c r="G599" s="5"/>
      <c r="H599" s="6">
        <f>IFERROR(__xludf.DUMMYFUNCTION("""COMPUTED_VALUE"""),44.0)</f>
        <v>44</v>
      </c>
      <c r="I599" s="7">
        <f>IFERROR(__xludf.DUMMYFUNCTION("""COMPUTED_VALUE"""),21.0)</f>
        <v>21</v>
      </c>
      <c r="J599" s="6">
        <f>IFERROR(__xludf.DUMMYFUNCTION("""COMPUTED_VALUE"""),52.8)</f>
        <v>52.8</v>
      </c>
      <c r="K599" s="6">
        <f>IFERROR(__xludf.DUMMYFUNCTION("""COMPUTED_VALUE"""),61.6)</f>
        <v>61.6</v>
      </c>
      <c r="L599" s="3"/>
      <c r="M599" s="3"/>
    </row>
    <row r="600" ht="48.0" customHeight="1">
      <c r="A600" s="3" t="str">
        <f>IFERROR(__xludf.DUMMYFUNCTION("""COMPUTED_VALUE"""),"DSK1104M")</f>
        <v>DSK1104M</v>
      </c>
      <c r="B600" s="4" t="str">
        <f>IFERROR(__xludf.DUMMYFUNCTION("""COMPUTED_VALUE"""),"LECTOR DE PROXIMIDAD MIFARE, PROTOCOLO RS485 Y WIEGAND (W26/W34)")</f>
        <v>LECTOR DE PROXIMIDAD MIFARE, PROTOCOLO RS485 Y WIEGAND (W26/W34)</v>
      </c>
      <c r="C600" s="4" t="str">
        <f>IFERROR(__xludf.DUMMYFUNCTION("""COMPUTED_VALUE"""),"Lector de proximidad Mifare, protocolo RS485 y Wiegand (W26/W34); antisabotaje, apto para exterior IP 65, antivandálica IK10")</f>
        <v>Lector de proximidad Mifare, protocolo RS485 y Wiegand (W26/W34); antisabotaje, apto para exterior IP 65, antivandálica IK10</v>
      </c>
      <c r="D600" s="4" t="str">
        <f>IFERROR(__xludf.DUMMYFUNCTION("""COMPUTED_VALUE"""),"HIKVISION")</f>
        <v>HIKVISION</v>
      </c>
      <c r="E600" s="4" t="str">
        <f>IFERROR(__xludf.DUMMYFUNCTION("""COMPUTED_VALUE"""),"DSK1104M")</f>
        <v>DSK1104M</v>
      </c>
      <c r="F600" s="4" t="str">
        <f>IFERROR(__xludf.DUMMYFUNCTION("""COMPUTED_VALUE"""),"CONTROL DE ACCESO &gt; CONTROL DE ACCESOS HIKVISION CONTROLADORAS Y LECTORAS")</f>
        <v>CONTROL DE ACCESO &gt; CONTROL DE ACCESOS HIKVISION CONTROLADORAS Y LECTORAS</v>
      </c>
      <c r="G600" s="5"/>
      <c r="H600" s="6">
        <f>IFERROR(__xludf.DUMMYFUNCTION("""COMPUTED_VALUE"""),71.5)</f>
        <v>71.5</v>
      </c>
      <c r="I600" s="7">
        <f>IFERROR(__xludf.DUMMYFUNCTION("""COMPUTED_VALUE"""),21.0)</f>
        <v>21</v>
      </c>
      <c r="J600" s="6">
        <f>IFERROR(__xludf.DUMMYFUNCTION("""COMPUTED_VALUE"""),85.8)</f>
        <v>85.8</v>
      </c>
      <c r="K600" s="6">
        <f>IFERROR(__xludf.DUMMYFUNCTION("""COMPUTED_VALUE"""),100.1)</f>
        <v>100.1</v>
      </c>
      <c r="L600" s="3"/>
      <c r="M600" s="3"/>
    </row>
    <row r="601" ht="48.0" customHeight="1">
      <c r="A601" s="3" t="str">
        <f>IFERROR(__xludf.DUMMYFUNCTION("""COMPUTED_VALUE"""),"DSK1104MK")</f>
        <v>DSK1104MK</v>
      </c>
      <c r="B601" s="4" t="str">
        <f>IFERROR(__xludf.DUMMYFUNCTION("""COMPUTED_VALUE"""),"LECTOR DE PROXIMIDAD MIFARE CON TECLADO, PROTOCOLO RS485 Y")</f>
        <v>LECTOR DE PROXIMIDAD MIFARE CON TECLADO, PROTOCOLO RS485 Y</v>
      </c>
      <c r="C601" s="4" t="str">
        <f>IFERROR(__xludf.DUMMYFUNCTION("""COMPUTED_VALUE"""),"Lector de proximidad Mifare con teclado, protocolo RS485 y Wiegand (W26/W34); antisabotaje, apto para exterior IP 65, antivandálica IK10")</f>
        <v>Lector de proximidad Mifare con teclado, protocolo RS485 y Wiegand (W26/W34); antisabotaje, apto para exterior IP 65, antivandálica IK10</v>
      </c>
      <c r="D601" s="4" t="str">
        <f>IFERROR(__xludf.DUMMYFUNCTION("""COMPUTED_VALUE"""),"HIKVISION")</f>
        <v>HIKVISION</v>
      </c>
      <c r="E601" s="4" t="str">
        <f>IFERROR(__xludf.DUMMYFUNCTION("""COMPUTED_VALUE"""),"DSK1104MK")</f>
        <v>DSK1104MK</v>
      </c>
      <c r="F601" s="4" t="str">
        <f>IFERROR(__xludf.DUMMYFUNCTION("""COMPUTED_VALUE"""),"CONTROL DE ACCESO &gt; CONTROL DE ACCESOS HIKVISION CONTROLADORAS Y LECTORAS")</f>
        <v>CONTROL DE ACCESO &gt; CONTROL DE ACCESOS HIKVISION CONTROLADORAS Y LECTORAS</v>
      </c>
      <c r="G601" s="5"/>
      <c r="H601" s="6">
        <f>IFERROR(__xludf.DUMMYFUNCTION("""COMPUTED_VALUE"""),88.0)</f>
        <v>88</v>
      </c>
      <c r="I601" s="7">
        <f>IFERROR(__xludf.DUMMYFUNCTION("""COMPUTED_VALUE"""),21.0)</f>
        <v>21</v>
      </c>
      <c r="J601" s="6">
        <f>IFERROR(__xludf.DUMMYFUNCTION("""COMPUTED_VALUE"""),105.6)</f>
        <v>105.6</v>
      </c>
      <c r="K601" s="6">
        <f>IFERROR(__xludf.DUMMYFUNCTION("""COMPUTED_VALUE"""),123.2)</f>
        <v>123.2</v>
      </c>
      <c r="L601" s="3"/>
      <c r="M601" s="3"/>
    </row>
    <row r="602" ht="48.0" customHeight="1">
      <c r="A602" s="3" t="str">
        <f>IFERROR(__xludf.DUMMYFUNCTION("""COMPUTED_VALUE"""),"DS-K1801M")</f>
        <v>DS-K1801M</v>
      </c>
      <c r="B602" s="4" t="str">
        <f>IFERROR(__xludf.DUMMYFUNCTION("""COMPUTED_VALUE"""),"LECTOR DE TARJETAS MIFARE, PROTOCOLO WIEGAND(W26/W34) APTO EXTERIOR IP")</f>
        <v>LECTOR DE TARJETAS MIFARE, PROTOCOLO WIEGAND(W26/W34) APTO EXTERIOR IP</v>
      </c>
      <c r="C602" s="4" t="str">
        <f>IFERROR(__xludf.DUMMYFUNCTION("""COMPUTED_VALUE"""),"Lector de tarjetas Mifare, protocolo Wiegand(W26/W34) apto exterior IP 65.")</f>
        <v>Lector de tarjetas Mifare, protocolo Wiegand(W26/W34) apto exterior IP 65.</v>
      </c>
      <c r="D602" s="4" t="str">
        <f>IFERROR(__xludf.DUMMYFUNCTION("""COMPUTED_VALUE"""),"HIKVISION")</f>
        <v>HIKVISION</v>
      </c>
      <c r="E602" s="4" t="str">
        <f>IFERROR(__xludf.DUMMYFUNCTION("""COMPUTED_VALUE"""),"DS-K1801M")</f>
        <v>DS-K1801M</v>
      </c>
      <c r="F602" s="4" t="str">
        <f>IFERROR(__xludf.DUMMYFUNCTION("""COMPUTED_VALUE"""),"CONTROL DE ACCESO &gt; CONTROL DE ACCESOS HIKVISION CONTROLADORAS Y LECTORAS")</f>
        <v>CONTROL DE ACCESO &gt; CONTROL DE ACCESOS HIKVISION CONTROLADORAS Y LECTORAS</v>
      </c>
      <c r="G602" s="5"/>
      <c r="H602" s="6">
        <f>IFERROR(__xludf.DUMMYFUNCTION("""COMPUTED_VALUE"""),22.11)</f>
        <v>22.11</v>
      </c>
      <c r="I602" s="7">
        <f>IFERROR(__xludf.DUMMYFUNCTION("""COMPUTED_VALUE"""),21.0)</f>
        <v>21</v>
      </c>
      <c r="J602" s="6">
        <f>IFERROR(__xludf.DUMMYFUNCTION("""COMPUTED_VALUE"""),26.53)</f>
        <v>26.53</v>
      </c>
      <c r="K602" s="6">
        <f>IFERROR(__xludf.DUMMYFUNCTION("""COMPUTED_VALUE"""),30.95)</f>
        <v>30.95</v>
      </c>
      <c r="L602" s="3"/>
      <c r="M602" s="3"/>
    </row>
    <row r="603" ht="48.0" customHeight="1">
      <c r="A603" s="3" t="str">
        <f>IFERROR(__xludf.DUMMYFUNCTION("""COMPUTED_VALUE"""),"DS-K1801MK")</f>
        <v>DS-K1801MK</v>
      </c>
      <c r="B603" s="4" t="str">
        <f>IFERROR(__xludf.DUMMYFUNCTION("""COMPUTED_VALUE"""),"LECTOR DE TARJETAS MIFARE MAS TECLADO, PROTOCOLO WIEGAND(W26/W34) APTO")</f>
        <v>LECTOR DE TARJETAS MIFARE MAS TECLADO, PROTOCOLO WIEGAND(W26/W34) APTO</v>
      </c>
      <c r="C603" s="4" t="str">
        <f>IFERROR(__xludf.DUMMYFUNCTION("""COMPUTED_VALUE"""),"Lector de tarjetas Mifare mas teclado, protocolo Wiegand(W26/W34) apto exterior IP 65.")</f>
        <v>Lector de tarjetas Mifare mas teclado, protocolo Wiegand(W26/W34) apto exterior IP 65.</v>
      </c>
      <c r="D603" s="4" t="str">
        <f>IFERROR(__xludf.DUMMYFUNCTION("""COMPUTED_VALUE"""),"HIKVISION")</f>
        <v>HIKVISION</v>
      </c>
      <c r="E603" s="4" t="str">
        <f>IFERROR(__xludf.DUMMYFUNCTION("""COMPUTED_VALUE"""),"DS-K1801MK")</f>
        <v>DS-K1801MK</v>
      </c>
      <c r="F603" s="4" t="str">
        <f>IFERROR(__xludf.DUMMYFUNCTION("""COMPUTED_VALUE"""),"CONTROL DE ACCESO &gt; CONTROL DE ACCESOS HIKVISION CONTROLADORAS Y LECTORAS")</f>
        <v>CONTROL DE ACCESO &gt; CONTROL DE ACCESOS HIKVISION CONTROLADORAS Y LECTORAS</v>
      </c>
      <c r="G603" s="5"/>
      <c r="H603" s="6">
        <f>IFERROR(__xludf.DUMMYFUNCTION("""COMPUTED_VALUE"""),24.42)</f>
        <v>24.42</v>
      </c>
      <c r="I603" s="7">
        <f>IFERROR(__xludf.DUMMYFUNCTION("""COMPUTED_VALUE"""),21.0)</f>
        <v>21</v>
      </c>
      <c r="J603" s="6">
        <f>IFERROR(__xludf.DUMMYFUNCTION("""COMPUTED_VALUE"""),29.3)</f>
        <v>29.3</v>
      </c>
      <c r="K603" s="6">
        <f>IFERROR(__xludf.DUMMYFUNCTION("""COMPUTED_VALUE"""),34.19)</f>
        <v>34.19</v>
      </c>
      <c r="L603" s="3"/>
      <c r="M603" s="3"/>
    </row>
    <row r="604" ht="48.0" customHeight="1">
      <c r="A604" s="3" t="str">
        <f>IFERROR(__xludf.DUMMYFUNCTION("""COMPUTED_VALUE"""),"DS-K1109DKFB")</f>
        <v>DS-K1109DKFB</v>
      </c>
      <c r="B604" s="4" t="str">
        <f>IFERROR(__xludf.DUMMYFUNCTION("""COMPUTED_VALUE"""),"LECTOR DE TARJETAS MIFARE MAS TECLADO Y LECTOR DE")</f>
        <v>LECTOR DE TARJETAS MIFARE MAS TECLADO Y LECTOR DE</v>
      </c>
      <c r="C604" s="4" t="str">
        <f>IFERROR(__xludf.DUMMYFUNCTION("""COMPUTED_VALUE"""),"Lector de tarjetas Mifare mas teclado y lector de huellas, protocolo RS485(OSDP) y Wiegand (W26/W34) apto exterior IP 65. Lector M1, Desfire, Felica card number. Soporta módulo bluetooth.")</f>
        <v>Lector de tarjetas Mifare mas teclado y lector de huellas, protocolo RS485(OSDP) y Wiegand (W26/W34) apto exterior IP 65. Lector M1, Desfire, Felica card number. Soporta módulo bluetooth.</v>
      </c>
      <c r="D604" s="4" t="str">
        <f>IFERROR(__xludf.DUMMYFUNCTION("""COMPUTED_VALUE"""),"HIKVISION")</f>
        <v>HIKVISION</v>
      </c>
      <c r="E604" s="4" t="str">
        <f>IFERROR(__xludf.DUMMYFUNCTION("""COMPUTED_VALUE"""),"DS-K1109DKFB")</f>
        <v>DS-K1109DKFB</v>
      </c>
      <c r="F604" s="4" t="str">
        <f>IFERROR(__xludf.DUMMYFUNCTION("""COMPUTED_VALUE"""),"CONTROL DE ACCESO &gt; CONTROL DE ACCESOS HIKVISION CONTROLADORAS Y LECTORAS")</f>
        <v>CONTROL DE ACCESO &gt; CONTROL DE ACCESOS HIKVISION CONTROLADORAS Y LECTORAS</v>
      </c>
      <c r="G604" s="5"/>
      <c r="H604" s="6">
        <f>IFERROR(__xludf.DUMMYFUNCTION("""COMPUTED_VALUE"""),139.7)</f>
        <v>139.7</v>
      </c>
      <c r="I604" s="7">
        <f>IFERROR(__xludf.DUMMYFUNCTION("""COMPUTED_VALUE"""),21.0)</f>
        <v>21</v>
      </c>
      <c r="J604" s="6">
        <f>IFERROR(__xludf.DUMMYFUNCTION("""COMPUTED_VALUE"""),167.64)</f>
        <v>167.64</v>
      </c>
      <c r="K604" s="6">
        <f>IFERROR(__xludf.DUMMYFUNCTION("""COMPUTED_VALUE"""),195.58)</f>
        <v>195.58</v>
      </c>
      <c r="L604" s="3"/>
      <c r="M604" s="3"/>
    </row>
    <row r="605" ht="48.0" customHeight="1">
      <c r="A605" s="3" t="str">
        <f>IFERROR(__xludf.DUMMYFUNCTION("""COMPUTED_VALUE"""),"DS-K1109DKB-QR")</f>
        <v>DS-K1109DKB-QR</v>
      </c>
      <c r="B605" s="4" t="str">
        <f>IFERROR(__xludf.DUMMYFUNCTION("""COMPUTED_VALUE"""),"LECTOR DE TARJETAS MIFARE MAS TECLADO Y LECTOR QR,")</f>
        <v>LECTOR DE TARJETAS MIFARE MAS TECLADO Y LECTOR QR,</v>
      </c>
      <c r="C605" s="4" t="str">
        <f>IFERROR(__xludf.DUMMYFUNCTION("""COMPUTED_VALUE"""),"Lector de tarjetas Mifare mas teclado y lector QR, protocolo RS485(OSDP) y Wiegand (W26/W34) apto exterior IP 65. Lector M1, Desfire, Felica card number. Soporta módulo bluetooth.")</f>
        <v>Lector de tarjetas Mifare mas teclado y lector QR, protocolo RS485(OSDP) y Wiegand (W26/W34) apto exterior IP 65. Lector M1, Desfire, Felica card number. Soporta módulo bluetooth.</v>
      </c>
      <c r="D605" s="4" t="str">
        <f>IFERROR(__xludf.DUMMYFUNCTION("""COMPUTED_VALUE"""),"HIKVISION")</f>
        <v>HIKVISION</v>
      </c>
      <c r="E605" s="4" t="str">
        <f>IFERROR(__xludf.DUMMYFUNCTION("""COMPUTED_VALUE"""),"DS-K1109DKB-QR")</f>
        <v>DS-K1109DKB-QR</v>
      </c>
      <c r="F605" s="4" t="str">
        <f>IFERROR(__xludf.DUMMYFUNCTION("""COMPUTED_VALUE"""),"CONTROL DE ACCESO &gt; CONTROL DE ACCESOS HIKVISION CONTROLADORAS Y LECTORAS")</f>
        <v>CONTROL DE ACCESO &gt; CONTROL DE ACCESOS HIKVISION CONTROLADORAS Y LECTORAS</v>
      </c>
      <c r="G605" s="5"/>
      <c r="H605" s="6">
        <f>IFERROR(__xludf.DUMMYFUNCTION("""COMPUTED_VALUE"""),139.7)</f>
        <v>139.7</v>
      </c>
      <c r="I605" s="7">
        <f>IFERROR(__xludf.DUMMYFUNCTION("""COMPUTED_VALUE"""),21.0)</f>
        <v>21</v>
      </c>
      <c r="J605" s="6">
        <f>IFERROR(__xludf.DUMMYFUNCTION("""COMPUTED_VALUE"""),167.64)</f>
        <v>167.64</v>
      </c>
      <c r="K605" s="6">
        <f>IFERROR(__xludf.DUMMYFUNCTION("""COMPUTED_VALUE"""),195.58)</f>
        <v>195.58</v>
      </c>
      <c r="L605" s="3"/>
      <c r="M605" s="3"/>
    </row>
    <row r="606" ht="48.0" customHeight="1">
      <c r="A606" s="3" t="str">
        <f>IFERROR(__xludf.DUMMYFUNCTION("""COMPUTED_VALUE"""),"DSK1201AMF")</f>
        <v>DSK1201AMF</v>
      </c>
      <c r="B606" s="4" t="str">
        <f>IFERROR(__xludf.DUMMYFUNCTION("""COMPUTED_VALUE"""),"LECTOR DE HUELLA, (CAPACIDAD 5000 HUELLAS) Y DE PROXIMIDAD")</f>
        <v>LECTOR DE HUELLA, (CAPACIDAD 5000 HUELLAS) Y DE PROXIMIDAD</v>
      </c>
      <c r="C606" s="4" t="str">
        <f>IFERROR(__xludf.DUMMYFUNCTION("""COMPUTED_VALUE"""),"Lector de huella, (capacidad 5000 huellas) y de proximidad Mifare, protocolo RS485 (HIK private), IP65; montaje en pared uso interior. Compatible con linea : DSK2602 / DSK2604")</f>
        <v>Lector de huella, (capacidad 5000 huellas) y de proximidad Mifare, protocolo RS485 (HIK private), IP65; montaje en pared uso interior. Compatible con linea : DSK2602 / DSK2604</v>
      </c>
      <c r="D606" s="4" t="str">
        <f>IFERROR(__xludf.DUMMYFUNCTION("""COMPUTED_VALUE"""),"HIKVISION")</f>
        <v>HIKVISION</v>
      </c>
      <c r="E606" s="4" t="str">
        <f>IFERROR(__xludf.DUMMYFUNCTION("""COMPUTED_VALUE"""),"DSK1201AMF")</f>
        <v>DSK1201AMF</v>
      </c>
      <c r="F606" s="4" t="str">
        <f>IFERROR(__xludf.DUMMYFUNCTION("""COMPUTED_VALUE"""),"CONTROL DE ACCESO &gt; CONTROL DE ACCESOS HIKVISION CONTROLADORAS Y LECTORAS")</f>
        <v>CONTROL DE ACCESO &gt; CONTROL DE ACCESOS HIKVISION CONTROLADORAS Y LECTORAS</v>
      </c>
      <c r="G606" s="5"/>
      <c r="H606" s="6">
        <f>IFERROR(__xludf.DUMMYFUNCTION("""COMPUTED_VALUE"""),113.3)</f>
        <v>113.3</v>
      </c>
      <c r="I606" s="7">
        <f>IFERROR(__xludf.DUMMYFUNCTION("""COMPUTED_VALUE"""),10.5)</f>
        <v>10.5</v>
      </c>
      <c r="J606" s="6">
        <f>IFERROR(__xludf.DUMMYFUNCTION("""COMPUTED_VALUE"""),135.96)</f>
        <v>135.96</v>
      </c>
      <c r="K606" s="6">
        <f>IFERROR(__xludf.DUMMYFUNCTION("""COMPUTED_VALUE"""),158.62)</f>
        <v>158.62</v>
      </c>
      <c r="L606" s="3"/>
      <c r="M606" s="3"/>
    </row>
    <row r="607" ht="48.0" customHeight="1">
      <c r="A607" s="3" t="str">
        <f>IFERROR(__xludf.DUMMYFUNCTION("""COMPUTED_VALUE"""),"DS-K2M061")</f>
        <v>DS-K2M061</v>
      </c>
      <c r="B607" s="4" t="str">
        <f>IFERROR(__xludf.DUMMYFUNCTION("""COMPUTED_VALUE"""),"MÓDULO DE SEGURIDAD PARA EVITAR APERTURAS X PUERTAS FORZADAS")</f>
        <v>MÓDULO DE SEGURIDAD PARA EVITAR APERTURAS X PUERTAS FORZADAS</v>
      </c>
      <c r="C607" s="4" t="str">
        <f>IFERROR(__xludf.DUMMYFUNCTION("""COMPUTED_VALUE"""),"Módulo de seguridad para evitar aperturas x puertas forzadas. Entrada Wiegand para conexión de lectoras y salida RS-485 para conexión con controladores y terminales, incluye entrada de sensor de estado de puerta, entrada para pulsador de salida REX y sali"&amp;"da de cerradura y alarma. DC 12V.")</f>
        <v>Módulo de seguridad para evitar aperturas x puertas forzadas. Entrada Wiegand para conexión de lectoras y salida RS-485 para conexión con controladores y terminales, incluye entrada de sensor de estado de puerta, entrada para pulsador de salida REX y salida de cerradura y alarma. DC 12V.</v>
      </c>
      <c r="D607" s="4" t="str">
        <f>IFERROR(__xludf.DUMMYFUNCTION("""COMPUTED_VALUE"""),"HIKVISION")</f>
        <v>HIKVISION</v>
      </c>
      <c r="E607" s="4" t="str">
        <f>IFERROR(__xludf.DUMMYFUNCTION("""COMPUTED_VALUE"""),"DS-K2M061")</f>
        <v>DS-K2M061</v>
      </c>
      <c r="F607" s="4" t="str">
        <f>IFERROR(__xludf.DUMMYFUNCTION("""COMPUTED_VALUE"""),"CONTROL DE ACCESO &gt; CONTROL DE ACCESOS HIKVISION CONTROLADORAS Y LECTORAS")</f>
        <v>CONTROL DE ACCESO &gt; CONTROL DE ACCESOS HIKVISION CONTROLADORAS Y LECTORAS</v>
      </c>
      <c r="G607" s="5"/>
      <c r="H607" s="6">
        <f>IFERROR(__xludf.DUMMYFUNCTION("""COMPUTED_VALUE"""),59.4)</f>
        <v>59.4</v>
      </c>
      <c r="I607" s="7">
        <f>IFERROR(__xludf.DUMMYFUNCTION("""COMPUTED_VALUE"""),21.0)</f>
        <v>21</v>
      </c>
      <c r="J607" s="6">
        <f>IFERROR(__xludf.DUMMYFUNCTION("""COMPUTED_VALUE"""),71.28)</f>
        <v>71.28</v>
      </c>
      <c r="K607" s="6">
        <f>IFERROR(__xludf.DUMMYFUNCTION("""COMPUTED_VALUE"""),83.16)</f>
        <v>83.16</v>
      </c>
      <c r="L607" s="3"/>
      <c r="M607" s="3"/>
    </row>
    <row r="608" ht="48.0" customHeight="1">
      <c r="A608" s="3" t="str">
        <f>IFERROR(__xludf.DUMMYFUNCTION("""COMPUTED_VALUE"""),"DSK1T801M")</f>
        <v>DSK1T801M</v>
      </c>
      <c r="B608" s="4" t="str">
        <f>IFERROR(__xludf.DUMMYFUNCTION("""COMPUTED_VALUE"""),"CONTROL DE ACCESO STANDALONE, ADMITE TARJETA MIFARE, ADMINISTRA 3000")</f>
        <v>CONTROL DE ACCESO STANDALONE, ADMITE TARJETA MIFARE, ADMINISTRA 3000</v>
      </c>
      <c r="C608" s="4" t="str">
        <f>IFERROR(__xludf.DUMMYFUNCTION("""COMPUTED_VALUE"""),"Control de Acceso Standalone, admite tarjeta Mifare, administra 3000 tarjetas y almacena 10000 eventos, teclado de 13 botones (0-9, , *, #, Doorbell), salida rele, entrada pulsador y sensor de puerta, timbre, DC 12V/1A. No posee conexion software de Hikvi"&amp;"sion.")</f>
        <v>Control de Acceso Standalone, admite tarjeta Mifare, administra 3000 tarjetas y almacena 10000 eventos, teclado de 13 botones (0-9, , *, #, Doorbell), salida rele, entrada pulsador y sensor de puerta, timbre, DC 12V/1A. No posee conexion software de Hikvision.</v>
      </c>
      <c r="D608" s="4" t="str">
        <f>IFERROR(__xludf.DUMMYFUNCTION("""COMPUTED_VALUE"""),"HIKVISION")</f>
        <v>HIKVISION</v>
      </c>
      <c r="E608" s="4" t="str">
        <f>IFERROR(__xludf.DUMMYFUNCTION("""COMPUTED_VALUE"""),"DSK1T801M")</f>
        <v>DSK1T801M</v>
      </c>
      <c r="F608" s="4" t="str">
        <f>IFERROR(__xludf.DUMMYFUNCTION("""COMPUTED_VALUE"""),"CONTROL DE ACCESO &gt; CONTROL DE ACCESOS HIKVISION SISTEMAS AUTONOMOS")</f>
        <v>CONTROL DE ACCESO &gt; CONTROL DE ACCESOS HIKVISION SISTEMAS AUTONOMOS</v>
      </c>
      <c r="G608" s="5"/>
      <c r="H608" s="6">
        <f>IFERROR(__xludf.DUMMYFUNCTION("""COMPUTED_VALUE"""),49.5)</f>
        <v>49.5</v>
      </c>
      <c r="I608" s="7">
        <f>IFERROR(__xludf.DUMMYFUNCTION("""COMPUTED_VALUE"""),21.0)</f>
        <v>21</v>
      </c>
      <c r="J608" s="6">
        <f>IFERROR(__xludf.DUMMYFUNCTION("""COMPUTED_VALUE"""),59.4)</f>
        <v>59.4</v>
      </c>
      <c r="K608" s="6">
        <f>IFERROR(__xludf.DUMMYFUNCTION("""COMPUTED_VALUE"""),69.3)</f>
        <v>69.3</v>
      </c>
      <c r="L608" s="3"/>
      <c r="M608" s="3"/>
    </row>
    <row r="609" ht="48.0" customHeight="1">
      <c r="A609" s="3" t="str">
        <f>IFERROR(__xludf.DUMMYFUNCTION("""COMPUTED_VALUE"""),"DSK1T802M")</f>
        <v>DSK1T802M</v>
      </c>
      <c r="B609" s="4" t="str">
        <f>IFERROR(__xludf.DUMMYFUNCTION("""COMPUTED_VALUE"""),"CONTROL DE ACCESO STANDALONE, PANTALLA LCD ADMITE TARJETA MIFARE,")</f>
        <v>CONTROL DE ACCESO STANDALONE, PANTALLA LCD ADMITE TARJETA MIFARE,</v>
      </c>
      <c r="C609" s="4" t="str">
        <f>IFERROR(__xludf.DUMMYFUNCTION("""COMPUTED_VALUE"""),"Control de Acceso Standalone, pantalla LCD admite tarjeta Mifare, administra 3000 tarjetas y almacena 10000 eventos, comunicación: TCP/IP; teclado de 13 botones (0-9, , *, #, Doorbell), salida rele, entrada pulsador y sensor de puerta, timbre, DC 12V/1A")</f>
        <v>Control de Acceso Standalone, pantalla LCD admite tarjeta Mifare, administra 3000 tarjetas y almacena 10000 eventos, comunicación: TCP/IP; teclado de 13 botones (0-9, , *, #, Doorbell), salida rele, entrada pulsador y sensor de puerta, timbre, DC 12V/1A</v>
      </c>
      <c r="D609" s="4" t="str">
        <f>IFERROR(__xludf.DUMMYFUNCTION("""COMPUTED_VALUE"""),"HIKVISION")</f>
        <v>HIKVISION</v>
      </c>
      <c r="E609" s="4" t="str">
        <f>IFERROR(__xludf.DUMMYFUNCTION("""COMPUTED_VALUE"""),"DSK1T802M")</f>
        <v>DSK1T802M</v>
      </c>
      <c r="F609" s="4" t="str">
        <f>IFERROR(__xludf.DUMMYFUNCTION("""COMPUTED_VALUE"""),"CONTROL DE ACCESO &gt; CONTROL DE ACCESOS HIKVISION SISTEMAS AUTONOMOS")</f>
        <v>CONTROL DE ACCESO &gt; CONTROL DE ACCESOS HIKVISION SISTEMAS AUTONOMOS</v>
      </c>
      <c r="G609" s="5"/>
      <c r="H609" s="6">
        <f>IFERROR(__xludf.DUMMYFUNCTION("""COMPUTED_VALUE"""),89.1)</f>
        <v>89.1</v>
      </c>
      <c r="I609" s="7">
        <f>IFERROR(__xludf.DUMMYFUNCTION("""COMPUTED_VALUE"""),21.0)</f>
        <v>21</v>
      </c>
      <c r="J609" s="6">
        <f>IFERROR(__xludf.DUMMYFUNCTION("""COMPUTED_VALUE"""),106.92)</f>
        <v>106.92</v>
      </c>
      <c r="K609" s="6">
        <f>IFERROR(__xludf.DUMMYFUNCTION("""COMPUTED_VALUE"""),124.74)</f>
        <v>124.74</v>
      </c>
      <c r="L609" s="3"/>
      <c r="M609" s="3"/>
    </row>
    <row r="610" ht="48.0" customHeight="1">
      <c r="A610" s="3" t="str">
        <f>IFERROR(__xludf.DUMMYFUNCTION("""COMPUTED_VALUE"""),"DSK1T8003MF")</f>
        <v>DSK1T8003MF</v>
      </c>
      <c r="B610" s="4" t="str">
        <f>IFERROR(__xludf.DUMMYFUNCTION("""COMPUTED_VALUE"""),"CONTROL DE ACCESOS BIOMÉTRICO X HUELLAS MAS LECTOR DE")</f>
        <v>CONTROL DE ACCESOS BIOMÉTRICO X HUELLAS MAS LECTOR DE</v>
      </c>
      <c r="C610" s="4" t="str">
        <f>IFERROR(__xludf.DUMMYFUNCTION("""COMPUTED_VALUE"""),"Control de accesos biométrico x huellas mas lector de proximidad Mifare, Display LCD 2.4 pulgadas almacena hasta 1,000 usuarios, 1,000 tarjetas, 1,000 huellas y 50,000 registros; Funcion Tiempo y asistencia y control de accesos; Comunicacion: TCP-IP . Pos"&amp;"ee 6 diferentes estados para control de horarios ( Ingreso, egreso, break in, break out y control de horas extras).Salida USB para exportar registros")</f>
        <v>Control de accesos biométrico x huellas mas lector de proximidad Mifare, Display LCD 2.4 pulgadas almacena hasta 1,000 usuarios, 1,000 tarjetas, 1,000 huellas y 50,000 registros; Funcion Tiempo y asistencia y control de accesos; Comunicacion: TCP-IP . Posee 6 diferentes estados para control de horarios ( Ingreso, egreso, break in, break out y control de horas extras).Salida USB para exportar registros</v>
      </c>
      <c r="D610" s="4" t="str">
        <f>IFERROR(__xludf.DUMMYFUNCTION("""COMPUTED_VALUE"""),"HIKVISION")</f>
        <v>HIKVISION</v>
      </c>
      <c r="E610" s="4" t="str">
        <f>IFERROR(__xludf.DUMMYFUNCTION("""COMPUTED_VALUE"""),"DSK1T8003MF")</f>
        <v>DSK1T8003MF</v>
      </c>
      <c r="F610" s="4" t="str">
        <f>IFERROR(__xludf.DUMMYFUNCTION("""COMPUTED_VALUE"""),"CONTROL DE ACCESO &gt; CONTROL DE ACCESOS HIKVISION SISTEMAS AUTONOMOS")</f>
        <v>CONTROL DE ACCESO &gt; CONTROL DE ACCESOS HIKVISION SISTEMAS AUTONOMOS</v>
      </c>
      <c r="G610" s="5"/>
      <c r="H610" s="6">
        <f>IFERROR(__xludf.DUMMYFUNCTION("""COMPUTED_VALUE"""),107.8)</f>
        <v>107.8</v>
      </c>
      <c r="I610" s="7">
        <f>IFERROR(__xludf.DUMMYFUNCTION("""COMPUTED_VALUE"""),21.0)</f>
        <v>21</v>
      </c>
      <c r="J610" s="6">
        <f>IFERROR(__xludf.DUMMYFUNCTION("""COMPUTED_VALUE"""),129.36)</f>
        <v>129.36</v>
      </c>
      <c r="K610" s="6">
        <f>IFERROR(__xludf.DUMMYFUNCTION("""COMPUTED_VALUE"""),150.92)</f>
        <v>150.92</v>
      </c>
      <c r="L610" s="3"/>
      <c r="M610" s="3"/>
    </row>
    <row r="611" ht="48.0" customHeight="1">
      <c r="A611" s="3" t="str">
        <f>IFERROR(__xludf.DUMMYFUNCTION("""COMPUTED_VALUE"""),"DS-K1T804BMF")</f>
        <v>DS-K1T804BMF</v>
      </c>
      <c r="B611" s="4" t="str">
        <f>IFERROR(__xludf.DUMMYFUNCTION("""COMPUTED_VALUE"""),"CONTROL DE ACCESOS BIOMÉTRICO X HUELLAS MAS LECTOR DE")</f>
        <v>CONTROL DE ACCESOS BIOMÉTRICO X HUELLAS MAS LECTOR DE</v>
      </c>
      <c r="C611" s="4" t="str">
        <f>IFERROR(__xludf.DUMMYFUNCTION("""COMPUTED_VALUE"""),"Control de accesos biométrico x huellas mas lector de proximidad Mifare, Display LCD 2.4 pulgadas almacena hasta 3,000 tarjetas, 3,000 huellas, hasta 10 huellas por cada persona y 100,000 registros; Funcion Tiempo y asistencia y control de accesos; Comuni"&amp;"cacion: TCP-IP, WIFI; Admite salida y entrada Wiegand (W26/W34). Posee 6 diferentes estados para control de horarios ( Ingreso, egreso, break in, break out y control de horas extras)")</f>
        <v>Control de accesos biométrico x huellas mas lector de proximidad Mifare, Display LCD 2.4 pulgadas almacena hasta 3,000 tarjetas, 3,000 huellas, hasta 10 huellas por cada persona y 100,000 registros; Funcion Tiempo y asistencia y control de accesos; Comunicacion: TCP-IP, WIFI; Admite salida y entrada Wiegand (W26/W34). Posee 6 diferentes estados para control de horarios ( Ingreso, egreso, break in, break out y control de horas extras)</v>
      </c>
      <c r="D611" s="4" t="str">
        <f>IFERROR(__xludf.DUMMYFUNCTION("""COMPUTED_VALUE"""),"HIKVISION")</f>
        <v>HIKVISION</v>
      </c>
      <c r="E611" s="4" t="str">
        <f>IFERROR(__xludf.DUMMYFUNCTION("""COMPUTED_VALUE"""),"DS-K1T804BMF")</f>
        <v>DS-K1T804BMF</v>
      </c>
      <c r="F611" s="4" t="str">
        <f>IFERROR(__xludf.DUMMYFUNCTION("""COMPUTED_VALUE"""),"CONTROL DE ACCESO &gt; CONTROL DE ACCESOS HIKVISION SISTEMAS AUTONOMOS")</f>
        <v>CONTROL DE ACCESO &gt; CONTROL DE ACCESOS HIKVISION SISTEMAS AUTONOMOS</v>
      </c>
      <c r="G611" s="5"/>
      <c r="H611" s="6">
        <f>IFERROR(__xludf.DUMMYFUNCTION("""COMPUTED_VALUE"""),137.5)</f>
        <v>137.5</v>
      </c>
      <c r="I611" s="7">
        <f>IFERROR(__xludf.DUMMYFUNCTION("""COMPUTED_VALUE"""),10.5)</f>
        <v>10.5</v>
      </c>
      <c r="J611" s="6">
        <f>IFERROR(__xludf.DUMMYFUNCTION("""COMPUTED_VALUE"""),165.0)</f>
        <v>165</v>
      </c>
      <c r="K611" s="6">
        <f>IFERROR(__xludf.DUMMYFUNCTION("""COMPUTED_VALUE"""),192.5)</f>
        <v>192.5</v>
      </c>
      <c r="L611" s="3"/>
      <c r="M611" s="3"/>
    </row>
    <row r="612" ht="48.0" customHeight="1">
      <c r="A612" s="3" t="str">
        <f>IFERROR(__xludf.DUMMYFUNCTION("""COMPUTED_VALUE"""),"DS-K1T804AMF")</f>
        <v>DS-K1T804AMF</v>
      </c>
      <c r="B612" s="4" t="str">
        <f>IFERROR(__xludf.DUMMYFUNCTION("""COMPUTED_VALUE"""),"TERMINAL DE CONTROL DE ACCESOS CON PANTALLA LCD DE 2")</f>
        <v>TERMINAL DE CONTROL DE ACCESOS CON PANTALLA LCD DE 2</v>
      </c>
      <c r="C612" s="4" t="str">
        <f>IFERROR(__xludf.DUMMYFUNCTION("""COMPUTED_VALUE"""),"Terminal de control de accesos con pantalla LCD de 2.4 inch, Incluye lector de tarjetas M1, hasta 3,000 tarjetas, 3,000 huellas y 100,000 eventos de accesos ; Soporta Control de Acceso y control de Tiempo y Asistencias, lector de huellas Optico ; Uplink C"&amp;"ommunication: TCP-IP, WIFI; Downlink Communication: RS485(Connect to Secure Module); Supports Wiegand out(W26/W34) and Wiegand in(W26/W34). Supports ISUP5.0, ISAPI multiple languages: English, Spanish.")</f>
        <v>Terminal de control de accesos con pantalla LCD de 2.4 inch, Incluye lector de tarjetas M1, hasta 3,000 tarjetas, 3,000 huellas y 100,000 eventos de accesos ; Soporta Control de Acceso y control de Tiempo y Asistencias, lector de huellas Optico ; Uplink Communication: TCP-IP, WIFI; Downlink Communication: RS485(Connect to Secure Module); Supports Wiegand out(W26/W34) and Wiegand in(W26/W34). Supports ISUP5.0, ISAPI multiple languages: English, Spanish.</v>
      </c>
      <c r="D612" s="4" t="str">
        <f>IFERROR(__xludf.DUMMYFUNCTION("""COMPUTED_VALUE"""),"HIKVISION")</f>
        <v>HIKVISION</v>
      </c>
      <c r="E612" s="4" t="str">
        <f>IFERROR(__xludf.DUMMYFUNCTION("""COMPUTED_VALUE"""),"DS-K1T804AMF")</f>
        <v>DS-K1T804AMF</v>
      </c>
      <c r="F612" s="4" t="str">
        <f>IFERROR(__xludf.DUMMYFUNCTION("""COMPUTED_VALUE"""),"CONTROL DE ACCESO &gt; CONTROL DE ACCESOS HIKVISION SISTEMAS AUTONOMOS")</f>
        <v>CONTROL DE ACCESO &gt; CONTROL DE ACCESOS HIKVISION SISTEMAS AUTONOMOS</v>
      </c>
      <c r="G612" s="5"/>
      <c r="H612" s="6">
        <f>IFERROR(__xludf.DUMMYFUNCTION("""COMPUTED_VALUE"""),137.5)</f>
        <v>137.5</v>
      </c>
      <c r="I612" s="7">
        <f>IFERROR(__xludf.DUMMYFUNCTION("""COMPUTED_VALUE"""),21.0)</f>
        <v>21</v>
      </c>
      <c r="J612" s="6">
        <f>IFERROR(__xludf.DUMMYFUNCTION("""COMPUTED_VALUE"""),165.0)</f>
        <v>165</v>
      </c>
      <c r="K612" s="6">
        <f>IFERROR(__xludf.DUMMYFUNCTION("""COMPUTED_VALUE"""),192.5)</f>
        <v>192.5</v>
      </c>
      <c r="L612" s="3"/>
      <c r="M612" s="3"/>
    </row>
    <row r="613" ht="48.0" customHeight="1">
      <c r="A613" s="3" t="str">
        <f>IFERROR(__xludf.DUMMYFUNCTION("""COMPUTED_VALUE"""),"DS-K1T805MBFWX")</f>
        <v>DS-K1T805MBFWX</v>
      </c>
      <c r="B613" s="4" t="str">
        <f>IFERROR(__xludf.DUMMYFUNCTION("""COMPUTED_VALUE"""),"TERMINAL DE CONTROL DE ACCESOS, INCLUYE LECTOR DE TARJETAS")</f>
        <v>TERMINAL DE CONTROL DE ACCESOS, INCLUYE LECTOR DE TARJETAS</v>
      </c>
      <c r="C613" s="4" t="str">
        <f>IFERROR(__xludf.DUMMYFUNCTION("""COMPUTED_VALUE"""),"Terminal de control de accesos, Incluye lector de tarjetas M1 y módulo Bluetooth; IP65、IK08, gabinete de aluminio. hasta 10,000 tarjetas, 3,000 huellas y 100,000 eventos; Modo AP modo web（PC and Moblie）configuration support mobile APP hikconnect Uplink Co"&amp;"mmunication: TCP/IP, WIFI; Downlink Communication: RS-485、wiegand; Dimensions：57.7 mm × 177 mm × 34.6 mm (2.3"" × 7.0"" × 1.4"")")</f>
        <v>Terminal de control de accesos, Incluye lector de tarjetas M1 y módulo Bluetooth; IP65、IK08, gabinete de aluminio. hasta 10,000 tarjetas, 3,000 huellas y 100,000 eventos; Modo AP modo web（PC and Moblie）configuration support mobile APP hikconnect Uplink Communication: TCP/IP, WIFI; Downlink Communication: RS-485、wiegand; Dimensions：57.7 mm × 177 mm × 34.6 mm (2.3" × 7.0" × 1.4")</v>
      </c>
      <c r="D613" s="4" t="str">
        <f>IFERROR(__xludf.DUMMYFUNCTION("""COMPUTED_VALUE"""),"HIKVISION")</f>
        <v>HIKVISION</v>
      </c>
      <c r="E613" s="4" t="str">
        <f>IFERROR(__xludf.DUMMYFUNCTION("""COMPUTED_VALUE"""),"DS-K1T805MBFWX")</f>
        <v>DS-K1T805MBFWX</v>
      </c>
      <c r="F613" s="4" t="str">
        <f>IFERROR(__xludf.DUMMYFUNCTION("""COMPUTED_VALUE"""),"CONTROL DE ACCESO &gt; CONTROL DE ACCESOS HIKVISION SISTEMAS AUTONOMOS")</f>
        <v>CONTROL DE ACCESO &gt; CONTROL DE ACCESOS HIKVISION SISTEMAS AUTONOMOS</v>
      </c>
      <c r="G613" s="5"/>
      <c r="H613" s="6">
        <f>IFERROR(__xludf.DUMMYFUNCTION("""COMPUTED_VALUE"""),184.8)</f>
        <v>184.8</v>
      </c>
      <c r="I613" s="7">
        <f>IFERROR(__xludf.DUMMYFUNCTION("""COMPUTED_VALUE"""),21.0)</f>
        <v>21</v>
      </c>
      <c r="J613" s="6">
        <f>IFERROR(__xludf.DUMMYFUNCTION("""COMPUTED_VALUE"""),221.76)</f>
        <v>221.76</v>
      </c>
      <c r="K613" s="6">
        <f>IFERROR(__xludf.DUMMYFUNCTION("""COMPUTED_VALUE"""),258.72)</f>
        <v>258.72</v>
      </c>
      <c r="L613" s="3"/>
      <c r="M613" s="3"/>
    </row>
    <row r="614" ht="48.0" customHeight="1">
      <c r="A614" s="3" t="str">
        <f>IFERROR(__xludf.DUMMYFUNCTION("""COMPUTED_VALUE"""),"DS-K1T502DBWX-C")</f>
        <v>DS-K1T502DBWX-C</v>
      </c>
      <c r="B614" s="4" t="str">
        <f>IFERROR(__xludf.DUMMYFUNCTION("""COMPUTED_VALUE"""),"DS-K1T502DBWX-C TERMINAL DE ACCESO,3 EN 1 (ACCESOS-PORTERO-VIDEO) CONT")</f>
        <v>DS-K1T502DBWX-C TERMINAL DE ACCESO,3 EN 1 (ACCESOS-PORTERO-VIDEO) CONT</v>
      </c>
      <c r="C614" s="4" t="str">
        <f>IFERROR(__xludf.DUMMYFUNCTION("""COMPUTED_VALUE"""),"DS-K1T502DBWX-C Terminal de acceso,3 en 1 (accesos-portero-video) Control de Acceso Autónomo. Apto para Exterior IP65 Antivandálico IK09 Carcaza metálica Integrado con Video Intercom Integrado con HikConnect Apertura remota de puerta Módulo de cámara incl"&amp;"uido Lector de tarjetas y teclado incorporado 100K Tarjetas Slot Micro SD LAN/Wi-Fi")</f>
        <v>DS-K1T502DBWX-C Terminal de acceso,3 en 1 (accesos-portero-video) Control de Acceso Autónomo. Apto para Exterior IP65 Antivandálico IK09 Carcaza metálica Integrado con Video Intercom Integrado con HikConnect Apertura remota de puerta Módulo de cámara incluido Lector de tarjetas y teclado incorporado 100K Tarjetas Slot Micro SD LAN/Wi-Fi</v>
      </c>
      <c r="D614" s="4" t="str">
        <f>IFERROR(__xludf.DUMMYFUNCTION("""COMPUTED_VALUE"""),"HIKVISION")</f>
        <v>HIKVISION</v>
      </c>
      <c r="E614" s="4" t="str">
        <f>IFERROR(__xludf.DUMMYFUNCTION("""COMPUTED_VALUE"""),"DS-K1T502DBWX-C")</f>
        <v>DS-K1T502DBWX-C</v>
      </c>
      <c r="F614" s="4" t="str">
        <f>IFERROR(__xludf.DUMMYFUNCTION("""COMPUTED_VALUE"""),"CONTROL DE ACCESO &gt; CONTROL DE ACCESOS HIKVISION SISTEMAS AUTONOMOS")</f>
        <v>CONTROL DE ACCESO &gt; CONTROL DE ACCESOS HIKVISION SISTEMAS AUTONOMOS</v>
      </c>
      <c r="G614" s="5"/>
      <c r="H614" s="6">
        <f>IFERROR(__xludf.DUMMYFUNCTION("""COMPUTED_VALUE"""),342.1)</f>
        <v>342.1</v>
      </c>
      <c r="I614" s="7">
        <f>IFERROR(__xludf.DUMMYFUNCTION("""COMPUTED_VALUE"""),21.0)</f>
        <v>21</v>
      </c>
      <c r="J614" s="6">
        <f>IFERROR(__xludf.DUMMYFUNCTION("""COMPUTED_VALUE"""),410.52)</f>
        <v>410.52</v>
      </c>
      <c r="K614" s="6">
        <f>IFERROR(__xludf.DUMMYFUNCTION("""COMPUTED_VALUE"""),478.94)</f>
        <v>478.94</v>
      </c>
      <c r="L614" s="3"/>
      <c r="M614" s="3"/>
    </row>
    <row r="615" ht="48.0" customHeight="1">
      <c r="A615" s="3" t="str">
        <f>IFERROR(__xludf.DUMMYFUNCTION("""COMPUTED_VALUE"""),"DS-K1T502DBFWX-C")</f>
        <v>DS-K1T502DBFWX-C</v>
      </c>
      <c r="B615" s="4" t="str">
        <f>IFERROR(__xludf.DUMMYFUNCTION("""COMPUTED_VALUE"""),"DS-K1T502DBFWX-C TERMINAL DE ACCESO,3 EN 1 (ACCESOS-PORTERO-VIDEO) CON")</f>
        <v>DS-K1T502DBFWX-C TERMINAL DE ACCESO,3 EN 1 (ACCESOS-PORTERO-VIDEO) CON</v>
      </c>
      <c r="C615" s="4" t="str">
        <f>IFERROR(__xludf.DUMMYFUNCTION("""COMPUTED_VALUE"""),"DS-K1T502DBFWX-C Terminal de acceso,3 en 1 (accesos-portero-video) Control de Acceso Autónomo. Apto para Exterior IP65 Antivandálico IK09 Carcaza metálica Integrado con Video Intercom Integrado con HikConnect Apertura remota de puerta Módulo de cámara inc"&amp;"luido Lector de tarjetas y teclado incorporado Incluye lector de huellas (Capacitivo) 100K Tarjetas /10K huellas Slot Micro SD LAN/Wi-Fi")</f>
        <v>DS-K1T502DBFWX-C Terminal de acceso,3 en 1 (accesos-portero-video) Control de Acceso Autónomo. Apto para Exterior IP65 Antivandálico IK09 Carcaza metálica Integrado con Video Intercom Integrado con HikConnect Apertura remota de puerta Módulo de cámara incluido Lector de tarjetas y teclado incorporado Incluye lector de huellas (Capacitivo) 100K Tarjetas /10K huellas Slot Micro SD LAN/Wi-Fi</v>
      </c>
      <c r="D615" s="4" t="str">
        <f>IFERROR(__xludf.DUMMYFUNCTION("""COMPUTED_VALUE"""),"HIKVISION")</f>
        <v>HIKVISION</v>
      </c>
      <c r="E615" s="4" t="str">
        <f>IFERROR(__xludf.DUMMYFUNCTION("""COMPUTED_VALUE"""),"DS-K1T502DBFWX-C")</f>
        <v>DS-K1T502DBFWX-C</v>
      </c>
      <c r="F615" s="4" t="str">
        <f>IFERROR(__xludf.DUMMYFUNCTION("""COMPUTED_VALUE"""),"CONTROL DE ACCESO &gt; CONTROL DE ACCESOS HIKVISION SISTEMAS AUTONOMOS")</f>
        <v>CONTROL DE ACCESO &gt; CONTROL DE ACCESOS HIKVISION SISTEMAS AUTONOMOS</v>
      </c>
      <c r="G615" s="5"/>
      <c r="H615" s="6">
        <f>IFERROR(__xludf.DUMMYFUNCTION("""COMPUTED_VALUE"""),413.6)</f>
        <v>413.6</v>
      </c>
      <c r="I615" s="7">
        <f>IFERROR(__xludf.DUMMYFUNCTION("""COMPUTED_VALUE"""),21.0)</f>
        <v>21</v>
      </c>
      <c r="J615" s="6">
        <f>IFERROR(__xludf.DUMMYFUNCTION("""COMPUTED_VALUE"""),496.32)</f>
        <v>496.32</v>
      </c>
      <c r="K615" s="6">
        <f>IFERROR(__xludf.DUMMYFUNCTION("""COMPUTED_VALUE"""),579.04)</f>
        <v>579.04</v>
      </c>
      <c r="L615" s="3"/>
      <c r="M615" s="3"/>
    </row>
    <row r="616" ht="48.0" customHeight="1">
      <c r="A616" s="3" t="str">
        <f>IFERROR(__xludf.DUMMYFUNCTION("""COMPUTED_VALUE"""),"DS-K1T807MBFWX-E1")</f>
        <v>DS-K1T807MBFWX-E1</v>
      </c>
      <c r="B616" s="4" t="str">
        <f>IFERROR(__xludf.DUMMYFUNCTION("""COMPUTED_VALUE"""),"TERMINAL DE CONTROL DE ACCESO CON LECTOR DE HUELLA,")</f>
        <v>TERMINAL DE CONTROL DE ACCESO CON LECTOR DE HUELLA,</v>
      </c>
      <c r="C616" s="4" t="str">
        <f>IFERROR(__xludf.DUMMYFUNCTION("""COMPUTED_VALUE"""),"Terminal de control de acceso con lector de huella, tarjeta M1 y PIN, pantalla LCD de 2.4 pulgadas y controladora integrada para manejar cerraduras y sensores de puerta. Soporta hasta 5000 huellas, 5000 tarjetas y 150000 eventos, y puede conectarse por TC"&amp;"P/IP, Wi-Fi (modo AP), RS-485, USB y Wiegand. Permite configuración directa desde la pantalla o vía web, tiene salida 12V para cerradura, entradas para sensor de puerta y alarma, y protección IP65 para uso exterior. Opera desde –30°C hasta 60°C y se alime"&amp;"nta por PoE 802.3af o 12 VDC.")</f>
        <v>Terminal de control de acceso con lector de huella, tarjeta M1 y PIN, pantalla LCD de 2.4 pulgadas y controladora integrada para manejar cerraduras y sensores de puerta. Soporta hasta 5000 huellas, 5000 tarjetas y 150000 eventos, y puede conectarse por TCP/IP, Wi-Fi (modo AP), RS-485, USB y Wiegand. Permite configuración directa desde la pantalla o vía web, tiene salida 12V para cerradura, entradas para sensor de puerta y alarma, y protección IP65 para uso exterior. Opera desde –30°C hasta 60°C y se alimenta por PoE 802.3af o 12 VDC.</v>
      </c>
      <c r="D616" s="4" t="str">
        <f>IFERROR(__xludf.DUMMYFUNCTION("""COMPUTED_VALUE"""),"HIKVISION")</f>
        <v>HIKVISION</v>
      </c>
      <c r="E616" s="4" t="str">
        <f>IFERROR(__xludf.DUMMYFUNCTION("""COMPUTED_VALUE"""),"DS-K1T807MBFWX-E1")</f>
        <v>DS-K1T807MBFWX-E1</v>
      </c>
      <c r="F616" s="4" t="str">
        <f>IFERROR(__xludf.DUMMYFUNCTION("""COMPUTED_VALUE"""),"CONTROL DE ACCESO &gt; CONTROL DE ACCESOS HIKVISION SISTEMAS AUTONOMOS")</f>
        <v>CONTROL DE ACCESO &gt; CONTROL DE ACCESOS HIKVISION SISTEMAS AUTONOMOS</v>
      </c>
      <c r="G616" s="5"/>
      <c r="H616" s="6">
        <f>IFERROR(__xludf.DUMMYFUNCTION("""COMPUTED_VALUE"""),157.3)</f>
        <v>157.3</v>
      </c>
      <c r="I616" s="7">
        <f>IFERROR(__xludf.DUMMYFUNCTION("""COMPUTED_VALUE"""),21.0)</f>
        <v>21</v>
      </c>
      <c r="J616" s="6">
        <f>IFERROR(__xludf.DUMMYFUNCTION("""COMPUTED_VALUE"""),188.76)</f>
        <v>188.76</v>
      </c>
      <c r="K616" s="6">
        <f>IFERROR(__xludf.DUMMYFUNCTION("""COMPUTED_VALUE"""),220.22)</f>
        <v>220.22</v>
      </c>
      <c r="L616" s="3"/>
      <c r="M616" s="3"/>
    </row>
    <row r="617" ht="48.0" customHeight="1">
      <c r="A617" s="3" t="str">
        <f>IFERROR(__xludf.DUMMYFUNCTION("""COMPUTED_VALUE"""),"DSK1T201MFC")</f>
        <v>DSK1T201MFC</v>
      </c>
      <c r="B617" s="4" t="str">
        <f>IFERROR(__xludf.DUMMYFUNCTION("""COMPUTED_VALUE"""),"CONTROL DE ACCESOS BIOMÉTRICO X HUELLAS CON PANTALLA LCD-TFT DE 2")</f>
        <v>CONTROL DE ACCESOS BIOMÉTRICO X HUELLAS CON PANTALLA LCD-TFT DE 2</v>
      </c>
      <c r="C617" s="4" t="str">
        <f>IFERROR(__xludf.DUMMYFUNCTION("""COMPUTED_VALUE"""),"Control de accesos biométrico x huellas con pantalla LCD-TFT de 2.8 pulgadas, Lector de proximidad Mifare, Incluye cámara de 2 Megapixels para reconocimiento facial y captura de imágen; almacena hasta 5000 huellas, 100,000 tarjetas y 300,000 eventos; Comu"&amp;"nicacion : TCP/IP, WIFI; Conexion RS-485, Wiegand (W26/W34); Teclado incoporado con 17 teclas mas pulsador de timbre, DC 12V/1A.")</f>
        <v>Control de accesos biométrico x huellas con pantalla LCD-TFT de 2.8 pulgadas, Lector de proximidad Mifare, Incluye cámara de 2 Megapixels para reconocimiento facial y captura de imágen; almacena hasta 5000 huellas, 100,000 tarjetas y 300,000 eventos; Comunicacion : TCP/IP, WIFI; Conexion RS-485, Wiegand (W26/W34); Teclado incoporado con 17 teclas mas pulsador de timbre, DC 12V/1A.</v>
      </c>
      <c r="D617" s="4" t="str">
        <f>IFERROR(__xludf.DUMMYFUNCTION("""COMPUTED_VALUE"""),"HIKVISION")</f>
        <v>HIKVISION</v>
      </c>
      <c r="E617" s="4" t="str">
        <f>IFERROR(__xludf.DUMMYFUNCTION("""COMPUTED_VALUE"""),"DSK1T201MFC")</f>
        <v>DSK1T201MFC</v>
      </c>
      <c r="F617" s="4" t="str">
        <f>IFERROR(__xludf.DUMMYFUNCTION("""COMPUTED_VALUE"""),"CONTROL DE ACCESO &gt; CONTROL DE ACCESOS HIKVISION SISTEMAS AUTONOMOS")</f>
        <v>CONTROL DE ACCESO &gt; CONTROL DE ACCESOS HIKVISION SISTEMAS AUTONOMOS</v>
      </c>
      <c r="G617" s="5"/>
      <c r="H617" s="6">
        <f>IFERROR(__xludf.DUMMYFUNCTION("""COMPUTED_VALUE"""),264.0)</f>
        <v>264</v>
      </c>
      <c r="I617" s="7">
        <f>IFERROR(__xludf.DUMMYFUNCTION("""COMPUTED_VALUE"""),21.0)</f>
        <v>21</v>
      </c>
      <c r="J617" s="6">
        <f>IFERROR(__xludf.DUMMYFUNCTION("""COMPUTED_VALUE"""),316.8)</f>
        <v>316.8</v>
      </c>
      <c r="K617" s="6">
        <f>IFERROR(__xludf.DUMMYFUNCTION("""COMPUTED_VALUE"""),369.6)</f>
        <v>369.6</v>
      </c>
      <c r="L617" s="3"/>
      <c r="M617" s="3"/>
    </row>
    <row r="618" ht="48.0" customHeight="1">
      <c r="A618" s="3" t="str">
        <f>IFERROR(__xludf.DUMMYFUNCTION("""COMPUTED_VALUE"""),"DS-KAS321")</f>
        <v>DS-KAS321</v>
      </c>
      <c r="B618" s="4" t="str">
        <f>IFERROR(__xludf.DUMMYFUNCTION("""COMPUTED_VALUE"""),"KIT RECONOCIMIENTO FACIAL, COMPUESTO POR TERMINAL FACIAL DS-K1T321MFWX")</f>
        <v>KIT RECONOCIMIENTO FACIAL, COMPUESTO POR TERMINAL FACIAL DS-K1T321MFWX</v>
      </c>
      <c r="C618" s="4" t="str">
        <f>IFERROR(__xludf.DUMMYFUNCTION("""COMPUTED_VALUE"""),"KIT reconocimiento facial, compuesto por terminal facial DS-K1T321MFWX, cerradura de 600 Lbs (272 Kg) con herrajes Z, botón de salida no touch DS-K7P07 y fuente de alimentación 12 v para DS-K1T321MFWX")</f>
        <v>KIT reconocimiento facial, compuesto por terminal facial DS-K1T321MFWX, cerradura de 600 Lbs (272 Kg) con herrajes Z, botón de salida no touch DS-K7P07 y fuente de alimentación 12 v para DS-K1T321MFWX</v>
      </c>
      <c r="D618" s="4" t="str">
        <f>IFERROR(__xludf.DUMMYFUNCTION("""COMPUTED_VALUE"""),"HIKVISION")</f>
        <v>HIKVISION</v>
      </c>
      <c r="E618" s="4" t="str">
        <f>IFERROR(__xludf.DUMMYFUNCTION("""COMPUTED_VALUE"""),"DS-KAS321")</f>
        <v>DS-KAS321</v>
      </c>
      <c r="F618" s="4" t="str">
        <f>IFERROR(__xludf.DUMMYFUNCTION("""COMPUTED_VALUE"""),"CONTROL DE ACCESO &gt; CONTROL DE ACCESOS HIKVISION TERMINALES RECONOCIMIENTO FACIAL")</f>
        <v>CONTROL DE ACCESO &gt; CONTROL DE ACCESOS HIKVISION TERMINALES RECONOCIMIENTO FACIAL</v>
      </c>
      <c r="G618" s="5"/>
      <c r="H618" s="6">
        <f>IFERROR(__xludf.DUMMYFUNCTION("""COMPUTED_VALUE"""),210.1)</f>
        <v>210.1</v>
      </c>
      <c r="I618" s="7">
        <f>IFERROR(__xludf.DUMMYFUNCTION("""COMPUTED_VALUE"""),10.5)</f>
        <v>10.5</v>
      </c>
      <c r="J618" s="6">
        <f>IFERROR(__xludf.DUMMYFUNCTION("""COMPUTED_VALUE"""),252.12)</f>
        <v>252.12</v>
      </c>
      <c r="K618" s="6">
        <f>IFERROR(__xludf.DUMMYFUNCTION("""COMPUTED_VALUE"""),294.14)</f>
        <v>294.14</v>
      </c>
      <c r="L618" s="3"/>
      <c r="M618" s="3"/>
    </row>
    <row r="619" ht="48.0" customHeight="1">
      <c r="A619" s="3" t="str">
        <f>IFERROR(__xludf.DUMMYFUNCTION("""COMPUTED_VALUE"""),"DS-K1T320MFWX")</f>
        <v>DS-K1T320MFWX</v>
      </c>
      <c r="B619" s="4" t="str">
        <f>IFERROR(__xludf.DUMMYFUNCTION("""COMPUTED_VALUE"""),"TERMINAL DE RECONOCIMIENTO FACIAL, PANTALLA LCD DE 2")</f>
        <v>TERMINAL DE RECONOCIMIENTO FACIAL, PANTALLA LCD DE 2</v>
      </c>
      <c r="C619" s="4" t="str">
        <f>IFERROR(__xludf.DUMMYFUNCTION("""COMPUTED_VALUE"""),"Terminal de reconocimiento facial, pantalla LCD de 2.4 pulgadas, cámara de 2 Mega pixel. Conexion WiFi, lector de Huella, Facial y Tarjetas MIFARE para Control de Acceso o Asistencia / 500 rostros y 1,000 Huellas y Tarjetas / Detección de Cubrebocas / Hik"&amp;"Connect")</f>
        <v>Terminal de reconocimiento facial, pantalla LCD de 2.4 pulgadas, cámara de 2 Mega pixel. Conexion WiFi, lector de Huella, Facial y Tarjetas MIFARE para Control de Acceso o Asistencia / 500 rostros y 1,000 Huellas y Tarjetas / Detección de Cubrebocas / HikConnect</v>
      </c>
      <c r="D619" s="4" t="str">
        <f>IFERROR(__xludf.DUMMYFUNCTION("""COMPUTED_VALUE"""),"HIKVISION")</f>
        <v>HIKVISION</v>
      </c>
      <c r="E619" s="4" t="str">
        <f>IFERROR(__xludf.DUMMYFUNCTION("""COMPUTED_VALUE"""),"DS-K1T320MFWX")</f>
        <v>DS-K1T320MFWX</v>
      </c>
      <c r="F619" s="4" t="str">
        <f>IFERROR(__xludf.DUMMYFUNCTION("""COMPUTED_VALUE"""),"CONTROL DE ACCESO &gt; CONTROL DE ACCESOS HIKVISION TERMINALES RECONOCIMIENTO FACIAL")</f>
        <v>CONTROL DE ACCESO &gt; CONTROL DE ACCESOS HIKVISION TERMINALES RECONOCIMIENTO FACIAL</v>
      </c>
      <c r="G619" s="5"/>
      <c r="H619" s="6">
        <f>IFERROR(__xludf.DUMMYFUNCTION("""COMPUTED_VALUE"""),125.4)</f>
        <v>125.4</v>
      </c>
      <c r="I619" s="7">
        <f>IFERROR(__xludf.DUMMYFUNCTION("""COMPUTED_VALUE"""),10.5)</f>
        <v>10.5</v>
      </c>
      <c r="J619" s="6">
        <f>IFERROR(__xludf.DUMMYFUNCTION("""COMPUTED_VALUE"""),150.48)</f>
        <v>150.48</v>
      </c>
      <c r="K619" s="6">
        <f>IFERROR(__xludf.DUMMYFUNCTION("""COMPUTED_VALUE"""),175.56)</f>
        <v>175.56</v>
      </c>
      <c r="L619" s="3"/>
      <c r="M619" s="3"/>
    </row>
    <row r="620" ht="48.0" customHeight="1">
      <c r="A620" s="3" t="str">
        <f>IFERROR(__xludf.DUMMYFUNCTION("""COMPUTED_VALUE"""),"DS-K1T321MFWX")</f>
        <v>DS-K1T321MFWX</v>
      </c>
      <c r="B620" s="4" t="str">
        <f>IFERROR(__xludf.DUMMYFUNCTION("""COMPUTED_VALUE"""),"TERMINAL DE RECONOCIMIENTO FACIAL, PANTALLA LCD DE 2")</f>
        <v>TERMINAL DE RECONOCIMIENTO FACIAL, PANTALLA LCD DE 2</v>
      </c>
      <c r="C620" s="4" t="str">
        <f>IFERROR(__xludf.DUMMYFUNCTION("""COMPUTED_VALUE"""),"Terminal de reconocimiento facial, pantalla LCD de 2.4 pulgadas, cámara de 2 Mega pixel wide-angle lens, Lector de tarjetas; Max.500 rostros Max.3,000 huellas，Max.3,000 tarjetas; Reconocimiento facial en la oscuridad. Conexión TCP/IP,WiFi, DC 12V/1A. Sopo"&amp;"rta protocolo ISUP5.0, ISAPI. Soporta conexión a secure door o lector de tarjetas via RS-485. Posee 6 modos de tiempo y asistencia : check in, check out, break in, break out, overtime in, overtime out. Múltiples lenguajes English, Spanish (South America)."&amp;" Configurable a traves de la web. Face Recognition Accuracy Rate &gt; 99% Face Recognition Duration(1:N) ≤0.2s Face Recognition Distance: 0.3m ~ 1.5m. Uso interior")</f>
        <v>Terminal de reconocimiento facial, pantalla LCD de 2.4 pulgadas, cámara de 2 Mega pixel wide-angle lens, Lector de tarjetas; Max.500 rostros Max.3,000 huellas，Max.3,000 tarjetas; Reconocimiento facial en la oscuridad. Conexión TCP/IP,WiFi, DC 12V/1A. Soporta protocolo ISUP5.0, ISAPI. Soporta conexión a secure door o lector de tarjetas via RS-485. Posee 6 modos de tiempo y asistencia : check in, check out, break in, break out, overtime in, overtime out. Múltiples lenguajes English, Spanish (South America). Configurable a traves de la web. Face Recognition Accuracy Rate &gt; 99% Face Recognition Duration(1:N) ≤0.2s Face Recognition Distance: 0.3m ~ 1.5m. Uso interior</v>
      </c>
      <c r="D620" s="4" t="str">
        <f>IFERROR(__xludf.DUMMYFUNCTION("""COMPUTED_VALUE"""),"HIKVISION")</f>
        <v>HIKVISION</v>
      </c>
      <c r="E620" s="4" t="str">
        <f>IFERROR(__xludf.DUMMYFUNCTION("""COMPUTED_VALUE"""),"DS-K1T321MFWX")</f>
        <v>DS-K1T321MFWX</v>
      </c>
      <c r="F620" s="4" t="str">
        <f>IFERROR(__xludf.DUMMYFUNCTION("""COMPUTED_VALUE"""),"CONTROL DE ACCESO &gt; CONTROL DE ACCESOS HIKVISION TERMINALES RECONOCIMIENTO FACIAL")</f>
        <v>CONTROL DE ACCESO &gt; CONTROL DE ACCESOS HIKVISION TERMINALES RECONOCIMIENTO FACIAL</v>
      </c>
      <c r="G620" s="5"/>
      <c r="H620" s="6">
        <f>IFERROR(__xludf.DUMMYFUNCTION("""COMPUTED_VALUE"""),136.4)</f>
        <v>136.4</v>
      </c>
      <c r="I620" s="7">
        <f>IFERROR(__xludf.DUMMYFUNCTION("""COMPUTED_VALUE"""),21.0)</f>
        <v>21</v>
      </c>
      <c r="J620" s="6">
        <f>IFERROR(__xludf.DUMMYFUNCTION("""COMPUTED_VALUE"""),163.68)</f>
        <v>163.68</v>
      </c>
      <c r="K620" s="6">
        <f>IFERROR(__xludf.DUMMYFUNCTION("""COMPUTED_VALUE"""),190.96)</f>
        <v>190.96</v>
      </c>
      <c r="L620" s="3"/>
      <c r="M620" s="3"/>
    </row>
    <row r="621" ht="48.0" customHeight="1">
      <c r="A621" s="3" t="str">
        <f>IFERROR(__xludf.DUMMYFUNCTION("""COMPUTED_VALUE"""),"DS-K1T323MBFWX-E1")</f>
        <v>DS-K1T323MBFWX-E1</v>
      </c>
      <c r="B621" s="4" t="str">
        <f>IFERROR(__xludf.DUMMYFUNCTION("""COMPUTED_VALUE"""),"CONTROL ACCESO FACIAL CON PANTALLA TFT DE 2")</f>
        <v>CONTROL ACCESO FACIAL CON PANTALLA TFT DE 2</v>
      </c>
      <c r="C621" s="4" t="str">
        <f>IFERROR(__xludf.DUMMYFUNCTION("""COMPUTED_VALUE"""),"Control Acceso Facial con pantalla TFT de 2.4″ camara de 2 MP alimentacion POE, capacidad 1,000 face capacity, 3000 card capacity, and 3000 fingerprint capacity. Audio doble via with client software, indoor station, and main station.. Conexion Bluetooth.")</f>
        <v>Control Acceso Facial con pantalla TFT de 2.4″ camara de 2 MP alimentacion POE, capacidad 1,000 face capacity, 3000 card capacity, and 3000 fingerprint capacity. Audio doble via with client software, indoor station, and main station.. Conexion Bluetooth.</v>
      </c>
      <c r="D621" s="4" t="str">
        <f>IFERROR(__xludf.DUMMYFUNCTION("""COMPUTED_VALUE"""),"HIKVISION")</f>
        <v>HIKVISION</v>
      </c>
      <c r="E621" s="4" t="str">
        <f>IFERROR(__xludf.DUMMYFUNCTION("""COMPUTED_VALUE"""),"DS-K1T323MBFWX-E1")</f>
        <v>DS-K1T323MBFWX-E1</v>
      </c>
      <c r="F621" s="4" t="str">
        <f>IFERROR(__xludf.DUMMYFUNCTION("""COMPUTED_VALUE"""),"CONTROL DE ACCESO &gt; CONTROL DE ACCESOS HIKVISION TERMINALES RECONOCIMIENTO FACIAL")</f>
        <v>CONTROL DE ACCESO &gt; CONTROL DE ACCESOS HIKVISION TERMINALES RECONOCIMIENTO FACIAL</v>
      </c>
      <c r="G621" s="5"/>
      <c r="H621" s="6">
        <f>IFERROR(__xludf.DUMMYFUNCTION("""COMPUTED_VALUE"""),232.1)</f>
        <v>232.1</v>
      </c>
      <c r="I621" s="7">
        <f>IFERROR(__xludf.DUMMYFUNCTION("""COMPUTED_VALUE"""),21.0)</f>
        <v>21</v>
      </c>
      <c r="J621" s="6">
        <f>IFERROR(__xludf.DUMMYFUNCTION("""COMPUTED_VALUE"""),278.52)</f>
        <v>278.52</v>
      </c>
      <c r="K621" s="6">
        <f>IFERROR(__xludf.DUMMYFUNCTION("""COMPUTED_VALUE"""),324.94)</f>
        <v>324.94</v>
      </c>
      <c r="L621" s="3"/>
      <c r="M621" s="3"/>
    </row>
    <row r="622" ht="48.0" customHeight="1">
      <c r="A622" s="3" t="str">
        <f>IFERROR(__xludf.DUMMYFUNCTION("""COMPUTED_VALUE"""),"DS-K1T323MBWX-QRE1")</f>
        <v>DS-K1T323MBWX-QRE1</v>
      </c>
      <c r="B622" s="4" t="str">
        <f>IFERROR(__xludf.DUMMYFUNCTION("""COMPUTED_VALUE"""),"CONTROL ACCESO FACIAL CON PANTALLA TFT DE 2")</f>
        <v>CONTROL ACCESO FACIAL CON PANTALLA TFT DE 2</v>
      </c>
      <c r="C622" s="4" t="str">
        <f>IFERROR(__xludf.DUMMYFUNCTION("""COMPUTED_VALUE"""),"Control Acceso Facial con pantalla TFT de 2.4″ camara de 2 MP alimentacion POE, capacidad 1,000 face capacity, 3000 card capacity. Audio doble via with client software, indoor station, and main station. conexion Bluetooth. Supports face, card, and QR code"&amp;" authentication")</f>
        <v>Control Acceso Facial con pantalla TFT de 2.4″ camara de 2 MP alimentacion POE, capacidad 1,000 face capacity, 3000 card capacity. Audio doble via with client software, indoor station, and main station. conexion Bluetooth. Supports face, card, and QR code authentication</v>
      </c>
      <c r="D622" s="4" t="str">
        <f>IFERROR(__xludf.DUMMYFUNCTION("""COMPUTED_VALUE"""),"HIKVISION")</f>
        <v>HIKVISION</v>
      </c>
      <c r="E622" s="4" t="str">
        <f>IFERROR(__xludf.DUMMYFUNCTION("""COMPUTED_VALUE"""),"DS-K1T323MBWX-QRE1")</f>
        <v>DS-K1T323MBWX-QRE1</v>
      </c>
      <c r="F622" s="4" t="str">
        <f>IFERROR(__xludf.DUMMYFUNCTION("""COMPUTED_VALUE"""),"CONTROL DE ACCESO &gt; CONTROL DE ACCESOS HIKVISION TERMINALES RECONOCIMIENTO FACIAL")</f>
        <v>CONTROL DE ACCESO &gt; CONTROL DE ACCESOS HIKVISION TERMINALES RECONOCIMIENTO FACIAL</v>
      </c>
      <c r="G622" s="5"/>
      <c r="H622" s="6">
        <f>IFERROR(__xludf.DUMMYFUNCTION("""COMPUTED_VALUE"""),225.5)</f>
        <v>225.5</v>
      </c>
      <c r="I622" s="7">
        <f>IFERROR(__xludf.DUMMYFUNCTION("""COMPUTED_VALUE"""),21.0)</f>
        <v>21</v>
      </c>
      <c r="J622" s="6">
        <f>IFERROR(__xludf.DUMMYFUNCTION("""COMPUTED_VALUE"""),270.6)</f>
        <v>270.6</v>
      </c>
      <c r="K622" s="6">
        <f>IFERROR(__xludf.DUMMYFUNCTION("""COMPUTED_VALUE"""),315.7)</f>
        <v>315.7</v>
      </c>
      <c r="L622" s="3"/>
      <c r="M622" s="3"/>
    </row>
    <row r="623" ht="48.0" customHeight="1">
      <c r="A623" s="3" t="str">
        <f>IFERROR(__xludf.DUMMYFUNCTION("""COMPUTED_VALUE"""),"DS-K1T342MFWX")</f>
        <v>DS-K1T342MFWX</v>
      </c>
      <c r="B623" s="4" t="str">
        <f>IFERROR(__xludf.DUMMYFUNCTION("""COMPUTED_VALUE"""),"TERMINAL DE RECONOCIMIENTO FACIAL, PANTALLA LCD TOUCH SCREEN DE 4")</f>
        <v>TERMINAL DE RECONOCIMIENTO FACIAL, PANTALLA LCD TOUCH SCREEN DE 4</v>
      </c>
      <c r="C623" s="4" t="str">
        <f>IFERROR(__xludf.DUMMYFUNCTION("""COMPUTED_VALUE"""),"Terminal de reconocimiento facial, pantalla LCD touch screen de 4.3-inch Camara de 2 Mega pixel gran angular, posee lector de proximidad Mifare y lector de huellas. Admite hasta 1500 rostros y 3000 huellas y 3000 tarjetas. Audio doble via con software cli"&amp;"ente, estacion interior y estacion master. Soporta TCP/IP, WiFi. IP65. Tasa de lectura facial &gt; 99% Tiempo (1:N) ≤0.2s Distancia de lectura facial: 0.3m ~ 3m")</f>
        <v>Terminal de reconocimiento facial, pantalla LCD touch screen de 4.3-inch Camara de 2 Mega pixel gran angular, posee lector de proximidad Mifare y lector de huellas. Admite hasta 1500 rostros y 3000 huellas y 3000 tarjetas. Audio doble via con software cliente, estacion interior y estacion master. Soporta TCP/IP, WiFi. IP65. Tasa de lectura facial &gt; 99% Tiempo (1:N) ≤0.2s Distancia de lectura facial: 0.3m ~ 3m</v>
      </c>
      <c r="D623" s="4" t="str">
        <f>IFERROR(__xludf.DUMMYFUNCTION("""COMPUTED_VALUE"""),"HIKVISION")</f>
        <v>HIKVISION</v>
      </c>
      <c r="E623" s="4" t="str">
        <f>IFERROR(__xludf.DUMMYFUNCTION("""COMPUTED_VALUE"""),"DS-K1T342MFWX")</f>
        <v>DS-K1T342MFWX</v>
      </c>
      <c r="F623" s="4" t="str">
        <f>IFERROR(__xludf.DUMMYFUNCTION("""COMPUTED_VALUE"""),"CONTROL DE ACCESO &gt; CONTROL DE ACCESOS HIKVISION TERMINALES RECONOCIMIENTO FACIAL")</f>
        <v>CONTROL DE ACCESO &gt; CONTROL DE ACCESOS HIKVISION TERMINALES RECONOCIMIENTO FACIAL</v>
      </c>
      <c r="G623" s="5"/>
      <c r="H623" s="6">
        <f>IFERROR(__xludf.DUMMYFUNCTION("""COMPUTED_VALUE"""),378.4)</f>
        <v>378.4</v>
      </c>
      <c r="I623" s="7">
        <f>IFERROR(__xludf.DUMMYFUNCTION("""COMPUTED_VALUE"""),10.5)</f>
        <v>10.5</v>
      </c>
      <c r="J623" s="6">
        <f>IFERROR(__xludf.DUMMYFUNCTION("""COMPUTED_VALUE"""),454.08)</f>
        <v>454.08</v>
      </c>
      <c r="K623" s="6">
        <f>IFERROR(__xludf.DUMMYFUNCTION("""COMPUTED_VALUE"""),529.76)</f>
        <v>529.76</v>
      </c>
      <c r="L623" s="3"/>
      <c r="M623" s="3"/>
    </row>
    <row r="624" ht="48.0" customHeight="1">
      <c r="A624" s="3" t="str">
        <f>IFERROR(__xludf.DUMMYFUNCTION("""COMPUTED_VALUE"""),"DS-K1T670MX-QR")</f>
        <v>DS-K1T670MX-QR</v>
      </c>
      <c r="B624" s="4" t="str">
        <f>IFERROR(__xludf.DUMMYFUNCTION("""COMPUTED_VALUE"""),"TERMINAL DE RECONOCIMIENTO FACIAL, PANTALLA LCD 7 PULGADAS TOUCH")</f>
        <v>TERMINAL DE RECONOCIMIENTO FACIAL, PANTALLA LCD 7 PULGADAS TOUCH</v>
      </c>
      <c r="C624" s="4" t="str">
        <f>IFERROR(__xludf.DUMMYFUNCTION("""COMPUTED_VALUE"""),"Terminal de reconocimiento facial, pantalla LCD 7 pulgadas touch screen,2 Mega pixel wide-angle lens Recognition distance: 0.3 to 3 m Face recognition duration ＜ 0.2 s/User Face recognition accuracy rate ≥ 99% Supports M1 card Face mask detection 6000 fac"&amp;"e capacity, 50,000 card capacity, and 150,000 event capacity Supports ISAPI, ISUP 5.0, TCP/IP (IPv4 and IPv6) QR code recognition")</f>
        <v>Terminal de reconocimiento facial, pantalla LCD 7 pulgadas touch screen,2 Mega pixel wide-angle lens Recognition distance: 0.3 to 3 m Face recognition duration ＜ 0.2 s/User Face recognition accuracy rate ≥ 99% Supports M1 card Face mask detection 6000 face capacity, 50,000 card capacity, and 150,000 event capacity Supports ISAPI, ISUP 5.0, TCP/IP (IPv4 and IPv6) QR code recognition</v>
      </c>
      <c r="D624" s="4" t="str">
        <f>IFERROR(__xludf.DUMMYFUNCTION("""COMPUTED_VALUE"""),"HIKVISION")</f>
        <v>HIKVISION</v>
      </c>
      <c r="E624" s="4" t="str">
        <f>IFERROR(__xludf.DUMMYFUNCTION("""COMPUTED_VALUE"""),"DS-K1T670MX-QR")</f>
        <v>DS-K1T670MX-QR</v>
      </c>
      <c r="F624" s="4" t="str">
        <f>IFERROR(__xludf.DUMMYFUNCTION("""COMPUTED_VALUE"""),"CONTROL DE ACCESO &gt; CONTROL DE ACCESOS HIKVISION TERMINALES RECONOCIMIENTO FACIAL")</f>
        <v>CONTROL DE ACCESO &gt; CONTROL DE ACCESOS HIKVISION TERMINALES RECONOCIMIENTO FACIAL</v>
      </c>
      <c r="G624" s="5"/>
      <c r="H624" s="6">
        <f>IFERROR(__xludf.DUMMYFUNCTION("""COMPUTED_VALUE"""),678.7)</f>
        <v>678.7</v>
      </c>
      <c r="I624" s="7">
        <f>IFERROR(__xludf.DUMMYFUNCTION("""COMPUTED_VALUE"""),10.5)</f>
        <v>10.5</v>
      </c>
      <c r="J624" s="6">
        <f>IFERROR(__xludf.DUMMYFUNCTION("""COMPUTED_VALUE"""),814.44)</f>
        <v>814.44</v>
      </c>
      <c r="K624" s="6">
        <f>IFERROR(__xludf.DUMMYFUNCTION("""COMPUTED_VALUE"""),950.18)</f>
        <v>950.18</v>
      </c>
      <c r="L624" s="3"/>
      <c r="M624" s="3"/>
    </row>
    <row r="625" ht="48.0" customHeight="1">
      <c r="A625" s="3" t="str">
        <f>IFERROR(__xludf.DUMMYFUNCTION("""COMPUTED_VALUE"""),"DS-K1T342MFWX-E1")</f>
        <v>DS-K1T342MFWX-E1</v>
      </c>
      <c r="B625" s="4" t="str">
        <f>IFERROR(__xludf.DUMMYFUNCTION("""COMPUTED_VALUE"""),"TERMINAL DE RECONOCIMIENTO FACIAL, 4")</f>
        <v>TERMINAL DE RECONOCIMIENTO FACIAL, 4</v>
      </c>
      <c r="C625" s="4" t="str">
        <f>IFERROR(__xludf.DUMMYFUNCTION("""COMPUTED_VALUE"""),"Terminal de reconocimiento facial, 4.3-inch LCD touch screen,2 Mega pixel wide-angle lens, Built-in M1 card reading module; Max.1,500 faces capacity ，Max.3,000 cards;Max.3,000 fingerprints capacity. Face recognition in dark environment.Two-way audio with "&amp;"client software, indoor station, and master station. Supports TCP/IP, WiFi,DC 12V/1A, Standard PoE. Supports ISUP5.0, ISAPI. Supports 6 attendance status, including check in, check out, break in, break out, overtime in, overtime out. multiple languages: E"&amp;"nglish, Spanish (South America) Configuration via the web client. Face Recognition Accuracy Rate &gt; 99%. Face Recognition Duration(1:N) ≤0.2s. Face Recognition Distance: 0.3m ~ 1.5m. IP65.")</f>
        <v>Terminal de reconocimiento facial, 4.3-inch LCD touch screen,2 Mega pixel wide-angle lens, Built-in M1 card reading module; Max.1,500 faces capacity ，Max.3,000 cards;Max.3,000 fingerprints capacity. Face recognition in dark environment.Two-way audio with client software, indoor station, and master station. Supports TCP/IP, WiFi,DC 12V/1A, Standard PoE. Supports ISUP5.0, ISAPI. Supports 6 attendance status, including check in, check out, break in, break out, overtime in, overtime out. multiple languages: English, Spanish (South America) Configuration via the web client. Face Recognition Accuracy Rate &gt; 99%. Face Recognition Duration(1:N) ≤0.2s. Face Recognition Distance: 0.3m ~ 1.5m. IP65.</v>
      </c>
      <c r="D625" s="4" t="str">
        <f>IFERROR(__xludf.DUMMYFUNCTION("""COMPUTED_VALUE"""),"HIKVISION")</f>
        <v>HIKVISION</v>
      </c>
      <c r="E625" s="4" t="str">
        <f>IFERROR(__xludf.DUMMYFUNCTION("""COMPUTED_VALUE"""),"DS-K1T342MFWX-E1")</f>
        <v>DS-K1T342MFWX-E1</v>
      </c>
      <c r="F625" s="4" t="str">
        <f>IFERROR(__xludf.DUMMYFUNCTION("""COMPUTED_VALUE"""),"CONTROL DE ACCESO &gt; CONTROL DE ACCESOS HIKVISION TERMINALES RECONOCIMIENTO FACIAL")</f>
        <v>CONTROL DE ACCESO &gt; CONTROL DE ACCESOS HIKVISION TERMINALES RECONOCIMIENTO FACIAL</v>
      </c>
      <c r="G625" s="5"/>
      <c r="H625" s="6">
        <f>IFERROR(__xludf.DUMMYFUNCTION("""COMPUTED_VALUE"""),389.4)</f>
        <v>389.4</v>
      </c>
      <c r="I625" s="7">
        <f>IFERROR(__xludf.DUMMYFUNCTION("""COMPUTED_VALUE"""),21.0)</f>
        <v>21</v>
      </c>
      <c r="J625" s="6">
        <f>IFERROR(__xludf.DUMMYFUNCTION("""COMPUTED_VALUE"""),467.28)</f>
        <v>467.28</v>
      </c>
      <c r="K625" s="6">
        <f>IFERROR(__xludf.DUMMYFUNCTION("""COMPUTED_VALUE"""),545.16)</f>
        <v>545.16</v>
      </c>
      <c r="L625" s="3"/>
      <c r="M625" s="3"/>
    </row>
    <row r="626" ht="48.0" customHeight="1">
      <c r="A626" s="3" t="str">
        <f>IFERROR(__xludf.DUMMYFUNCTION("""COMPUTED_VALUE"""),"DS-K1T341CMF")</f>
        <v>DS-K1T341CMF</v>
      </c>
      <c r="B626" s="4" t="str">
        <f>IFERROR(__xludf.DUMMYFUNCTION("""COMPUTED_VALUE"""),"TERMINAL DE RECONOCIMIENTO FACIAL, 4")</f>
        <v>TERMINAL DE RECONOCIMIENTO FACIAL, 4</v>
      </c>
      <c r="C626" s="4" t="str">
        <f>IFERROR(__xludf.DUMMYFUNCTION("""COMPUTED_VALUE"""),"Terminal de reconocimiento facial, 4.3-inch LCD touch screen,2 Mega pixel wide-angle lens,Built-in M1 card reading module; Max.3000 faces capacity and Max.3000 fingerprints capacity, Max.3000 cards; Face recognition in dark environment Two-way audio with "&amp;"client software, indoor station, and master station. Supports TCP/IP, DC 12V/2A. Supports ISUP5.0, ISAPI. Configuration via the web client. Supports 6 attendance status, including check in, check out, break in, break out, overtime in, overtime out. multip"&amp;"le languages: English, Spanish. IP65. Face Recognition Accuracy Rate &gt; 99%. Face Recognition Duration(1:N) ≤0.2s. Face Recognition Distance: 0.3m ~ 1.5m. Fingerprint devices are recommended for using in indoor environment.")</f>
        <v>Terminal de reconocimiento facial, 4.3-inch LCD touch screen,2 Mega pixel wide-angle lens,Built-in M1 card reading module; Max.3000 faces capacity and Max.3000 fingerprints capacity, Max.3000 cards; Face recognition in dark environment Two-way audio with client software, indoor station, and master station. Supports TCP/IP, DC 12V/2A. Supports ISUP5.0, ISAPI. Configuration via the web client. Supports 6 attendance status, including check in, check out, break in, break out, overtime in, overtime out. multiple languages: English, Spanish. IP65. Face Recognition Accuracy Rate &gt; 99%. Face Recognition Duration(1:N) ≤0.2s. Face Recognition Distance: 0.3m ~ 1.5m. Fingerprint devices are recommended for using in indoor environment.</v>
      </c>
      <c r="D626" s="4" t="str">
        <f>IFERROR(__xludf.DUMMYFUNCTION("""COMPUTED_VALUE"""),"HIKVISION")</f>
        <v>HIKVISION</v>
      </c>
      <c r="E626" s="4" t="str">
        <f>IFERROR(__xludf.DUMMYFUNCTION("""COMPUTED_VALUE"""),"DS-K1T341CMF")</f>
        <v>DS-K1T341CMF</v>
      </c>
      <c r="F626" s="4" t="str">
        <f>IFERROR(__xludf.DUMMYFUNCTION("""COMPUTED_VALUE"""),"CONTROL DE ACCESO &gt; CONTROL DE ACCESOS HIKVISION TERMINALES RECONOCIMIENTO FACIAL")</f>
        <v>CONTROL DE ACCESO &gt; CONTROL DE ACCESOS HIKVISION TERMINALES RECONOCIMIENTO FACIAL</v>
      </c>
      <c r="G626" s="5"/>
      <c r="H626" s="6">
        <f>IFERROR(__xludf.DUMMYFUNCTION("""COMPUTED_VALUE"""),424.6)</f>
        <v>424.6</v>
      </c>
      <c r="I626" s="7">
        <f>IFERROR(__xludf.DUMMYFUNCTION("""COMPUTED_VALUE"""),21.0)</f>
        <v>21</v>
      </c>
      <c r="J626" s="6">
        <f>IFERROR(__xludf.DUMMYFUNCTION("""COMPUTED_VALUE"""),509.52)</f>
        <v>509.52</v>
      </c>
      <c r="K626" s="6">
        <f>IFERROR(__xludf.DUMMYFUNCTION("""COMPUTED_VALUE"""),594.44)</f>
        <v>594.44</v>
      </c>
      <c r="L626" s="3"/>
      <c r="M626" s="3"/>
    </row>
    <row r="627" ht="48.0" customHeight="1">
      <c r="A627" s="3" t="str">
        <f>IFERROR(__xludf.DUMMYFUNCTION("""COMPUTED_VALUE"""),"DSK1T331")</f>
        <v>DSK1T331</v>
      </c>
      <c r="B627" s="4" t="str">
        <f>IFERROR(__xludf.DUMMYFUNCTION("""COMPUTED_VALUE"""),"TERMINAL DE RECONOCIMIENTO FACIAL, PANTALLA LCD TOUCH SCREEN DE")</f>
        <v>TERMINAL DE RECONOCIMIENTO FACIAL, PANTALLA LCD TOUCH SCREEN DE</v>
      </c>
      <c r="C627" s="4" t="str">
        <f>IFERROR(__xludf.DUMMYFUNCTION("""COMPUTED_VALUE"""),"Terminal de reconocimiento facial, pantalla LCD touch screen de 3,97 pulgadas ,Camara de 2 Mega pixel gran angular, admite hasta 300 rostros; Comunicacion TCP/IP, alimentacion DC 12V/2A Posee 6 diferentes estados para control de horarios (Ingreso, egreso,"&amp;" break in, break out y control de horas extras). Uso interior")</f>
        <v>Terminal de reconocimiento facial, pantalla LCD touch screen de 3,97 pulgadas ,Camara de 2 Mega pixel gran angular, admite hasta 300 rostros; Comunicacion TCP/IP, alimentacion DC 12V/2A Posee 6 diferentes estados para control de horarios (Ingreso, egreso, break in, break out y control de horas extras). Uso interior</v>
      </c>
      <c r="D627" s="4" t="str">
        <f>IFERROR(__xludf.DUMMYFUNCTION("""COMPUTED_VALUE"""),"HIKVISION")</f>
        <v>HIKVISION</v>
      </c>
      <c r="E627" s="4" t="str">
        <f>IFERROR(__xludf.DUMMYFUNCTION("""COMPUTED_VALUE"""),"DSK1T331")</f>
        <v>DSK1T331</v>
      </c>
      <c r="F627" s="4" t="str">
        <f>IFERROR(__xludf.DUMMYFUNCTION("""COMPUTED_VALUE"""),"CONTROL DE ACCESO &gt; CONTROL DE ACCESOS HIKVISION TERMINALES RECONOCIMIENTO FACIAL")</f>
        <v>CONTROL DE ACCESO &gt; CONTROL DE ACCESOS HIKVISION TERMINALES RECONOCIMIENTO FACIAL</v>
      </c>
      <c r="G627" s="5"/>
      <c r="H627" s="6">
        <f>IFERROR(__xludf.DUMMYFUNCTION("""COMPUTED_VALUE"""),271.7)</f>
        <v>271.7</v>
      </c>
      <c r="I627" s="7">
        <f>IFERROR(__xludf.DUMMYFUNCTION("""COMPUTED_VALUE"""),10.5)</f>
        <v>10.5</v>
      </c>
      <c r="J627" s="6">
        <f>IFERROR(__xludf.DUMMYFUNCTION("""COMPUTED_VALUE"""),326.04)</f>
        <v>326.04</v>
      </c>
      <c r="K627" s="6">
        <f>IFERROR(__xludf.DUMMYFUNCTION("""COMPUTED_VALUE"""),380.38)</f>
        <v>380.38</v>
      </c>
      <c r="L627" s="3"/>
      <c r="M627" s="3"/>
    </row>
    <row r="628" ht="48.0" customHeight="1">
      <c r="A628" s="3" t="str">
        <f>IFERROR(__xludf.DUMMYFUNCTION("""COMPUTED_VALUE"""),"DSK1A340WX")</f>
        <v>DSK1A340WX</v>
      </c>
      <c r="B628" s="4" t="str">
        <f>IFERROR(__xludf.DUMMYFUNCTION("""COMPUTED_VALUE"""),"TERMINAL DE RECONOCIMIENTO FACIAL WIFI, PANTALLA LCD TOUCH SCREEN")</f>
        <v>TERMINAL DE RECONOCIMIENTO FACIAL WIFI, PANTALLA LCD TOUCH SCREEN</v>
      </c>
      <c r="C628" s="4" t="str">
        <f>IFERROR(__xludf.DUMMYFUNCTION("""COMPUTED_VALUE"""),"Terminal de reconocimiento facial WIFI, pantalla LCD touch screen de 4.3-inch Camara de 2 Mega pixel gran angular, admite hasta 1500 rostros. Soporta – WiFi , DC 12V/3A no posee apertura de puerta. No es compatible con IVMS4200")</f>
        <v>Terminal de reconocimiento facial WIFI, pantalla LCD touch screen de 4.3-inch Camara de 2 Mega pixel gran angular, admite hasta 1500 rostros. Soporta – WiFi , DC 12V/3A no posee apertura de puerta. No es compatible con IVMS4200</v>
      </c>
      <c r="D628" s="4" t="str">
        <f>IFERROR(__xludf.DUMMYFUNCTION("""COMPUTED_VALUE"""),"HIKVISION")</f>
        <v>HIKVISION</v>
      </c>
      <c r="E628" s="4" t="str">
        <f>IFERROR(__xludf.DUMMYFUNCTION("""COMPUTED_VALUE"""),"DSK1A340WX")</f>
        <v>DSK1A340WX</v>
      </c>
      <c r="F628" s="4" t="str">
        <f>IFERROR(__xludf.DUMMYFUNCTION("""COMPUTED_VALUE"""),"CONTROL DE ACCESO &gt; CONTROL DE ACCESOS HIKVISION TERMINALES RECONOCIMIENTO FACIAL")</f>
        <v>CONTROL DE ACCESO &gt; CONTROL DE ACCESOS HIKVISION TERMINALES RECONOCIMIENTO FACIAL</v>
      </c>
      <c r="G628" s="5"/>
      <c r="H628" s="6">
        <f>IFERROR(__xludf.DUMMYFUNCTION("""COMPUTED_VALUE"""),141.9)</f>
        <v>141.9</v>
      </c>
      <c r="I628" s="7">
        <f>IFERROR(__xludf.DUMMYFUNCTION("""COMPUTED_VALUE"""),21.0)</f>
        <v>21</v>
      </c>
      <c r="J628" s="6">
        <f>IFERROR(__xludf.DUMMYFUNCTION("""COMPUTED_VALUE"""),170.28)</f>
        <v>170.28</v>
      </c>
      <c r="K628" s="6">
        <f>IFERROR(__xludf.DUMMYFUNCTION("""COMPUTED_VALUE"""),198.66)</f>
        <v>198.66</v>
      </c>
      <c r="L628" s="3"/>
      <c r="M628" s="3"/>
    </row>
    <row r="629" ht="48.0" customHeight="1">
      <c r="A629" s="3" t="str">
        <f>IFERROR(__xludf.DUMMYFUNCTION("""COMPUTED_VALUE"""),"DS-K1T343MX")</f>
        <v>DS-K1T343MX</v>
      </c>
      <c r="B629" s="4" t="str">
        <f>IFERROR(__xludf.DUMMYFUNCTION("""COMPUTED_VALUE"""),"TERMINAL DE RECONOCIMIENTO FACIAL, PANTALLA LCD TOUCH SCREEN DE 4")</f>
        <v>TERMINAL DE RECONOCIMIENTO FACIAL, PANTALLA LCD TOUCH SCREEN DE 4</v>
      </c>
      <c r="C629" s="4" t="str">
        <f>IFERROR(__xludf.DUMMYFUNCTION("""COMPUTED_VALUE"""),"Terminal de reconocimiento facial, pantalla LCD touch screen de 4.3-inch Camara de 2 Mega pixel gran angular, posee lector de proximidad Mifare admite hasta 1500 rostros y 3000 tarjetas. Audio doble via con software cliente, estacion interior y estacion m"&amp;"aster. Soporta TCP/IP, DC 12V/3A")</f>
        <v>Terminal de reconocimiento facial, pantalla LCD touch screen de 4.3-inch Camara de 2 Mega pixel gran angular, posee lector de proximidad Mifare admite hasta 1500 rostros y 3000 tarjetas. Audio doble via con software cliente, estacion interior y estacion master. Soporta TCP/IP, DC 12V/3A</v>
      </c>
      <c r="D629" s="4" t="str">
        <f>IFERROR(__xludf.DUMMYFUNCTION("""COMPUTED_VALUE"""),"HIKVISION")</f>
        <v>HIKVISION</v>
      </c>
      <c r="E629" s="4" t="str">
        <f>IFERROR(__xludf.DUMMYFUNCTION("""COMPUTED_VALUE"""),"DS-K1T343MX")</f>
        <v>DS-K1T343MX</v>
      </c>
      <c r="F629" s="4" t="str">
        <f>IFERROR(__xludf.DUMMYFUNCTION("""COMPUTED_VALUE"""),"CONTROL DE ACCESO &gt; CONTROL DE ACCESOS HIKVISION TERMINALES RECONOCIMIENTO FACIAL")</f>
        <v>CONTROL DE ACCESO &gt; CONTROL DE ACCESOS HIKVISION TERMINALES RECONOCIMIENTO FACIAL</v>
      </c>
      <c r="G629" s="5"/>
      <c r="H629" s="6">
        <f>IFERROR(__xludf.DUMMYFUNCTION("""COMPUTED_VALUE"""),243.1)</f>
        <v>243.1</v>
      </c>
      <c r="I629" s="7">
        <f>IFERROR(__xludf.DUMMYFUNCTION("""COMPUTED_VALUE"""),21.0)</f>
        <v>21</v>
      </c>
      <c r="J629" s="6">
        <f>IFERROR(__xludf.DUMMYFUNCTION("""COMPUTED_VALUE"""),291.72)</f>
        <v>291.72</v>
      </c>
      <c r="K629" s="6">
        <f>IFERROR(__xludf.DUMMYFUNCTION("""COMPUTED_VALUE"""),340.34)</f>
        <v>340.34</v>
      </c>
      <c r="L629" s="3"/>
      <c r="M629" s="3"/>
    </row>
    <row r="630" ht="48.0" customHeight="1">
      <c r="A630" s="3" t="str">
        <f>IFERROR(__xludf.DUMMYFUNCTION("""COMPUTED_VALUE"""),"DS-K1T343MWX")</f>
        <v>DS-K1T343MWX</v>
      </c>
      <c r="B630" s="4" t="str">
        <f>IFERROR(__xludf.DUMMYFUNCTION("""COMPUTED_VALUE"""),"TERMINAL DE RECONOCIMIENTO FACIAL WIFI, PANTALLA LCD TOUCH SCREEN")</f>
        <v>TERMINAL DE RECONOCIMIENTO FACIAL WIFI, PANTALLA LCD TOUCH SCREEN</v>
      </c>
      <c r="C630" s="4" t="str">
        <f>IFERROR(__xludf.DUMMYFUNCTION("""COMPUTED_VALUE"""),"Terminal de reconocimiento facial WIFI, pantalla LCD touch screen de 4.3-inch Camara de 2 Mega pixel gran angular, posee lectro de proximidad Mifare admite hasta 1500 rostros y 3000 tarjetas. Audio doble via con software cliente, estacion interior y estac"&amp;"ion master. Soporta TCP/IP – WiFi , DC 12V/3A")</f>
        <v>Terminal de reconocimiento facial WIFI, pantalla LCD touch screen de 4.3-inch Camara de 2 Mega pixel gran angular, posee lectro de proximidad Mifare admite hasta 1500 rostros y 3000 tarjetas. Audio doble via con software cliente, estacion interior y estacion master. Soporta TCP/IP – WiFi , DC 12V/3A</v>
      </c>
      <c r="D630" s="4" t="str">
        <f>IFERROR(__xludf.DUMMYFUNCTION("""COMPUTED_VALUE"""),"HIKVISION")</f>
        <v>HIKVISION</v>
      </c>
      <c r="E630" s="4" t="str">
        <f>IFERROR(__xludf.DUMMYFUNCTION("""COMPUTED_VALUE"""),"DS-K1T343MWX")</f>
        <v>DS-K1T343MWX</v>
      </c>
      <c r="F630" s="4" t="str">
        <f>IFERROR(__xludf.DUMMYFUNCTION("""COMPUTED_VALUE"""),"CONTROL DE ACCESO &gt; CONTROL DE ACCESOS HIKVISION TERMINALES RECONOCIMIENTO FACIAL")</f>
        <v>CONTROL DE ACCESO &gt; CONTROL DE ACCESOS HIKVISION TERMINALES RECONOCIMIENTO FACIAL</v>
      </c>
      <c r="G630" s="5"/>
      <c r="H630" s="6">
        <f>IFERROR(__xludf.DUMMYFUNCTION("""COMPUTED_VALUE"""),265.1)</f>
        <v>265.1</v>
      </c>
      <c r="I630" s="7">
        <f>IFERROR(__xludf.DUMMYFUNCTION("""COMPUTED_VALUE"""),21.0)</f>
        <v>21</v>
      </c>
      <c r="J630" s="6">
        <f>IFERROR(__xludf.DUMMYFUNCTION("""COMPUTED_VALUE"""),318.12)</f>
        <v>318.12</v>
      </c>
      <c r="K630" s="6">
        <f>IFERROR(__xludf.DUMMYFUNCTION("""COMPUTED_VALUE"""),371.14)</f>
        <v>371.14</v>
      </c>
      <c r="L630" s="3"/>
      <c r="M630" s="3"/>
    </row>
    <row r="631" ht="48.0" customHeight="1">
      <c r="A631" s="3" t="str">
        <f>IFERROR(__xludf.DUMMYFUNCTION("""COMPUTED_VALUE"""),"DS-K1T343MFWX")</f>
        <v>DS-K1T343MFWX</v>
      </c>
      <c r="B631" s="4" t="str">
        <f>IFERROR(__xludf.DUMMYFUNCTION("""COMPUTED_VALUE"""),"TERMINAL DE RECONOCIMIENTO FACIAL, DE 4")</f>
        <v>TERMINAL DE RECONOCIMIENTO FACIAL, DE 4</v>
      </c>
      <c r="C631" s="4" t="str">
        <f>IFERROR(__xludf.DUMMYFUNCTION("""COMPUTED_VALUE"""),"Terminal de reconocimiento facial, de 4.3 pulgadas, cámara de 2 Mega pixel wide-angle lens, Lector de tarjetas; Max.1500 rostros Max.3,000 huellas，Max.3,000 tarjetas; Reconocimiento facial en la oscuridad. Conexión TCP/IP,WiFi, DC 12V/1A. Soporta protocol"&amp;"o ISUP5.0, ISAPI. Soporta conexión a secure door o lector de tarjetas via RS-485. Posee 6 modos de tiempo y asistencia : check in, check out, break in, break out, overtime in, overtime out. Múltiples lenguajes English, Spanish (South America). Configurabl"&amp;"e a traves de la web. Face Recognition Accuracy Rate &gt; 99% Face Recognition Duration(1:N) ≤0.2s Face Recognition Distance: 0.3m ~ 1.5m. Uso interior. Two-way audio with client software, indoor station, and master station")</f>
        <v>Terminal de reconocimiento facial, de 4.3 pulgadas, cámara de 2 Mega pixel wide-angle lens, Lector de tarjetas; Max.1500 rostros Max.3,000 huellas，Max.3,000 tarjetas; Reconocimiento facial en la oscuridad. Conexión TCP/IP,WiFi, DC 12V/1A. Soporta protocolo ISUP5.0, ISAPI. Soporta conexión a secure door o lector de tarjetas via RS-485. Posee 6 modos de tiempo y asistencia : check in, check out, break in, break out, overtime in, overtime out. Múltiples lenguajes English, Spanish (South America). Configurable a traves de la web. Face Recognition Accuracy Rate &gt; 99% Face Recognition Duration(1:N) ≤0.2s Face Recognition Distance: 0.3m ~ 1.5m. Uso interior. Two-way audio with client software, indoor station, and master station</v>
      </c>
      <c r="D631" s="4" t="str">
        <f>IFERROR(__xludf.DUMMYFUNCTION("""COMPUTED_VALUE"""),"HIKVISION")</f>
        <v>HIKVISION</v>
      </c>
      <c r="E631" s="4" t="str">
        <f>IFERROR(__xludf.DUMMYFUNCTION("""COMPUTED_VALUE"""),"DS-K1T343MFWX")</f>
        <v>DS-K1T343MFWX</v>
      </c>
      <c r="F631" s="4" t="str">
        <f>IFERROR(__xludf.DUMMYFUNCTION("""COMPUTED_VALUE"""),"CONTROL DE ACCESO &gt; CONTROL DE ACCESOS HIKVISION TERMINALES RECONOCIMIENTO FACIAL")</f>
        <v>CONTROL DE ACCESO &gt; CONTROL DE ACCESOS HIKVISION TERMINALES RECONOCIMIENTO FACIAL</v>
      </c>
      <c r="G631" s="5"/>
      <c r="H631" s="6">
        <f>IFERROR(__xludf.DUMMYFUNCTION("""COMPUTED_VALUE"""),301.4)</f>
        <v>301.4</v>
      </c>
      <c r="I631" s="7">
        <f>IFERROR(__xludf.DUMMYFUNCTION("""COMPUTED_VALUE"""),21.0)</f>
        <v>21</v>
      </c>
      <c r="J631" s="6">
        <f>IFERROR(__xludf.DUMMYFUNCTION("""COMPUTED_VALUE"""),361.68)</f>
        <v>361.68</v>
      </c>
      <c r="K631" s="6">
        <f>IFERROR(__xludf.DUMMYFUNCTION("""COMPUTED_VALUE"""),421.96)</f>
        <v>421.96</v>
      </c>
      <c r="L631" s="3"/>
      <c r="M631" s="3"/>
    </row>
    <row r="632" ht="48.0" customHeight="1">
      <c r="A632" s="3" t="str">
        <f>IFERROR(__xludf.DUMMYFUNCTION("""COMPUTED_VALUE"""),"DS-K1T344MBWX-E1")</f>
        <v>DS-K1T344MBWX-E1</v>
      </c>
      <c r="B632" s="4" t="str">
        <f>IFERROR(__xludf.DUMMYFUNCTION("""COMPUTED_VALUE"""),"TERMINAL DE ACCESO FACIAL CON PANTALLA TÁCTIL LCD DE 4")</f>
        <v>TERMINAL DE ACCESO FACIAL CON PANTALLA TÁCTIL LCD DE 4</v>
      </c>
      <c r="C632" s="4" t="str">
        <f>IFERROR(__xludf.DUMMYFUNCTION("""COMPUTED_VALUE"""),"Terminal de acceso facial con pantalla táctil LCD de 4.5 pulgadas, Camara de 2MP. lectura de tarjetas. Capacidad máxima de 3000 caras y tarjetas máximas de 3000. Admite autenticación de rostro, tarjeta y PIN. Audio bidireccional. Botón físico y el botón t"&amp;"áctil son compatibles.Alimentacion PoE y(12 VCC/1 A")</f>
        <v>Terminal de acceso facial con pantalla táctil LCD de 4.5 pulgadas, Camara de 2MP. lectura de tarjetas. Capacidad máxima de 3000 caras y tarjetas máximas de 3000. Admite autenticación de rostro, tarjeta y PIN. Audio bidireccional. Botón físico y el botón táctil son compatibles.Alimentacion PoE y(12 VCC/1 A</v>
      </c>
      <c r="D632" s="4" t="str">
        <f>IFERROR(__xludf.DUMMYFUNCTION("""COMPUTED_VALUE"""),"HIKVISION")</f>
        <v>HIKVISION</v>
      </c>
      <c r="E632" s="4" t="str">
        <f>IFERROR(__xludf.DUMMYFUNCTION("""COMPUTED_VALUE"""),"DS-K1T344MBWX-E1")</f>
        <v>DS-K1T344MBWX-E1</v>
      </c>
      <c r="F632" s="4" t="str">
        <f>IFERROR(__xludf.DUMMYFUNCTION("""COMPUTED_VALUE"""),"CONTROL DE ACCESO &gt; CONTROL DE ACCESOS HIKVISION TERMINALES RECONOCIMIENTO FACIAL")</f>
        <v>CONTROL DE ACCESO &gt; CONTROL DE ACCESOS HIKVISION TERMINALES RECONOCIMIENTO FACIAL</v>
      </c>
      <c r="G632" s="5"/>
      <c r="H632" s="6">
        <f>IFERROR(__xludf.DUMMYFUNCTION("""COMPUTED_VALUE"""),413.6)</f>
        <v>413.6</v>
      </c>
      <c r="I632" s="7">
        <f>IFERROR(__xludf.DUMMYFUNCTION("""COMPUTED_VALUE"""),21.0)</f>
        <v>21</v>
      </c>
      <c r="J632" s="6">
        <f>IFERROR(__xludf.DUMMYFUNCTION("""COMPUTED_VALUE"""),496.32)</f>
        <v>496.32</v>
      </c>
      <c r="K632" s="6">
        <f>IFERROR(__xludf.DUMMYFUNCTION("""COMPUTED_VALUE"""),579.04)</f>
        <v>579.04</v>
      </c>
      <c r="L632" s="3"/>
      <c r="M632" s="3"/>
    </row>
    <row r="633" ht="48.0" customHeight="1">
      <c r="A633" s="3" t="str">
        <f>IFERROR(__xludf.DUMMYFUNCTION("""COMPUTED_VALUE"""),"DSK1T642MW")</f>
        <v>DSK1T642MW</v>
      </c>
      <c r="B633" s="4" t="str">
        <f>IFERROR(__xludf.DUMMYFUNCTION("""COMPUTED_VALUE"""),"TERMINAL DE RECONOCIMIENTO FACIAL, PANTALLA LCD TOUCH SCREEN DE 4")</f>
        <v>TERMINAL DE RECONOCIMIENTO FACIAL, PANTALLA LCD TOUCH SCREEN DE 4</v>
      </c>
      <c r="C633" s="4" t="str">
        <f>IFERROR(__xludf.DUMMYFUNCTION("""COMPUTED_VALUE"""),"Terminal de reconocimiento facial, pantalla LCD touch screen de 4.3 pulgadas , Camara de 2 Mega pixel gran angular, Lector RFID Mifare; Max.6000 rostros y Max.10000 tarjetas Soporta TCP/IP,WIFI, DC 12V/2A; Ehome 5.0 (ISUP5.0), ISAPI;Posee 6 diferentes est"&amp;"ados para control de horarios ( Ingreso, egreso, break in, break out y control de horas extras). Uso interior")</f>
        <v>Terminal de reconocimiento facial, pantalla LCD touch screen de 4.3 pulgadas , Camara de 2 Mega pixel gran angular, Lector RFID Mifare; Max.6000 rostros y Max.10000 tarjetas Soporta TCP/IP,WIFI, DC 12V/2A; Ehome 5.0 (ISUP5.0), ISAPI;Posee 6 diferentes estados para control de horarios ( Ingreso, egreso, break in, break out y control de horas extras). Uso interior</v>
      </c>
      <c r="D633" s="4" t="str">
        <f>IFERROR(__xludf.DUMMYFUNCTION("""COMPUTED_VALUE"""),"HIKVISION")</f>
        <v>HIKVISION</v>
      </c>
      <c r="E633" s="4" t="str">
        <f>IFERROR(__xludf.DUMMYFUNCTION("""COMPUTED_VALUE"""),"DSK1T642MW")</f>
        <v>DSK1T642MW</v>
      </c>
      <c r="F633" s="4" t="str">
        <f>IFERROR(__xludf.DUMMYFUNCTION("""COMPUTED_VALUE"""),"CONTROL DE ACCESO &gt; CONTROL DE ACCESOS HIKVISION TERMINALES RECONOCIMIENTO FACIAL")</f>
        <v>CONTROL DE ACCESO &gt; CONTROL DE ACCESOS HIKVISION TERMINALES RECONOCIMIENTO FACIAL</v>
      </c>
      <c r="G633" s="5"/>
      <c r="H633" s="6">
        <f>IFERROR(__xludf.DUMMYFUNCTION("""COMPUTED_VALUE"""),609.4)</f>
        <v>609.4</v>
      </c>
      <c r="I633" s="7">
        <f>IFERROR(__xludf.DUMMYFUNCTION("""COMPUTED_VALUE"""),10.5)</f>
        <v>10.5</v>
      </c>
      <c r="J633" s="6">
        <f>IFERROR(__xludf.DUMMYFUNCTION("""COMPUTED_VALUE"""),731.28)</f>
        <v>731.28</v>
      </c>
      <c r="K633" s="6">
        <f>IFERROR(__xludf.DUMMYFUNCTION("""COMPUTED_VALUE"""),853.16)</f>
        <v>853.16</v>
      </c>
      <c r="L633" s="3"/>
      <c r="M633" s="3"/>
    </row>
    <row r="634" ht="48.0" customHeight="1">
      <c r="A634" s="3" t="str">
        <f>IFERROR(__xludf.DUMMYFUNCTION("""COMPUTED_VALUE"""),"DSK1T671MF")</f>
        <v>DSK1T671MF</v>
      </c>
      <c r="B634" s="4" t="str">
        <f>IFERROR(__xludf.DUMMYFUNCTION("""COMPUTED_VALUE"""),"TERMINAL DE RECONOCIMIENTO FACIAL, PANTALLA LCD TOUCH SCREEN DE")</f>
        <v>TERMINAL DE RECONOCIMIENTO FACIAL, PANTALLA LCD TOUCH SCREEN DE</v>
      </c>
      <c r="C634" s="4" t="str">
        <f>IFERROR(__xludf.DUMMYFUNCTION("""COMPUTED_VALUE"""),"Terminal de reconocimiento facial, pantalla LCD touch screen de 7 pulgadas. Camara de 2 Mega pixel gran angular posee lector de proximidad Mifare. Admite hasta 6000 rostros y 5000 huella. Capacidad de hasta 6000 tarjetas; Audio doble via con software clie"&amp;"nte, estacion interior y estacion master. Soporta TCP/IP, DC 12V/3A Posee 6 diferentes estados para control de horarios ( Ingreso, egreso, break in, break out y control de horas extras) IP65. Tasa de lectura facial &gt; 99% Tiempo (1:N) ≤0.2s Distancia de le"&amp;"ctura facial: 0.3m ~ 3m. Uso interior")</f>
        <v>Terminal de reconocimiento facial, pantalla LCD touch screen de 7 pulgadas. Camara de 2 Mega pixel gran angular posee lector de proximidad Mifare. Admite hasta 6000 rostros y 5000 huella. Capacidad de hasta 6000 tarjetas; Audio doble via con software cliente, estacion interior y estacion master. Soporta TCP/IP, DC 12V/3A Posee 6 diferentes estados para control de horarios ( Ingreso, egreso, break in, break out y control de horas extras) IP65. Tasa de lectura facial &gt; 99% Tiempo (1:N) ≤0.2s Distancia de lectura facial: 0.3m ~ 3m. Uso interior</v>
      </c>
      <c r="D634" s="4" t="str">
        <f>IFERROR(__xludf.DUMMYFUNCTION("""COMPUTED_VALUE"""),"HIKVISION")</f>
        <v>HIKVISION</v>
      </c>
      <c r="E634" s="4" t="str">
        <f>IFERROR(__xludf.DUMMYFUNCTION("""COMPUTED_VALUE"""),"DSK1T671MF")</f>
        <v>DSK1T671MF</v>
      </c>
      <c r="F634" s="4" t="str">
        <f>IFERROR(__xludf.DUMMYFUNCTION("""COMPUTED_VALUE"""),"CONTROL DE ACCESO &gt; CONTROL DE ACCESOS HIKVISION TERMINALES RECONOCIMIENTO FACIAL")</f>
        <v>CONTROL DE ACCESO &gt; CONTROL DE ACCESOS HIKVISION TERMINALES RECONOCIMIENTO FACIAL</v>
      </c>
      <c r="G634" s="5"/>
      <c r="H634" s="6">
        <f>IFERROR(__xludf.DUMMYFUNCTION("""COMPUTED_VALUE"""),891.0)</f>
        <v>891</v>
      </c>
      <c r="I634" s="7">
        <f>IFERROR(__xludf.DUMMYFUNCTION("""COMPUTED_VALUE"""),21.0)</f>
        <v>21</v>
      </c>
      <c r="J634" s="6">
        <f>IFERROR(__xludf.DUMMYFUNCTION("""COMPUTED_VALUE"""),1069.2)</f>
        <v>1069.2</v>
      </c>
      <c r="K634" s="6">
        <f>IFERROR(__xludf.DUMMYFUNCTION("""COMPUTED_VALUE"""),1247.4)</f>
        <v>1247.4</v>
      </c>
      <c r="L634" s="3"/>
      <c r="M634" s="3"/>
    </row>
    <row r="635" ht="48.0" customHeight="1">
      <c r="A635" s="3" t="str">
        <f>IFERROR(__xludf.DUMMYFUNCTION("""COMPUTED_VALUE"""),"DSKAB671F")</f>
        <v>DSKAB671F</v>
      </c>
      <c r="B635" s="4" t="str">
        <f>IFERROR(__xludf.DUMMYFUNCTION("""COMPUTED_VALUE"""),"MODULO DE LECTOR DE HUELLA PARA ADICIONAR A DS-K1T671")</f>
        <v>MODULO DE LECTOR DE HUELLA PARA ADICIONAR A DS-K1T671</v>
      </c>
      <c r="C635" s="4" t="str">
        <f>IFERROR(__xludf.DUMMYFUNCTION("""COMPUTED_VALUE"""),"Modulo de lector de huella para adicionar a DS-K1T671")</f>
        <v>Modulo de lector de huella para adicionar a DS-K1T671</v>
      </c>
      <c r="D635" s="4" t="str">
        <f>IFERROR(__xludf.DUMMYFUNCTION("""COMPUTED_VALUE"""),"HIKVISION")</f>
        <v>HIKVISION</v>
      </c>
      <c r="E635" s="4" t="str">
        <f>IFERROR(__xludf.DUMMYFUNCTION("""COMPUTED_VALUE"""),"DSKAB671F")</f>
        <v>DSKAB671F</v>
      </c>
      <c r="F635" s="4" t="str">
        <f>IFERROR(__xludf.DUMMYFUNCTION("""COMPUTED_VALUE"""),"CONTROL DE ACCESO &gt; CONTROL DE ACCESOS HIKVISION TERMINALES RECONOCIMIENTO FACIAL")</f>
        <v>CONTROL DE ACCESO &gt; CONTROL DE ACCESOS HIKVISION TERMINALES RECONOCIMIENTO FACIAL</v>
      </c>
      <c r="G635" s="5"/>
      <c r="H635" s="6">
        <f>IFERROR(__xludf.DUMMYFUNCTION("""COMPUTED_VALUE"""),110.0)</f>
        <v>110</v>
      </c>
      <c r="I635" s="7">
        <f>IFERROR(__xludf.DUMMYFUNCTION("""COMPUTED_VALUE"""),21.0)</f>
        <v>21</v>
      </c>
      <c r="J635" s="6">
        <f>IFERROR(__xludf.DUMMYFUNCTION("""COMPUTED_VALUE"""),132.0)</f>
        <v>132</v>
      </c>
      <c r="K635" s="6">
        <f>IFERROR(__xludf.DUMMYFUNCTION("""COMPUTED_VALUE"""),154.0)</f>
        <v>154</v>
      </c>
      <c r="L635" s="3"/>
      <c r="M635" s="3"/>
    </row>
    <row r="636" ht="48.0" customHeight="1">
      <c r="A636" s="3" t="str">
        <f>IFERROR(__xludf.DUMMYFUNCTION("""COMPUTED_VALUE"""),"DS-K1T673DWX")</f>
        <v>DS-K1T673DWX</v>
      </c>
      <c r="B636" s="4" t="str">
        <f>IFERROR(__xludf.DUMMYFUNCTION("""COMPUTED_VALUE"""),"TERMINAL DE RECONOCIMIENTO FACIAL, 7-INCH LCD TOUCH SCREEN,2 MEGA")</f>
        <v>TERMINAL DE RECONOCIMIENTO FACIAL, 7-INCH LCD TOUCH SCREEN,2 MEGA</v>
      </c>
      <c r="C636" s="4" t="str">
        <f>IFERROR(__xludf.DUMMYFUNCTION("""COMPUTED_VALUE"""),"Terminal de reconocimiento facial, 7-inch LCD touch screen,2 Mega pixel wide-angle lens,Built-in Mifare card, Felica card,DESfire card reading module; Max.10,000 faces capacity , Max.50,000 cards; Two-way audio with client software, indoor station, and ma"&amp;"ster station Supports TCP/IP,WIFI, DC 12-24V/2A Supports 6 attendance status, including check in, check out, break in, break out, overtime in, overtime out multiple languages: English, Spanish (South America), Arabic, Thai, Indonesian, Russian, Vietnamese"&amp;", Portuguese (Brazil), Japanese, KoreanFace mask detection Supports Peripheral Module: DS-KAB673-B, DS-KAB673-BQR, DS-KAB673-FB, DS-KAB673-FBQR （B：Bluetooth; QR：QR Code; F：fingerprint）Supports single person and multiple people (Up to 5 people) recognition"&amp;" Face Recognition Accuracy Rate &gt; 99% Face Recognition Duration(1:N) ≤0.2s Face Recognition Distance: 0.3m ~ 3m IP65")</f>
        <v>Terminal de reconocimiento facial, 7-inch LCD touch screen,2 Mega pixel wide-angle lens,Built-in Mifare card, Felica card,DESfire card reading module; Max.10,000 faces capacity , Max.50,000 cards; Two-way audio with client software, indoor station, and master station Supports TCP/IP,WIFI, DC 12-24V/2A Supports 6 attendance status, including check in, check out, break in, break out, overtime in, overtime out multiple languages: English, Spanish (South America), Arabic, Thai, Indonesian, Russian, Vietnamese, Portuguese (Brazil), Japanese, KoreanFace mask detection Supports Peripheral Module: DS-KAB673-B, DS-KAB673-BQR, DS-KAB673-FB, DS-KAB673-FBQR （B：Bluetooth; QR：QR Code; F：fingerprint）Supports single person and multiple people (Up to 5 people) recognition Face Recognition Accuracy Rate &gt; 99% Face Recognition Duration(1:N) ≤0.2s Face Recognition Distance: 0.3m ~ 3m IP65</v>
      </c>
      <c r="D636" s="4" t="str">
        <f>IFERROR(__xludf.DUMMYFUNCTION("""COMPUTED_VALUE"""),"HIKVISION")</f>
        <v>HIKVISION</v>
      </c>
      <c r="E636" s="4" t="str">
        <f>IFERROR(__xludf.DUMMYFUNCTION("""COMPUTED_VALUE"""),"DS-K1T673DWX")</f>
        <v>DS-K1T673DWX</v>
      </c>
      <c r="F636" s="4" t="str">
        <f>IFERROR(__xludf.DUMMYFUNCTION("""COMPUTED_VALUE"""),"CONTROL DE ACCESO &gt; CONTROL DE ACCESOS HIKVISION TERMINALES RECONOCIMIENTO FACIAL")</f>
        <v>CONTROL DE ACCESO &gt; CONTROL DE ACCESOS HIKVISION TERMINALES RECONOCIMIENTO FACIAL</v>
      </c>
      <c r="G636" s="5"/>
      <c r="H636" s="6">
        <f>IFERROR(__xludf.DUMMYFUNCTION("""COMPUTED_VALUE"""),880.0)</f>
        <v>880</v>
      </c>
      <c r="I636" s="7">
        <f>IFERROR(__xludf.DUMMYFUNCTION("""COMPUTED_VALUE"""),10.5)</f>
        <v>10.5</v>
      </c>
      <c r="J636" s="6">
        <f>IFERROR(__xludf.DUMMYFUNCTION("""COMPUTED_VALUE"""),1056.0)</f>
        <v>1056</v>
      </c>
      <c r="K636" s="6">
        <f>IFERROR(__xludf.DUMMYFUNCTION("""COMPUTED_VALUE"""),1232.0)</f>
        <v>1232</v>
      </c>
      <c r="L636" s="3"/>
      <c r="M636" s="3"/>
    </row>
    <row r="637" ht="48.0" customHeight="1">
      <c r="A637" s="3" t="str">
        <f>IFERROR(__xludf.DUMMYFUNCTION("""COMPUTED_VALUE"""),"DS-K1T673DWX-E1")</f>
        <v>DS-K1T673DWX-E1</v>
      </c>
      <c r="B637" s="4" t="str">
        <f>IFERROR(__xludf.DUMMYFUNCTION("""COMPUTED_VALUE"""),"TERMINAL DE RECONOCIMIENTO FACIAL 7-INCH LCD TOUCH SCREEN,2 MEGA")</f>
        <v>TERMINAL DE RECONOCIMIENTO FACIAL 7-INCH LCD TOUCH SCREEN,2 MEGA</v>
      </c>
      <c r="C637" s="4" t="str">
        <f>IFERROR(__xludf.DUMMYFUNCTION("""COMPUTED_VALUE"""),"Terminal de reconocimiento facial 7-inch LCD touch screen,2 Mega pixel wide-angle lens, Recognition distance: 0.3 to 3 m, Face recognition duration ＜ 0.2 s/User, Face recognition accuracy rate ≥ 99%, Built-in M1 card, Felica card, and DESfire card reading"&amp;" module (Presents card on the screen to authenticate), Face mask detection, 10,000 face capacity, 10,000 fingerprint capacity (With fingerprint module), 50,000 card capacity, and 150,000 event capacity, Supports ISAPI, ISUP 5.0, TCP/IP (IPv4 and IPv6), Su"&amp;"pports single person and multiple people (Up to 5 people) recognition")</f>
        <v>Terminal de reconocimiento facial 7-inch LCD touch screen,2 Mega pixel wide-angle lens, Recognition distance: 0.3 to 3 m, Face recognition duration ＜ 0.2 s/User, Face recognition accuracy rate ≥ 99%, Built-in M1 card, Felica card, and DESfire card reading module (Presents card on the screen to authenticate), Face mask detection, 10,000 face capacity, 10,000 fingerprint capacity (With fingerprint module), 50,000 card capacity, and 150,000 event capacity, Supports ISAPI, ISUP 5.0, TCP/IP (IPv4 and IPv6), Supports single person and multiple people (Up to 5 people) recognition</v>
      </c>
      <c r="D637" s="4" t="str">
        <f>IFERROR(__xludf.DUMMYFUNCTION("""COMPUTED_VALUE"""),"HIKVISION")</f>
        <v>HIKVISION</v>
      </c>
      <c r="E637" s="4" t="str">
        <f>IFERROR(__xludf.DUMMYFUNCTION("""COMPUTED_VALUE"""),"DS-K1T673DWX-E1")</f>
        <v>DS-K1T673DWX-E1</v>
      </c>
      <c r="F637" s="4" t="str">
        <f>IFERROR(__xludf.DUMMYFUNCTION("""COMPUTED_VALUE"""),"CONTROL DE ACCESO &gt; CONTROL DE ACCESOS HIKVISION TERMINALES RECONOCIMIENTO FACIAL")</f>
        <v>CONTROL DE ACCESO &gt; CONTROL DE ACCESOS HIKVISION TERMINALES RECONOCIMIENTO FACIAL</v>
      </c>
      <c r="G637" s="5"/>
      <c r="H637" s="6">
        <f>IFERROR(__xludf.DUMMYFUNCTION("""COMPUTED_VALUE"""),899.8)</f>
        <v>899.8</v>
      </c>
      <c r="I637" s="7">
        <f>IFERROR(__xludf.DUMMYFUNCTION("""COMPUTED_VALUE"""),10.5)</f>
        <v>10.5</v>
      </c>
      <c r="J637" s="6">
        <f>IFERROR(__xludf.DUMMYFUNCTION("""COMPUTED_VALUE"""),1079.76)</f>
        <v>1079.76</v>
      </c>
      <c r="K637" s="6">
        <f>IFERROR(__xludf.DUMMYFUNCTION("""COMPUTED_VALUE"""),1259.72)</f>
        <v>1259.72</v>
      </c>
      <c r="L637" s="3"/>
      <c r="M637" s="3"/>
    </row>
    <row r="638" ht="48.0" customHeight="1">
      <c r="A638" s="3" t="str">
        <f>IFERROR(__xludf.DUMMYFUNCTION("""COMPUTED_VALUE"""),"DS-K1T673DG1X-E1")</f>
        <v>DS-K1T673DG1X-E1</v>
      </c>
      <c r="B638" s="4" t="str">
        <f>IFERROR(__xludf.DUMMYFUNCTION("""COMPUTED_VALUE"""),"TERMINAL DE RECONOCIMIENTO FACIAL 7-INCH LCD TOUCH SCREEN,2 MEGA")</f>
        <v>TERMINAL DE RECONOCIMIENTO FACIAL 7-INCH LCD TOUCH SCREEN,2 MEGA</v>
      </c>
      <c r="C638" s="4" t="str">
        <f>IFERROR(__xludf.DUMMYFUNCTION("""COMPUTED_VALUE"""),"Terminal de reconocimiento facial 7-inch LCD touch screen,2 Mega pixel wide-angle lens, Recognition distance: 0.3 to 3 m, Face recognition duration ＜ 0.2 s/User, Face recognition accuracy rate ≥ 99%, Built-in M1 card, Felica card, and DESfire card reading"&amp;" module (Presents card on the screen to authenticate), Face mask detection, 10,000 face capacity, 10,000 fingerprint capacity (With fingerprint module), 50,000 card capacity, and 150,000 event capacity, Supports ISAPI, ISUP 5.0, TCP/IP (IPv4 and IPv6), 3G"&amp;"/4G, Supports single person and multiple people (Up to 5 people) recognition")</f>
        <v>Terminal de reconocimiento facial 7-inch LCD touch screen,2 Mega pixel wide-angle lens, Recognition distance: 0.3 to 3 m, Face recognition duration ＜ 0.2 s/User, Face recognition accuracy rate ≥ 99%, Built-in M1 card, Felica card, and DESfire card reading module (Presents card on the screen to authenticate), Face mask detection, 10,000 face capacity, 10,000 fingerprint capacity (With fingerprint module), 50,000 card capacity, and 150,000 event capacity, Supports ISAPI, ISUP 5.0, TCP/IP (IPv4 and IPv6), 3G/4G, Supports single person and multiple people (Up to 5 people) recognition</v>
      </c>
      <c r="D638" s="4" t="str">
        <f>IFERROR(__xludf.DUMMYFUNCTION("""COMPUTED_VALUE"""),"HIKVISION")</f>
        <v>HIKVISION</v>
      </c>
      <c r="E638" s="4" t="str">
        <f>IFERROR(__xludf.DUMMYFUNCTION("""COMPUTED_VALUE"""),"DS-K1T673DG1X-E1")</f>
        <v>DS-K1T673DG1X-E1</v>
      </c>
      <c r="F638" s="4" t="str">
        <f>IFERROR(__xludf.DUMMYFUNCTION("""COMPUTED_VALUE"""),"CONTROL DE ACCESO &gt; CONTROL DE ACCESOS HIKVISION TERMINALES RECONOCIMIENTO FACIAL")</f>
        <v>CONTROL DE ACCESO &gt; CONTROL DE ACCESOS HIKVISION TERMINALES RECONOCIMIENTO FACIAL</v>
      </c>
      <c r="G638" s="5"/>
      <c r="H638" s="6">
        <f>IFERROR(__xludf.DUMMYFUNCTION("""COMPUTED_VALUE"""),992.2)</f>
        <v>992.2</v>
      </c>
      <c r="I638" s="7">
        <f>IFERROR(__xludf.DUMMYFUNCTION("""COMPUTED_VALUE"""),10.5)</f>
        <v>10.5</v>
      </c>
      <c r="J638" s="6">
        <f>IFERROR(__xludf.DUMMYFUNCTION("""COMPUTED_VALUE"""),1190.64)</f>
        <v>1190.64</v>
      </c>
      <c r="K638" s="6">
        <f>IFERROR(__xludf.DUMMYFUNCTION("""COMPUTED_VALUE"""),1389.08)</f>
        <v>1389.08</v>
      </c>
      <c r="L638" s="3"/>
      <c r="M638" s="3"/>
    </row>
    <row r="639" ht="48.0" customHeight="1">
      <c r="A639" s="3" t="str">
        <f>IFERROR(__xludf.DUMMYFUNCTION("""COMPUTED_VALUE"""),"DS-KAB673-WBQR")</f>
        <v>DS-KAB673-WBQR</v>
      </c>
      <c r="B639" s="4" t="str">
        <f>IFERROR(__xludf.DUMMYFUNCTION("""COMPUTED_VALUE"""),"MÓDULO ADICIONAL PARA TERMINALES MINMOE SERIES DS-K1T673")</f>
        <v>MÓDULO ADICIONAL PARA TERMINALES MINMOE SERIES DS-K1T673</v>
      </c>
      <c r="C639" s="4" t="str">
        <f>IFERROR(__xludf.DUMMYFUNCTION("""COMPUTED_VALUE"""),"Módulo adicional para terminales MinMoe series DS-K1T673. Módulo lector de Huellas, Códigos QR y Bluetooth")</f>
        <v>Módulo adicional para terminales MinMoe series DS-K1T673. Módulo lector de Huellas, Códigos QR y Bluetooth</v>
      </c>
      <c r="D639" s="4" t="str">
        <f>IFERROR(__xludf.DUMMYFUNCTION("""COMPUTED_VALUE"""),"HIKVISION")</f>
        <v>HIKVISION</v>
      </c>
      <c r="E639" s="4" t="str">
        <f>IFERROR(__xludf.DUMMYFUNCTION("""COMPUTED_VALUE"""),"DS-KAB673-WBQR")</f>
        <v>DS-KAB673-WBQR</v>
      </c>
      <c r="F639" s="4" t="str">
        <f>IFERROR(__xludf.DUMMYFUNCTION("""COMPUTED_VALUE"""),"CONTROL DE ACCESO &gt; CONTROL DE ACCESOS HIKVISION TERMINALES RECONOCIMIENTO FACIAL")</f>
        <v>CONTROL DE ACCESO &gt; CONTROL DE ACCESOS HIKVISION TERMINALES RECONOCIMIENTO FACIAL</v>
      </c>
      <c r="G639" s="5"/>
      <c r="H639" s="6">
        <f>IFERROR(__xludf.DUMMYFUNCTION("""COMPUTED_VALUE"""),135.3)</f>
        <v>135.3</v>
      </c>
      <c r="I639" s="7">
        <f>IFERROR(__xludf.DUMMYFUNCTION("""COMPUTED_VALUE"""),21.0)</f>
        <v>21</v>
      </c>
      <c r="J639" s="6">
        <f>IFERROR(__xludf.DUMMYFUNCTION("""COMPUTED_VALUE"""),162.36)</f>
        <v>162.36</v>
      </c>
      <c r="K639" s="6">
        <f>IFERROR(__xludf.DUMMYFUNCTION("""COMPUTED_VALUE"""),189.42)</f>
        <v>189.42</v>
      </c>
      <c r="L639" s="3"/>
      <c r="M639" s="3"/>
    </row>
    <row r="640" ht="48.0" customHeight="1">
      <c r="A640" s="3" t="str">
        <f>IFERROR(__xludf.DUMMYFUNCTION("""COMPUTED_VALUE"""),"DS-KAB673-BQR")</f>
        <v>DS-KAB673-BQR</v>
      </c>
      <c r="B640" s="4" t="str">
        <f>IFERROR(__xludf.DUMMYFUNCTION("""COMPUTED_VALUE"""),"MÓDULO ADICIONAL PARA TERMINALES MINMOE SERIES DS-K1T673")</f>
        <v>MÓDULO ADICIONAL PARA TERMINALES MINMOE SERIES DS-K1T673</v>
      </c>
      <c r="C640" s="4" t="str">
        <f>IFERROR(__xludf.DUMMYFUNCTION("""COMPUTED_VALUE"""),"Módulo adicional para terminales MinMoe series DS-K1T673. Accesorio con Bluetooth y lector de código QR")</f>
        <v>Módulo adicional para terminales MinMoe series DS-K1T673. Accesorio con Bluetooth y lector de código QR</v>
      </c>
      <c r="D640" s="4" t="str">
        <f>IFERROR(__xludf.DUMMYFUNCTION("""COMPUTED_VALUE"""),"HIKVISION")</f>
        <v>HIKVISION</v>
      </c>
      <c r="E640" s="4" t="str">
        <f>IFERROR(__xludf.DUMMYFUNCTION("""COMPUTED_VALUE"""),"DS-KAB673-BQR")</f>
        <v>DS-KAB673-BQR</v>
      </c>
      <c r="F640" s="4" t="str">
        <f>IFERROR(__xludf.DUMMYFUNCTION("""COMPUTED_VALUE"""),"CONTROL DE ACCESO &gt; CONTROL DE ACCESOS HIKVISION TERMINALES RECONOCIMIENTO FACIAL")</f>
        <v>CONTROL DE ACCESO &gt; CONTROL DE ACCESOS HIKVISION TERMINALES RECONOCIMIENTO FACIAL</v>
      </c>
      <c r="G640" s="5"/>
      <c r="H640" s="6">
        <f>IFERROR(__xludf.DUMMYFUNCTION("""COMPUTED_VALUE"""),113.3)</f>
        <v>113.3</v>
      </c>
      <c r="I640" s="7">
        <f>IFERROR(__xludf.DUMMYFUNCTION("""COMPUTED_VALUE"""),21.0)</f>
        <v>21</v>
      </c>
      <c r="J640" s="6">
        <f>IFERROR(__xludf.DUMMYFUNCTION("""COMPUTED_VALUE"""),135.96)</f>
        <v>135.96</v>
      </c>
      <c r="K640" s="6">
        <f>IFERROR(__xludf.DUMMYFUNCTION("""COMPUTED_VALUE"""),158.62)</f>
        <v>158.62</v>
      </c>
      <c r="L640" s="3"/>
      <c r="M640" s="3"/>
    </row>
    <row r="641" ht="48.0" customHeight="1">
      <c r="A641" s="3" t="str">
        <f>IFERROR(__xludf.DUMMYFUNCTION("""COMPUTED_VALUE"""),"DS-KAB673-A")</f>
        <v>DS-KAB673-A</v>
      </c>
      <c r="B641" s="4" t="str">
        <f>IFERROR(__xludf.DUMMYFUNCTION("""COMPUTED_VALUE"""),"MÓDULO ADICIONAL PARA TERMINALES MINMOE SERIES DS-K1T673")</f>
        <v>MÓDULO ADICIONAL PARA TERMINALES MINMOE SERIES DS-K1T673</v>
      </c>
      <c r="C641" s="4" t="str">
        <f>IFERROR(__xludf.DUMMYFUNCTION("""COMPUTED_VALUE"""),"Módulo adicional para terminales MinMoe series DS-K1T673.Módulo detector de alcohol, Plug-and-play USB con tecnología sin controladores, USB 2.0")</f>
        <v>Módulo adicional para terminales MinMoe series DS-K1T673.Módulo detector de alcohol, Plug-and-play USB con tecnología sin controladores, USB 2.0</v>
      </c>
      <c r="D641" s="4" t="str">
        <f>IFERROR(__xludf.DUMMYFUNCTION("""COMPUTED_VALUE"""),"HIKVISION")</f>
        <v>HIKVISION</v>
      </c>
      <c r="E641" s="4" t="str">
        <f>IFERROR(__xludf.DUMMYFUNCTION("""COMPUTED_VALUE"""),"DS-KAB673-A")</f>
        <v>DS-KAB673-A</v>
      </c>
      <c r="F641" s="4" t="str">
        <f>IFERROR(__xludf.DUMMYFUNCTION("""COMPUTED_VALUE"""),"CONTROL DE ACCESO &gt; CONTROL DE ACCESOS HIKVISION TERMINALES RECONOCIMIENTO FACIAL")</f>
        <v>CONTROL DE ACCESO &gt; CONTROL DE ACCESOS HIKVISION TERMINALES RECONOCIMIENTO FACIAL</v>
      </c>
      <c r="G641" s="5"/>
      <c r="H641" s="6">
        <f>IFERROR(__xludf.DUMMYFUNCTION("""COMPUTED_VALUE"""),763.4)</f>
        <v>763.4</v>
      </c>
      <c r="I641" s="7">
        <f>IFERROR(__xludf.DUMMYFUNCTION("""COMPUTED_VALUE"""),21.0)</f>
        <v>21</v>
      </c>
      <c r="J641" s="6">
        <f>IFERROR(__xludf.DUMMYFUNCTION("""COMPUTED_VALUE"""),916.08)</f>
        <v>916.08</v>
      </c>
      <c r="K641" s="6">
        <f>IFERROR(__xludf.DUMMYFUNCTION("""COMPUTED_VALUE"""),1068.76)</f>
        <v>1068.76</v>
      </c>
      <c r="L641" s="3"/>
      <c r="M641" s="3"/>
    </row>
    <row r="642" ht="48.0" customHeight="1">
      <c r="A642" s="3" t="str">
        <f>IFERROR(__xludf.DUMMYFUNCTION("""COMPUTED_VALUE"""),"DS-K7MX-A0")</f>
        <v>DS-K7MX-A0</v>
      </c>
      <c r="B642" s="4" t="str">
        <f>IFERROR(__xludf.DUMMYFUNCTION("""COMPUTED_VALUE"""),"MÓDULO ADICIONAL PARA TERMINALES MINMOE SERIES DS-K1T673 ACCESORIO PAR")</f>
        <v>MÓDULO ADICIONAL PARA TERMINALES MINMOE SERIES DS-K1T673 ACCESORIO PAR</v>
      </c>
      <c r="C642" s="4" t="str">
        <f>IFERROR(__xludf.DUMMYFUNCTION("""COMPUTED_VALUE"""),"Módulo adicional para terminales MinMoe series DS-K1T673 Accesorio para utilizar con el módulo de detección de alcohol DS-KAB673-A del terminal de reconocimiento facial de la serie DS-K1T673 para la detección de alcohol")</f>
        <v>Módulo adicional para terminales MinMoe series DS-K1T673 Accesorio para utilizar con el módulo de detección de alcohol DS-KAB673-A del terminal de reconocimiento facial de la serie DS-K1T673 para la detección de alcohol</v>
      </c>
      <c r="D642" s="4" t="str">
        <f>IFERROR(__xludf.DUMMYFUNCTION("""COMPUTED_VALUE"""),"HIKVISION")</f>
        <v>HIKVISION</v>
      </c>
      <c r="E642" s="4" t="str">
        <f>IFERROR(__xludf.DUMMYFUNCTION("""COMPUTED_VALUE"""),"DS-K7MX-A0")</f>
        <v>DS-K7MX-A0</v>
      </c>
      <c r="F642" s="4" t="str">
        <f>IFERROR(__xludf.DUMMYFUNCTION("""COMPUTED_VALUE"""),"CONTROL DE ACCESO &gt; CONTROL DE ACCESOS HIKVISION TERMINALES RECONOCIMIENTO FACIAL")</f>
        <v>CONTROL DE ACCESO &gt; CONTROL DE ACCESOS HIKVISION TERMINALES RECONOCIMIENTO FACIAL</v>
      </c>
      <c r="G642" s="5"/>
      <c r="H642" s="6">
        <f>IFERROR(__xludf.DUMMYFUNCTION("""COMPUTED_VALUE"""),20.02)</f>
        <v>20.02</v>
      </c>
      <c r="I642" s="7">
        <f>IFERROR(__xludf.DUMMYFUNCTION("""COMPUTED_VALUE"""),21.0)</f>
        <v>21</v>
      </c>
      <c r="J642" s="6">
        <f>IFERROR(__xludf.DUMMYFUNCTION("""COMPUTED_VALUE"""),24.02)</f>
        <v>24.02</v>
      </c>
      <c r="K642" s="6">
        <f>IFERROR(__xludf.DUMMYFUNCTION("""COMPUTED_VALUE"""),28.03)</f>
        <v>28.03</v>
      </c>
      <c r="L642" s="3"/>
      <c r="M642" s="3"/>
    </row>
    <row r="643" ht="48.0" customHeight="1">
      <c r="A643" s="3" t="str">
        <f>IFERROR(__xludf.DUMMYFUNCTION("""COMPUTED_VALUE"""),"DS-KAB673-P")</f>
        <v>DS-KAB673-P</v>
      </c>
      <c r="B643" s="4" t="str">
        <f>IFERROR(__xludf.DUMMYFUNCTION("""COMPUTED_VALUE"""),"MÓDULO ADICIONAL PARA TERMINALES MINMOE SERIES DS-K1T673")</f>
        <v>MÓDULO ADICIONAL PARA TERMINALES MINMOE SERIES DS-K1T673</v>
      </c>
      <c r="C643" s="4" t="str">
        <f>IFERROR(__xludf.DUMMYFUNCTION("""COMPUTED_VALUE"""),"Módulo adicional para terminales MinMoe series DS-K1T673. Módulo con lector de palma de mano y vena. Conexión USB Plug and Play sin necesidad de controladores. USB 2.0. Compatible con sistemas Linux.")</f>
        <v>Módulo adicional para terminales MinMoe series DS-K1T673. Módulo con lector de palma de mano y vena. Conexión USB Plug and Play sin necesidad de controladores. USB 2.0. Compatible con sistemas Linux.</v>
      </c>
      <c r="D643" s="4" t="str">
        <f>IFERROR(__xludf.DUMMYFUNCTION("""COMPUTED_VALUE"""),"HIKVISION")</f>
        <v>HIKVISION</v>
      </c>
      <c r="E643" s="4" t="str">
        <f>IFERROR(__xludf.DUMMYFUNCTION("""COMPUTED_VALUE"""),"DS-KAB673-P")</f>
        <v>DS-KAB673-P</v>
      </c>
      <c r="F643" s="4" t="str">
        <f>IFERROR(__xludf.DUMMYFUNCTION("""COMPUTED_VALUE"""),"CONTROL DE ACCESO &gt; CONTROL DE ACCESOS HIKVISION TERMINALES RECONOCIMIENTO FACIAL")</f>
        <v>CONTROL DE ACCESO &gt; CONTROL DE ACCESOS HIKVISION TERMINALES RECONOCIMIENTO FACIAL</v>
      </c>
      <c r="G643" s="5"/>
      <c r="H643" s="6">
        <f>IFERROR(__xludf.DUMMYFUNCTION("""COMPUTED_VALUE"""),262.9)</f>
        <v>262.9</v>
      </c>
      <c r="I643" s="7">
        <f>IFERROR(__xludf.DUMMYFUNCTION("""COMPUTED_VALUE"""),21.0)</f>
        <v>21</v>
      </c>
      <c r="J643" s="6">
        <f>IFERROR(__xludf.DUMMYFUNCTION("""COMPUTED_VALUE"""),315.48)</f>
        <v>315.48</v>
      </c>
      <c r="K643" s="6">
        <f>IFERROR(__xludf.DUMMYFUNCTION("""COMPUTED_VALUE"""),368.06)</f>
        <v>368.06</v>
      </c>
      <c r="L643" s="3"/>
      <c r="M643" s="3"/>
    </row>
    <row r="644" ht="48.0" customHeight="1">
      <c r="A644" s="3" t="str">
        <f>IFERROR(__xludf.DUMMYFUNCTION("""COMPUTED_VALUE"""),"DSK1F100D8E")</f>
        <v>DSK1F100D8E</v>
      </c>
      <c r="B644" s="4" t="str">
        <f>IFERROR(__xludf.DUMMYFUNCTION("""COMPUTED_VALUE"""),"DS-K1F100-D8E ENROLADOR DE TARJETAS USB PLUG-AND-PLAY WITH NO-DRIVER T")</f>
        <v>DS-K1F100-D8E ENROLADOR DE TARJETAS USB PLUG-AND-PLAY WITH NO-DRIVER T</v>
      </c>
      <c r="C644" s="4" t="str">
        <f>IFERROR(__xludf.DUMMYFUNCTION("""COMPUTED_VALUE"""),"DS-K1F100-D8E Enrolador de tarjetas USB Plug-and-play with no-driver technology; Supports various card types (Mifare card and EM card).")</f>
        <v>DS-K1F100-D8E Enrolador de tarjetas USB Plug-and-play with no-driver technology; Supports various card types (Mifare card and EM card).</v>
      </c>
      <c r="D644" s="4" t="str">
        <f>IFERROR(__xludf.DUMMYFUNCTION("""COMPUTED_VALUE"""),"HIKVISION")</f>
        <v>HIKVISION</v>
      </c>
      <c r="E644" s="4" t="str">
        <f>IFERROR(__xludf.DUMMYFUNCTION("""COMPUTED_VALUE"""),"DSK1F100D8E")</f>
        <v>DSK1F100D8E</v>
      </c>
      <c r="F644" s="4" t="str">
        <f>IFERROR(__xludf.DUMMYFUNCTION("""COMPUTED_VALUE"""),"CONTROL DE ACCESO &gt; CONTROL DE ACCESOS HIKVISION ENROLADORES")</f>
        <v>CONTROL DE ACCESO &gt; CONTROL DE ACCESOS HIKVISION ENROLADORES</v>
      </c>
      <c r="G644" s="5"/>
      <c r="H644" s="6">
        <f>IFERROR(__xludf.DUMMYFUNCTION("""COMPUTED_VALUE"""),46.2)</f>
        <v>46.2</v>
      </c>
      <c r="I644" s="7">
        <f>IFERROR(__xludf.DUMMYFUNCTION("""COMPUTED_VALUE"""),21.0)</f>
        <v>21</v>
      </c>
      <c r="J644" s="6">
        <f>IFERROR(__xludf.DUMMYFUNCTION("""COMPUTED_VALUE"""),55.44)</f>
        <v>55.44</v>
      </c>
      <c r="K644" s="6">
        <f>IFERROR(__xludf.DUMMYFUNCTION("""COMPUTED_VALUE"""),64.68)</f>
        <v>64.68</v>
      </c>
      <c r="L644" s="3"/>
      <c r="M644" s="3"/>
    </row>
    <row r="645" ht="48.0" customHeight="1">
      <c r="A645" s="3" t="str">
        <f>IFERROR(__xludf.DUMMYFUNCTION("""COMPUTED_VALUE"""),"DSK1F600D6EF")</f>
        <v>DSK1F600D6EF</v>
      </c>
      <c r="B645" s="4" t="str">
        <f>IFERROR(__xludf.DUMMYFUNCTION("""COMPUTED_VALUE"""),"DS-K1F600-D6E-F ENROLADOR PARA ROSTROS, HUELLAS Y TARJETAS, 13")</f>
        <v>DS-K1F600-D6E-F ENROLADOR PARA ROSTROS, HUELLAS Y TARJETAS, 13</v>
      </c>
      <c r="C645" s="4" t="str">
        <f>IFERROR(__xludf.DUMMYFUNCTION("""COMPUTED_VALUE"""),"DS-K1F600-D6E-F Enrolador para rostros, huellas y tarjetas, 13.56 MHz Mifare 1 card, and 125KHz EM card. 3.97-inch LCD touch screen,2 Mega pixel wide-angle lens; Supports TCP/IP,communication,DC 12V/2A Dimensions：121.6 mm × 137.9 mm × 125 mm (4.8"" × 5.4"&amp;""" × 4.9"")")</f>
        <v>DS-K1F600-D6E-F Enrolador para rostros, huellas y tarjetas, 13.56 MHz Mifare 1 card, and 125KHz EM card. 3.97-inch LCD touch screen,2 Mega pixel wide-angle lens; Supports TCP/IP,communication,DC 12V/2A Dimensions：121.6 mm × 137.9 mm × 125 mm (4.8" × 5.4" × 4.9")</v>
      </c>
      <c r="D645" s="4" t="str">
        <f>IFERROR(__xludf.DUMMYFUNCTION("""COMPUTED_VALUE"""),"HIKVISION")</f>
        <v>HIKVISION</v>
      </c>
      <c r="E645" s="4" t="str">
        <f>IFERROR(__xludf.DUMMYFUNCTION("""COMPUTED_VALUE"""),"DSK1F600D6EF")</f>
        <v>DSK1F600D6EF</v>
      </c>
      <c r="F645" s="4" t="str">
        <f>IFERROR(__xludf.DUMMYFUNCTION("""COMPUTED_VALUE"""),"CONTROL DE ACCESO &gt; CONTROL DE ACCESOS HIKVISION ENROLADORES")</f>
        <v>CONTROL DE ACCESO &gt; CONTROL DE ACCESOS HIKVISION ENROLADORES</v>
      </c>
      <c r="G645" s="5"/>
      <c r="H645" s="6">
        <f>IFERROR(__xludf.DUMMYFUNCTION("""COMPUTED_VALUE"""),418.0)</f>
        <v>418</v>
      </c>
      <c r="I645" s="7">
        <f>IFERROR(__xludf.DUMMYFUNCTION("""COMPUTED_VALUE"""),21.0)</f>
        <v>21</v>
      </c>
      <c r="J645" s="6">
        <f>IFERROR(__xludf.DUMMYFUNCTION("""COMPUTED_VALUE"""),501.6)</f>
        <v>501.6</v>
      </c>
      <c r="K645" s="6">
        <f>IFERROR(__xludf.DUMMYFUNCTION("""COMPUTED_VALUE"""),585.2)</f>
        <v>585.2</v>
      </c>
      <c r="L645" s="3"/>
      <c r="M645" s="3"/>
    </row>
    <row r="646" ht="48.0" customHeight="1">
      <c r="A646" s="3" t="str">
        <f>IFERROR(__xludf.DUMMYFUNCTION("""COMPUTED_VALUE"""),"DS-K1F820-F")</f>
        <v>DS-K1F820-F</v>
      </c>
      <c r="B646" s="4" t="str">
        <f>IFERROR(__xludf.DUMMYFUNCTION("""COMPUTED_VALUE"""),"ENROLADOR DE HUELLAS USB PLUG-AND-PLAY USB WITH NO-DRIVER TECHNOLOGY,")</f>
        <v>ENROLADOR DE HUELLAS USB PLUG-AND-PLAY USB WITH NO-DRIVER TECHNOLOGY,</v>
      </c>
      <c r="C646" s="4" t="str">
        <f>IFERROR(__xludf.DUMMYFUNCTION("""COMPUTED_VALUE"""),"Enrolador de huellas USB Plug-and-play USB with no-driver technology, USB 2.0; compatinle con DS-K1T201, DS-K1201, DS-K1T804, DS-K1A802 and DS-K1T501.")</f>
        <v>Enrolador de huellas USB Plug-and-play USB with no-driver technology, USB 2.0; compatinle con DS-K1T201, DS-K1201, DS-K1T804, DS-K1A802 and DS-K1T501.</v>
      </c>
      <c r="D646" s="4" t="str">
        <f>IFERROR(__xludf.DUMMYFUNCTION("""COMPUTED_VALUE"""),"HIKVISION")</f>
        <v>HIKVISION</v>
      </c>
      <c r="E646" s="4" t="str">
        <f>IFERROR(__xludf.DUMMYFUNCTION("""COMPUTED_VALUE"""),"DS-K1F820-F")</f>
        <v>DS-K1F820-F</v>
      </c>
      <c r="F646" s="4" t="str">
        <f>IFERROR(__xludf.DUMMYFUNCTION("""COMPUTED_VALUE"""),"CONTROL DE ACCESO &gt; CONTROL DE ACCESOS HIKVISION ENROLADORES")</f>
        <v>CONTROL DE ACCESO &gt; CONTROL DE ACCESOS HIKVISION ENROLADORES</v>
      </c>
      <c r="G646" s="5"/>
      <c r="H646" s="6">
        <f>IFERROR(__xludf.DUMMYFUNCTION("""COMPUTED_VALUE"""),64.9)</f>
        <v>64.9</v>
      </c>
      <c r="I646" s="7">
        <f>IFERROR(__xludf.DUMMYFUNCTION("""COMPUTED_VALUE"""),21.0)</f>
        <v>21</v>
      </c>
      <c r="J646" s="6">
        <f>IFERROR(__xludf.DUMMYFUNCTION("""COMPUTED_VALUE"""),77.88)</f>
        <v>77.88</v>
      </c>
      <c r="K646" s="6">
        <f>IFERROR(__xludf.DUMMYFUNCTION("""COMPUTED_VALUE"""),90.86)</f>
        <v>90.86</v>
      </c>
      <c r="L646" s="3"/>
      <c r="M646" s="3"/>
    </row>
    <row r="647" ht="48.0" customHeight="1">
      <c r="A647" s="3" t="str">
        <f>IFERROR(__xludf.DUMMYFUNCTION("""COMPUTED_VALUE"""),"DSK3G501RMDM55")</f>
        <v>DSK3G501RMDM55</v>
      </c>
      <c r="B647" s="4" t="str">
        <f>IFERROR(__xludf.DUMMYFUNCTION("""COMPUTED_VALUE"""),"MOLINETE CON LECTOR MF INCORPORADO, 35 PERSONAS POR MINUTO,")</f>
        <v>MOLINETE CON LECTOR MF INCORPORADO, 35 PERSONAS POR MINUTO,</v>
      </c>
      <c r="C647" s="4" t="str">
        <f>IFERROR(__xludf.DUMMYFUNCTION("""COMPUTED_VALUE"""),"Molinete con lector MF incorporado, 35 personas por minuto, SUS304 acero inoxidable 1,5 mm, Exterior / interior (IP54)")</f>
        <v>Molinete con lector MF incorporado, 35 personas por minuto, SUS304 acero inoxidable 1,5 mm, Exterior / interior (IP54)</v>
      </c>
      <c r="D647" s="4" t="str">
        <f>IFERROR(__xludf.DUMMYFUNCTION("""COMPUTED_VALUE"""),"HIKVISION")</f>
        <v>HIKVISION</v>
      </c>
      <c r="E647" s="4" t="str">
        <f>IFERROR(__xludf.DUMMYFUNCTION("""COMPUTED_VALUE"""),"DSK3G501RMDM55")</f>
        <v>DSK3G501RMDM55</v>
      </c>
      <c r="F647" s="4" t="str">
        <f>IFERROR(__xludf.DUMMYFUNCTION("""COMPUTED_VALUE"""),"CONTROL DE ACCESO &gt; CONTROL DE ACCESOS HIKVISION PORTONES-MOLINETES Y BARRERAS")</f>
        <v>CONTROL DE ACCESO &gt; CONTROL DE ACCESOS HIKVISION PORTONES-MOLINETES Y BARRERAS</v>
      </c>
      <c r="G647" s="5"/>
      <c r="H647" s="6">
        <f>IFERROR(__xludf.DUMMYFUNCTION("""COMPUTED_VALUE"""),1771.0)</f>
        <v>1771</v>
      </c>
      <c r="I647" s="7">
        <f>IFERROR(__xludf.DUMMYFUNCTION("""COMPUTED_VALUE"""),21.0)</f>
        <v>21</v>
      </c>
      <c r="J647" s="6">
        <f>IFERROR(__xludf.DUMMYFUNCTION("""COMPUTED_VALUE"""),2125.2)</f>
        <v>2125.2</v>
      </c>
      <c r="K647" s="6">
        <f>IFERROR(__xludf.DUMMYFUNCTION("""COMPUTED_VALUE"""),2479.4)</f>
        <v>2479.4</v>
      </c>
      <c r="L647" s="3"/>
      <c r="M647" s="3"/>
    </row>
    <row r="648" ht="48.0" customHeight="1">
      <c r="A648" s="3" t="str">
        <f>IFERROR(__xludf.DUMMYFUNCTION("""COMPUTED_VALUE"""),"DSK3G501S")</f>
        <v>DSK3G501S</v>
      </c>
      <c r="B648" s="4" t="str">
        <f>IFERROR(__xludf.DUMMYFUNCTION("""COMPUTED_VALUE"""),"PEDESTAL CIEGO PARA MOLINETE")</f>
        <v>PEDESTAL CIEGO PARA MOLINETE</v>
      </c>
      <c r="C648" s="4" t="str">
        <f>IFERROR(__xludf.DUMMYFUNCTION("""COMPUTED_VALUE"""),"Pedestal ciego para molinete")</f>
        <v>Pedestal ciego para molinete</v>
      </c>
      <c r="D648" s="4" t="str">
        <f>IFERROR(__xludf.DUMMYFUNCTION("""COMPUTED_VALUE"""),"HIKVISION")</f>
        <v>HIKVISION</v>
      </c>
      <c r="E648" s="4" t="str">
        <f>IFERROR(__xludf.DUMMYFUNCTION("""COMPUTED_VALUE"""),"DSK3G501S")</f>
        <v>DSK3G501S</v>
      </c>
      <c r="F648" s="4" t="str">
        <f>IFERROR(__xludf.DUMMYFUNCTION("""COMPUTED_VALUE"""),"CONTROL DE ACCESO &gt; CONTROL DE ACCESOS HIKVISION PORTONES-MOLINETES Y BARRERAS")</f>
        <v>CONTROL DE ACCESO &gt; CONTROL DE ACCESOS HIKVISION PORTONES-MOLINETES Y BARRERAS</v>
      </c>
      <c r="G648" s="5"/>
      <c r="H648" s="6">
        <f>IFERROR(__xludf.DUMMYFUNCTION("""COMPUTED_VALUE"""),960.3)</f>
        <v>960.3</v>
      </c>
      <c r="I648" s="7">
        <f>IFERROR(__xludf.DUMMYFUNCTION("""COMPUTED_VALUE"""),21.0)</f>
        <v>21</v>
      </c>
      <c r="J648" s="6">
        <f>IFERROR(__xludf.DUMMYFUNCTION("""COMPUTED_VALUE"""),1152.36)</f>
        <v>1152.36</v>
      </c>
      <c r="K648" s="6">
        <f>IFERROR(__xludf.DUMMYFUNCTION("""COMPUTED_VALUE"""),1344.42)</f>
        <v>1344.42</v>
      </c>
      <c r="L648" s="3"/>
      <c r="M648" s="3"/>
    </row>
    <row r="649" ht="48.0" customHeight="1">
      <c r="A649" s="3" t="str">
        <f>IFERROR(__xludf.DUMMYFUNCTION("""COMPUTED_VALUE"""),"DSK3G501CV")</f>
        <v>DSK3G501CV</v>
      </c>
      <c r="B649" s="4" t="str">
        <f>IFERROR(__xludf.DUMMYFUNCTION("""COMPUTED_VALUE"""),"TAPA DE REEMPLAZO PARA INSTALACIÓN DE SOPORTES DSKAB6ZU1 PARA")</f>
        <v>TAPA DE REEMPLAZO PARA INSTALACIÓN DE SOPORTES DSKAB6ZU1 PARA</v>
      </c>
      <c r="C649" s="4" t="str">
        <f>IFERROR(__xludf.DUMMYFUNCTION("""COMPUTED_VALUE"""),"Tapa de reemplazo para instalación de soportes DSKAB6ZU1 para terminales de reconocimiento Facial (incluye perforaciones sobre la base).")</f>
        <v>Tapa de reemplazo para instalación de soportes DSKAB6ZU1 para terminales de reconocimiento Facial (incluye perforaciones sobre la base).</v>
      </c>
      <c r="D649" s="4" t="str">
        <f>IFERROR(__xludf.DUMMYFUNCTION("""COMPUTED_VALUE"""),"HIKVISION")</f>
        <v>HIKVISION</v>
      </c>
      <c r="E649" s="4" t="str">
        <f>IFERROR(__xludf.DUMMYFUNCTION("""COMPUTED_VALUE"""),"DSK3G501CV")</f>
        <v>DSK3G501CV</v>
      </c>
      <c r="F649" s="4" t="str">
        <f>IFERROR(__xludf.DUMMYFUNCTION("""COMPUTED_VALUE"""),"CONTROL DE ACCESO &gt; CONTROL DE ACCESOS HIKVISION PORTONES-MOLINETES Y BARRERAS")</f>
        <v>CONTROL DE ACCESO &gt; CONTROL DE ACCESOS HIKVISION PORTONES-MOLINETES Y BARRERAS</v>
      </c>
      <c r="G649" s="5"/>
      <c r="H649" s="6">
        <f>IFERROR(__xludf.DUMMYFUNCTION("""COMPUTED_VALUE"""),161.7)</f>
        <v>161.7</v>
      </c>
      <c r="I649" s="7">
        <f>IFERROR(__xludf.DUMMYFUNCTION("""COMPUTED_VALUE"""),21.0)</f>
        <v>21</v>
      </c>
      <c r="J649" s="6">
        <f>IFERROR(__xludf.DUMMYFUNCTION("""COMPUTED_VALUE"""),194.04)</f>
        <v>194.04</v>
      </c>
      <c r="K649" s="6">
        <f>IFERROR(__xludf.DUMMYFUNCTION("""COMPUTED_VALUE"""),226.38)</f>
        <v>226.38</v>
      </c>
      <c r="L649" s="3"/>
      <c r="M649" s="3"/>
    </row>
    <row r="650" ht="48.0" customHeight="1">
      <c r="A650" s="3" t="str">
        <f>IFERROR(__xludf.DUMMYFUNCTION("""COMPUTED_VALUE"""),"DSKAB6ZU1")</f>
        <v>DSKAB6ZU1</v>
      </c>
      <c r="B650" s="4" t="str">
        <f>IFERROR(__xludf.DUMMYFUNCTION("""COMPUTED_VALUE"""),"SOPORTE UNIVERSAL MINMOE")</f>
        <v>SOPORTE UNIVERSAL MINMOE</v>
      </c>
      <c r="C650" s="4" t="str">
        <f>IFERROR(__xludf.DUMMYFUNCTION("""COMPUTED_VALUE"""),"Soporte Universal MinMoe")</f>
        <v>Soporte Universal MinMoe</v>
      </c>
      <c r="D650" s="4" t="str">
        <f>IFERROR(__xludf.DUMMYFUNCTION("""COMPUTED_VALUE"""),"HIKVISION")</f>
        <v>HIKVISION</v>
      </c>
      <c r="E650" s="4" t="str">
        <f>IFERROR(__xludf.DUMMYFUNCTION("""COMPUTED_VALUE"""),"DSKAB6ZU1")</f>
        <v>DSKAB6ZU1</v>
      </c>
      <c r="F650" s="4" t="str">
        <f>IFERROR(__xludf.DUMMYFUNCTION("""COMPUTED_VALUE"""),"CONTROL DE ACCESO &gt; CONTROL DE ACCESOS HIKVISION PORTONES-MOLINETES Y BARRERAS")</f>
        <v>CONTROL DE ACCESO &gt; CONTROL DE ACCESOS HIKVISION PORTONES-MOLINETES Y BARRERAS</v>
      </c>
      <c r="G650" s="5"/>
      <c r="H650" s="6">
        <f>IFERROR(__xludf.DUMMYFUNCTION("""COMPUTED_VALUE"""),51.7)</f>
        <v>51.7</v>
      </c>
      <c r="I650" s="7">
        <f>IFERROR(__xludf.DUMMYFUNCTION("""COMPUTED_VALUE"""),21.0)</f>
        <v>21</v>
      </c>
      <c r="J650" s="6">
        <f>IFERROR(__xludf.DUMMYFUNCTION("""COMPUTED_VALUE"""),62.04)</f>
        <v>62.04</v>
      </c>
      <c r="K650" s="6">
        <f>IFERROR(__xludf.DUMMYFUNCTION("""COMPUTED_VALUE"""),72.38)</f>
        <v>72.38</v>
      </c>
      <c r="L650" s="3"/>
      <c r="M650" s="3"/>
    </row>
    <row r="651" ht="48.0" customHeight="1">
      <c r="A651" s="3" t="str">
        <f>IFERROR(__xludf.DUMMYFUNCTION("""COMPUTED_VALUE"""),"DSKAB601COVER")</f>
        <v>DSKAB601COVER</v>
      </c>
      <c r="B651" s="4" t="str">
        <f>IFERROR(__xludf.DUMMYFUNCTION("""COMPUTED_VALUE"""),"TAPA CIEGA PARA CUBRIR PERFORACIONES DE MONTAJE EN DSK3G501CV")</f>
        <v>TAPA CIEGA PARA CUBRIR PERFORACIONES DE MONTAJE EN DSK3G501CV</v>
      </c>
      <c r="C651" s="4" t="str">
        <f>IFERROR(__xludf.DUMMYFUNCTION("""COMPUTED_VALUE"""),"Tapa Ciega para cubrir perforaciones de montaje en DSK3G501CV")</f>
        <v>Tapa Ciega para cubrir perforaciones de montaje en DSK3G501CV</v>
      </c>
      <c r="D651" s="4" t="str">
        <f>IFERROR(__xludf.DUMMYFUNCTION("""COMPUTED_VALUE"""),"HIKVISION")</f>
        <v>HIKVISION</v>
      </c>
      <c r="E651" s="4" t="str">
        <f>IFERROR(__xludf.DUMMYFUNCTION("""COMPUTED_VALUE"""),"DSKAB601COVER")</f>
        <v>DSKAB601COVER</v>
      </c>
      <c r="F651" s="4" t="str">
        <f>IFERROR(__xludf.DUMMYFUNCTION("""COMPUTED_VALUE"""),"CONTROL DE ACCESO &gt; CONTROL DE ACCESOS HIKVISION PORTONES-MOLINETES Y BARRERAS")</f>
        <v>CONTROL DE ACCESO &gt; CONTROL DE ACCESOS HIKVISION PORTONES-MOLINETES Y BARRERAS</v>
      </c>
      <c r="G651" s="5"/>
      <c r="H651" s="6">
        <f>IFERROR(__xludf.DUMMYFUNCTION("""COMPUTED_VALUE"""),72.6)</f>
        <v>72.6</v>
      </c>
      <c r="I651" s="7">
        <f>IFERROR(__xludf.DUMMYFUNCTION("""COMPUTED_VALUE"""),21.0)</f>
        <v>21</v>
      </c>
      <c r="J651" s="6">
        <f>IFERROR(__xludf.DUMMYFUNCTION("""COMPUTED_VALUE"""),87.12)</f>
        <v>87.12</v>
      </c>
      <c r="K651" s="6">
        <f>IFERROR(__xludf.DUMMYFUNCTION("""COMPUTED_VALUE"""),101.64)</f>
        <v>101.64</v>
      </c>
      <c r="L651" s="3"/>
      <c r="M651" s="3"/>
    </row>
    <row r="652" ht="48.0" customHeight="1">
      <c r="A652" s="3" t="str">
        <f>IFERROR(__xludf.DUMMYFUNCTION("""COMPUTED_VALUE"""),"DS-K3B530X-M/MPG")</f>
        <v>DS-K3B530X-M/MPG</v>
      </c>
      <c r="B652" s="4" t="str">
        <f>IFERROR(__xludf.DUMMYFUNCTION("""COMPUTED_VALUE"""),"BARRERA TIPO “SWING” CENTRAL")</f>
        <v>BARRERA TIPO “SWING” CENTRAL</v>
      </c>
      <c r="C652" s="4" t="str">
        <f>IFERROR(__xludf.DUMMYFUNCTION("""COMPUTED_VALUE"""),"Barrera tipo “swing” CENTRAL. Material de aletas: Acrílico (no incluidas) .Barreras abatibles profesionales 14 pares de detectores de luz IR: Validación de permisos y antirretroceso. La luz LED indica la dirección de paso. Configuración de duración de apr"&amp;"obación válida: El sistema cancelará el permiso de paso si una persona no pasa por el carril dentro de la duración de paso válida. El altavoz de soporte y el control remoto son opcionales, se deben pedir por separado.")</f>
        <v>Barrera tipo “swing” CENTRAL. Material de aletas: Acrílico (no incluidas) .Barreras abatibles profesionales 14 pares de detectores de luz IR: Validación de permisos y antirretroceso. La luz LED indica la dirección de paso. Configuración de duración de aprobación válida: El sistema cancelará el permiso de paso si una persona no pasa por el carril dentro de la duración de paso válida. El altavoz de soporte y el control remoto son opcionales, se deben pedir por separado.</v>
      </c>
      <c r="D652" s="4" t="str">
        <f>IFERROR(__xludf.DUMMYFUNCTION("""COMPUTED_VALUE"""),"HIKVISION")</f>
        <v>HIKVISION</v>
      </c>
      <c r="E652" s="4" t="str">
        <f>IFERROR(__xludf.DUMMYFUNCTION("""COMPUTED_VALUE"""),"DS-K3B530X-M/MPG")</f>
        <v>DS-K3B530X-M/MPG</v>
      </c>
      <c r="F652" s="4" t="str">
        <f>IFERROR(__xludf.DUMMYFUNCTION("""COMPUTED_VALUE"""),"CONTROL DE ACCESO &gt; CONTROL DE ACCESOS HIKVISION PORTONES-MOLINETES Y BARRERAS")</f>
        <v>CONTROL DE ACCESO &gt; CONTROL DE ACCESOS HIKVISION PORTONES-MOLINETES Y BARRERAS</v>
      </c>
      <c r="G652" s="5"/>
      <c r="H652" s="6">
        <f>IFERROR(__xludf.DUMMYFUNCTION("""COMPUTED_VALUE"""),8966.1)</f>
        <v>8966.1</v>
      </c>
      <c r="I652" s="7">
        <f>IFERROR(__xludf.DUMMYFUNCTION("""COMPUTED_VALUE"""),21.0)</f>
        <v>21</v>
      </c>
      <c r="J652" s="6">
        <f>IFERROR(__xludf.DUMMYFUNCTION("""COMPUTED_VALUE"""),10759.32)</f>
        <v>10759.32</v>
      </c>
      <c r="K652" s="6">
        <f>IFERROR(__xludf.DUMMYFUNCTION("""COMPUTED_VALUE"""),12552.54)</f>
        <v>12552.54</v>
      </c>
      <c r="L652" s="3"/>
      <c r="M652" s="3"/>
    </row>
    <row r="653" ht="48.0" customHeight="1">
      <c r="A653" s="3" t="str">
        <f>IFERROR(__xludf.DUMMYFUNCTION("""COMPUTED_VALUE"""),"DS-TMG035")</f>
        <v>DS-TMG035</v>
      </c>
      <c r="B653" s="4" t="str">
        <f>IFERROR(__xludf.DUMMYFUNCTION("""COMPUTED_VALUE"""),"RADAR ANTI-CAÍDA 60/79GHZ PARA BARRERAS, DETECTA DIRECCIÓN DE PASO,")</f>
        <v>RADAR ANTI-CAÍDA 60/79GHZ PARA BARRERAS, DETECTA DIRECCIÓN DE PASO,</v>
      </c>
      <c r="C653" s="4" t="str">
        <f>IFERROR(__xludf.DUMMYFUNCTION("""COMPUTED_VALUE"""),"Radar anti-caída 60/79GHz para barreras, detecta dirección de paso, configuración remota y resistencia IP67.")</f>
        <v>Radar anti-caída 60/79GHz para barreras, detecta dirección de paso, configuración remota y resistencia IP67.</v>
      </c>
      <c r="D653" s="4" t="str">
        <f>IFERROR(__xludf.DUMMYFUNCTION("""COMPUTED_VALUE"""),"HIKVISION")</f>
        <v>HIKVISION</v>
      </c>
      <c r="E653" s="4" t="str">
        <f>IFERROR(__xludf.DUMMYFUNCTION("""COMPUTED_VALUE"""),"DS-TMG035")</f>
        <v>DS-TMG035</v>
      </c>
      <c r="F653" s="4" t="str">
        <f>IFERROR(__xludf.DUMMYFUNCTION("""COMPUTED_VALUE"""),"CONTROL DE ACCESO &gt; CONTROL DE ACCESOS HIKVISION PORTONES-MOLINETES Y BARRERAS")</f>
        <v>CONTROL DE ACCESO &gt; CONTROL DE ACCESOS HIKVISION PORTONES-MOLINETES Y BARRERAS</v>
      </c>
      <c r="G653" s="5"/>
      <c r="H653" s="6">
        <f>IFERROR(__xludf.DUMMYFUNCTION("""COMPUTED_VALUE"""),365.2)</f>
        <v>365.2</v>
      </c>
      <c r="I653" s="7">
        <f>IFERROR(__xludf.DUMMYFUNCTION("""COMPUTED_VALUE"""),21.0)</f>
        <v>21</v>
      </c>
      <c r="J653" s="6">
        <f>IFERROR(__xludf.DUMMYFUNCTION("""COMPUTED_VALUE"""),438.24)</f>
        <v>438.24</v>
      </c>
      <c r="K653" s="6">
        <f>IFERROR(__xludf.DUMMYFUNCTION("""COMPUTED_VALUE"""),511.28)</f>
        <v>511.28</v>
      </c>
      <c r="L653" s="3"/>
      <c r="M653" s="3"/>
    </row>
    <row r="654" ht="48.0" customHeight="1">
      <c r="A654" s="3" t="str">
        <f>IFERROR(__xludf.DUMMYFUNCTION("""COMPUTED_VALUE"""),"DS-K3DW211X")</f>
        <v>DS-K3DW211X</v>
      </c>
      <c r="B654" s="4" t="str">
        <f>IFERROR(__xludf.DUMMYFUNCTION("""COMPUTED_VALUE"""),"ABREPUERTAS CON CERRADURA ELECTRÓNICA ESTRUCTURA DE TRANSMISIÓN TIPO T")</f>
        <v>ABREPUERTAS CON CERRADURA ELECTRÓNICA ESTRUCTURA DE TRANSMISIÓN TIPO T</v>
      </c>
      <c r="C654" s="4" t="str">
        <f>IFERROR(__xludf.DUMMYFUNCTION("""COMPUTED_VALUE"""),"Abrepuertas con cerradura electrónica Estructura de transmisión tipo tijera Admite conexión de dispositivos externos para una apertura y cierre de puertas automáticos y más seguros Compatible con múltiples tipos de puertas para diversas situaciones Admite"&amp;" comunicación con dos motores")</f>
        <v>Abrepuertas con cerradura electrónica Estructura de transmisión tipo tijera Admite conexión de dispositivos externos para una apertura y cierre de puertas automáticos y más seguros Compatible con múltiples tipos de puertas para diversas situaciones Admite comunicación con dos motores</v>
      </c>
      <c r="D654" s="4" t="str">
        <f>IFERROR(__xludf.DUMMYFUNCTION("""COMPUTED_VALUE"""),"HIKVISION")</f>
        <v>HIKVISION</v>
      </c>
      <c r="E654" s="4" t="str">
        <f>IFERROR(__xludf.DUMMYFUNCTION("""COMPUTED_VALUE"""),"DS-K3DW211X")</f>
        <v>DS-K3DW211X</v>
      </c>
      <c r="F654" s="4" t="str">
        <f>IFERROR(__xludf.DUMMYFUNCTION("""COMPUTED_VALUE"""),"CONTROL DE ACCESO &gt; CONTROL DE ACCESOS HIKVISION PORTONES-MOLINETES Y BARRERAS")</f>
        <v>CONTROL DE ACCESO &gt; CONTROL DE ACCESOS HIKVISION PORTONES-MOLINETES Y BARRERAS</v>
      </c>
      <c r="G654" s="5"/>
      <c r="H654" s="6">
        <f>IFERROR(__xludf.DUMMYFUNCTION("""COMPUTED_VALUE"""),677.6)</f>
        <v>677.6</v>
      </c>
      <c r="I654" s="7">
        <f>IFERROR(__xludf.DUMMYFUNCTION("""COMPUTED_VALUE"""),21.0)</f>
        <v>21</v>
      </c>
      <c r="J654" s="6">
        <f>IFERROR(__xludf.DUMMYFUNCTION("""COMPUTED_VALUE"""),813.12)</f>
        <v>813.12</v>
      </c>
      <c r="K654" s="6">
        <f>IFERROR(__xludf.DUMMYFUNCTION("""COMPUTED_VALUE"""),948.64)</f>
        <v>948.64</v>
      </c>
      <c r="L654" s="3"/>
      <c r="M654" s="3"/>
    </row>
    <row r="655" ht="48.0" customHeight="1">
      <c r="A655" s="3" t="str">
        <f>IFERROR(__xludf.DUMMYFUNCTION("""COMPUTED_VALUE"""),"DS-K3DW210X")</f>
        <v>DS-K3DW210X</v>
      </c>
      <c r="B655" s="4" t="str">
        <f>IFERROR(__xludf.DUMMYFUNCTION("""COMPUTED_VALUE"""),"ABREPUERTAS CON CERRADURA ELECTRÓNICA")</f>
        <v>ABREPUERTAS CON CERRADURA ELECTRÓNICA</v>
      </c>
      <c r="C655" s="4" t="str">
        <f>IFERROR(__xludf.DUMMYFUNCTION("""COMPUTED_VALUE"""),"Abrepuertas con cerradura electrónica. Estructura de transmisión tipo riel deslizante Admite la conexión de dispositivos externos para una apertura y cierre de puertas automático y más seguro. Admite múltiples tipos de puertas para varios escenarios Admit"&amp;"e comunicación de doble motor")</f>
        <v>Abrepuertas con cerradura electrónica. Estructura de transmisión tipo riel deslizante Admite la conexión de dispositivos externos para una apertura y cierre de puertas automático y más seguro. Admite múltiples tipos de puertas para varios escenarios Admite comunicación de doble motor</v>
      </c>
      <c r="D655" s="4" t="str">
        <f>IFERROR(__xludf.DUMMYFUNCTION("""COMPUTED_VALUE"""),"HIKVISION")</f>
        <v>HIKVISION</v>
      </c>
      <c r="E655" s="4" t="str">
        <f>IFERROR(__xludf.DUMMYFUNCTION("""COMPUTED_VALUE"""),"DS-K3DW210X")</f>
        <v>DS-K3DW210X</v>
      </c>
      <c r="F655" s="4" t="str">
        <f>IFERROR(__xludf.DUMMYFUNCTION("""COMPUTED_VALUE"""),"CONTROL DE ACCESO &gt; CONTROL DE ACCESOS HIKVISION PORTONES-MOLINETES Y BARRERAS")</f>
        <v>CONTROL DE ACCESO &gt; CONTROL DE ACCESOS HIKVISION PORTONES-MOLINETES Y BARRERAS</v>
      </c>
      <c r="G655" s="5"/>
      <c r="H655" s="6">
        <f>IFERROR(__xludf.DUMMYFUNCTION("""COMPUTED_VALUE"""),677.6)</f>
        <v>677.6</v>
      </c>
      <c r="I655" s="7">
        <f>IFERROR(__xludf.DUMMYFUNCTION("""COMPUTED_VALUE"""),21.0)</f>
        <v>21</v>
      </c>
      <c r="J655" s="6">
        <f>IFERROR(__xludf.DUMMYFUNCTION("""COMPUTED_VALUE"""),813.12)</f>
        <v>813.12</v>
      </c>
      <c r="K655" s="6">
        <f>IFERROR(__xludf.DUMMYFUNCTION("""COMPUTED_VALUE"""),948.64)</f>
        <v>948.64</v>
      </c>
      <c r="L655" s="3"/>
      <c r="M655" s="3"/>
    </row>
    <row r="656" ht="48.0" customHeight="1">
      <c r="A656" s="3" t="str">
        <f>IFERROR(__xludf.DUMMYFUNCTION("""COMPUTED_VALUE"""),"DS-TMG300-DR")</f>
        <v>DS-TMG300-DR</v>
      </c>
      <c r="B656" s="4" t="str">
        <f>IFERROR(__xludf.DUMMYFUNCTION("""COMPUTED_VALUE"""),"BARRERA VEHICULAR MOTOR BRUSHLESS DC SILENCIOSO")</f>
        <v>BARRERA VEHICULAR MOTOR BRUSHLESS DC SILENCIOSO</v>
      </c>
      <c r="C656" s="4" t="str">
        <f>IFERROR(__xludf.DUMMYFUNCTION("""COMPUTED_VALUE"""),"Barrera Vehicular Motor Brushless DC silencioso. Anticolision - Velocidad Elevacion 3 Seg. - Banda Protectora Anti Golpe. Brazo de 3 metros")</f>
        <v>Barrera Vehicular Motor Brushless DC silencioso. Anticolision - Velocidad Elevacion 3 Seg. - Banda Protectora Anti Golpe. Brazo de 3 metros</v>
      </c>
      <c r="D656" s="4" t="str">
        <f>IFERROR(__xludf.DUMMYFUNCTION("""COMPUTED_VALUE"""),"HIKVISION")</f>
        <v>HIKVISION</v>
      </c>
      <c r="E656" s="4" t="str">
        <f>IFERROR(__xludf.DUMMYFUNCTION("""COMPUTED_VALUE"""),"DS-TMG300-DR")</f>
        <v>DS-TMG300-DR</v>
      </c>
      <c r="F656" s="4" t="str">
        <f>IFERROR(__xludf.DUMMYFUNCTION("""COMPUTED_VALUE"""),"CONTROL DE ACCESO &gt; CONTROL DE ACCESOS HIKVISION PORTONES-MOLINETES Y BARRERAS")</f>
        <v>CONTROL DE ACCESO &gt; CONTROL DE ACCESOS HIKVISION PORTONES-MOLINETES Y BARRERAS</v>
      </c>
      <c r="G656" s="5"/>
      <c r="H656" s="6">
        <f>IFERROR(__xludf.DUMMYFUNCTION("""COMPUTED_VALUE"""),1059.3)</f>
        <v>1059.3</v>
      </c>
      <c r="I656" s="7">
        <f>IFERROR(__xludf.DUMMYFUNCTION("""COMPUTED_VALUE"""),21.0)</f>
        <v>21</v>
      </c>
      <c r="J656" s="6">
        <f>IFERROR(__xludf.DUMMYFUNCTION("""COMPUTED_VALUE"""),1271.16)</f>
        <v>1271.16</v>
      </c>
      <c r="K656" s="6">
        <f>IFERROR(__xludf.DUMMYFUNCTION("""COMPUTED_VALUE"""),1483.02)</f>
        <v>1483.02</v>
      </c>
      <c r="L656" s="3"/>
      <c r="M656" s="3"/>
    </row>
    <row r="657" ht="48.0" customHeight="1">
      <c r="A657" s="3" t="str">
        <f>IFERROR(__xludf.DUMMYFUNCTION("""COMPUTED_VALUE"""),"DS-K3GL606WX-WB")</f>
        <v>DS-K3GL606WX-WB</v>
      </c>
      <c r="B657" s="4" t="str">
        <f>IFERROR(__xludf.DUMMYFUNCTION("""COMPUTED_VALUE"""),"MOTOR DE AUTOMATIZACIÓN PARA PORTONES CORREDIZOS, COMPATIBLE CON INTER")</f>
        <v>MOTOR DE AUTOMATIZACIÓN PARA PORTONES CORREDIZOS, COMPATIBLE CON INTER</v>
      </c>
      <c r="C657" s="4" t="str">
        <f>IFERROR(__xludf.DUMMYFUNCTION("""COMPUTED_VALUE"""),"Motor de Automatización para portones corredizos, Compatible con interfaces Wi-Fi y LAN integradas. Alimentado por batería, velocidad máxima de apertura: 0,6 m/s, a 17 kgf (2 baterías de 12 V y 7 Ah son esenciales para su correcto funcionamiento). Configu"&amp;"ración web móvil con modo AP con un simple toque en las etiquetas NFC. Autodiagnóstico del estado de los componentes. Compatible con sistema de acceso integrado, que permite abrir puertas mediante código PIN, tarjeta y código QR con un lector de tarjetas "&amp;"de CA externo. El sistema admite la función de vinculación, lo que permite la integración de aplicaciones con sistemas de intercomunicación, alarma y control de acceso. El producto admite el modo de bajo consumo, lo que permite una excelente gestión del c"&amp;"onsumo energético tras un corte de luz, logrando tiempos de espera más largos y más ciclos de apertura y cierre de puertas. No incluye cremallera paso M4")</f>
        <v>Motor de Automatización para portones corredizos, Compatible con interfaces Wi-Fi y LAN integradas. Alimentado por batería, velocidad máxima de apertura: 0,6 m/s, a 17 kgf (2 baterías de 12 V y 7 Ah son esenciales para su correcto funcionamiento). Configuración web móvil con modo AP con un simple toque en las etiquetas NFC. Autodiagnóstico del estado de los componentes. Compatible con sistema de acceso integrado, que permite abrir puertas mediante código PIN, tarjeta y código QR con un lector de tarjetas de CA externo. El sistema admite la función de vinculación, lo que permite la integración de aplicaciones con sistemas de intercomunicación, alarma y control de acceso. El producto admite el modo de bajo consumo, lo que permite una excelente gestión del consumo energético tras un corte de luz, logrando tiempos de espera más largos y más ciclos de apertura y cierre de puertas. No incluye cremallera paso M4</v>
      </c>
      <c r="D657" s="4" t="str">
        <f>IFERROR(__xludf.DUMMYFUNCTION("""COMPUTED_VALUE"""),"HIKVISION")</f>
        <v>HIKVISION</v>
      </c>
      <c r="E657" s="4" t="str">
        <f>IFERROR(__xludf.DUMMYFUNCTION("""COMPUTED_VALUE"""),"DS-K3GL606WX-WB")</f>
        <v>DS-K3GL606WX-WB</v>
      </c>
      <c r="F657" s="4" t="str">
        <f>IFERROR(__xludf.DUMMYFUNCTION("""COMPUTED_VALUE"""),"CONTROL DE ACCESO &gt; CONTROL DE ACCESOS HIKVISION PORTONES-MOLINETES Y BARRERAS")</f>
        <v>CONTROL DE ACCESO &gt; CONTROL DE ACCESOS HIKVISION PORTONES-MOLINETES Y BARRERAS</v>
      </c>
      <c r="G657" s="5"/>
      <c r="H657" s="6">
        <f>IFERROR(__xludf.DUMMYFUNCTION("""COMPUTED_VALUE"""),672.1)</f>
        <v>672.1</v>
      </c>
      <c r="I657" s="7">
        <f>IFERROR(__xludf.DUMMYFUNCTION("""COMPUTED_VALUE"""),21.0)</f>
        <v>21</v>
      </c>
      <c r="J657" s="6">
        <f>IFERROR(__xludf.DUMMYFUNCTION("""COMPUTED_VALUE"""),806.52)</f>
        <v>806.52</v>
      </c>
      <c r="K657" s="6">
        <f>IFERROR(__xludf.DUMMYFUNCTION("""COMPUTED_VALUE"""),940.94)</f>
        <v>940.94</v>
      </c>
      <c r="L657" s="3"/>
      <c r="M657" s="3"/>
    </row>
    <row r="658" ht="48.0" customHeight="1">
      <c r="A658" s="3" t="str">
        <f>IFERROR(__xludf.DUMMYFUNCTION("""COMPUTED_VALUE"""),"DS-K3G411CLX-R")</f>
        <v>DS-K3G411CLX-R</v>
      </c>
      <c r="B658" s="4" t="str">
        <f>IFERROR(__xludf.DUMMYFUNCTION("""COMPUTED_VALUE"""),"MOLINETE BIDIRECCIONAL")</f>
        <v>MOLINETE BIDIRECCIONAL</v>
      </c>
      <c r="C658" s="4" t="str">
        <f>IFERROR(__xludf.DUMMYFUNCTION("""COMPUTED_VALUE"""),"Molinete Bidireccional. LEDs Indicador de Entrada y Salida, Acero Inoxidable, Exterior Protegido.Apertura automática en emergencias y pérdida de energía. LEDs indicadores de dirección de paso, Operación de -20°C a 65°C, Consumo energético: 40W en espera, "&amp;"Mecanismo robusto y silencioso para alto flujo, Diseño Slim ultra estético en acero inoxidable")</f>
        <v>Molinete Bidireccional. LEDs Indicador de Entrada y Salida, Acero Inoxidable, Exterior Protegido.Apertura automática en emergencias y pérdida de energía. LEDs indicadores de dirección de paso, Operación de -20°C a 65°C, Consumo energético: 40W en espera, Mecanismo robusto y silencioso para alto flujo, Diseño Slim ultra estético en acero inoxidable</v>
      </c>
      <c r="D658" s="4" t="str">
        <f>IFERROR(__xludf.DUMMYFUNCTION("""COMPUTED_VALUE"""),"HIKVISION")</f>
        <v>HIKVISION</v>
      </c>
      <c r="E658" s="4" t="str">
        <f>IFERROR(__xludf.DUMMYFUNCTION("""COMPUTED_VALUE"""),"DS-K3G411CLX-R")</f>
        <v>DS-K3G411CLX-R</v>
      </c>
      <c r="F658" s="4" t="str">
        <f>IFERROR(__xludf.DUMMYFUNCTION("""COMPUTED_VALUE"""),"CONTROL DE ACCESO &gt; CONTROL DE ACCESOS HIKVISION PORTONES-MOLINETES Y BARRERAS")</f>
        <v>CONTROL DE ACCESO &gt; CONTROL DE ACCESOS HIKVISION PORTONES-MOLINETES Y BARRERAS</v>
      </c>
      <c r="G658" s="5"/>
      <c r="H658" s="6">
        <f>IFERROR(__xludf.DUMMYFUNCTION("""COMPUTED_VALUE"""),1485.0)</f>
        <v>1485</v>
      </c>
      <c r="I658" s="7">
        <f>IFERROR(__xludf.DUMMYFUNCTION("""COMPUTED_VALUE"""),21.0)</f>
        <v>21</v>
      </c>
      <c r="J658" s="6">
        <f>IFERROR(__xludf.DUMMYFUNCTION("""COMPUTED_VALUE"""),1782.0)</f>
        <v>1782</v>
      </c>
      <c r="K658" s="6">
        <f>IFERROR(__xludf.DUMMYFUNCTION("""COMPUTED_VALUE"""),2079.0)</f>
        <v>2079</v>
      </c>
      <c r="L658" s="3"/>
      <c r="M658" s="3"/>
    </row>
    <row r="659" ht="48.0" customHeight="1">
      <c r="A659" s="3" t="str">
        <f>IFERROR(__xludf.DUMMYFUNCTION("""COMPUTED_VALUE"""),"DS-TRI900-1/A")</f>
        <v>DS-TRI900-1/A</v>
      </c>
      <c r="B659" s="4" t="str">
        <f>IFERROR(__xludf.DUMMYFUNCTION("""COMPUTED_VALUE"""),"LECTOR RFID DE LARGO ALCANCE PARA CONTROL DE ACCESO")</f>
        <v>LECTOR RFID DE LARGO ALCANCE PARA CONTROL DE ACCESO</v>
      </c>
      <c r="C659" s="4" t="str">
        <f>IFERROR(__xludf.DUMMYFUNCTION("""COMPUTED_VALUE"""),"Lector RFID de Largo Alcance para Control de Acceso Vehicular UHF Card ReaderSupport EPC C1 Gen2/ISO 18000-6C Support EPC intensive read mode Long distance reading, RF output power up to 33dBm Support 640Kbps tag data reading rate Support Ethernet, Wiegan"&amp;"d communication Flexible configuration and parameterization to maximize label reading and optimal performance")</f>
        <v>Lector RFID de Largo Alcance para Control de Acceso Vehicular UHF Card ReaderSupport EPC C1 Gen2/ISO 18000-6C Support EPC intensive read mode Long distance reading, RF output power up to 33dBm Support 640Kbps tag data reading rate Support Ethernet, Wiegand communication Flexible configuration and parameterization to maximize label reading and optimal performance</v>
      </c>
      <c r="D659" s="4" t="str">
        <f>IFERROR(__xludf.DUMMYFUNCTION("""COMPUTED_VALUE"""),"HIKVISION")</f>
        <v>HIKVISION</v>
      </c>
      <c r="E659" s="4" t="str">
        <f>IFERROR(__xludf.DUMMYFUNCTION("""COMPUTED_VALUE"""),"DS-TRI900-1/A")</f>
        <v>DS-TRI900-1/A</v>
      </c>
      <c r="F659" s="4" t="str">
        <f>IFERROR(__xludf.DUMMYFUNCTION("""COMPUTED_VALUE"""),"CONTROL DE ACCESO &gt; CONTROL DE ACCESOS HIKVISION PORTONES-MOLINETES Y BARRERAS")</f>
        <v>CONTROL DE ACCESO &gt; CONTROL DE ACCESOS HIKVISION PORTONES-MOLINETES Y BARRERAS</v>
      </c>
      <c r="G659" s="5"/>
      <c r="H659" s="6">
        <f>IFERROR(__xludf.DUMMYFUNCTION("""COMPUTED_VALUE"""),763.4)</f>
        <v>763.4</v>
      </c>
      <c r="I659" s="7">
        <f>IFERROR(__xludf.DUMMYFUNCTION("""COMPUTED_VALUE"""),21.0)</f>
        <v>21</v>
      </c>
      <c r="J659" s="6">
        <f>IFERROR(__xludf.DUMMYFUNCTION("""COMPUTED_VALUE"""),916.08)</f>
        <v>916.08</v>
      </c>
      <c r="K659" s="6">
        <f>IFERROR(__xludf.DUMMYFUNCTION("""COMPUTED_VALUE"""),1068.76)</f>
        <v>1068.76</v>
      </c>
      <c r="L659" s="3"/>
      <c r="M659" s="3"/>
    </row>
    <row r="660" ht="48.0" customHeight="1">
      <c r="A660" s="3" t="str">
        <f>IFERROR(__xludf.DUMMYFUNCTION("""COMPUTED_VALUE"""),"DS-TRC900-8/A")</f>
        <v>DS-TRC900-8/A</v>
      </c>
      <c r="B660" s="4" t="str">
        <f>IFERROR(__xludf.DUMMYFUNCTION("""COMPUTED_VALUE"""),"UHF STICKER PEEL-AND-STICK INSTALLATION FOR QUICK AND EASY DEPLOYMENT")</f>
        <v>UHF STICKER PEEL-AND-STICK INSTALLATION FOR QUICK AND EASY DEPLOYMENT</v>
      </c>
      <c r="C660" s="4" t="str">
        <f>IFERROR(__xludf.DUMMYFUNCTION("""COMPUTED_VALUE"""),"UHF Sticker Peel-and-stick installation for quick and easy deployment 50-year data retention guaranteed Compliant with ISO/IEC 18000-63 and EPC Gen2 V2 standards Long read range with high stability performance")</f>
        <v>UHF Sticker Peel-and-stick installation for quick and easy deployment 50-year data retention guaranteed Compliant with ISO/IEC 18000-63 and EPC Gen2 V2 standards Long read range with high stability performance</v>
      </c>
      <c r="D660" s="4" t="str">
        <f>IFERROR(__xludf.DUMMYFUNCTION("""COMPUTED_VALUE"""),"HIKVISION")</f>
        <v>HIKVISION</v>
      </c>
      <c r="E660" s="4" t="str">
        <f>IFERROR(__xludf.DUMMYFUNCTION("""COMPUTED_VALUE"""),"DS-TRC900-8/A")</f>
        <v>DS-TRC900-8/A</v>
      </c>
      <c r="F660" s="4" t="str">
        <f>IFERROR(__xludf.DUMMYFUNCTION("""COMPUTED_VALUE"""),"CONTROL DE ACCESO &gt; CONTROL DE ACCESOS HIKVISION PORTONES-MOLINETES Y BARRERAS")</f>
        <v>CONTROL DE ACCESO &gt; CONTROL DE ACCESOS HIKVISION PORTONES-MOLINETES Y BARRERAS</v>
      </c>
      <c r="G660" s="5"/>
      <c r="H660" s="6">
        <f>IFERROR(__xludf.DUMMYFUNCTION("""COMPUTED_VALUE"""),9.24)</f>
        <v>9.24</v>
      </c>
      <c r="I660" s="7">
        <f>IFERROR(__xludf.DUMMYFUNCTION("""COMPUTED_VALUE"""),21.0)</f>
        <v>21</v>
      </c>
      <c r="J660" s="6">
        <f>IFERROR(__xludf.DUMMYFUNCTION("""COMPUTED_VALUE"""),11.09)</f>
        <v>11.09</v>
      </c>
      <c r="K660" s="6">
        <f>IFERROR(__xludf.DUMMYFUNCTION("""COMPUTED_VALUE"""),12.94)</f>
        <v>12.94</v>
      </c>
      <c r="L660" s="3"/>
      <c r="M660" s="3"/>
    </row>
    <row r="661" ht="48.0" customHeight="1">
      <c r="A661" s="3" t="str">
        <f>IFERROR(__xludf.DUMMYFUNCTION("""COMPUTED_VALUE"""),"ISDSMG318LTF")</f>
        <v>ISDSMG318LTF</v>
      </c>
      <c r="B661" s="4" t="str">
        <f>IFERROR(__xludf.DUMMYFUNCTION("""COMPUTED_VALUE"""),"ISD-SMG318LT-F ARCO DETECTOR DE METALES CON CÁMARA TERMICA")</f>
        <v>ISD-SMG318LT-F ARCO DETECTOR DE METALES CON CÁMARA TERMICA</v>
      </c>
      <c r="C661" s="4" t="str">
        <f>IFERROR(__xludf.DUMMYFUNCTION("""COMPUTED_VALUE"""),"ISD-SMG318LT-F Arco detector de metales con cámara termica. 18 independent detection zones; LCD screen; Thermal imaging resolution：160*120 Temperature measurement accuracy：±0.5℃ Temperature measurement range：30-45℃ Video mode: Bi-spectrum image fusion; In"&amp;" accordance with the international safety standard, friendly to pregnant woman, people with cardiac pacemaker, etc.")</f>
        <v>ISD-SMG318LT-F Arco detector de metales con cámara termica. 18 independent detection zones; LCD screen; Thermal imaging resolution：160*120 Temperature measurement accuracy：±0.5℃ Temperature measurement range：30-45℃ Video mode: Bi-spectrum image fusion; In accordance with the international safety standard, friendly to pregnant woman, people with cardiac pacemaker, etc.</v>
      </c>
      <c r="D661" s="4" t="str">
        <f>IFERROR(__xludf.DUMMYFUNCTION("""COMPUTED_VALUE"""),"HIKVISION")</f>
        <v>HIKVISION</v>
      </c>
      <c r="E661" s="4" t="str">
        <f>IFERROR(__xludf.DUMMYFUNCTION("""COMPUTED_VALUE"""),"ISDSMG318LTF")</f>
        <v>ISDSMG318LTF</v>
      </c>
      <c r="F661" s="4" t="str">
        <f>IFERROR(__xludf.DUMMYFUNCTION("""COMPUTED_VALUE"""),"CONTROL DE ACCESO &gt; TERMINALES DE CONTROL DE ACCESOS CON LECTURA DE TEMPERATURA CORPORAL")</f>
        <v>CONTROL DE ACCESO &gt; TERMINALES DE CONTROL DE ACCESOS CON LECTURA DE TEMPERATURA CORPORAL</v>
      </c>
      <c r="G661" s="5"/>
      <c r="H661" s="6">
        <f>IFERROR(__xludf.DUMMYFUNCTION("""COMPUTED_VALUE"""),8250.0)</f>
        <v>8250</v>
      </c>
      <c r="I661" s="7">
        <f>IFERROR(__xludf.DUMMYFUNCTION("""COMPUTED_VALUE"""),21.0)</f>
        <v>21</v>
      </c>
      <c r="J661" s="6">
        <f>IFERROR(__xludf.DUMMYFUNCTION("""COMPUTED_VALUE"""),9900.0)</f>
        <v>9900</v>
      </c>
      <c r="K661" s="6">
        <f>IFERROR(__xludf.DUMMYFUNCTION("""COMPUTED_VALUE"""),11550.0)</f>
        <v>11550</v>
      </c>
      <c r="L661" s="3"/>
      <c r="M661" s="3"/>
    </row>
    <row r="662" ht="48.0" customHeight="1">
      <c r="A662" s="3" t="str">
        <f>IFERROR(__xludf.DUMMYFUNCTION("""COMPUTED_VALUE"""),"DSK1TA70MIT")</f>
        <v>DSK1TA70MIT</v>
      </c>
      <c r="B662" s="4" t="str">
        <f>IFERROR(__xludf.DUMMYFUNCTION("""COMPUTED_VALUE"""),"DS-K1TA70MI-T TERMINAL DE CONTROL DE ACCESOS CON DETECCIÓN DE")</f>
        <v>DS-K1TA70MI-T TERMINAL DE CONTROL DE ACCESOS CON DETECCIÓN DE</v>
      </c>
      <c r="C662" s="4" t="str">
        <f>IFERROR(__xludf.DUMMYFUNCTION("""COMPUTED_VALUE"""),"DS-K1TA70MI-T Terminal de control de accesos con detección de rostros y sensado de temperatura 7-inch Touch screen Temperature measuring range: 30 °C to 45 °C , accuracy: 0.1 ° C, deviation: ± 0.5 °C. Detects face and takes temperature without identity au"&amp;"thentication Authentication modes : card and temperature, face and temperature, card and face and temperature, etc. Face mask: If no mask, prompt a voice reminder. Authentication is valid or will be failed. Displays temperature measurement, Triggers voice"&amp;" prompt when detecting abnormal temperature. Configurable door status (open/close) when detecting abnormal temperature. Face recognition duration ＜ 0.2 s/User; face recognition accuracy rate ≥ 99%. 6000 face capacity, 6000 card capacity, and 100,000 event"&amp;" capacity Suggested height for face recognition: between 1.4 m and 1.9 m. Connects to external access controller via Wiegand protocol")</f>
        <v>DS-K1TA70MI-T Terminal de control de accesos con detección de rostros y sensado de temperatura 7-inch Touch screen Temperature measuring range: 30 °C to 45 °C , accuracy: 0.1 ° C, deviation: ± 0.5 °C. Detects face and takes temperature without identity authentication Authentication modes : card and temperature, face and temperature, card and face and temperature, etc. Face mask: If no mask, prompt a voice reminder. Authentication is valid or will be failed. Displays temperature measurement, Triggers voice prompt when detecting abnormal temperature. Configurable door status (open/close) when detecting abnormal temperature. Face recognition duration ＜ 0.2 s/User; face recognition accuracy rate ≥ 99%. 6000 face capacity, 6000 card capacity, and 100,000 event capacity Suggested height for face recognition: between 1.4 m and 1.9 m. Connects to external access controller via Wiegand protocol</v>
      </c>
      <c r="D662" s="4" t="str">
        <f>IFERROR(__xludf.DUMMYFUNCTION("""COMPUTED_VALUE"""),"HIKVISION")</f>
        <v>HIKVISION</v>
      </c>
      <c r="E662" s="4" t="str">
        <f>IFERROR(__xludf.DUMMYFUNCTION("""COMPUTED_VALUE"""),"DSK1TA70MIT")</f>
        <v>DSK1TA70MIT</v>
      </c>
      <c r="F662" s="4" t="str">
        <f>IFERROR(__xludf.DUMMYFUNCTION("""COMPUTED_VALUE"""),"CONTROL DE ACCESO &gt; TERMINALES DE CONTROL DE ACCESOS CON LECTURA DE TEMPERATURA CORPORAL")</f>
        <v>CONTROL DE ACCESO &gt; TERMINALES DE CONTROL DE ACCESOS CON LECTURA DE TEMPERATURA CORPORAL</v>
      </c>
      <c r="G662" s="5"/>
      <c r="H662" s="6">
        <f>IFERROR(__xludf.DUMMYFUNCTION("""COMPUTED_VALUE"""),1640.1)</f>
        <v>1640.1</v>
      </c>
      <c r="I662" s="7">
        <f>IFERROR(__xludf.DUMMYFUNCTION("""COMPUTED_VALUE"""),10.5)</f>
        <v>10.5</v>
      </c>
      <c r="J662" s="6">
        <f>IFERROR(__xludf.DUMMYFUNCTION("""COMPUTED_VALUE"""),1968.12)</f>
        <v>1968.12</v>
      </c>
      <c r="K662" s="6">
        <f>IFERROR(__xludf.DUMMYFUNCTION("""COMPUTED_VALUE"""),2296.14)</f>
        <v>2296.14</v>
      </c>
      <c r="L662" s="3"/>
      <c r="M662" s="3"/>
    </row>
    <row r="663" ht="48.0" customHeight="1">
      <c r="A663" s="3" t="str">
        <f>IFERROR(__xludf.DUMMYFUNCTION("""COMPUTED_VALUE"""),"DSKC001")</f>
        <v>DSKC001</v>
      </c>
      <c r="B663" s="4" t="str">
        <f>IFERROR(__xludf.DUMMYFUNCTION("""COMPUTED_VALUE"""),"DS-KC001 PANTALLA ADICIONAL PARA VISUALIZAR ROSTROS DEL TERMINAL DS-K1")</f>
        <v>DS-KC001 PANTALLA ADICIONAL PARA VISUALIZAR ROSTROS DEL TERMINAL DS-K1</v>
      </c>
      <c r="C663" s="4" t="str">
        <f>IFERROR(__xludf.DUMMYFUNCTION("""COMPUTED_VALUE"""),"DS-KC001 Pantalla adicional para visualizar rostros del terminal DS-K1T671TM-3XF : 7“ Touch-Screen Android Tablet Monitor Display resolution: 1024 * 600;Wi-Fi 802.11b/g/n; Remote fever screning &amp; recods checking, real time preview; Centralized data manage"&amp;"ment, up to 100,000 records; Abnormal temperature alarm; Remote access control &amp; video intercom Including table bracket、32GB TF card and power adapter.")</f>
        <v>DS-KC001 Pantalla adicional para visualizar rostros del terminal DS-K1T671TM-3XF : 7“ Touch-Screen Android Tablet Monitor Display resolution: 1024 * 600;Wi-Fi 802.11b/g/n; Remote fever screning &amp; recods checking, real time preview; Centralized data management, up to 100,000 records; Abnormal temperature alarm; Remote access control &amp; video intercom Including table bracket、32GB TF card and power adapter.</v>
      </c>
      <c r="D663" s="4" t="str">
        <f>IFERROR(__xludf.DUMMYFUNCTION("""COMPUTED_VALUE"""),"HIKVISION")</f>
        <v>HIKVISION</v>
      </c>
      <c r="E663" s="4" t="str">
        <f>IFERROR(__xludf.DUMMYFUNCTION("""COMPUTED_VALUE"""),"DSKC001")</f>
        <v>DSKC001</v>
      </c>
      <c r="F663" s="4" t="str">
        <f>IFERROR(__xludf.DUMMYFUNCTION("""COMPUTED_VALUE"""),"CONTROL DE ACCESO &gt; TERMINALES DE CONTROL DE ACCESOS CON LECTURA DE TEMPERATURA CORPORAL")</f>
        <v>CONTROL DE ACCESO &gt; TERMINALES DE CONTROL DE ACCESOS CON LECTURA DE TEMPERATURA CORPORAL</v>
      </c>
      <c r="G663" s="5"/>
      <c r="H663" s="6">
        <f>IFERROR(__xludf.DUMMYFUNCTION("""COMPUTED_VALUE"""),478.5)</f>
        <v>478.5</v>
      </c>
      <c r="I663" s="7">
        <f>IFERROR(__xludf.DUMMYFUNCTION("""COMPUTED_VALUE"""),21.0)</f>
        <v>21</v>
      </c>
      <c r="J663" s="6">
        <f>IFERROR(__xludf.DUMMYFUNCTION("""COMPUTED_VALUE"""),574.2)</f>
        <v>574.2</v>
      </c>
      <c r="K663" s="6">
        <f>IFERROR(__xludf.DUMMYFUNCTION("""COMPUTED_VALUE"""),669.9)</f>
        <v>669.9</v>
      </c>
      <c r="L663" s="3"/>
      <c r="M663" s="3"/>
    </row>
    <row r="664" ht="48.0" customHeight="1">
      <c r="A664" s="3" t="str">
        <f>IFERROR(__xludf.DUMMYFUNCTION("""COMPUTED_VALUE"""),"DSKAB671B")</f>
        <v>DSKAB671B</v>
      </c>
      <c r="B664" s="4" t="str">
        <f>IFERROR(__xludf.DUMMYFUNCTION("""COMPUTED_VALUE"""),"DS-KAB671-B PEDESTAL DE MONTAJE PARA DS-K1T671TM-3XF MATERIAL：SPCC WEI")</f>
        <v>DS-KAB671-B PEDESTAL DE MONTAJE PARA DS-K1T671TM-3XF MATERIAL：SPCC WEI</v>
      </c>
      <c r="C664" s="4" t="str">
        <f>IFERROR(__xludf.DUMMYFUNCTION("""COMPUTED_VALUE"""),"DS-KAB671-B Pedestal de montaje para DS-K1T671TM-3XF Material：SPCC Weight：6.7 kg (14.8 lb.) Dimension (W × H × D)：98.5 mm × 1342 mm × 225 mm (3.9"" × 52.8"" × 8.9"") without power supply.")</f>
        <v>DS-KAB671-B Pedestal de montaje para DS-K1T671TM-3XF Material：SPCC Weight：6.7 kg (14.8 lb.) Dimension (W × H × D)：98.5 mm × 1342 mm × 225 mm (3.9" × 52.8" × 8.9") without power supply.</v>
      </c>
      <c r="D664" s="4" t="str">
        <f>IFERROR(__xludf.DUMMYFUNCTION("""COMPUTED_VALUE"""),"HIKVISION")</f>
        <v>HIKVISION</v>
      </c>
      <c r="E664" s="4" t="str">
        <f>IFERROR(__xludf.DUMMYFUNCTION("""COMPUTED_VALUE"""),"DSKAB671B")</f>
        <v>DSKAB671B</v>
      </c>
      <c r="F664" s="4" t="str">
        <f>IFERROR(__xludf.DUMMYFUNCTION("""COMPUTED_VALUE"""),"CONTROL DE ACCESO &gt; TERMINALES DE CONTROL DE ACCESOS CON LECTURA DE TEMPERATURA CORPORAL")</f>
        <v>CONTROL DE ACCESO &gt; TERMINALES DE CONTROL DE ACCESOS CON LECTURA DE TEMPERATURA CORPORAL</v>
      </c>
      <c r="G664" s="5"/>
      <c r="H664" s="6">
        <f>IFERROR(__xludf.DUMMYFUNCTION("""COMPUTED_VALUE"""),171.6)</f>
        <v>171.6</v>
      </c>
      <c r="I664" s="7">
        <f>IFERROR(__xludf.DUMMYFUNCTION("""COMPUTED_VALUE"""),21.0)</f>
        <v>21</v>
      </c>
      <c r="J664" s="6">
        <f>IFERROR(__xludf.DUMMYFUNCTION("""COMPUTED_VALUE"""),205.92)</f>
        <v>205.92</v>
      </c>
      <c r="K664" s="6">
        <f>IFERROR(__xludf.DUMMYFUNCTION("""COMPUTED_VALUE"""),240.24)</f>
        <v>240.24</v>
      </c>
      <c r="L664" s="3"/>
      <c r="M664" s="3"/>
    </row>
    <row r="665" ht="48.0" customHeight="1">
      <c r="A665" s="3" t="str">
        <f>IFERROR(__xludf.DUMMYFUNCTION("""COMPUTED_VALUE"""),"DSK56713XFZU")</f>
        <v>DSK56713XFZU</v>
      </c>
      <c r="B665" s="4" t="str">
        <f>IFERROR(__xludf.DUMMYFUNCTION("""COMPUTED_VALUE"""),"DS-K5671-3XF/ZU TERMINAL DE CONTROL DE ACCESOS CON DETECCIÓN DE")</f>
        <v>DS-K5671-3XF/ZU TERMINAL DE CONTROL DE ACCESOS CON DETECCIÓN DE</v>
      </c>
      <c r="C665" s="4" t="str">
        <f>IFERROR(__xludf.DUMMYFUNCTION("""COMPUTED_VALUE"""),"DS-K5671-3XF/ZU Terminal de control de accesos con detección de rostros y sensado de temperatura para montale en molinete: 7-inch LCD touch screen,2 Mega pixel wide-angle lens. Max.50,000 faces capacity; verification methods：Supporting fast temperature me"&amp;"asurement and face recognition with fever screening Authentication distance: 0.3-2 m. Temperature range: 30-45℃, accuracy：±0.5℃; Supports 6 attendance status, including check in, check out, break in, break out, overtime in, overtime out Face Recognition D"&amp;"uration(1:N) ≤0.2s Mask detection：Supporting face mask wearing alert and forced mask wearing alert. Lectura codigo QR")</f>
        <v>DS-K5671-3XF/ZU Terminal de control de accesos con detección de rostros y sensado de temperatura para montale en molinete: 7-inch LCD touch screen,2 Mega pixel wide-angle lens. Max.50,000 faces capacity; verification methods：Supporting fast temperature measurement and face recognition with fever screening Authentication distance: 0.3-2 m. Temperature range: 30-45℃, accuracy：±0.5℃; Supports 6 attendance status, including check in, check out, break in, break out, overtime in, overtime out Face Recognition Duration(1:N) ≤0.2s Mask detection：Supporting face mask wearing alert and forced mask wearing alert. Lectura codigo QR</v>
      </c>
      <c r="D665" s="4" t="str">
        <f>IFERROR(__xludf.DUMMYFUNCTION("""COMPUTED_VALUE"""),"HIKVISION")</f>
        <v>HIKVISION</v>
      </c>
      <c r="E665" s="4" t="str">
        <f>IFERROR(__xludf.DUMMYFUNCTION("""COMPUTED_VALUE"""),"DSK56713XFZU")</f>
        <v>DSK56713XFZU</v>
      </c>
      <c r="F665" s="4" t="str">
        <f>IFERROR(__xludf.DUMMYFUNCTION("""COMPUTED_VALUE"""),"CONTROL DE ACCESO &gt; TERMINALES DE CONTROL DE ACCESOS CON LECTURA DE TEMPERATURA CORPORAL")</f>
        <v>CONTROL DE ACCESO &gt; TERMINALES DE CONTROL DE ACCESOS CON LECTURA DE TEMPERATURA CORPORAL</v>
      </c>
      <c r="G665" s="5"/>
      <c r="H665" s="6">
        <f>IFERROR(__xludf.DUMMYFUNCTION("""COMPUTED_VALUE"""),2498.1)</f>
        <v>2498.1</v>
      </c>
      <c r="I665" s="7">
        <f>IFERROR(__xludf.DUMMYFUNCTION("""COMPUTED_VALUE"""),21.0)</f>
        <v>21</v>
      </c>
      <c r="J665" s="6">
        <f>IFERROR(__xludf.DUMMYFUNCTION("""COMPUTED_VALUE"""),2997.72)</f>
        <v>2997.72</v>
      </c>
      <c r="K665" s="6">
        <f>IFERROR(__xludf.DUMMYFUNCTION("""COMPUTED_VALUE"""),3497.34)</f>
        <v>3497.34</v>
      </c>
      <c r="L665" s="3"/>
      <c r="M665" s="3"/>
    </row>
    <row r="666" ht="48.0" customHeight="1">
      <c r="A666" s="3" t="str">
        <f>IFERROR(__xludf.DUMMYFUNCTION("""COMPUTED_VALUE"""),"DS-K1T671TM-3XF")</f>
        <v>DS-K1T671TM-3XF</v>
      </c>
      <c r="B666" s="4" t="str">
        <f>IFERROR(__xludf.DUMMYFUNCTION("""COMPUTED_VALUE"""),"TERMINAL DE RECONOCIMIENTO FACIAL, CON DETECCIÓN DE TEMPERATURA CORPOR")</f>
        <v>TERMINAL DE RECONOCIMIENTO FACIAL, CON DETECCIÓN DE TEMPERATURA CORPOR</v>
      </c>
      <c r="C666" s="4" t="str">
        <f>IFERROR(__xludf.DUMMYFUNCTION("""COMPUTED_VALUE"""),"Terminal de reconocimiento facial, con detección de Temperatura corporal entre 30 °C a 45 °C Rango de precision 0.5°C. Distancia para reconocer rostro: 0.3 a 2 metros. Detección de cubre bocas, Doble Camara de 2 mp, con luz complementaria (IR,WDR). Pantal"&amp;"la LCD touch 7"" (1024x600), Incluye lector de proximidad de Hasta 50,000 tarjetas MIFARE., Reconocimiento de hasta 50,000 rostros. Reconocimiento en 0.2 segundosy hasta 100,000 eventos. Comunicación IP (10/100/1000 Mbps). Multiple autentificación.")</f>
        <v>Terminal de reconocimiento facial, con detección de Temperatura corporal entre 30 °C a 45 °C Rango de precision 0.5°C. Distancia para reconocer rostro: 0.3 a 2 metros. Detección de cubre bocas, Doble Camara de 2 mp, con luz complementaria (IR,WDR). Pantalla LCD touch 7" (1024x600), Incluye lector de proximidad de Hasta 50,000 tarjetas MIFARE., Reconocimiento de hasta 50,000 rostros. Reconocimiento en 0.2 segundosy hasta 100,000 eventos. Comunicación IP (10/100/1000 Mbps). Multiple autentificación.</v>
      </c>
      <c r="D666" s="4" t="str">
        <f>IFERROR(__xludf.DUMMYFUNCTION("""COMPUTED_VALUE"""),"HIKVISION")</f>
        <v>HIKVISION</v>
      </c>
      <c r="E666" s="4" t="str">
        <f>IFERROR(__xludf.DUMMYFUNCTION("""COMPUTED_VALUE"""),"DS-K1T671TM-3XF")</f>
        <v>DS-K1T671TM-3XF</v>
      </c>
      <c r="F666" s="4" t="str">
        <f>IFERROR(__xludf.DUMMYFUNCTION("""COMPUTED_VALUE"""),"CONTROL DE ACCESO &gt; TERMINALES DE CONTROL DE ACCESOS CON LECTURA DE TEMPERATURA CORPORAL")</f>
        <v>CONTROL DE ACCESO &gt; TERMINALES DE CONTROL DE ACCESOS CON LECTURA DE TEMPERATURA CORPORAL</v>
      </c>
      <c r="G666" s="5"/>
      <c r="H666" s="6">
        <f>IFERROR(__xludf.DUMMYFUNCTION("""COMPUTED_VALUE"""),2373.8)</f>
        <v>2373.8</v>
      </c>
      <c r="I666" s="7">
        <f>IFERROR(__xludf.DUMMYFUNCTION("""COMPUTED_VALUE"""),21.0)</f>
        <v>21</v>
      </c>
      <c r="J666" s="6">
        <f>IFERROR(__xludf.DUMMYFUNCTION("""COMPUTED_VALUE"""),2848.56)</f>
        <v>2848.56</v>
      </c>
      <c r="K666" s="6">
        <f>IFERROR(__xludf.DUMMYFUNCTION("""COMPUTED_VALUE"""),3323.32)</f>
        <v>3323.32</v>
      </c>
      <c r="L666" s="3"/>
      <c r="M666" s="3"/>
    </row>
    <row r="667" ht="48.0" customHeight="1">
      <c r="A667" s="3" t="str">
        <f>IFERROR(__xludf.DUMMYFUNCTION("""COMPUTED_VALUE"""),"UNIT300R")</f>
        <v>UNIT300R</v>
      </c>
      <c r="B667" s="4" t="str">
        <f>IFERROR(__xludf.DUMMYFUNCTION("""COMPUTED_VALUE"""),"TERMÓMETRO MANUAL INFRARROJO DE MEDICIÓN DE TEMPERATURA PARA PERSONAS")</f>
        <v>TERMÓMETRO MANUAL INFRARROJO DE MEDICIÓN DE TEMPERATURA PARA PERSONAS</v>
      </c>
      <c r="C667" s="4" t="str">
        <f>IFERROR(__xludf.DUMMYFUNCTION("""COMPUTED_VALUE"""),"Termómetro manual Infrarrojo de medición de temperatura para personas. Puede medir la temperatura con precisión en 1 segundo apuntando el detector al objetivo. Rango de temperatura 32 ºC a 42.9 ºC (89.6 ºF a 109.2 ºF) Exactitud +/- 0.3 ºC (0.6 ºF) Tiempo "&amp;"de respuesta 500ms Distancia de medición 5cm a 10cm Alarma sonora de alta temperatura Retención de datos Iluminación de pantalla blanco Apagado automático")</f>
        <v>Termómetro manual Infrarrojo de medición de temperatura para personas. Puede medir la temperatura con precisión en 1 segundo apuntando el detector al objetivo. Rango de temperatura 32 ºC a 42.9 ºC (89.6 ºF a 109.2 ºF) Exactitud +/- 0.3 ºC (0.6 ºF) Tiempo de respuesta 500ms Distancia de medición 5cm a 10cm Alarma sonora de alta temperatura Retención de datos Iluminación de pantalla blanco Apagado automático</v>
      </c>
      <c r="D667" s="4" t="str">
        <f>IFERROR(__xludf.DUMMYFUNCTION("""COMPUTED_VALUE"""),"UNI-T")</f>
        <v>UNI-T</v>
      </c>
      <c r="E667" s="4" t="str">
        <f>IFERROR(__xludf.DUMMYFUNCTION("""COMPUTED_VALUE"""),"UNIT300R")</f>
        <v>UNIT300R</v>
      </c>
      <c r="F667" s="4" t="str">
        <f>IFERROR(__xludf.DUMMYFUNCTION("""COMPUTED_VALUE"""),"CONTROL DE ACCESO &gt; TERMOMETROS MANUALES CON LECTURA DE TEMPERATURA CORPORAL")</f>
        <v>CONTROL DE ACCESO &gt; TERMOMETROS MANUALES CON LECTURA DE TEMPERATURA CORPORAL</v>
      </c>
      <c r="G667" s="5"/>
      <c r="H667" s="6">
        <f>IFERROR(__xludf.DUMMYFUNCTION("""COMPUTED_VALUE"""),33.0)</f>
        <v>33</v>
      </c>
      <c r="I667" s="7">
        <f>IFERROR(__xludf.DUMMYFUNCTION("""COMPUTED_VALUE"""),21.0)</f>
        <v>21</v>
      </c>
      <c r="J667" s="6">
        <f>IFERROR(__xludf.DUMMYFUNCTION("""COMPUTED_VALUE"""),39.6)</f>
        <v>39.6</v>
      </c>
      <c r="K667" s="6">
        <f>IFERROR(__xludf.DUMMYFUNCTION("""COMPUTED_VALUE"""),46.2)</f>
        <v>46.2</v>
      </c>
      <c r="L667" s="3"/>
      <c r="M667" s="3"/>
    </row>
    <row r="668" ht="48.0" customHeight="1">
      <c r="A668" s="3" t="str">
        <f>IFERROR(__xludf.DUMMYFUNCTION("""COMPUTED_VALUE"""),"TEKHP311")</f>
        <v>TEKHP311</v>
      </c>
      <c r="B668" s="4" t="str">
        <f>IFERROR(__xludf.DUMMYFUNCTION("""COMPUTED_VALUE"""),"TERMÓMETRO MANUAL INFRARROJO DE MEDICIÓN DE TEMPERATURA PARA PERSONAS")</f>
        <v>TERMÓMETRO MANUAL INFRARROJO DE MEDICIÓN DE TEMPERATURA PARA PERSONAS</v>
      </c>
      <c r="C668" s="4" t="str">
        <f>IFERROR(__xludf.DUMMYFUNCTION("""COMPUTED_VALUE"""),"Termómetro manual Infrarrojo de medición de temperatura para personas Rango de medición 35℃-42℃：±0.2℃(32.36℉) &lt;35℃： ±0.3℃(32.54℉) &gt;42℃： ±0.3℃(32.54℉) Memory storage：99 groups of data lithium battery No incluye fuente USB5V")</f>
        <v>Termómetro manual Infrarrojo de medición de temperatura para personas Rango de medición 35℃-42℃：±0.2℃(32.36℉) &lt;35℃： ±0.3℃(32.54℉) &gt;42℃： ±0.3℃(32.54℉) Memory storage：99 groups of data lithium battery No incluye fuente USB5V</v>
      </c>
      <c r="D668" s="4" t="str">
        <f>IFERROR(__xludf.DUMMYFUNCTION("""COMPUTED_VALUE"""),"YU-TECH")</f>
        <v>YU-TECH</v>
      </c>
      <c r="E668" s="4" t="str">
        <f>IFERROR(__xludf.DUMMYFUNCTION("""COMPUTED_VALUE"""),"TEKHP311")</f>
        <v>TEKHP311</v>
      </c>
      <c r="F668" s="4" t="str">
        <f>IFERROR(__xludf.DUMMYFUNCTION("""COMPUTED_VALUE"""),"CONTROL DE ACCESO &gt; TERMOMETROS MANUALES CON LECTURA DE TEMPERATURA CORPORAL")</f>
        <v>CONTROL DE ACCESO &gt; TERMOMETROS MANUALES CON LECTURA DE TEMPERATURA CORPORAL</v>
      </c>
      <c r="G668" s="5"/>
      <c r="H668" s="6">
        <f>IFERROR(__xludf.DUMMYFUNCTION("""COMPUTED_VALUE"""),17.05)</f>
        <v>17.05</v>
      </c>
      <c r="I668" s="7">
        <f>IFERROR(__xludf.DUMMYFUNCTION("""COMPUTED_VALUE"""),21.0)</f>
        <v>21</v>
      </c>
      <c r="J668" s="6">
        <f>IFERROR(__xludf.DUMMYFUNCTION("""COMPUTED_VALUE"""),20.46)</f>
        <v>20.46</v>
      </c>
      <c r="K668" s="6">
        <f>IFERROR(__xludf.DUMMYFUNCTION("""COMPUTED_VALUE"""),23.87)</f>
        <v>23.87</v>
      </c>
      <c r="L668" s="3"/>
      <c r="M668" s="3"/>
    </row>
    <row r="669" ht="48.0" customHeight="1">
      <c r="A669" s="3" t="str">
        <f>IFERROR(__xludf.DUMMYFUNCTION("""COMPUTED_VALUE"""),"DS2TP31B3AUF")</f>
        <v>DS2TP31B3AUF</v>
      </c>
      <c r="B669" s="4" t="str">
        <f>IFERROR(__xludf.DUMMYFUNCTION("""COMPUTED_VALUE"""),"TERMÓMETRO MANUAL INFRARROJO DE MEDICIÓN DE TEMPERATURA PARA PERSONAS")</f>
        <v>TERMÓMETRO MANUAL INFRARROJO DE MEDICIÓN DE TEMPERATURA PARA PERSONAS</v>
      </c>
      <c r="C669" s="4" t="str">
        <f>IFERROR(__xludf.DUMMYFUNCTION("""COMPUTED_VALUE"""),"Termómetro manual Infrarrojo de medición de temperatura para personas Rango de medición 35℃-42℃：±0.2℃(32.36℉) &lt;35℃： ±0.3℃(32.54℉) &gt;42℃： ±0.3℃(32.54℉) Memory storage：99 groups of data lithium battery No incluye fuente USB5V")</f>
        <v>Termómetro manual Infrarrojo de medición de temperatura para personas Rango de medición 35℃-42℃：±0.2℃(32.36℉) &lt;35℃： ±0.3℃(32.54℉) &gt;42℃： ±0.3℃(32.54℉) Memory storage：99 groups of data lithium battery No incluye fuente USB5V</v>
      </c>
      <c r="D669" s="4" t="str">
        <f>IFERROR(__xludf.DUMMYFUNCTION("""COMPUTED_VALUE"""),"HIKVISION")</f>
        <v>HIKVISION</v>
      </c>
      <c r="E669" s="4" t="str">
        <f>IFERROR(__xludf.DUMMYFUNCTION("""COMPUTED_VALUE"""),"DS2TP31B3AUF")</f>
        <v>DS2TP31B3AUF</v>
      </c>
      <c r="F669" s="4" t="str">
        <f>IFERROR(__xludf.DUMMYFUNCTION("""COMPUTED_VALUE"""),"CONTROL DE ACCESO &gt; TERMOMETROS MANUALES CON LECTURA DE TEMPERATURA CORPORAL")</f>
        <v>CONTROL DE ACCESO &gt; TERMOMETROS MANUALES CON LECTURA DE TEMPERATURA CORPORAL</v>
      </c>
      <c r="G669" s="5"/>
      <c r="H669" s="6">
        <f>IFERROR(__xludf.DUMMYFUNCTION("""COMPUTED_VALUE"""),385.0)</f>
        <v>385</v>
      </c>
      <c r="I669" s="7">
        <f>IFERROR(__xludf.DUMMYFUNCTION("""COMPUTED_VALUE"""),21.0)</f>
        <v>21</v>
      </c>
      <c r="J669" s="6">
        <f>IFERROR(__xludf.DUMMYFUNCTION("""COMPUTED_VALUE"""),462.0)</f>
        <v>462</v>
      </c>
      <c r="K669" s="6">
        <f>IFERROR(__xludf.DUMMYFUNCTION("""COMPUTED_VALUE"""),539.0)</f>
        <v>539</v>
      </c>
      <c r="L669" s="3"/>
      <c r="M669" s="3"/>
    </row>
    <row r="670" ht="48.0" customHeight="1">
      <c r="A670" s="3" t="str">
        <f>IFERROR(__xludf.DUMMYFUNCTION("""COMPUTED_VALUE"""),"DS2TP21B6AVFW")</f>
        <v>DS2TP21B6AVFW</v>
      </c>
      <c r="B670" s="4" t="str">
        <f>IFERROR(__xludf.DUMMYFUNCTION("""COMPUTED_VALUE"""),"DS-2TP21B-6AVF/W CÁMARA MANUAL DUAL ÓPTICA Y TERMICA THERMAL：160 ×")</f>
        <v>DS-2TP21B-6AVF/W CÁMARA MANUAL DUAL ÓPTICA Y TERMICA THERMAL：160 ×</v>
      </c>
      <c r="C670" s="4" t="str">
        <f>IFERROR(__xludf.DUMMYFUNCTION("""COMPUTED_VALUE"""),"DS-2TP21B-6AVF/W Cámara MANUAL DUAL óptica y termica Thermal：160 × 120, 6.2mm，25°× 19° Visible：2MP Bi-spectrum image fusion；WIFI, Audio alarm Accuracy：±0.5℃ Range：30-45℃ Working temperature：10~35℃ Lectura entre 1,5 a 2,5 metros IP54")</f>
        <v>DS-2TP21B-6AVF/W Cámara MANUAL DUAL óptica y termica Thermal：160 × 120, 6.2mm，25°× 19° Visible：2MP Bi-spectrum image fusion；WIFI, Audio alarm Accuracy：±0.5℃ Range：30-45℃ Working temperature：10~35℃ Lectura entre 1,5 a 2,5 metros IP54</v>
      </c>
      <c r="D670" s="4" t="str">
        <f>IFERROR(__xludf.DUMMYFUNCTION("""COMPUTED_VALUE"""),"HIKVISION")</f>
        <v>HIKVISION</v>
      </c>
      <c r="E670" s="4" t="str">
        <f>IFERROR(__xludf.DUMMYFUNCTION("""COMPUTED_VALUE"""),"DS2TP21B6AVFW")</f>
        <v>DS2TP21B6AVFW</v>
      </c>
      <c r="F670" s="4" t="str">
        <f>IFERROR(__xludf.DUMMYFUNCTION("""COMPUTED_VALUE"""),"CONTROL DE ACCESO &gt; TERMOMETROS MANUALES CON LECTURA DE TEMPERATURA CORPORAL")</f>
        <v>CONTROL DE ACCESO &gt; TERMOMETROS MANUALES CON LECTURA DE TEMPERATURA CORPORAL</v>
      </c>
      <c r="G670" s="5"/>
      <c r="H670" s="6">
        <f>IFERROR(__xludf.DUMMYFUNCTION("""COMPUTED_VALUE"""),880.0)</f>
        <v>880</v>
      </c>
      <c r="I670" s="7">
        <f>IFERROR(__xludf.DUMMYFUNCTION("""COMPUTED_VALUE"""),21.0)</f>
        <v>21</v>
      </c>
      <c r="J670" s="6">
        <f>IFERROR(__xludf.DUMMYFUNCTION("""COMPUTED_VALUE"""),1056.0)</f>
        <v>1056</v>
      </c>
      <c r="K670" s="6">
        <f>IFERROR(__xludf.DUMMYFUNCTION("""COMPUTED_VALUE"""),1232.0)</f>
        <v>1232</v>
      </c>
      <c r="L670" s="3"/>
      <c r="M670" s="3"/>
    </row>
    <row r="671" ht="48.0" customHeight="1">
      <c r="A671" s="3" t="str">
        <f>IFERROR(__xludf.DUMMYFUNCTION("""COMPUTED_VALUE"""),"MIMDWDMSC")</f>
        <v>MIMDWDMSC</v>
      </c>
      <c r="B671" s="4" t="str">
        <f>IFERROR(__xludf.DUMMYFUNCTION("""COMPUTED_VALUE"""),"DETECTOR DE METALES MANUAL")</f>
        <v>DETECTOR DE METALES MANUAL</v>
      </c>
      <c r="C671" s="4" t="str">
        <f>IFERROR(__xludf.DUMMYFUNCTION("""COMPUTED_VALUE"""),"Detector de metales manual. Aviso sonoro, baja sencibilidad, indicación de bateria baja, alimentacion 9V")</f>
        <v>Detector de metales manual. Aviso sonoro, baja sencibilidad, indicación de bateria baja, alimentacion 9V</v>
      </c>
      <c r="D671" s="4" t="str">
        <f>IFERROR(__xludf.DUMMYFUNCTION("""COMPUTED_VALUE"""),"OWL")</f>
        <v>OWL</v>
      </c>
      <c r="E671" s="4" t="str">
        <f>IFERROR(__xludf.DUMMYFUNCTION("""COMPUTED_VALUE"""),"MIMDWDMSC")</f>
        <v>MIMDWDMSC</v>
      </c>
      <c r="F671" s="4" t="str">
        <f>IFERROR(__xludf.DUMMYFUNCTION("""COMPUTED_VALUE"""),"CONTROL DE ACCESO &gt; DETECTOR DE METAL")</f>
        <v>CONTROL DE ACCESO &gt; DETECTOR DE METAL</v>
      </c>
      <c r="G671" s="5"/>
      <c r="H671" s="6">
        <f>IFERROR(__xludf.DUMMYFUNCTION("""COMPUTED_VALUE"""),15.73)</f>
        <v>15.73</v>
      </c>
      <c r="I671" s="7">
        <f>IFERROR(__xludf.DUMMYFUNCTION("""COMPUTED_VALUE"""),21.0)</f>
        <v>21</v>
      </c>
      <c r="J671" s="6">
        <f>IFERROR(__xludf.DUMMYFUNCTION("""COMPUTED_VALUE"""),18.88)</f>
        <v>18.88</v>
      </c>
      <c r="K671" s="6">
        <f>IFERROR(__xludf.DUMMYFUNCTION("""COMPUTED_VALUE"""),22.02)</f>
        <v>22.02</v>
      </c>
      <c r="L671" s="3"/>
      <c r="M671" s="3"/>
    </row>
    <row r="672" ht="48.0" customHeight="1">
      <c r="A672" s="3" t="str">
        <f>IFERROR(__xludf.DUMMYFUNCTION("""COMPUTED_VALUE"""),"GR-SUPERSCAN-V")</f>
        <v>GR-SUPERSCAN-V</v>
      </c>
      <c r="B672" s="4" t="str">
        <f>IFERROR(__xludf.DUMMYFUNCTION("""COMPUTED_VALUE"""),"1165190 DETECTOR DE METALES MANUAL")</f>
        <v>1165190 DETECTOR DE METALES MANUAL</v>
      </c>
      <c r="C672" s="4" t="str">
        <f>IFERROR(__xludf.DUMMYFUNCTION("""COMPUTED_VALUE"""),"1165190 Detector de metales manual. Alarmas auditiva, visual y vibratoria para adaptarse a cualquier entorno. Detecta pistolas (a 23 cm), cuchillos (15 cm), hojas metálicas, llaves pequeñas y más. Uso prolongado, con una sola batería 9V ofrece hasta 100 h"&amp;"oras de operación. Diseño robusto, auto-calibrado, sin necesidad de ajustes frecuentes.")</f>
        <v>1165190 Detector de metales manual. Alarmas auditiva, visual y vibratoria para adaptarse a cualquier entorno. Detecta pistolas (a 23 cm), cuchillos (15 cm), hojas metálicas, llaves pequeñas y más. Uso prolongado, con una sola batería 9V ofrece hasta 100 horas de operación. Diseño robusto, auto-calibrado, sin necesidad de ajustes frecuentes.</v>
      </c>
      <c r="D672" s="4" t="str">
        <f>IFERROR(__xludf.DUMMYFUNCTION("""COMPUTED_VALUE"""),"GARRETT")</f>
        <v>GARRETT</v>
      </c>
      <c r="E672" s="4" t="str">
        <f>IFERROR(__xludf.DUMMYFUNCTION("""COMPUTED_VALUE"""),"GR-SUPERSCAN-V")</f>
        <v>GR-SUPERSCAN-V</v>
      </c>
      <c r="F672" s="4" t="str">
        <f>IFERROR(__xludf.DUMMYFUNCTION("""COMPUTED_VALUE"""),"CONTROL DE ACCESO &gt; DETECTOR DE METAL")</f>
        <v>CONTROL DE ACCESO &gt; DETECTOR DE METAL</v>
      </c>
      <c r="G672" s="5"/>
      <c r="H672" s="6">
        <f>IFERROR(__xludf.DUMMYFUNCTION("""COMPUTED_VALUE"""),413.68)</f>
        <v>413.68</v>
      </c>
      <c r="I672" s="7">
        <f>IFERROR(__xludf.DUMMYFUNCTION("""COMPUTED_VALUE"""),21.0)</f>
        <v>21</v>
      </c>
      <c r="J672" s="6">
        <f>IFERROR(__xludf.DUMMYFUNCTION("""COMPUTED_VALUE"""),496.42)</f>
        <v>496.42</v>
      </c>
      <c r="K672" s="6">
        <f>IFERROR(__xludf.DUMMYFUNCTION("""COMPUTED_VALUE"""),579.15)</f>
        <v>579.15</v>
      </c>
      <c r="L672" s="3"/>
      <c r="M672" s="3"/>
    </row>
    <row r="673" ht="48.0" customHeight="1">
      <c r="A673" s="3" t="str">
        <f>IFERROR(__xludf.DUMMYFUNCTION("""COMPUTED_VALUE"""),"GR-GUIDE")</f>
        <v>GR-GUIDE</v>
      </c>
      <c r="B673" s="4" t="str">
        <f>IFERROR(__xludf.DUMMYFUNCTION("""COMPUTED_VALUE"""),"1173000 DETECTOR DE METALES MANUAL CARACTERISTICAS: SOFISTICADO Y RESI")</f>
        <v>1173000 DETECTOR DE METALES MANUAL CARACTERISTICAS: SOFISTICADO Y RESI</v>
      </c>
      <c r="C673" s="4" t="str">
        <f>IFERROR(__xludf.DUMMYFUNCTION("""COMPUTED_VALUE"""),"1173000 Detector de metales manual caracteristicas: Sofisticado y resistente, Respuesta ultrasensible, 7 niveles de sensibilidad, Diseño resistente al agua, 4 ajustes de compensación, Alarma de vibración o audio, Elimina la interferencia de barras de refu"&amp;"erzo, Batería recargable con puerto de carga USB-C.")</f>
        <v>1173000 Detector de metales manual caracteristicas: Sofisticado y resistente, Respuesta ultrasensible, 7 niveles de sensibilidad, Diseño resistente al agua, 4 ajustes de compensación, Alarma de vibración o audio, Elimina la interferencia de barras de refuerzo, Batería recargable con puerto de carga USB-C.</v>
      </c>
      <c r="D673" s="4" t="str">
        <f>IFERROR(__xludf.DUMMYFUNCTION("""COMPUTED_VALUE"""),"GARRETT")</f>
        <v>GARRETT</v>
      </c>
      <c r="E673" s="4" t="str">
        <f>IFERROR(__xludf.DUMMYFUNCTION("""COMPUTED_VALUE"""),"GR-GUIDE")</f>
        <v>GR-GUIDE</v>
      </c>
      <c r="F673" s="4" t="str">
        <f>IFERROR(__xludf.DUMMYFUNCTION("""COMPUTED_VALUE"""),"CONTROL DE ACCESO &gt; DETECTOR DE METAL")</f>
        <v>CONTROL DE ACCESO &gt; DETECTOR DE METAL</v>
      </c>
      <c r="G673" s="5"/>
      <c r="H673" s="6">
        <f>IFERROR(__xludf.DUMMYFUNCTION("""COMPUTED_VALUE"""),607.2)</f>
        <v>607.2</v>
      </c>
      <c r="I673" s="7">
        <f>IFERROR(__xludf.DUMMYFUNCTION("""COMPUTED_VALUE"""),21.0)</f>
        <v>21</v>
      </c>
      <c r="J673" s="6">
        <f>IFERROR(__xludf.DUMMYFUNCTION("""COMPUTED_VALUE"""),728.64)</f>
        <v>728.64</v>
      </c>
      <c r="K673" s="6">
        <f>IFERROR(__xludf.DUMMYFUNCTION("""COMPUTED_VALUE"""),850.08)</f>
        <v>850.08</v>
      </c>
      <c r="L673" s="3"/>
      <c r="M673" s="3"/>
    </row>
    <row r="674" ht="48.0" customHeight="1">
      <c r="A674" s="3" t="str">
        <f>IFERROR(__xludf.DUMMYFUNCTION("""COMPUTED_VALUE"""),"GR-SUPERWAND")</f>
        <v>GR-SUPERWAND</v>
      </c>
      <c r="B674" s="4" t="str">
        <f>IFERROR(__xludf.DUMMYFUNCTION("""COMPUTED_VALUE"""),"1165800 DETECTOR DE METALES MANUAL SUPERWAND DETECCIÓN DE 360º")</f>
        <v>1165800 DETECTOR DE METALES MANUAL SUPERWAND DETECCIÓN DE 360º</v>
      </c>
      <c r="C674" s="4" t="str">
        <f>IFERROR(__xludf.DUMMYFUNCTION("""COMPUTED_VALUE"""),"1165800 Detector de metales manual SuperWand detección de 360º proporciona una sensibilidad uniforme y una punta para detectar armas y otros objetos metálicos con una precisión extrema.")</f>
        <v>1165800 Detector de metales manual SuperWand detección de 360º proporciona una sensibilidad uniforme y una punta para detectar armas y otros objetos metálicos con una precisión extrema.</v>
      </c>
      <c r="D674" s="4" t="str">
        <f>IFERROR(__xludf.DUMMYFUNCTION("""COMPUTED_VALUE"""),"GARRETT")</f>
        <v>GARRETT</v>
      </c>
      <c r="E674" s="4" t="str">
        <f>IFERROR(__xludf.DUMMYFUNCTION("""COMPUTED_VALUE"""),"GR-SUPERWAND")</f>
        <v>GR-SUPERWAND</v>
      </c>
      <c r="F674" s="4" t="str">
        <f>IFERROR(__xludf.DUMMYFUNCTION("""COMPUTED_VALUE"""),"CONTROL DE ACCESO &gt; DETECTOR DE METAL")</f>
        <v>CONTROL DE ACCESO &gt; DETECTOR DE METAL</v>
      </c>
      <c r="G674" s="5"/>
      <c r="H674" s="6">
        <f>IFERROR(__xludf.DUMMYFUNCTION("""COMPUTED_VALUE"""),444.4)</f>
        <v>444.4</v>
      </c>
      <c r="I674" s="7">
        <f>IFERROR(__xludf.DUMMYFUNCTION("""COMPUTED_VALUE"""),21.0)</f>
        <v>21</v>
      </c>
      <c r="J674" s="6">
        <f>IFERROR(__xludf.DUMMYFUNCTION("""COMPUTED_VALUE"""),533.28)</f>
        <v>533.28</v>
      </c>
      <c r="K674" s="6">
        <f>IFERROR(__xludf.DUMMYFUNCTION("""COMPUTED_VALUE"""),622.16)</f>
        <v>622.16</v>
      </c>
      <c r="L674" s="3"/>
      <c r="M674" s="3"/>
    </row>
    <row r="675" ht="48.0" customHeight="1">
      <c r="A675" s="3" t="str">
        <f>IFERROR(__xludf.DUMMYFUNCTION("""COMPUTED_VALUE"""),"GR-THD")</f>
        <v>GR-THD</v>
      </c>
      <c r="B675" s="4" t="str">
        <f>IFERROR(__xludf.DUMMYFUNCTION("""COMPUTED_VALUE"""),"1165900 DETECTOR DE METALES MANUAL CAMPO DE DETECCIÓN DE")</f>
        <v>1165900 DETECTOR DE METALES MANUAL CAMPO DE DETECCIÓN DE</v>
      </c>
      <c r="C675" s="4" t="str">
        <f>IFERROR(__xludf.DUMMYFUNCTION("""COMPUTED_VALUE"""),"1165900 Detector de metales manual Campo de detección de 360º Con punta de localización Respuesta ultrasensible a objetos metálicos. Detección precisa de todas las armas de hierro, de metales no ferrosos y de acero inoxidable, objetos de contrabando y otr"&amp;"os objetos metálicos. Potente área de detección de 4 pulgadas de longitud y 360º. No requiere ajustes. Vibración silenciosa con indicador de alarma LED rojo. Linterna LED brillante para operaciones con poca luz y nocturnas. Es útil para escanear identific"&amp;"aciones y para revisar bolsillos y bolsos. Construcción impermeable sellada. Carcasa de alto impacto con empuñadura de goma moldeada. Supera los requisitos de la norma Mil-Std - 810F (prueba de caída), Método 516.5, procedimiento II. Tapa de batería fácil"&amp;" de colocar/retirar. Batería de 9 V .Funda de tela balística (incluida): se monta fácilmente en el cinturón o en el coche.")</f>
        <v>1165900 Detector de metales manual Campo de detección de 360º Con punta de localización Respuesta ultrasensible a objetos metálicos. Detección precisa de todas las armas de hierro, de metales no ferrosos y de acero inoxidable, objetos de contrabando y otros objetos metálicos. Potente área de detección de 4 pulgadas de longitud y 360º. No requiere ajustes. Vibración silenciosa con indicador de alarma LED rojo. Linterna LED brillante para operaciones con poca luz y nocturnas. Es útil para escanear identificaciones y para revisar bolsillos y bolsos. Construcción impermeable sellada. Carcasa de alto impacto con empuñadura de goma moldeada. Supera los requisitos de la norma Mil-Std - 810F (prueba de caída), Método 516.5, procedimiento II. Tapa de batería fácil de colocar/retirar. Batería de 9 V .Funda de tela balística (incluida): se monta fácilmente en el cinturón o en el coche.</v>
      </c>
      <c r="D675" s="4" t="str">
        <f>IFERROR(__xludf.DUMMYFUNCTION("""COMPUTED_VALUE"""),"GARRETT")</f>
        <v>GARRETT</v>
      </c>
      <c r="E675" s="4" t="str">
        <f>IFERROR(__xludf.DUMMYFUNCTION("""COMPUTED_VALUE"""),"GR-THD")</f>
        <v>GR-THD</v>
      </c>
      <c r="F675" s="4" t="str">
        <f>IFERROR(__xludf.DUMMYFUNCTION("""COMPUTED_VALUE"""),"CONTROL DE ACCESO &gt; DETECTOR DE METAL")</f>
        <v>CONTROL DE ACCESO &gt; DETECTOR DE METAL</v>
      </c>
      <c r="G675" s="5"/>
      <c r="H675" s="6">
        <f>IFERROR(__xludf.DUMMYFUNCTION("""COMPUTED_VALUE"""),397.1)</f>
        <v>397.1</v>
      </c>
      <c r="I675" s="7">
        <f>IFERROR(__xludf.DUMMYFUNCTION("""COMPUTED_VALUE"""),21.0)</f>
        <v>21</v>
      </c>
      <c r="J675" s="6">
        <f>IFERROR(__xludf.DUMMYFUNCTION("""COMPUTED_VALUE"""),476.52)</f>
        <v>476.52</v>
      </c>
      <c r="K675" s="6">
        <f>IFERROR(__xludf.DUMMYFUNCTION("""COMPUTED_VALUE"""),555.94)</f>
        <v>555.94</v>
      </c>
      <c r="L675" s="3"/>
      <c r="M675" s="3"/>
    </row>
    <row r="676" ht="48.0" customHeight="1">
      <c r="A676" s="3" t="str">
        <f>IFERROR(__xludf.DUMMYFUNCTION("""COMPUTED_VALUE"""),"OWH5D")</f>
        <v>OWH5D</v>
      </c>
      <c r="B676" s="4" t="str">
        <f>IFERROR(__xludf.DUMMYFUNCTION("""COMPUTED_VALUE"""),"CONTROL DE PROXIMIDAD AUTÓNOMO 125KHZ ADMITE TARJETAS Y UNA")</f>
        <v>CONTROL DE PROXIMIDAD AUTÓNOMO 125KHZ ADMITE TARJETAS Y UNA</v>
      </c>
      <c r="C676" s="4" t="str">
        <f>IFERROR(__xludf.DUMMYFUNCTION("""COMPUTED_VALUE"""),"Control de proximidad autónomo 125KHz Admite tarjetas y una contraseña. Material ABS ecológico. Medidas 120x75mm. Soporta hasta 2000 usuarios")</f>
        <v>Control de proximidad autónomo 125KHz Admite tarjetas y una contraseña. Material ABS ecológico. Medidas 120x75mm. Soporta hasta 2000 usuarios</v>
      </c>
      <c r="D676" s="4" t="str">
        <f>IFERROR(__xludf.DUMMYFUNCTION("""COMPUTED_VALUE"""),"OWL LOCKS")</f>
        <v>OWL LOCKS</v>
      </c>
      <c r="E676" s="4" t="str">
        <f>IFERROR(__xludf.DUMMYFUNCTION("""COMPUTED_VALUE"""),"OWH5D")</f>
        <v>OWH5D</v>
      </c>
      <c r="F676" s="4" t="str">
        <f>IFERROR(__xludf.DUMMYFUNCTION("""COMPUTED_VALUE"""),"CONTROL DE ACCESO &gt; SISTEMAS ABRE PUERTAS AUTONOMOS Y EN RED")</f>
        <v>CONTROL DE ACCESO &gt; SISTEMAS ABRE PUERTAS AUTONOMOS Y EN RED</v>
      </c>
      <c r="G676" s="5"/>
      <c r="H676" s="6">
        <f>IFERROR(__xludf.DUMMYFUNCTION("""COMPUTED_VALUE"""),21.16)</f>
        <v>21.16</v>
      </c>
      <c r="I676" s="7">
        <f>IFERROR(__xludf.DUMMYFUNCTION("""COMPUTED_VALUE"""),10.5)</f>
        <v>10.5</v>
      </c>
      <c r="J676" s="6">
        <f>IFERROR(__xludf.DUMMYFUNCTION("""COMPUTED_VALUE"""),25.39)</f>
        <v>25.39</v>
      </c>
      <c r="K676" s="6">
        <f>IFERROR(__xludf.DUMMYFUNCTION("""COMPUTED_VALUE"""),29.62)</f>
        <v>29.62</v>
      </c>
      <c r="L676" s="3"/>
      <c r="M676" s="3"/>
    </row>
    <row r="677" ht="48.0" customHeight="1">
      <c r="A677" s="3" t="str">
        <f>IFERROR(__xludf.DUMMYFUNCTION("""COMPUTED_VALUE"""),"OWG1D")</f>
        <v>OWG1D</v>
      </c>
      <c r="B677" s="4" t="str">
        <f>IFERROR(__xludf.DUMMYFUNCTION("""COMPUTED_VALUE"""),"CONTROL DE PROXIMIDAD AUTÓNOMO 125KHZ ADMITE TARJETAS Y UNA")</f>
        <v>CONTROL DE PROXIMIDAD AUTÓNOMO 125KHZ ADMITE TARJETAS Y UNA</v>
      </c>
      <c r="C677" s="4" t="str">
        <f>IFERROR(__xludf.DUMMYFUNCTION("""COMPUTED_VALUE"""),"Control de proximidad autónomo 125KHz Admite tarjetas y una contraseña Material metálico. Medidas 137x59mm. Soporta hasta 2000 usuarios")</f>
        <v>Control de proximidad autónomo 125KHz Admite tarjetas y una contraseña Material metálico. Medidas 137x59mm. Soporta hasta 2000 usuarios</v>
      </c>
      <c r="D677" s="4" t="str">
        <f>IFERROR(__xludf.DUMMYFUNCTION("""COMPUTED_VALUE"""),"OWL LOCKS")</f>
        <v>OWL LOCKS</v>
      </c>
      <c r="E677" s="4" t="str">
        <f>IFERROR(__xludf.DUMMYFUNCTION("""COMPUTED_VALUE"""),"OWG1D")</f>
        <v>OWG1D</v>
      </c>
      <c r="F677" s="4" t="str">
        <f>IFERROR(__xludf.DUMMYFUNCTION("""COMPUTED_VALUE"""),"CONTROL DE ACCESO &gt; SISTEMAS ABRE PUERTAS AUTONOMOS Y EN RED")</f>
        <v>CONTROL DE ACCESO &gt; SISTEMAS ABRE PUERTAS AUTONOMOS Y EN RED</v>
      </c>
      <c r="G677" s="5"/>
      <c r="H677" s="6">
        <f>IFERROR(__xludf.DUMMYFUNCTION("""COMPUTED_VALUE"""),39.33)</f>
        <v>39.33</v>
      </c>
      <c r="I677" s="7">
        <f>IFERROR(__xludf.DUMMYFUNCTION("""COMPUTED_VALUE"""),10.5)</f>
        <v>10.5</v>
      </c>
      <c r="J677" s="6">
        <f>IFERROR(__xludf.DUMMYFUNCTION("""COMPUTED_VALUE"""),47.2)</f>
        <v>47.2</v>
      </c>
      <c r="K677" s="6">
        <f>IFERROR(__xludf.DUMMYFUNCTION("""COMPUTED_VALUE"""),55.06)</f>
        <v>55.06</v>
      </c>
      <c r="L677" s="3"/>
      <c r="M677" s="3"/>
    </row>
    <row r="678" ht="48.0" customHeight="1">
      <c r="A678" s="3" t="str">
        <f>IFERROR(__xludf.DUMMYFUNCTION("""COMPUTED_VALUE"""),"OWG2T")</f>
        <v>OWG2T</v>
      </c>
      <c r="B678" s="4" t="str">
        <f>IFERROR(__xludf.DUMMYFUNCTION("""COMPUTED_VALUE"""),"CONTROL DE PROXIMIDAD DUAL 125KHZ Y 13,56MHZ MIFARE, ADMITE")</f>
        <v>CONTROL DE PROXIMIDAD DUAL 125KHZ Y 13,56MHZ MIFARE, ADMITE</v>
      </c>
      <c r="C678" s="4" t="str">
        <f>IFERROR(__xludf.DUMMYFUNCTION("""COMPUTED_VALUE"""),"Control de proximidad Dual 125KHz y 13,56MHz MIFARE, Admite tarjetas y una contraseña Material metálico. Medidas 120x75mm, soporta aplicación TUYA solo para apertura remota. Soporta hasta 1000 usuarios")</f>
        <v>Control de proximidad Dual 125KHz y 13,56MHz MIFARE, Admite tarjetas y una contraseña Material metálico. Medidas 120x75mm, soporta aplicación TUYA solo para apertura remota. Soporta hasta 1000 usuarios</v>
      </c>
      <c r="D678" s="4" t="str">
        <f>IFERROR(__xludf.DUMMYFUNCTION("""COMPUTED_VALUE"""),"OWL LOCKS")</f>
        <v>OWL LOCKS</v>
      </c>
      <c r="E678" s="4" t="str">
        <f>IFERROR(__xludf.DUMMYFUNCTION("""COMPUTED_VALUE"""),"OWG2T")</f>
        <v>OWG2T</v>
      </c>
      <c r="F678" s="4" t="str">
        <f>IFERROR(__xludf.DUMMYFUNCTION("""COMPUTED_VALUE"""),"CONTROL DE ACCESO &gt; SISTEMAS ABRE PUERTAS AUTONOMOS Y EN RED")</f>
        <v>CONTROL DE ACCESO &gt; SISTEMAS ABRE PUERTAS AUTONOMOS Y EN RED</v>
      </c>
      <c r="G678" s="5"/>
      <c r="H678" s="6">
        <f>IFERROR(__xludf.DUMMYFUNCTION("""COMPUTED_VALUE"""),61.35)</f>
        <v>61.35</v>
      </c>
      <c r="I678" s="7">
        <f>IFERROR(__xludf.DUMMYFUNCTION("""COMPUTED_VALUE"""),10.5)</f>
        <v>10.5</v>
      </c>
      <c r="J678" s="6">
        <f>IFERROR(__xludf.DUMMYFUNCTION("""COMPUTED_VALUE"""),73.62)</f>
        <v>73.62</v>
      </c>
      <c r="K678" s="6">
        <f>IFERROR(__xludf.DUMMYFUNCTION("""COMPUTED_VALUE"""),85.89)</f>
        <v>85.89</v>
      </c>
      <c r="L678" s="3"/>
      <c r="M678" s="3"/>
    </row>
    <row r="679" ht="48.0" customHeight="1">
      <c r="A679" s="3" t="str">
        <f>IFERROR(__xludf.DUMMYFUNCTION("""COMPUTED_VALUE"""),"AR101HDR")</f>
        <v>AR101HDR</v>
      </c>
      <c r="B679" s="4" t="str">
        <f>IFERROR(__xludf.DUMMYFUNCTION("""COMPUTED_VALUE"""),"CONTROL DE PROXIMIDAD MINI 13,56MHZ MIFARE AUTÓNOMO, LECTORA, LED")</f>
        <v>CONTROL DE PROXIMIDAD MINI 13,56MHZ MIFARE AUTÓNOMO, LECTORA, LED</v>
      </c>
      <c r="C679" s="4" t="str">
        <f>IFERROR(__xludf.DUMMYFUNCTION("""COMPUTED_VALUE"""),"Control de proximidad MINI 13,56MHz MIFARE autónomo, lectora, led bicolor, 1024 usuarios, 1200 eventos, manejo de cerradura, alarma sonora, salida RS485.12V, requiere tapa de montaje AR10104 o AR10107")</f>
        <v>Control de proximidad MINI 13,56MHz MIFARE autónomo, lectora, led bicolor, 1024 usuarios, 1200 eventos, manejo de cerradura, alarma sonora, salida RS485.12V, requiere tapa de montaje AR10104 o AR10107</v>
      </c>
      <c r="D679" s="4" t="str">
        <f>IFERROR(__xludf.DUMMYFUNCTION("""COMPUTED_VALUE"""),"SOYAL")</f>
        <v>SOYAL</v>
      </c>
      <c r="E679" s="4" t="str">
        <f>IFERROR(__xludf.DUMMYFUNCTION("""COMPUTED_VALUE"""),"AR101HDR")</f>
        <v>AR101HDR</v>
      </c>
      <c r="F679" s="4" t="str">
        <f>IFERROR(__xludf.DUMMYFUNCTION("""COMPUTED_VALUE"""),"CONTROL DE ACCESO &gt; SISTEMAS ABRE PUERTAS AUTONOMOS Y EN RED")</f>
        <v>CONTROL DE ACCESO &gt; SISTEMAS ABRE PUERTAS AUTONOMOS Y EN RED</v>
      </c>
      <c r="G679" s="5"/>
      <c r="H679" s="6">
        <f>IFERROR(__xludf.DUMMYFUNCTION("""COMPUTED_VALUE"""),108.9)</f>
        <v>108.9</v>
      </c>
      <c r="I679" s="7">
        <f>IFERROR(__xludf.DUMMYFUNCTION("""COMPUTED_VALUE"""),21.0)</f>
        <v>21</v>
      </c>
      <c r="J679" s="6">
        <f>IFERROR(__xludf.DUMMYFUNCTION("""COMPUTED_VALUE"""),130.68)</f>
        <v>130.68</v>
      </c>
      <c r="K679" s="6">
        <f>IFERROR(__xludf.DUMMYFUNCTION("""COMPUTED_VALUE"""),152.46)</f>
        <v>152.46</v>
      </c>
      <c r="L679" s="3"/>
      <c r="M679" s="3"/>
    </row>
    <row r="680" ht="48.0" customHeight="1">
      <c r="A680" s="3" t="str">
        <f>IFERROR(__xludf.DUMMYFUNCTION("""COMPUTED_VALUE"""),"AR723H")</f>
        <v>AR723H</v>
      </c>
      <c r="B680" s="4" t="str">
        <f>IFERROR(__xludf.DUMMYFUNCTION("""COMPUTED_VALUE"""),"CONTROL DE PROXIMIDAD 125KHZ AUTÓNOMO, LECTORA, LED BICOLOR, 1024")</f>
        <v>CONTROL DE PROXIMIDAD 125KHZ AUTÓNOMO, LECTORA, LED BICOLOR, 1024</v>
      </c>
      <c r="C680" s="4" t="str">
        <f>IFERROR(__xludf.DUMMYFUNCTION("""COMPUTED_VALUE"""),"Control de proximidad 125KHz autónomo, lectora, led bicolor, 1024 usuarios, 1200 eventos, antipassback, franjas horarias, alarma sonora, salida RS485.12V. IP54")</f>
        <v>Control de proximidad 125KHz autónomo, lectora, led bicolor, 1024 usuarios, 1200 eventos, antipassback, franjas horarias, alarma sonora, salida RS485.12V. IP54</v>
      </c>
      <c r="D680" s="4" t="str">
        <f>IFERROR(__xludf.DUMMYFUNCTION("""COMPUTED_VALUE"""),"SOYAL")</f>
        <v>SOYAL</v>
      </c>
      <c r="E680" s="4" t="str">
        <f>IFERROR(__xludf.DUMMYFUNCTION("""COMPUTED_VALUE"""),"AR723H")</f>
        <v>AR723H</v>
      </c>
      <c r="F680" s="4" t="str">
        <f>IFERROR(__xludf.DUMMYFUNCTION("""COMPUTED_VALUE"""),"CONTROL DE ACCESO &gt; SISTEMAS ABRE PUERTAS AUTONOMOS Y EN RED")</f>
        <v>CONTROL DE ACCESO &gt; SISTEMAS ABRE PUERTAS AUTONOMOS Y EN RED</v>
      </c>
      <c r="G680" s="5"/>
      <c r="H680" s="6">
        <f>IFERROR(__xludf.DUMMYFUNCTION("""COMPUTED_VALUE"""),75.9)</f>
        <v>75.9</v>
      </c>
      <c r="I680" s="7">
        <f>IFERROR(__xludf.DUMMYFUNCTION("""COMPUTED_VALUE"""),21.0)</f>
        <v>21</v>
      </c>
      <c r="J680" s="6">
        <f>IFERROR(__xludf.DUMMYFUNCTION("""COMPUTED_VALUE"""),91.08)</f>
        <v>91.08</v>
      </c>
      <c r="K680" s="6">
        <f>IFERROR(__xludf.DUMMYFUNCTION("""COMPUTED_VALUE"""),106.26)</f>
        <v>106.26</v>
      </c>
      <c r="L680" s="3"/>
      <c r="M680" s="3"/>
    </row>
    <row r="681" ht="48.0" customHeight="1">
      <c r="A681" s="3" t="str">
        <f>IFERROR(__xludf.DUMMYFUNCTION("""COMPUTED_VALUE"""),"AR721HBR")</f>
        <v>AR721HBR</v>
      </c>
      <c r="B681" s="4" t="str">
        <f>IFERROR(__xludf.DUMMYFUNCTION("""COMPUTED_VALUE"""),"CONTROL DE PROXIMIDAD 125KHZ AUTÓNOMO, LECTORA + TECLADO 12")</f>
        <v>CONTROL DE PROXIMIDAD 125KHZ AUTÓNOMO, LECTORA + TECLADO 12</v>
      </c>
      <c r="C681" s="4" t="str">
        <f>IFERROR(__xludf.DUMMYFUNCTION("""COMPUTED_VALUE"""),"Control de proximidad 125KHz autónomo, lectora + teclado 12 dígitos, led bicolor, 1024 usuarios, 1200 eventos, antipassback, franjas horarias, alarma sonora, salida 485.12V")</f>
        <v>Control de proximidad 125KHz autónomo, lectora + teclado 12 dígitos, led bicolor, 1024 usuarios, 1200 eventos, antipassback, franjas horarias, alarma sonora, salida 485.12V</v>
      </c>
      <c r="D681" s="4" t="str">
        <f>IFERROR(__xludf.DUMMYFUNCTION("""COMPUTED_VALUE"""),"SOYAL")</f>
        <v>SOYAL</v>
      </c>
      <c r="E681" s="4" t="str">
        <f>IFERROR(__xludf.DUMMYFUNCTION("""COMPUTED_VALUE"""),"AR721HBR")</f>
        <v>AR721HBR</v>
      </c>
      <c r="F681" s="4" t="str">
        <f>IFERROR(__xludf.DUMMYFUNCTION("""COMPUTED_VALUE"""),"CONTROL DE ACCESO &gt; SISTEMAS ABRE PUERTAS AUTONOMOS Y EN RED")</f>
        <v>CONTROL DE ACCESO &gt; SISTEMAS ABRE PUERTAS AUTONOMOS Y EN RED</v>
      </c>
      <c r="G681" s="5"/>
      <c r="H681" s="6">
        <f>IFERROR(__xludf.DUMMYFUNCTION("""COMPUTED_VALUE"""),81.4)</f>
        <v>81.4</v>
      </c>
      <c r="I681" s="7">
        <f>IFERROR(__xludf.DUMMYFUNCTION("""COMPUTED_VALUE"""),21.0)</f>
        <v>21</v>
      </c>
      <c r="J681" s="6">
        <f>IFERROR(__xludf.DUMMYFUNCTION("""COMPUTED_VALUE"""),97.68)</f>
        <v>97.68</v>
      </c>
      <c r="K681" s="6">
        <f>IFERROR(__xludf.DUMMYFUNCTION("""COMPUTED_VALUE"""),113.96)</f>
        <v>113.96</v>
      </c>
      <c r="L681" s="3"/>
      <c r="M681" s="3"/>
    </row>
    <row r="682" ht="48.0" customHeight="1">
      <c r="A682" s="3" t="str">
        <f>IFERROR(__xludf.DUMMYFUNCTION("""COMPUTED_VALUE"""),"AR721HDR")</f>
        <v>AR721HDR</v>
      </c>
      <c r="B682" s="4" t="str">
        <f>IFERROR(__xludf.DUMMYFUNCTION("""COMPUTED_VALUE"""),"CONTROL DE PROXIMIDAD 13,56MHZ MIFARE AUTÓNOMO, LECTORA + TECLADO")</f>
        <v>CONTROL DE PROXIMIDAD 13,56MHZ MIFARE AUTÓNOMO, LECTORA + TECLADO</v>
      </c>
      <c r="C682" s="4" t="str">
        <f>IFERROR(__xludf.DUMMYFUNCTION("""COMPUTED_VALUE"""),"Control de proximidad 13,56MHZ MIFARE autónomo, lectora + teclado 12 dígitos, led bicolor, 1024 usuarios, 1200 eventos, antipassback, franjas horarias, alarma sonora, salida 485.12V")</f>
        <v>Control de proximidad 13,56MHZ MIFARE autónomo, lectora + teclado 12 dígitos, led bicolor, 1024 usuarios, 1200 eventos, antipassback, franjas horarias, alarma sonora, salida 485.12V</v>
      </c>
      <c r="D682" s="4" t="str">
        <f>IFERROR(__xludf.DUMMYFUNCTION("""COMPUTED_VALUE"""),"SOYAL")</f>
        <v>SOYAL</v>
      </c>
      <c r="E682" s="4" t="str">
        <f>IFERROR(__xludf.DUMMYFUNCTION("""COMPUTED_VALUE"""),"AR721HDR")</f>
        <v>AR721HDR</v>
      </c>
      <c r="F682" s="4" t="str">
        <f>IFERROR(__xludf.DUMMYFUNCTION("""COMPUTED_VALUE"""),"CONTROL DE ACCESO &gt; SISTEMAS ABRE PUERTAS AUTONOMOS Y EN RED")</f>
        <v>CONTROL DE ACCESO &gt; SISTEMAS ABRE PUERTAS AUTONOMOS Y EN RED</v>
      </c>
      <c r="G682" s="5"/>
      <c r="H682" s="6">
        <f>IFERROR(__xludf.DUMMYFUNCTION("""COMPUTED_VALUE"""),108.9)</f>
        <v>108.9</v>
      </c>
      <c r="I682" s="7">
        <f>IFERROR(__xludf.DUMMYFUNCTION("""COMPUTED_VALUE"""),10.5)</f>
        <v>10.5</v>
      </c>
      <c r="J682" s="6">
        <f>IFERROR(__xludf.DUMMYFUNCTION("""COMPUTED_VALUE"""),130.68)</f>
        <v>130.68</v>
      </c>
      <c r="K682" s="6">
        <f>IFERROR(__xludf.DUMMYFUNCTION("""COMPUTED_VALUE"""),152.46)</f>
        <v>152.46</v>
      </c>
      <c r="L682" s="3"/>
      <c r="M682" s="3"/>
    </row>
    <row r="683" ht="48.0" customHeight="1">
      <c r="A683" s="3" t="str">
        <f>IFERROR(__xludf.DUMMYFUNCTION("""COMPUTED_VALUE"""),"AR725H")</f>
        <v>AR725H</v>
      </c>
      <c r="B683" s="4" t="str">
        <f>IFERROR(__xludf.DUMMYFUNCTION("""COMPUTED_VALUE"""),"CONTROL DE PROXIMIDAD 125KHZ AUTÓNOMO TOUCH PANEL, LECTORA +")</f>
        <v>CONTROL DE PROXIMIDAD 125KHZ AUTÓNOMO TOUCH PANEL, LECTORA +</v>
      </c>
      <c r="C683" s="4" t="str">
        <f>IFERROR(__xludf.DUMMYFUNCTION("""COMPUTED_VALUE"""),"Control de proximidad 125KHz autónomo TOUCH PANEL, lectora + teclado 12 dígitos, led bicolor, 3000 usuarios, 1500 eventos, antipassback, franjas horarias, alarma sonora, frente retroiluminado. IP55. Salida 485. 12V")</f>
        <v>Control de proximidad 125KHz autónomo TOUCH PANEL, lectora + teclado 12 dígitos, led bicolor, 3000 usuarios, 1500 eventos, antipassback, franjas horarias, alarma sonora, frente retroiluminado. IP55. Salida 485. 12V</v>
      </c>
      <c r="D683" s="4" t="str">
        <f>IFERROR(__xludf.DUMMYFUNCTION("""COMPUTED_VALUE"""),"SOYAL")</f>
        <v>SOYAL</v>
      </c>
      <c r="E683" s="4" t="str">
        <f>IFERROR(__xludf.DUMMYFUNCTION("""COMPUTED_VALUE"""),"AR725H")</f>
        <v>AR725H</v>
      </c>
      <c r="F683" s="4" t="str">
        <f>IFERROR(__xludf.DUMMYFUNCTION("""COMPUTED_VALUE"""),"CONTROL DE ACCESO &gt; SISTEMAS ABRE PUERTAS AUTONOMOS Y EN RED")</f>
        <v>CONTROL DE ACCESO &gt; SISTEMAS ABRE PUERTAS AUTONOMOS Y EN RED</v>
      </c>
      <c r="G683" s="5"/>
      <c r="H683" s="6">
        <f>IFERROR(__xludf.DUMMYFUNCTION("""COMPUTED_VALUE"""),108.9)</f>
        <v>108.9</v>
      </c>
      <c r="I683" s="7">
        <f>IFERROR(__xludf.DUMMYFUNCTION("""COMPUTED_VALUE"""),21.0)</f>
        <v>21</v>
      </c>
      <c r="J683" s="6">
        <f>IFERROR(__xludf.DUMMYFUNCTION("""COMPUTED_VALUE"""),130.68)</f>
        <v>130.68</v>
      </c>
      <c r="K683" s="6">
        <f>IFERROR(__xludf.DUMMYFUNCTION("""COMPUTED_VALUE"""),152.46)</f>
        <v>152.46</v>
      </c>
      <c r="L683" s="3"/>
      <c r="M683" s="3"/>
    </row>
    <row r="684" ht="48.0" customHeight="1">
      <c r="A684" s="3" t="str">
        <f>IFERROR(__xludf.DUMMYFUNCTION("""COMPUTED_VALUE"""),"AR725ESR")</f>
        <v>AR725ESR</v>
      </c>
      <c r="B684" s="4" t="str">
        <f>IFERROR(__xludf.DUMMYFUNCTION("""COMPUTED_VALUE"""),"CONTROL DE PROXIMIDAD DUAL 125KHZ+13,56MHZ MIFARE AUTÓNOMO PARA 2")</f>
        <v>CONTROL DE PROXIMIDAD DUAL 125KHZ+13,56MHZ MIFARE AUTÓNOMO PARA 2</v>
      </c>
      <c r="C684" s="4" t="str">
        <f>IFERROR(__xludf.DUMMYFUNCTION("""COMPUTED_VALUE"""),"Control de proximidad DUAL 125KHz+13,56MHZ MIFARE autónomo para 2 puertas TOUCH PANEL, lectora + teclado 12 dígitos, led bicolor, 16000 usuarios, 30000 eventos, antipassback, franjas horarias, alarma sonora, frente retroiluminado. IP54. Salida TCPIyP y 48"&amp;"5. 12V")</f>
        <v>Control de proximidad DUAL 125KHz+13,56MHZ MIFARE autónomo para 2 puertas TOUCH PANEL, lectora + teclado 12 dígitos, led bicolor, 16000 usuarios, 30000 eventos, antipassback, franjas horarias, alarma sonora, frente retroiluminado. IP54. Salida TCPIyP y 485. 12V</v>
      </c>
      <c r="D684" s="4" t="str">
        <f>IFERROR(__xludf.DUMMYFUNCTION("""COMPUTED_VALUE"""),"SOYAL")</f>
        <v>SOYAL</v>
      </c>
      <c r="E684" s="4" t="str">
        <f>IFERROR(__xludf.DUMMYFUNCTION("""COMPUTED_VALUE"""),"AR725ESR")</f>
        <v>AR725ESR</v>
      </c>
      <c r="F684" s="4" t="str">
        <f>IFERROR(__xludf.DUMMYFUNCTION("""COMPUTED_VALUE"""),"CONTROL DE ACCESO &gt; SISTEMAS ABRE PUERTAS AUTONOMOS Y EN RED")</f>
        <v>CONTROL DE ACCESO &gt; SISTEMAS ABRE PUERTAS AUTONOMOS Y EN RED</v>
      </c>
      <c r="G684" s="5"/>
      <c r="H684" s="6">
        <f>IFERROR(__xludf.DUMMYFUNCTION("""COMPUTED_VALUE"""),203.5)</f>
        <v>203.5</v>
      </c>
      <c r="I684" s="7">
        <f>IFERROR(__xludf.DUMMYFUNCTION("""COMPUTED_VALUE"""),21.0)</f>
        <v>21</v>
      </c>
      <c r="J684" s="6">
        <f>IFERROR(__xludf.DUMMYFUNCTION("""COMPUTED_VALUE"""),244.2)</f>
        <v>244.2</v>
      </c>
      <c r="K684" s="6">
        <f>IFERROR(__xludf.DUMMYFUNCTION("""COMPUTED_VALUE"""),284.9)</f>
        <v>284.9</v>
      </c>
      <c r="L684" s="3"/>
      <c r="M684" s="3"/>
    </row>
    <row r="685" ht="48.0" customHeight="1">
      <c r="A685" s="3" t="str">
        <f>IFERROR(__xludf.DUMMYFUNCTION("""COMPUTED_VALUE"""),"AR363ESR11B1TM")</f>
        <v>AR363ESR11B1TM</v>
      </c>
      <c r="B685" s="4" t="str">
        <f>IFERROR(__xludf.DUMMYFUNCTION("""COMPUTED_VALUE"""),"CONTROL DE PROXIMIDAD DUAL 125KHZ+13,56MHZ MIFARE AUTÓNOMO GABINETE ME")</f>
        <v>CONTROL DE PROXIMIDAD DUAL 125KHZ+13,56MHZ MIFARE AUTÓNOMO GABINETE ME</v>
      </c>
      <c r="C685" s="4" t="str">
        <f>IFERROR(__xludf.DUMMYFUNCTION("""COMPUTED_VALUE"""),"Control de proximidad DUAL 125KHz+13,56MHZ MIFARE autónomo gabinete metalico TOUCH PANEL, lectora + teclado 12 dígitos, led bicolor, 16000 usuarios, 32000 eventos, antipassback, franjas horarias, alarma sonora, frente retroiluminado. IP66. Salida TCPIyP y"&amp;" 485. 12V")</f>
        <v>Control de proximidad DUAL 125KHz+13,56MHZ MIFARE autónomo gabinete metalico TOUCH PANEL, lectora + teclado 12 dígitos, led bicolor, 16000 usuarios, 32000 eventos, antipassback, franjas horarias, alarma sonora, frente retroiluminado. IP66. Salida TCPIyP y 485. 12V</v>
      </c>
      <c r="D685" s="4" t="str">
        <f>IFERROR(__xludf.DUMMYFUNCTION("""COMPUTED_VALUE"""),"SOYAL")</f>
        <v>SOYAL</v>
      </c>
      <c r="E685" s="4" t="str">
        <f>IFERROR(__xludf.DUMMYFUNCTION("""COMPUTED_VALUE"""),"AR363ESR11B1TM")</f>
        <v>AR363ESR11B1TM</v>
      </c>
      <c r="F685" s="4" t="str">
        <f>IFERROR(__xludf.DUMMYFUNCTION("""COMPUTED_VALUE"""),"CONTROL DE ACCESO &gt; SISTEMAS ABRE PUERTAS AUTONOMOS Y EN RED")</f>
        <v>CONTROL DE ACCESO &gt; SISTEMAS ABRE PUERTAS AUTONOMOS Y EN RED</v>
      </c>
      <c r="G685" s="5"/>
      <c r="H685" s="6">
        <f>IFERROR(__xludf.DUMMYFUNCTION("""COMPUTED_VALUE"""),150.15)</f>
        <v>150.15</v>
      </c>
      <c r="I685" s="7">
        <f>IFERROR(__xludf.DUMMYFUNCTION("""COMPUTED_VALUE"""),21.0)</f>
        <v>21</v>
      </c>
      <c r="J685" s="6">
        <f>IFERROR(__xludf.DUMMYFUNCTION("""COMPUTED_VALUE"""),180.18)</f>
        <v>180.18</v>
      </c>
      <c r="K685" s="6">
        <f>IFERROR(__xludf.DUMMYFUNCTION("""COMPUTED_VALUE"""),210.21)</f>
        <v>210.21</v>
      </c>
      <c r="L685" s="3"/>
      <c r="M685" s="3"/>
    </row>
    <row r="686" ht="48.0" customHeight="1">
      <c r="A686" s="3" t="str">
        <f>IFERROR(__xludf.DUMMYFUNCTION("""COMPUTED_VALUE"""),"AR725X")</f>
        <v>AR725X</v>
      </c>
      <c r="B686" s="4" t="str">
        <f>IFERROR(__xludf.DUMMYFUNCTION("""COMPUTED_VALUE"""),"MARCO METÁLICO PARA LÍNEA AR725H/AR725E/AR725U/AR725K")</f>
        <v>MARCO METÁLICO PARA LÍNEA AR725H/AR725E/AR725U/AR725K</v>
      </c>
      <c r="C686" s="4" t="str">
        <f>IFERROR(__xludf.DUMMYFUNCTION("""COMPUTED_VALUE"""),"Marco metálico para línea AR725H/AR725E/AR725U/AR725K")</f>
        <v>Marco metálico para línea AR725H/AR725E/AR725U/AR725K</v>
      </c>
      <c r="D686" s="4" t="str">
        <f>IFERROR(__xludf.DUMMYFUNCTION("""COMPUTED_VALUE"""),"SOYAL")</f>
        <v>SOYAL</v>
      </c>
      <c r="E686" s="4" t="str">
        <f>IFERROR(__xludf.DUMMYFUNCTION("""COMPUTED_VALUE"""),"AR725X")</f>
        <v>AR725X</v>
      </c>
      <c r="F686" s="4" t="str">
        <f>IFERROR(__xludf.DUMMYFUNCTION("""COMPUTED_VALUE"""),"CONTROL DE ACCESO &gt; SISTEMAS ABRE PUERTAS AUTONOMOS Y EN RED")</f>
        <v>CONTROL DE ACCESO &gt; SISTEMAS ABRE PUERTAS AUTONOMOS Y EN RED</v>
      </c>
      <c r="G686" s="5"/>
      <c r="H686" s="6">
        <f>IFERROR(__xludf.DUMMYFUNCTION("""COMPUTED_VALUE"""),31.9)</f>
        <v>31.9</v>
      </c>
      <c r="I686" s="7">
        <f>IFERROR(__xludf.DUMMYFUNCTION("""COMPUTED_VALUE"""),21.0)</f>
        <v>21</v>
      </c>
      <c r="J686" s="6">
        <f>IFERROR(__xludf.DUMMYFUNCTION("""COMPUTED_VALUE"""),38.28)</f>
        <v>38.28</v>
      </c>
      <c r="K686" s="6">
        <f>IFERROR(__xludf.DUMMYFUNCTION("""COMPUTED_VALUE"""),44.66)</f>
        <v>44.66</v>
      </c>
      <c r="L686" s="3"/>
      <c r="M686" s="3"/>
    </row>
    <row r="687" ht="48.0" customHeight="1">
      <c r="A687" s="3" t="str">
        <f>IFERROR(__xludf.DUMMYFUNCTION("""COMPUTED_VALUE"""),"AR829BR1")</f>
        <v>AR829BR1</v>
      </c>
      <c r="B687" s="4" t="str">
        <f>IFERROR(__xludf.DUMMYFUNCTION("""COMPUTED_VALUE"""),"CONTROL DE PROXIMIDAD 125KHZ AUTÓNOMO, DISPLAY LCD 1 PUERTA")</f>
        <v>CONTROL DE PROXIMIDAD 125KHZ AUTÓNOMO, DISPLAY LCD 1 PUERTA</v>
      </c>
      <c r="C687" s="4" t="str">
        <f>IFERROR(__xludf.DUMMYFUNCTION("""COMPUTED_VALUE"""),"Control de proximidad 125KHz autónomo, display LCD 1 puerta. 15000 usuarios, 11000 eventos. Alarmas. Control horario. Salida 485. 12V")</f>
        <v>Control de proximidad 125KHz autónomo, display LCD 1 puerta. 15000 usuarios, 11000 eventos. Alarmas. Control horario. Salida 485. 12V</v>
      </c>
      <c r="D687" s="4" t="str">
        <f>IFERROR(__xludf.DUMMYFUNCTION("""COMPUTED_VALUE"""),"SOYAL")</f>
        <v>SOYAL</v>
      </c>
      <c r="E687" s="4" t="str">
        <f>IFERROR(__xludf.DUMMYFUNCTION("""COMPUTED_VALUE"""),"AR829BR1")</f>
        <v>AR829BR1</v>
      </c>
      <c r="F687" s="4" t="str">
        <f>IFERROR(__xludf.DUMMYFUNCTION("""COMPUTED_VALUE"""),"CONTROL DE ACCESO &gt; SISTEMAS ABRE PUERTAS AUTONOMOS Y EN RED")</f>
        <v>CONTROL DE ACCESO &gt; SISTEMAS ABRE PUERTAS AUTONOMOS Y EN RED</v>
      </c>
      <c r="G687" s="5"/>
      <c r="H687" s="6">
        <f>IFERROR(__xludf.DUMMYFUNCTION("""COMPUTED_VALUE"""),108.9)</f>
        <v>108.9</v>
      </c>
      <c r="I687" s="7">
        <f>IFERROR(__xludf.DUMMYFUNCTION("""COMPUTED_VALUE"""),21.0)</f>
        <v>21</v>
      </c>
      <c r="J687" s="6">
        <f>IFERROR(__xludf.DUMMYFUNCTION("""COMPUTED_VALUE"""),130.68)</f>
        <v>130.68</v>
      </c>
      <c r="K687" s="6">
        <f>IFERROR(__xludf.DUMMYFUNCTION("""COMPUTED_VALUE"""),152.46)</f>
        <v>152.46</v>
      </c>
      <c r="L687" s="3"/>
      <c r="M687" s="3"/>
    </row>
    <row r="688" ht="48.0" customHeight="1">
      <c r="A688" s="3" t="str">
        <f>IFERROR(__xludf.DUMMYFUNCTION("""COMPUTED_VALUE"""),"AR331HBR")</f>
        <v>AR331HBR</v>
      </c>
      <c r="B688" s="4" t="str">
        <f>IFERROR(__xludf.DUMMYFUNCTION("""COMPUTED_VALUE"""),"CONTROL DE PROXIMIDAD 125KHZ AUTÓNOMO, GABINETE METÁLICO ANTIVANDÁLICO")</f>
        <v>CONTROL DE PROXIMIDAD 125KHZ AUTÓNOMO, GABINETE METÁLICO ANTIVANDÁLICO</v>
      </c>
      <c r="C688" s="4" t="str">
        <f>IFERROR(__xludf.DUMMYFUNCTION("""COMPUTED_VALUE"""),"Control de proximidad 125KHz autónomo, gabinete metálico antivandálico, lectora + teclado , led bicolor, 16000 usuarios, 32000 eventos, antipassback, franjas horarias, alarma sonora, salida 485. 12V Teclas retroiluminadas, teclado touch")</f>
        <v>Control de proximidad 125KHz autónomo, gabinete metálico antivandálico, lectora + teclado , led bicolor, 16000 usuarios, 32000 eventos, antipassback, franjas horarias, alarma sonora, salida 485. 12V Teclas retroiluminadas, teclado touch</v>
      </c>
      <c r="D688" s="4" t="str">
        <f>IFERROR(__xludf.DUMMYFUNCTION("""COMPUTED_VALUE"""),"SOYAL")</f>
        <v>SOYAL</v>
      </c>
      <c r="E688" s="4" t="str">
        <f>IFERROR(__xludf.DUMMYFUNCTION("""COMPUTED_VALUE"""),"AR331HBR")</f>
        <v>AR331HBR</v>
      </c>
      <c r="F688" s="4" t="str">
        <f>IFERROR(__xludf.DUMMYFUNCTION("""COMPUTED_VALUE"""),"CONTROL DE ACCESO &gt; SISTEMAS ABRE PUERTAS AUTONOMOS Y EN RED")</f>
        <v>CONTROL DE ACCESO &gt; SISTEMAS ABRE PUERTAS AUTONOMOS Y EN RED</v>
      </c>
      <c r="G688" s="5"/>
      <c r="H688" s="6">
        <f>IFERROR(__xludf.DUMMYFUNCTION("""COMPUTED_VALUE"""),137.5)</f>
        <v>137.5</v>
      </c>
      <c r="I688" s="7">
        <f>IFERROR(__xludf.DUMMYFUNCTION("""COMPUTED_VALUE"""),21.0)</f>
        <v>21</v>
      </c>
      <c r="J688" s="6">
        <f>IFERROR(__xludf.DUMMYFUNCTION("""COMPUTED_VALUE"""),165.0)</f>
        <v>165</v>
      </c>
      <c r="K688" s="6">
        <f>IFERROR(__xludf.DUMMYFUNCTION("""COMPUTED_VALUE"""),192.5)</f>
        <v>192.5</v>
      </c>
      <c r="L688" s="3"/>
      <c r="M688" s="3"/>
    </row>
    <row r="689" ht="48.0" customHeight="1">
      <c r="A689" s="3" t="str">
        <f>IFERROR(__xludf.DUMMYFUNCTION("""COMPUTED_VALUE"""),"AR321HBR")</f>
        <v>AR321HBR</v>
      </c>
      <c r="B689" s="4" t="str">
        <f>IFERROR(__xludf.DUMMYFUNCTION("""COMPUTED_VALUE"""),"CONTROL DE PROXIMIDAD 125KHZ AUTÓNOMO, GABINETE METÁLICO ANTIVANDÁLICO")</f>
        <v>CONTROL DE PROXIMIDAD 125KHZ AUTÓNOMO, GABINETE METÁLICO ANTIVANDÁLICO</v>
      </c>
      <c r="C689" s="4" t="str">
        <f>IFERROR(__xludf.DUMMYFUNCTION("""COMPUTED_VALUE"""),"Control de proximidad 125KHz autónomo, gabinete metálico antivandálico, lectora + teclado 12 dígitos, led bicolor, 1024 usuarios, 1200 eventos, antipassback, 63 franjas horarias, alarma sonora, salida 485. 12V")</f>
        <v>Control de proximidad 125KHz autónomo, gabinete metálico antivandálico, lectora + teclado 12 dígitos, led bicolor, 1024 usuarios, 1200 eventos, antipassback, 63 franjas horarias, alarma sonora, salida 485. 12V</v>
      </c>
      <c r="D689" s="4" t="str">
        <f>IFERROR(__xludf.DUMMYFUNCTION("""COMPUTED_VALUE"""),"SOYAL")</f>
        <v>SOYAL</v>
      </c>
      <c r="E689" s="4" t="str">
        <f>IFERROR(__xludf.DUMMYFUNCTION("""COMPUTED_VALUE"""),"AR321HBR")</f>
        <v>AR321HBR</v>
      </c>
      <c r="F689" s="4" t="str">
        <f>IFERROR(__xludf.DUMMYFUNCTION("""COMPUTED_VALUE"""),"CONTROL DE ACCESO &gt; SISTEMAS ABRE PUERTAS AUTONOMOS Y EN RED")</f>
        <v>CONTROL DE ACCESO &gt; SISTEMAS ABRE PUERTAS AUTONOMOS Y EN RED</v>
      </c>
      <c r="G689" s="5"/>
      <c r="H689" s="6">
        <f>IFERROR(__xludf.DUMMYFUNCTION("""COMPUTED_VALUE"""),108.9)</f>
        <v>108.9</v>
      </c>
      <c r="I689" s="7">
        <f>IFERROR(__xludf.DUMMYFUNCTION("""COMPUTED_VALUE"""),21.0)</f>
        <v>21</v>
      </c>
      <c r="J689" s="6">
        <f>IFERROR(__xludf.DUMMYFUNCTION("""COMPUTED_VALUE"""),130.68)</f>
        <v>130.68</v>
      </c>
      <c r="K689" s="6">
        <f>IFERROR(__xludf.DUMMYFUNCTION("""COMPUTED_VALUE"""),152.46)</f>
        <v>152.46</v>
      </c>
      <c r="L689" s="3"/>
      <c r="M689" s="3"/>
    </row>
    <row r="690" ht="48.0" customHeight="1">
      <c r="A690" s="3" t="str">
        <f>IFERROR(__xludf.DUMMYFUNCTION("""COMPUTED_VALUE"""),"DHASI1201A")</f>
        <v>DHASI1201A</v>
      </c>
      <c r="B690" s="4" t="str">
        <f>IFERROR(__xludf.DUMMYFUNCTION("""COMPUTED_VALUE"""),"CONTROL DE PROXIMIDAD 13")</f>
        <v>CONTROL DE PROXIMIDAD 13</v>
      </c>
      <c r="C690" s="4" t="str">
        <f>IFERROR(__xludf.DUMMYFUNCTION("""COMPUTED_VALUE"""),"Control de proximidad 13.56MHz(Mifare) Touch keyboard and LCD display Support 30,000 valid cards &amp; 150,000 records Support card, password and combination TCP/IP to PC Wiegand or RS-485 interface to reader Door time out alarm, intrusion alarm, duress alarm"&amp;" and tamper alarm Anti-pass back, multi-card open Software attendance Support 128 efficient time and holiday schedules")</f>
        <v>Control de proximidad 13.56MHz(Mifare) Touch keyboard and LCD display Support 30,000 valid cards &amp; 150,000 records Support card, password and combination TCP/IP to PC Wiegand or RS-485 interface to reader Door time out alarm, intrusion alarm, duress alarm and tamper alarm Anti-pass back, multi-card open Software attendance Support 128 efficient time and holiday schedules</v>
      </c>
      <c r="D690" s="4" t="str">
        <f>IFERROR(__xludf.DUMMYFUNCTION("""COMPUTED_VALUE"""),"DAHUA")</f>
        <v>DAHUA</v>
      </c>
      <c r="E690" s="4" t="str">
        <f>IFERROR(__xludf.DUMMYFUNCTION("""COMPUTED_VALUE"""),"DHASI1201A")</f>
        <v>DHASI1201A</v>
      </c>
      <c r="F690" s="4" t="str">
        <f>IFERROR(__xludf.DUMMYFUNCTION("""COMPUTED_VALUE"""),"CONTROL DE ACCESO &gt; SISTEMAS ABRE PUERTAS AUTONOMOS Y EN RED")</f>
        <v>CONTROL DE ACCESO &gt; SISTEMAS ABRE PUERTAS AUTONOMOS Y EN RED</v>
      </c>
      <c r="G690" s="5"/>
      <c r="H690" s="6">
        <f>IFERROR(__xludf.DUMMYFUNCTION("""COMPUTED_VALUE"""),116.36)</f>
        <v>116.36</v>
      </c>
      <c r="I690" s="7">
        <f>IFERROR(__xludf.DUMMYFUNCTION("""COMPUTED_VALUE"""),21.0)</f>
        <v>21</v>
      </c>
      <c r="J690" s="6">
        <f>IFERROR(__xludf.DUMMYFUNCTION("""COMPUTED_VALUE"""),139.63)</f>
        <v>139.63</v>
      </c>
      <c r="K690" s="6">
        <f>IFERROR(__xludf.DUMMYFUNCTION("""COMPUTED_VALUE"""),162.9)</f>
        <v>162.9</v>
      </c>
      <c r="L690" s="3"/>
      <c r="M690" s="3"/>
    </row>
    <row r="691" ht="48.0" customHeight="1">
      <c r="A691" s="3" t="str">
        <f>IFERROR(__xludf.DUMMYFUNCTION("""COMPUTED_VALUE"""),"DHASI1201AD")</f>
        <v>DHASI1201AD</v>
      </c>
      <c r="B691" s="4" t="str">
        <f>IFERROR(__xludf.DUMMYFUNCTION("""COMPUTED_VALUE"""),"CONTROL DE PROXIMIDAD 125KHZ TOUCH KEYBOARD AND LCD DISPLAY")</f>
        <v>CONTROL DE PROXIMIDAD 125KHZ TOUCH KEYBOARD AND LCD DISPLAY</v>
      </c>
      <c r="C691" s="4" t="str">
        <f>IFERROR(__xludf.DUMMYFUNCTION("""COMPUTED_VALUE"""),"Control de proximidad 125KHz Touch keyboard and LCD display Support 30,000 valid cards &amp; 150,000 records Support card, password and combination TCP/IP to PC Wiegand or RS-485 interface to reader Door time out alarm, intrusion alarm, duress alarm and tampe"&amp;"r alarm Anti-pass back, multi-card open Software attendance Support 128 efficient time and holiday schedules")</f>
        <v>Control de proximidad 125KHz Touch keyboard and LCD display Support 30,000 valid cards &amp; 150,000 records Support card, password and combination TCP/IP to PC Wiegand or RS-485 interface to reader Door time out alarm, intrusion alarm, duress alarm and tamper alarm Anti-pass back, multi-card open Software attendance Support 128 efficient time and holiday schedules</v>
      </c>
      <c r="D691" s="4" t="str">
        <f>IFERROR(__xludf.DUMMYFUNCTION("""COMPUTED_VALUE"""),"DAHUA")</f>
        <v>DAHUA</v>
      </c>
      <c r="E691" s="4" t="str">
        <f>IFERROR(__xludf.DUMMYFUNCTION("""COMPUTED_VALUE"""),"DHASI1201AD")</f>
        <v>DHASI1201AD</v>
      </c>
      <c r="F691" s="4" t="str">
        <f>IFERROR(__xludf.DUMMYFUNCTION("""COMPUTED_VALUE"""),"CONTROL DE ACCESO &gt; SISTEMAS ABRE PUERTAS AUTONOMOS Y EN RED")</f>
        <v>CONTROL DE ACCESO &gt; SISTEMAS ABRE PUERTAS AUTONOMOS Y EN RED</v>
      </c>
      <c r="G691" s="5"/>
      <c r="H691" s="6">
        <f>IFERROR(__xludf.DUMMYFUNCTION("""COMPUTED_VALUE"""),116.36)</f>
        <v>116.36</v>
      </c>
      <c r="I691" s="7">
        <f>IFERROR(__xludf.DUMMYFUNCTION("""COMPUTED_VALUE"""),21.0)</f>
        <v>21</v>
      </c>
      <c r="J691" s="6">
        <f>IFERROR(__xludf.DUMMYFUNCTION("""COMPUTED_VALUE"""),139.63)</f>
        <v>139.63</v>
      </c>
      <c r="K691" s="6">
        <f>IFERROR(__xludf.DUMMYFUNCTION("""COMPUTED_VALUE"""),162.9)</f>
        <v>162.9</v>
      </c>
      <c r="L691" s="3"/>
      <c r="M691" s="3"/>
    </row>
    <row r="692" ht="48.0" customHeight="1">
      <c r="A692" s="3" t="str">
        <f>IFERROR(__xludf.DUMMYFUNCTION("""COMPUTED_VALUE"""),"HWOP10HONS")</f>
        <v>HWOP10HONS</v>
      </c>
      <c r="B692" s="4" t="str">
        <f>IFERROR(__xludf.DUMMYFUNCTION("""COMPUTED_VALUE"""),"OMNIPROX MINI-MULLION LECTOR DE PROXIMIDAD ALCANCE HASTA 5 CM,")</f>
        <v>OMNIPROX MINI-MULLION LECTOR DE PROXIMIDAD ALCANCE HASTA 5 CM,</v>
      </c>
      <c r="C692" s="4" t="str">
        <f>IFERROR(__xludf.DUMMYFUNCTION("""COMPUTED_VALUE"""),"OmniProx Mini-Mullion Lector de proximidad alcance hasta 5 cm, Compatible con HID Honeywell logo RoHS Compliant")</f>
        <v>OmniProx Mini-Mullion Lector de proximidad alcance hasta 5 cm, Compatible con HID Honeywell logo RoHS Compliant</v>
      </c>
      <c r="D692" s="4" t="str">
        <f>IFERROR(__xludf.DUMMYFUNCTION("""COMPUTED_VALUE"""),"HONEYWELL")</f>
        <v>HONEYWELL</v>
      </c>
      <c r="E692" s="4" t="str">
        <f>IFERROR(__xludf.DUMMYFUNCTION("""COMPUTED_VALUE"""),"HWOP10HONS")</f>
        <v>HWOP10HONS</v>
      </c>
      <c r="F692" s="4" t="str">
        <f>IFERROR(__xludf.DUMMYFUNCTION("""COMPUTED_VALUE"""),"CONTROL DE ACCESO &gt; LECTORES DE PROXIMIDAD")</f>
        <v>CONTROL DE ACCESO &gt; LECTORES DE PROXIMIDAD</v>
      </c>
      <c r="G692" s="5"/>
      <c r="H692" s="6">
        <f>IFERROR(__xludf.DUMMYFUNCTION("""COMPUTED_VALUE"""),44.0)</f>
        <v>44</v>
      </c>
      <c r="I692" s="7">
        <f>IFERROR(__xludf.DUMMYFUNCTION("""COMPUTED_VALUE"""),21.0)</f>
        <v>21</v>
      </c>
      <c r="J692" s="6">
        <f>IFERROR(__xludf.DUMMYFUNCTION("""COMPUTED_VALUE"""),52.8)</f>
        <v>52.8</v>
      </c>
      <c r="K692" s="6">
        <f>IFERROR(__xludf.DUMMYFUNCTION("""COMPUTED_VALUE"""),61.6)</f>
        <v>61.6</v>
      </c>
      <c r="L692" s="3"/>
      <c r="M692" s="3"/>
    </row>
    <row r="693" ht="48.0" customHeight="1">
      <c r="A693" s="3" t="str">
        <f>IFERROR(__xludf.DUMMYFUNCTION("""COMPUTED_VALUE"""),"AR101USX")</f>
        <v>AR101USX</v>
      </c>
      <c r="B693" s="4" t="str">
        <f>IFERROR(__xludf.DUMMYFUNCTION("""COMPUTED_VALUE"""),"LECTOR MINI DE PROXIMIDAD DUAL 125KHZ+13,56MHZ MIFARE")</f>
        <v>LECTOR MINI DE PROXIMIDAD DUAL 125KHZ+13,56MHZ MIFARE</v>
      </c>
      <c r="C693" s="4" t="str">
        <f>IFERROR(__xludf.DUMMYFUNCTION("""COMPUTED_VALUE"""),"Lector MINI de proximidad DUAL 125KHz+13,56MHZ MIFARE. Incluye Led de estado bicolor, beep de lectura. Salidas Wiegand 26/34-RS485, requiere tapa de montaje AR10104 o AR10107")</f>
        <v>Lector MINI de proximidad DUAL 125KHz+13,56MHZ MIFARE. Incluye Led de estado bicolor, beep de lectura. Salidas Wiegand 26/34-RS485, requiere tapa de montaje AR10104 o AR10107</v>
      </c>
      <c r="D693" s="4" t="str">
        <f>IFERROR(__xludf.DUMMYFUNCTION("""COMPUTED_VALUE"""),"SOYAL")</f>
        <v>SOYAL</v>
      </c>
      <c r="E693" s="4" t="str">
        <f>IFERROR(__xludf.DUMMYFUNCTION("""COMPUTED_VALUE"""),"AR101USX")</f>
        <v>AR101USX</v>
      </c>
      <c r="F693" s="4" t="str">
        <f>IFERROR(__xludf.DUMMYFUNCTION("""COMPUTED_VALUE"""),"CONTROL DE ACCESO &gt; LECTORES DE PROXIMIDAD")</f>
        <v>CONTROL DE ACCESO &gt; LECTORES DE PROXIMIDAD</v>
      </c>
      <c r="G693" s="5"/>
      <c r="H693" s="6">
        <f>IFERROR(__xludf.DUMMYFUNCTION("""COMPUTED_VALUE"""),75.9)</f>
        <v>75.9</v>
      </c>
      <c r="I693" s="7">
        <f>IFERROR(__xludf.DUMMYFUNCTION("""COMPUTED_VALUE"""),10.5)</f>
        <v>10.5</v>
      </c>
      <c r="J693" s="6">
        <f>IFERROR(__xludf.DUMMYFUNCTION("""COMPUTED_VALUE"""),91.08)</f>
        <v>91.08</v>
      </c>
      <c r="K693" s="6">
        <f>IFERROR(__xludf.DUMMYFUNCTION("""COMPUTED_VALUE"""),106.26)</f>
        <v>106.26</v>
      </c>
      <c r="L693" s="3"/>
      <c r="M693" s="3"/>
    </row>
    <row r="694" ht="48.0" customHeight="1">
      <c r="A694" s="3" t="str">
        <f>IFERROR(__xludf.DUMMYFUNCTION("""COMPUTED_VALUE"""),"AR723UBX")</f>
        <v>AR723UBX</v>
      </c>
      <c r="B694" s="4" t="str">
        <f>IFERROR(__xludf.DUMMYFUNCTION("""COMPUTED_VALUE"""),"LECTOR DE PROXIMIDAD 125KHZ APATA PARA EXTERIOR RANGO 6-12 MM")</f>
        <v>LECTOR DE PROXIMIDAD 125KHZ APATA PARA EXTERIOR RANGO 6-12 MM</v>
      </c>
      <c r="C694" s="4" t="str">
        <f>IFERROR(__xludf.DUMMYFUNCTION("""COMPUTED_VALUE"""),"Lector de proximidad 125KHz apata para exterior Rango 6-12 mm. Incluye Led de estado. Salidas Wiegand 26/34; ABA")</f>
        <v>Lector de proximidad 125KHz apata para exterior Rango 6-12 mm. Incluye Led de estado. Salidas Wiegand 26/34; ABA</v>
      </c>
      <c r="D694" s="4" t="str">
        <f>IFERROR(__xludf.DUMMYFUNCTION("""COMPUTED_VALUE"""),"SOYAL")</f>
        <v>SOYAL</v>
      </c>
      <c r="E694" s="4" t="str">
        <f>IFERROR(__xludf.DUMMYFUNCTION("""COMPUTED_VALUE"""),"AR723UBX")</f>
        <v>AR723UBX</v>
      </c>
      <c r="F694" s="4" t="str">
        <f>IFERROR(__xludf.DUMMYFUNCTION("""COMPUTED_VALUE"""),"CONTROL DE ACCESO &gt; LECTORES DE PROXIMIDAD")</f>
        <v>CONTROL DE ACCESO &gt; LECTORES DE PROXIMIDAD</v>
      </c>
      <c r="G694" s="5"/>
      <c r="H694" s="6">
        <f>IFERROR(__xludf.DUMMYFUNCTION("""COMPUTED_VALUE"""),53.9)</f>
        <v>53.9</v>
      </c>
      <c r="I694" s="7">
        <f>IFERROR(__xludf.DUMMYFUNCTION("""COMPUTED_VALUE"""),10.5)</f>
        <v>10.5</v>
      </c>
      <c r="J694" s="6">
        <f>IFERROR(__xludf.DUMMYFUNCTION("""COMPUTED_VALUE"""),64.68)</f>
        <v>64.68</v>
      </c>
      <c r="K694" s="6">
        <f>IFERROR(__xludf.DUMMYFUNCTION("""COMPUTED_VALUE"""),75.46)</f>
        <v>75.46</v>
      </c>
      <c r="L694" s="3"/>
      <c r="M694" s="3"/>
    </row>
    <row r="695" ht="48.0" customHeight="1">
      <c r="A695" s="3" t="str">
        <f>IFERROR(__xludf.DUMMYFUNCTION("""COMPUTED_VALUE"""),"AR723UDX")</f>
        <v>AR723UDX</v>
      </c>
      <c r="B695" s="4" t="str">
        <f>IFERROR(__xludf.DUMMYFUNCTION("""COMPUTED_VALUE"""),"LECTOR DE PROXIMIDAD 13,56MHZ MIFARE APATA PARA EXTERIOR RANGO")</f>
        <v>LECTOR DE PROXIMIDAD 13,56MHZ MIFARE APATA PARA EXTERIOR RANGO</v>
      </c>
      <c r="C695" s="4" t="str">
        <f>IFERROR(__xludf.DUMMYFUNCTION("""COMPUTED_VALUE"""),"Lector de proximidad 13,56MHZ MIFARE apata para exterior Rango 3-8 mm. Incluye Led de estado. Salidas Wiegand 26/34; ABA")</f>
        <v>Lector de proximidad 13,56MHZ MIFARE apata para exterior Rango 3-8 mm. Incluye Led de estado. Salidas Wiegand 26/34; ABA</v>
      </c>
      <c r="D695" s="4" t="str">
        <f>IFERROR(__xludf.DUMMYFUNCTION("""COMPUTED_VALUE"""),"SOYAL")</f>
        <v>SOYAL</v>
      </c>
      <c r="E695" s="4" t="str">
        <f>IFERROR(__xludf.DUMMYFUNCTION("""COMPUTED_VALUE"""),"AR723UDX")</f>
        <v>AR723UDX</v>
      </c>
      <c r="F695" s="4" t="str">
        <f>IFERROR(__xludf.DUMMYFUNCTION("""COMPUTED_VALUE"""),"CONTROL DE ACCESO &gt; LECTORES DE PROXIMIDAD")</f>
        <v>CONTROL DE ACCESO &gt; LECTORES DE PROXIMIDAD</v>
      </c>
      <c r="G695" s="5"/>
      <c r="H695" s="6">
        <f>IFERROR(__xludf.DUMMYFUNCTION("""COMPUTED_VALUE"""),64.9)</f>
        <v>64.9</v>
      </c>
      <c r="I695" s="7">
        <f>IFERROR(__xludf.DUMMYFUNCTION("""COMPUTED_VALUE"""),10.5)</f>
        <v>10.5</v>
      </c>
      <c r="J695" s="6">
        <f>IFERROR(__xludf.DUMMYFUNCTION("""COMPUTED_VALUE"""),77.88)</f>
        <v>77.88</v>
      </c>
      <c r="K695" s="6">
        <f>IFERROR(__xludf.DUMMYFUNCTION("""COMPUTED_VALUE"""),90.86)</f>
        <v>90.86</v>
      </c>
      <c r="L695" s="3"/>
      <c r="M695" s="3"/>
    </row>
    <row r="696" ht="48.0" customHeight="1">
      <c r="A696" s="3" t="str">
        <f>IFERROR(__xludf.DUMMYFUNCTION("""COMPUTED_VALUE"""),"AR721KBX")</f>
        <v>AR721KBX</v>
      </c>
      <c r="B696" s="4" t="str">
        <f>IFERROR(__xludf.DUMMYFUNCTION("""COMPUTED_VALUE"""),"LECTOR DE PROXIMIDAD 125KHZ CON TECLADO INCORPORADO")</f>
        <v>LECTOR DE PROXIMIDAD 125KHZ CON TECLADO INCORPORADO</v>
      </c>
      <c r="C696" s="4" t="str">
        <f>IFERROR(__xludf.DUMMYFUNCTION("""COMPUTED_VALUE"""),"Lector de proximidad 125KHz con teclado incorporado. Rango 100 mm. Incluye Led de estado. Salidas Wiegand 26/34; ABA; RS 232.")</f>
        <v>Lector de proximidad 125KHz con teclado incorporado. Rango 100 mm. Incluye Led de estado. Salidas Wiegand 26/34; ABA; RS 232.</v>
      </c>
      <c r="D696" s="4" t="str">
        <f>IFERROR(__xludf.DUMMYFUNCTION("""COMPUTED_VALUE"""),"SOYAL")</f>
        <v>SOYAL</v>
      </c>
      <c r="E696" s="4" t="str">
        <f>IFERROR(__xludf.DUMMYFUNCTION("""COMPUTED_VALUE"""),"AR721KBX")</f>
        <v>AR721KBX</v>
      </c>
      <c r="F696" s="4" t="str">
        <f>IFERROR(__xludf.DUMMYFUNCTION("""COMPUTED_VALUE"""),"CONTROL DE ACCESO &gt; LECTORES DE PROXIMIDAD")</f>
        <v>CONTROL DE ACCESO &gt; LECTORES DE PROXIMIDAD</v>
      </c>
      <c r="G696" s="5"/>
      <c r="H696" s="6">
        <f>IFERROR(__xludf.DUMMYFUNCTION("""COMPUTED_VALUE"""),64.9)</f>
        <v>64.9</v>
      </c>
      <c r="I696" s="7">
        <f>IFERROR(__xludf.DUMMYFUNCTION("""COMPUTED_VALUE"""),10.5)</f>
        <v>10.5</v>
      </c>
      <c r="J696" s="6">
        <f>IFERROR(__xludf.DUMMYFUNCTION("""COMPUTED_VALUE"""),77.88)</f>
        <v>77.88</v>
      </c>
      <c r="K696" s="6">
        <f>IFERROR(__xludf.DUMMYFUNCTION("""COMPUTED_VALUE"""),90.86)</f>
        <v>90.86</v>
      </c>
      <c r="L696" s="3"/>
      <c r="M696" s="3"/>
    </row>
    <row r="697" ht="48.0" customHeight="1">
      <c r="A697" s="3" t="str">
        <f>IFERROR(__xludf.DUMMYFUNCTION("""COMPUTED_VALUE"""),"AR725U")</f>
        <v>AR725U</v>
      </c>
      <c r="B697" s="4" t="str">
        <f>IFERROR(__xludf.DUMMYFUNCTION("""COMPUTED_VALUE"""),"LECTOR DE PROXIMIDAD 125KHZ RETRO ILUMINADO RANGO 100 MM")</f>
        <v>LECTOR DE PROXIMIDAD 125KHZ RETRO ILUMINADO RANGO 100 MM</v>
      </c>
      <c r="C697" s="4" t="str">
        <f>IFERROR(__xludf.DUMMYFUNCTION("""COMPUTED_VALUE"""),"Lector de proximidad 125KHz retro iluminado Rango 100 mm. Incluye Led de estado. Salidas Wiegand 26/34; ABA; RS 232. IP54")</f>
        <v>Lector de proximidad 125KHz retro iluminado Rango 100 mm. Incluye Led de estado. Salidas Wiegand 26/34; ABA; RS 232. IP54</v>
      </c>
      <c r="D697" s="4" t="str">
        <f>IFERROR(__xludf.DUMMYFUNCTION("""COMPUTED_VALUE"""),"SOYAL")</f>
        <v>SOYAL</v>
      </c>
      <c r="E697" s="4" t="str">
        <f>IFERROR(__xludf.DUMMYFUNCTION("""COMPUTED_VALUE"""),"AR725U")</f>
        <v>AR725U</v>
      </c>
      <c r="F697" s="4" t="str">
        <f>IFERROR(__xludf.DUMMYFUNCTION("""COMPUTED_VALUE"""),"CONTROL DE ACCESO &gt; LECTORES DE PROXIMIDAD")</f>
        <v>CONTROL DE ACCESO &gt; LECTORES DE PROXIMIDAD</v>
      </c>
      <c r="G697" s="5"/>
      <c r="H697" s="6">
        <f>IFERROR(__xludf.DUMMYFUNCTION("""COMPUTED_VALUE"""),64.9)</f>
        <v>64.9</v>
      </c>
      <c r="I697" s="7">
        <f>IFERROR(__xludf.DUMMYFUNCTION("""COMPUTED_VALUE"""),10.5)</f>
        <v>10.5</v>
      </c>
      <c r="J697" s="6">
        <f>IFERROR(__xludf.DUMMYFUNCTION("""COMPUTED_VALUE"""),77.88)</f>
        <v>77.88</v>
      </c>
      <c r="K697" s="6">
        <f>IFERROR(__xludf.DUMMYFUNCTION("""COMPUTED_VALUE"""),90.86)</f>
        <v>90.86</v>
      </c>
      <c r="L697" s="3"/>
      <c r="M697" s="3"/>
    </row>
    <row r="698" ht="48.0" customHeight="1">
      <c r="A698" s="3" t="str">
        <f>IFERROR(__xludf.DUMMYFUNCTION("""COMPUTED_VALUE"""),"AR725K")</f>
        <v>AR725K</v>
      </c>
      <c r="B698" s="4" t="str">
        <f>IFERROR(__xludf.DUMMYFUNCTION("""COMPUTED_VALUE"""),"LECTOR DE PROXIMIDAD 125KHZ CON TECLAS RETROILUMINADAS, TECLADO TOUCH")</f>
        <v>LECTOR DE PROXIMIDAD 125KHZ CON TECLAS RETROILUMINADAS, TECLADO TOUCH</v>
      </c>
      <c r="C698" s="4" t="str">
        <f>IFERROR(__xludf.DUMMYFUNCTION("""COMPUTED_VALUE"""),"Lector de proximidad 125KHz con teclas retroiluminadas, teclado touch Rango 100 mm. Incluye Led de estado. Salidas Wiegand 26/34; ABA; RS 232. IP53")</f>
        <v>Lector de proximidad 125KHz con teclas retroiluminadas, teclado touch Rango 100 mm. Incluye Led de estado. Salidas Wiegand 26/34; ABA; RS 232. IP53</v>
      </c>
      <c r="D698" s="4" t="str">
        <f>IFERROR(__xludf.DUMMYFUNCTION("""COMPUTED_VALUE"""),"SOYAL")</f>
        <v>SOYAL</v>
      </c>
      <c r="E698" s="4" t="str">
        <f>IFERROR(__xludf.DUMMYFUNCTION("""COMPUTED_VALUE"""),"AR725K")</f>
        <v>AR725K</v>
      </c>
      <c r="F698" s="4" t="str">
        <f>IFERROR(__xludf.DUMMYFUNCTION("""COMPUTED_VALUE"""),"CONTROL DE ACCESO &gt; LECTORES DE PROXIMIDAD")</f>
        <v>CONTROL DE ACCESO &gt; LECTORES DE PROXIMIDAD</v>
      </c>
      <c r="G698" s="5"/>
      <c r="H698" s="6">
        <f>IFERROR(__xludf.DUMMYFUNCTION("""COMPUTED_VALUE"""),82.5)</f>
        <v>82.5</v>
      </c>
      <c r="I698" s="7">
        <f>IFERROR(__xludf.DUMMYFUNCTION("""COMPUTED_VALUE"""),21.0)</f>
        <v>21</v>
      </c>
      <c r="J698" s="6">
        <f>IFERROR(__xludf.DUMMYFUNCTION("""COMPUTED_VALUE"""),99.0)</f>
        <v>99</v>
      </c>
      <c r="K698" s="6">
        <f>IFERROR(__xludf.DUMMYFUNCTION("""COMPUTED_VALUE"""),115.5)</f>
        <v>115.5</v>
      </c>
      <c r="L698" s="3"/>
      <c r="M698" s="3"/>
    </row>
    <row r="699" ht="48.0" customHeight="1">
      <c r="A699" s="3" t="str">
        <f>IFERROR(__xludf.DUMMYFUNCTION("""COMPUTED_VALUE"""),"AR331KBX")</f>
        <v>AR331KBX</v>
      </c>
      <c r="B699" s="4" t="str">
        <f>IFERROR(__xludf.DUMMYFUNCTION("""COMPUTED_VALUE"""),"LECTOR DE PROXIMIDAD 125KHZ CON TECLAS RETROILUMINADAS, TECLADO TOUCH")</f>
        <v>LECTOR DE PROXIMIDAD 125KHZ CON TECLAS RETROILUMINADAS, TECLADO TOUCH</v>
      </c>
      <c r="C699" s="4" t="str">
        <f>IFERROR(__xludf.DUMMYFUNCTION("""COMPUTED_VALUE"""),"Lector de proximidad 125KHz con teclas retroiluminadas, teclado touch Salidas Wiegand 26/34; ABA; RS 232.")</f>
        <v>Lector de proximidad 125KHz con teclas retroiluminadas, teclado touch Salidas Wiegand 26/34; ABA; RS 232.</v>
      </c>
      <c r="D699" s="4" t="str">
        <f>IFERROR(__xludf.DUMMYFUNCTION("""COMPUTED_VALUE"""),"SOYAL")</f>
        <v>SOYAL</v>
      </c>
      <c r="E699" s="4" t="str">
        <f>IFERROR(__xludf.DUMMYFUNCTION("""COMPUTED_VALUE"""),"AR331KBX")</f>
        <v>AR331KBX</v>
      </c>
      <c r="F699" s="4" t="str">
        <f>IFERROR(__xludf.DUMMYFUNCTION("""COMPUTED_VALUE"""),"CONTROL DE ACCESO &gt; LECTORES DE PROXIMIDAD")</f>
        <v>CONTROL DE ACCESO &gt; LECTORES DE PROXIMIDAD</v>
      </c>
      <c r="G699" s="5"/>
      <c r="H699" s="6">
        <f>IFERROR(__xludf.DUMMYFUNCTION("""COMPUTED_VALUE"""),97.9)</f>
        <v>97.9</v>
      </c>
      <c r="I699" s="7">
        <f>IFERROR(__xludf.DUMMYFUNCTION("""COMPUTED_VALUE"""),10.5)</f>
        <v>10.5</v>
      </c>
      <c r="J699" s="6">
        <f>IFERROR(__xludf.DUMMYFUNCTION("""COMPUTED_VALUE"""),117.48)</f>
        <v>117.48</v>
      </c>
      <c r="K699" s="6">
        <f>IFERROR(__xludf.DUMMYFUNCTION("""COMPUTED_VALUE"""),137.06)</f>
        <v>137.06</v>
      </c>
      <c r="L699" s="3"/>
      <c r="M699" s="3"/>
    </row>
    <row r="700" ht="48.0" customHeight="1">
      <c r="A700" s="3" t="str">
        <f>IFERROR(__xludf.DUMMYFUNCTION("""COMPUTED_VALUE"""),"AR661U")</f>
        <v>AR661U</v>
      </c>
      <c r="B700" s="4" t="str">
        <f>IFERROR(__xludf.DUMMYFUNCTION("""COMPUTED_VALUE"""),"LECTOR DE PROXIMIDAD 125KHZ DE LARGO ALCANCE DE 33")</f>
        <v>LECTOR DE PROXIMIDAD 125KHZ DE LARGO ALCANCE DE 33</v>
      </c>
      <c r="C700" s="4" t="str">
        <f>IFERROR(__xludf.DUMMYFUNCTION("""COMPUTED_VALUE"""),"Lector de proximidad 125KHz de largo alcance de 33 a 60 cm de lectura IP56 Wiegan 34+4 dimensiones en mm 228L x 228W x 38H")</f>
        <v>Lector de proximidad 125KHz de largo alcance de 33 a 60 cm de lectura IP56 Wiegan 34+4 dimensiones en mm 228L x 228W x 38H</v>
      </c>
      <c r="D700" s="4" t="str">
        <f>IFERROR(__xludf.DUMMYFUNCTION("""COMPUTED_VALUE"""),"SOYAL")</f>
        <v>SOYAL</v>
      </c>
      <c r="E700" s="4" t="str">
        <f>IFERROR(__xludf.DUMMYFUNCTION("""COMPUTED_VALUE"""),"AR661U")</f>
        <v>AR661U</v>
      </c>
      <c r="F700" s="4" t="str">
        <f>IFERROR(__xludf.DUMMYFUNCTION("""COMPUTED_VALUE"""),"CONTROL DE ACCESO &gt; LECTORES DE PROXIMIDAD")</f>
        <v>CONTROL DE ACCESO &gt; LECTORES DE PROXIMIDAD</v>
      </c>
      <c r="G700" s="5"/>
      <c r="H700" s="6">
        <f>IFERROR(__xludf.DUMMYFUNCTION("""COMPUTED_VALUE"""),434.5)</f>
        <v>434.5</v>
      </c>
      <c r="I700" s="7">
        <f>IFERROR(__xludf.DUMMYFUNCTION("""COMPUTED_VALUE"""),21.0)</f>
        <v>21</v>
      </c>
      <c r="J700" s="6">
        <f>IFERROR(__xludf.DUMMYFUNCTION("""COMPUTED_VALUE"""),521.4)</f>
        <v>521.4</v>
      </c>
      <c r="K700" s="6">
        <f>IFERROR(__xludf.DUMMYFUNCTION("""COMPUTED_VALUE"""),608.3)</f>
        <v>608.3</v>
      </c>
      <c r="L700" s="3"/>
      <c r="M700" s="3"/>
    </row>
    <row r="701" ht="48.0" customHeight="1">
      <c r="A701" s="3" t="str">
        <f>IFERROR(__xludf.DUMMYFUNCTION("""COMPUTED_VALUE"""),"DHASR1100BD")</f>
        <v>DHASR1100BD</v>
      </c>
      <c r="B701" s="4" t="str">
        <f>IFERROR(__xludf.DUMMYFUNCTION("""COMPUTED_VALUE"""),"LECTOR DE PROXIMIDAD 125KHZ WIEGAND26/34 BITS RS-485 WATER-PROOF DESIG")</f>
        <v>LECTOR DE PROXIMIDAD 125KHZ WIEGAND26/34 BITS RS-485 WATER-PROOF DESIG</v>
      </c>
      <c r="C701" s="4" t="str">
        <f>IFERROR(__xludf.DUMMYFUNCTION("""COMPUTED_VALUE"""),"Lector de proximidad 125KHz Wiegand26/34 bits RS-485 Water-proof design· Red and Green indicator LEDs Watch dog function ensure device free from halting Surface mounted installation")</f>
        <v>Lector de proximidad 125KHz Wiegand26/34 bits RS-485 Water-proof design· Red and Green indicator LEDs Watch dog function ensure device free from halting Surface mounted installation</v>
      </c>
      <c r="D701" s="4" t="str">
        <f>IFERROR(__xludf.DUMMYFUNCTION("""COMPUTED_VALUE"""),"DAHUA")</f>
        <v>DAHUA</v>
      </c>
      <c r="E701" s="4" t="str">
        <f>IFERROR(__xludf.DUMMYFUNCTION("""COMPUTED_VALUE"""),"DHASR1100BD")</f>
        <v>DHASR1100BD</v>
      </c>
      <c r="F701" s="4" t="str">
        <f>IFERROR(__xludf.DUMMYFUNCTION("""COMPUTED_VALUE"""),"CONTROL DE ACCESO &gt; LECTORES DE PROXIMIDAD")</f>
        <v>CONTROL DE ACCESO &gt; LECTORES DE PROXIMIDAD</v>
      </c>
      <c r="G701" s="5"/>
      <c r="H701" s="6">
        <f>IFERROR(__xludf.DUMMYFUNCTION("""COMPUTED_VALUE"""),41.37)</f>
        <v>41.37</v>
      </c>
      <c r="I701" s="7">
        <f>IFERROR(__xludf.DUMMYFUNCTION("""COMPUTED_VALUE"""),21.0)</f>
        <v>21</v>
      </c>
      <c r="J701" s="6">
        <f>IFERROR(__xludf.DUMMYFUNCTION("""COMPUTED_VALUE"""),49.64)</f>
        <v>49.64</v>
      </c>
      <c r="K701" s="6">
        <f>IFERROR(__xludf.DUMMYFUNCTION("""COMPUTED_VALUE"""),57.92)</f>
        <v>57.92</v>
      </c>
      <c r="L701" s="3"/>
      <c r="M701" s="3"/>
    </row>
    <row r="702" ht="48.0" customHeight="1">
      <c r="A702" s="3" t="str">
        <f>IFERROR(__xludf.DUMMYFUNCTION("""COMPUTED_VALUE"""),"DHIASR1200E")</f>
        <v>DHIASR1200E</v>
      </c>
      <c r="B702" s="4" t="str">
        <f>IFERROR(__xludf.DUMMYFUNCTION("""COMPUTED_VALUE"""),"LECTOR DE PROXIMIDAD ADMITE PROTOCOLO WIEGAND 34 BITS, Y")</f>
        <v>LECTOR DE PROXIMIDAD ADMITE PROTOCOLO WIEGAND 34 BITS, Y</v>
      </c>
      <c r="C702" s="4" t="str">
        <f>IFERROR(__xludf.DUMMYFUNCTION("""COMPUTED_VALUE"""),"Lector de proximidad Admite protocolo Wiegand 34 bits, y protocolo RS-485; 13.56 MHz (Mifare); Indicadores Leds rojo, azul y verde; Instalación montada.")</f>
        <v>Lector de proximidad Admite protocolo Wiegand 34 bits, y protocolo RS-485; 13.56 MHz (Mifare); Indicadores Leds rojo, azul y verde; Instalación montada.</v>
      </c>
      <c r="D702" s="4" t="str">
        <f>IFERROR(__xludf.DUMMYFUNCTION("""COMPUTED_VALUE"""),"DAHUA")</f>
        <v>DAHUA</v>
      </c>
      <c r="E702" s="4" t="str">
        <f>IFERROR(__xludf.DUMMYFUNCTION("""COMPUTED_VALUE"""),"DHIASR1200E")</f>
        <v>DHIASR1200E</v>
      </c>
      <c r="F702" s="4" t="str">
        <f>IFERROR(__xludf.DUMMYFUNCTION("""COMPUTED_VALUE"""),"CONTROL DE ACCESO &gt; LECTORES DE PROXIMIDAD")</f>
        <v>CONTROL DE ACCESO &gt; LECTORES DE PROXIMIDAD</v>
      </c>
      <c r="G702" s="5"/>
      <c r="H702" s="6">
        <f>IFERROR(__xludf.DUMMYFUNCTION("""COMPUTED_VALUE"""),20.69)</f>
        <v>20.69</v>
      </c>
      <c r="I702" s="7">
        <f>IFERROR(__xludf.DUMMYFUNCTION("""COMPUTED_VALUE"""),10.5)</f>
        <v>10.5</v>
      </c>
      <c r="J702" s="6">
        <f>IFERROR(__xludf.DUMMYFUNCTION("""COMPUTED_VALUE"""),24.83)</f>
        <v>24.83</v>
      </c>
      <c r="K702" s="6">
        <f>IFERROR(__xludf.DUMMYFUNCTION("""COMPUTED_VALUE"""),28.97)</f>
        <v>28.97</v>
      </c>
      <c r="L702" s="3"/>
      <c r="M702" s="3"/>
    </row>
    <row r="703" ht="48.0" customHeight="1">
      <c r="A703" s="3" t="str">
        <f>IFERROR(__xludf.DUMMYFUNCTION("""COMPUTED_VALUE"""),"DHIASR1200ED")</f>
        <v>DHIASR1200ED</v>
      </c>
      <c r="B703" s="4" t="str">
        <f>IFERROR(__xludf.DUMMYFUNCTION("""COMPUTED_VALUE"""),"LECTOR DE PROXIMIDAD ADMITE PROTOCOLO WIEGAND 34 BITS, Y")</f>
        <v>LECTOR DE PROXIMIDAD ADMITE PROTOCOLO WIEGAND 34 BITS, Y</v>
      </c>
      <c r="C703" s="4" t="str">
        <f>IFERROR(__xludf.DUMMYFUNCTION("""COMPUTED_VALUE"""),"Lector de proximidad Admite protocolo Wiegand 34 bits, y protocolo RS-485; 125 KHz (EM-ID); Indicadores Leds rojo, azul y verde; Instalación montada.")</f>
        <v>Lector de proximidad Admite protocolo Wiegand 34 bits, y protocolo RS-485; 125 KHz (EM-ID); Indicadores Leds rojo, azul y verde; Instalación montada.</v>
      </c>
      <c r="D703" s="4" t="str">
        <f>IFERROR(__xludf.DUMMYFUNCTION("""COMPUTED_VALUE"""),"DAHUA")</f>
        <v>DAHUA</v>
      </c>
      <c r="E703" s="4" t="str">
        <f>IFERROR(__xludf.DUMMYFUNCTION("""COMPUTED_VALUE"""),"DHIASR1200ED")</f>
        <v>DHIASR1200ED</v>
      </c>
      <c r="F703" s="4" t="str">
        <f>IFERROR(__xludf.DUMMYFUNCTION("""COMPUTED_VALUE"""),"CONTROL DE ACCESO &gt; LECTORES DE PROXIMIDAD")</f>
        <v>CONTROL DE ACCESO &gt; LECTORES DE PROXIMIDAD</v>
      </c>
      <c r="G703" s="5"/>
      <c r="H703" s="6">
        <f>IFERROR(__xludf.DUMMYFUNCTION("""COMPUTED_VALUE"""),20.69)</f>
        <v>20.69</v>
      </c>
      <c r="I703" s="7">
        <f>IFERROR(__xludf.DUMMYFUNCTION("""COMPUTED_VALUE"""),10.5)</f>
        <v>10.5</v>
      </c>
      <c r="J703" s="6">
        <f>IFERROR(__xludf.DUMMYFUNCTION("""COMPUTED_VALUE"""),24.83)</f>
        <v>24.83</v>
      </c>
      <c r="K703" s="6">
        <f>IFERROR(__xludf.DUMMYFUNCTION("""COMPUTED_VALUE"""),28.97)</f>
        <v>28.97</v>
      </c>
      <c r="L703" s="3"/>
      <c r="M703" s="3"/>
    </row>
    <row r="704" ht="48.0" customHeight="1">
      <c r="A704" s="3" t="str">
        <f>IFERROR(__xludf.DUMMYFUNCTION("""COMPUTED_VALUE"""),"AR661UG3251")</f>
        <v>AR661UG3251</v>
      </c>
      <c r="B704" s="4" t="str">
        <f>IFERROR(__xludf.DUMMYFUNCTION("""COMPUTED_VALUE"""),"LECTOR DE PROXIMIDAD 125KHZ DE LARGO ALCANCE DE 4")</f>
        <v>LECTOR DE PROXIMIDAD 125KHZ DE LARGO ALCANCE DE 4</v>
      </c>
      <c r="C704" s="4" t="str">
        <f>IFERROR(__xludf.DUMMYFUNCTION("""COMPUTED_VALUE"""),"Lector de proximidad 125KHz de largo alcance de 4 a 6 metros de lectura IP65 Wiegan dimensiones en mm 228L x 228W x 52H Frecuencia de lectura 922-928MHZ")</f>
        <v>Lector de proximidad 125KHz de largo alcance de 4 a 6 metros de lectura IP65 Wiegan dimensiones en mm 228L x 228W x 52H Frecuencia de lectura 922-928MHZ</v>
      </c>
      <c r="D704" s="4" t="str">
        <f>IFERROR(__xludf.DUMMYFUNCTION("""COMPUTED_VALUE"""),"SOYAL")</f>
        <v>SOYAL</v>
      </c>
      <c r="E704" s="4" t="str">
        <f>IFERROR(__xludf.DUMMYFUNCTION("""COMPUTED_VALUE"""),"AR661UG3251")</f>
        <v>AR661UG3251</v>
      </c>
      <c r="F704" s="4" t="str">
        <f>IFERROR(__xludf.DUMMYFUNCTION("""COMPUTED_VALUE"""),"CONTROL DE ACCESO &gt; LECTORES DE PROXIMIDAD")</f>
        <v>CONTROL DE ACCESO &gt; LECTORES DE PROXIMIDAD</v>
      </c>
      <c r="G704" s="5"/>
      <c r="H704" s="6">
        <f>IFERROR(__xludf.DUMMYFUNCTION("""COMPUTED_VALUE"""),759.0)</f>
        <v>759</v>
      </c>
      <c r="I704" s="7">
        <f>IFERROR(__xludf.DUMMYFUNCTION("""COMPUTED_VALUE"""),10.5)</f>
        <v>10.5</v>
      </c>
      <c r="J704" s="6">
        <f>IFERROR(__xludf.DUMMYFUNCTION("""COMPUTED_VALUE"""),910.8)</f>
        <v>910.8</v>
      </c>
      <c r="K704" s="6">
        <f>IFERROR(__xludf.DUMMYFUNCTION("""COMPUTED_VALUE"""),1062.6)</f>
        <v>1062.6</v>
      </c>
      <c r="L704" s="3"/>
      <c r="M704" s="3"/>
    </row>
    <row r="705" ht="48.0" customHeight="1">
      <c r="A705" s="3" t="str">
        <f>IFERROR(__xludf.DUMMYFUNCTION("""COMPUTED_VALUE"""),"ARTAGT99WO1F")</f>
        <v>ARTAGT99WO1F</v>
      </c>
      <c r="B705" s="4" t="str">
        <f>IFERROR(__xludf.DUMMYFUNCTION("""COMPUTED_VALUE"""),"TAG DE PROXIMIDAD UHF AUTOADHESIVO PARA AR661UG")</f>
        <v>TAG DE PROXIMIDAD UHF AUTOADHESIVO PARA AR661UG</v>
      </c>
      <c r="C705" s="4" t="str">
        <f>IFERROR(__xludf.DUMMYFUNCTION("""COMPUTED_VALUE"""),"Tag de proximidad UHF autoadhesivo para AR661UG")</f>
        <v>Tag de proximidad UHF autoadhesivo para AR661UG</v>
      </c>
      <c r="D705" s="4" t="str">
        <f>IFERROR(__xludf.DUMMYFUNCTION("""COMPUTED_VALUE"""),"SOYAL")</f>
        <v>SOYAL</v>
      </c>
      <c r="E705" s="4" t="str">
        <f>IFERROR(__xludf.DUMMYFUNCTION("""COMPUTED_VALUE"""),"ARTAGT99WO1F")</f>
        <v>ARTAGT99WO1F</v>
      </c>
      <c r="F705" s="4" t="str">
        <f>IFERROR(__xludf.DUMMYFUNCTION("""COMPUTED_VALUE"""),"CONTROL DE ACCESO &gt; LECTORES DE PROXIMIDAD")</f>
        <v>CONTROL DE ACCESO &gt; LECTORES DE PROXIMIDAD</v>
      </c>
      <c r="G705" s="5"/>
      <c r="H705" s="6">
        <f>IFERROR(__xludf.DUMMYFUNCTION("""COMPUTED_VALUE"""),2.09)</f>
        <v>2.09</v>
      </c>
      <c r="I705" s="7">
        <f>IFERROR(__xludf.DUMMYFUNCTION("""COMPUTED_VALUE"""),10.5)</f>
        <v>10.5</v>
      </c>
      <c r="J705" s="6">
        <f>IFERROR(__xludf.DUMMYFUNCTION("""COMPUTED_VALUE"""),2.51)</f>
        <v>2.51</v>
      </c>
      <c r="K705" s="6">
        <f>IFERROR(__xludf.DUMMYFUNCTION("""COMPUTED_VALUE"""),2.93)</f>
        <v>2.93</v>
      </c>
      <c r="L705" s="3"/>
      <c r="M705" s="3"/>
    </row>
    <row r="706" ht="48.0" customHeight="1">
      <c r="A706" s="3" t="str">
        <f>IFERROR(__xludf.DUMMYFUNCTION("""COMPUTED_VALUE"""),"ARTAGCI8W50F")</f>
        <v>ARTAGCI8W50F</v>
      </c>
      <c r="B706" s="4" t="str">
        <f>IFERROR(__xludf.DUMMYFUNCTION("""COMPUTED_VALUE"""),"TAG DE PROXIMIDAD PARA AR661UG")</f>
        <v>TAG DE PROXIMIDAD PARA AR661UG</v>
      </c>
      <c r="C706" s="4" t="str">
        <f>IFERROR(__xludf.DUMMYFUNCTION("""COMPUTED_VALUE"""),"Tag de proximidad para AR661UG")</f>
        <v>Tag de proximidad para AR661UG</v>
      </c>
      <c r="D706" s="4" t="str">
        <f>IFERROR(__xludf.DUMMYFUNCTION("""COMPUTED_VALUE"""),"SOYAL")</f>
        <v>SOYAL</v>
      </c>
      <c r="E706" s="4" t="str">
        <f>IFERROR(__xludf.DUMMYFUNCTION("""COMPUTED_VALUE"""),"ARTAGCI8W50F")</f>
        <v>ARTAGCI8W50F</v>
      </c>
      <c r="F706" s="4" t="str">
        <f>IFERROR(__xludf.DUMMYFUNCTION("""COMPUTED_VALUE"""),"CONTROL DE ACCESO &gt; LECTORES DE PROXIMIDAD")</f>
        <v>CONTROL DE ACCESO &gt; LECTORES DE PROXIMIDAD</v>
      </c>
      <c r="G706" s="5"/>
      <c r="H706" s="6">
        <f>IFERROR(__xludf.DUMMYFUNCTION("""COMPUTED_VALUE"""),5.5)</f>
        <v>5.5</v>
      </c>
      <c r="I706" s="7">
        <f>IFERROR(__xludf.DUMMYFUNCTION("""COMPUTED_VALUE"""),10.5)</f>
        <v>10.5</v>
      </c>
      <c r="J706" s="6">
        <f>IFERROR(__xludf.DUMMYFUNCTION("""COMPUTED_VALUE"""),6.6)</f>
        <v>6.6</v>
      </c>
      <c r="K706" s="6">
        <f>IFERROR(__xludf.DUMMYFUNCTION("""COMPUTED_VALUE"""),7.7)</f>
        <v>7.7</v>
      </c>
      <c r="L706" s="3"/>
      <c r="M706" s="3"/>
    </row>
    <row r="707" ht="48.0" customHeight="1">
      <c r="A707" s="3" t="str">
        <f>IFERROR(__xludf.DUMMYFUNCTION("""COMPUTED_VALUE"""),"AR725PDX")</f>
        <v>AR725PDX</v>
      </c>
      <c r="B707" s="4" t="str">
        <f>IFERROR(__xludf.DUMMYFUNCTION("""COMPUTED_VALUE"""),"PROGRAMADOR USB DE TARJETAS DE PROXIMIDAD INTELIGENTES MIFARE")</f>
        <v>PROGRAMADOR USB DE TARJETAS DE PROXIMIDAD INTELIGENTES MIFARE</v>
      </c>
      <c r="C707" s="4" t="str">
        <f>IFERROR(__xludf.DUMMYFUNCTION("""COMPUTED_VALUE"""),"Programador USB de tarjetas de proximidad inteligentes MIFARE")</f>
        <v>Programador USB de tarjetas de proximidad inteligentes MIFARE</v>
      </c>
      <c r="D707" s="4" t="str">
        <f>IFERROR(__xludf.DUMMYFUNCTION("""COMPUTED_VALUE"""),"SOYAL")</f>
        <v>SOYAL</v>
      </c>
      <c r="E707" s="4" t="str">
        <f>IFERROR(__xludf.DUMMYFUNCTION("""COMPUTED_VALUE"""),"AR725PDX")</f>
        <v>AR725PDX</v>
      </c>
      <c r="F707" s="4" t="str">
        <f>IFERROR(__xludf.DUMMYFUNCTION("""COMPUTED_VALUE"""),"CONTROL DE ACCESO &gt; LECTORES DE PROXIMIDAD")</f>
        <v>CONTROL DE ACCESO &gt; LECTORES DE PROXIMIDAD</v>
      </c>
      <c r="G707" s="5"/>
      <c r="H707" s="6">
        <f>IFERROR(__xludf.DUMMYFUNCTION("""COMPUTED_VALUE"""),88.0)</f>
        <v>88</v>
      </c>
      <c r="I707" s="7">
        <f>IFERROR(__xludf.DUMMYFUNCTION("""COMPUTED_VALUE"""),10.5)</f>
        <v>10.5</v>
      </c>
      <c r="J707" s="6">
        <f>IFERROR(__xludf.DUMMYFUNCTION("""COMPUTED_VALUE"""),105.6)</f>
        <v>105.6</v>
      </c>
      <c r="K707" s="6">
        <f>IFERROR(__xludf.DUMMYFUNCTION("""COMPUTED_VALUE"""),123.2)</f>
        <v>123.2</v>
      </c>
      <c r="L707" s="3"/>
      <c r="M707" s="3"/>
    </row>
    <row r="708" ht="48.0" customHeight="1">
      <c r="A708" s="3" t="str">
        <f>IFERROR(__xludf.DUMMYFUNCTION("""COMPUTED_VALUE"""),"OWG2TF")</f>
        <v>OWG2TF</v>
      </c>
      <c r="B708" s="4" t="str">
        <f>IFERROR(__xludf.DUMMYFUNCTION("""COMPUTED_VALUE"""),"CONTROL DE PROXIMIDAD CON HUELLAS DUAL 125KHZ Y 13,56MHZ")</f>
        <v>CONTROL DE PROXIMIDAD CON HUELLAS DUAL 125KHZ Y 13,56MHZ</v>
      </c>
      <c r="C708" s="4" t="str">
        <f>IFERROR(__xludf.DUMMYFUNCTION("""COMPUTED_VALUE"""),"Control de proximidad con Huellas Dual 125KHz y 13,56MHz MIFARE, Admite tarjetas y una contraseña Material metálico. Medidas 120x75mm, soporta aplicación TUYA solo para apertura remota, soporta hasta 1000 usuarios y 200 huellas")</f>
        <v>Control de proximidad con Huellas Dual 125KHz y 13,56MHz MIFARE, Admite tarjetas y una contraseña Material metálico. Medidas 120x75mm, soporta aplicación TUYA solo para apertura remota, soporta hasta 1000 usuarios y 200 huellas</v>
      </c>
      <c r="D708" s="4" t="str">
        <f>IFERROR(__xludf.DUMMYFUNCTION("""COMPUTED_VALUE"""),"OWL LOCKS")</f>
        <v>OWL LOCKS</v>
      </c>
      <c r="E708" s="4" t="str">
        <f>IFERROR(__xludf.DUMMYFUNCTION("""COMPUTED_VALUE"""),"OWG2TF")</f>
        <v>OWG2TF</v>
      </c>
      <c r="F708" s="4" t="str">
        <f>IFERROR(__xludf.DUMMYFUNCTION("""COMPUTED_VALUE"""),"CONTROL DE ACCESO &gt; LECTORES BIOMETRICOS")</f>
        <v>CONTROL DE ACCESO &gt; LECTORES BIOMETRICOS</v>
      </c>
      <c r="G708" s="5"/>
      <c r="H708" s="6">
        <f>IFERROR(__xludf.DUMMYFUNCTION("""COMPUTED_VALUE"""),80.08)</f>
        <v>80.08</v>
      </c>
      <c r="I708" s="7">
        <f>IFERROR(__xludf.DUMMYFUNCTION("""COMPUTED_VALUE"""),10.5)</f>
        <v>10.5</v>
      </c>
      <c r="J708" s="6">
        <f>IFERROR(__xludf.DUMMYFUNCTION("""COMPUTED_VALUE"""),96.1)</f>
        <v>96.1</v>
      </c>
      <c r="K708" s="6">
        <f>IFERROR(__xludf.DUMMYFUNCTION("""COMPUTED_VALUE"""),112.11)</f>
        <v>112.11</v>
      </c>
      <c r="L708" s="3"/>
      <c r="M708" s="3"/>
    </row>
    <row r="709" ht="48.0" customHeight="1">
      <c r="A709" s="3" t="str">
        <f>IFERROR(__xludf.DUMMYFUNCTION("""COMPUTED_VALUE"""),"DHIASA1222E")</f>
        <v>DHIASA1222E</v>
      </c>
      <c r="B709" s="4" t="str">
        <f>IFERROR(__xludf.DUMMYFUNCTION("""COMPUTED_VALUE"""),"CONTROL DE ASISTENCIA CON LECTOR DE HUELLAS Y TECLADO,")</f>
        <v>CONTROL DE ASISTENCIA CON LECTOR DE HUELLAS Y TECLADO,</v>
      </c>
      <c r="C709" s="4" t="str">
        <f>IFERROR(__xludf.DUMMYFUNCTION("""COMPUTED_VALUE"""),"Control de asistencia con lector de huellas y teclado, 1000 usuarios, 2000 huellas, 100000 registros, sin conexíon a RED, no posee salida de rele. Alimentación 5V")</f>
        <v>Control de asistencia con lector de huellas y teclado, 1000 usuarios, 2000 huellas, 100000 registros, sin conexíon a RED, no posee salida de rele. Alimentación 5V</v>
      </c>
      <c r="D709" s="4" t="str">
        <f>IFERROR(__xludf.DUMMYFUNCTION("""COMPUTED_VALUE"""),"DAHUA")</f>
        <v>DAHUA</v>
      </c>
      <c r="E709" s="4" t="str">
        <f>IFERROR(__xludf.DUMMYFUNCTION("""COMPUTED_VALUE"""),"DHIASA1222E")</f>
        <v>DHIASA1222E</v>
      </c>
      <c r="F709" s="4" t="str">
        <f>IFERROR(__xludf.DUMMYFUNCTION("""COMPUTED_VALUE"""),"CONTROL DE ACCESO &gt; LECTORES BIOMETRICOS")</f>
        <v>CONTROL DE ACCESO &gt; LECTORES BIOMETRICOS</v>
      </c>
      <c r="G709" s="5"/>
      <c r="H709" s="6">
        <f>IFERROR(__xludf.DUMMYFUNCTION("""COMPUTED_VALUE"""),93.73)</f>
        <v>93.73</v>
      </c>
      <c r="I709" s="7">
        <f>IFERROR(__xludf.DUMMYFUNCTION("""COMPUTED_VALUE"""),21.0)</f>
        <v>21</v>
      </c>
      <c r="J709" s="6">
        <f>IFERROR(__xludf.DUMMYFUNCTION("""COMPUTED_VALUE"""),112.48)</f>
        <v>112.48</v>
      </c>
      <c r="K709" s="6">
        <f>IFERROR(__xludf.DUMMYFUNCTION("""COMPUTED_VALUE"""),131.22)</f>
        <v>131.22</v>
      </c>
      <c r="L709" s="3"/>
      <c r="M709" s="3"/>
    </row>
    <row r="710" ht="48.0" customHeight="1">
      <c r="A710" s="3" t="str">
        <f>IFERROR(__xludf.DUMMYFUNCTION("""COMPUTED_VALUE"""),"AR837EASR11B1A")</f>
        <v>AR837EASR11B1A</v>
      </c>
      <c r="B710" s="4" t="str">
        <f>IFERROR(__xludf.DUMMYFUNCTION("""COMPUTED_VALUE"""),"CONTROL DE ACCESO BIOMÉTRICO FACIAL Y PROXIMIDAD DUAL 125KHZ")</f>
        <v>CONTROL DE ACCESO BIOMÉTRICO FACIAL Y PROXIMIDAD DUAL 125KHZ</v>
      </c>
      <c r="C710" s="4" t="str">
        <f>IFERROR(__xludf.DUMMYFUNCTION("""COMPUTED_VALUE"""),"Control de acceso biométrico facial y proximidad Dual 125KHz y 13,56MHz MIFARE y clave. Teclado y pantalla LCD. Capacidad de hasta 16000 usuarios y 32000 registros TCP/IP. Apto exterior IP65")</f>
        <v>Control de acceso biométrico facial y proximidad Dual 125KHz y 13,56MHz MIFARE y clave. Teclado y pantalla LCD. Capacidad de hasta 16000 usuarios y 32000 registros TCP/IP. Apto exterior IP65</v>
      </c>
      <c r="D710" s="4" t="str">
        <f>IFERROR(__xludf.DUMMYFUNCTION("""COMPUTED_VALUE"""),"SOYAL")</f>
        <v>SOYAL</v>
      </c>
      <c r="E710" s="4" t="str">
        <f>IFERROR(__xludf.DUMMYFUNCTION("""COMPUTED_VALUE"""),"AR837EASR11B1A")</f>
        <v>AR837EASR11B1A</v>
      </c>
      <c r="F710" s="4" t="str">
        <f>IFERROR(__xludf.DUMMYFUNCTION("""COMPUTED_VALUE"""),"CONTROL DE ACCESO &gt; LECTORES BIOMETRICOS")</f>
        <v>CONTROL DE ACCESO &gt; LECTORES BIOMETRICOS</v>
      </c>
      <c r="G710" s="5"/>
      <c r="H710" s="6">
        <f>IFERROR(__xludf.DUMMYFUNCTION("""COMPUTED_VALUE"""),285.12)</f>
        <v>285.12</v>
      </c>
      <c r="I710" s="7">
        <f>IFERROR(__xludf.DUMMYFUNCTION("""COMPUTED_VALUE"""),21.0)</f>
        <v>21</v>
      </c>
      <c r="J710" s="6">
        <f>IFERROR(__xludf.DUMMYFUNCTION("""COMPUTED_VALUE"""),342.14)</f>
        <v>342.14</v>
      </c>
      <c r="K710" s="6">
        <f>IFERROR(__xludf.DUMMYFUNCTION("""COMPUTED_VALUE"""),399.17)</f>
        <v>399.17</v>
      </c>
      <c r="L710" s="3"/>
      <c r="M710" s="3"/>
    </row>
    <row r="711" ht="48.0" customHeight="1">
      <c r="A711" s="3" t="str">
        <f>IFERROR(__xludf.DUMMYFUNCTION("""COMPUTED_VALUE"""),"AZEP300PROID")</f>
        <v>AZEP300PROID</v>
      </c>
      <c r="B711" s="4" t="str">
        <f>IFERROR(__xludf.DUMMYFUNCTION("""COMPUTED_VALUE"""),"CONTROL DE ASISTENCIA HORARIO BIOMETRICO")</f>
        <v>CONTROL DE ASISTENCIA HORARIO BIOMETRICO</v>
      </c>
      <c r="C711" s="4" t="str">
        <f>IFERROR(__xludf.DUMMYFUNCTION("""COMPUTED_VALUE"""),"Control de Asistencia Horario Biometrico. Gran Pantalla Color, Web Server, conexión a Cloud . Admite tarjeta de proximidad")</f>
        <v>Control de Asistencia Horario Biometrico. Gran Pantalla Color, Web Server, conexión a Cloud . Admite tarjeta de proximidad</v>
      </c>
      <c r="D711" s="4" t="str">
        <f>IFERROR(__xludf.DUMMYFUNCTION("""COMPUTED_VALUE"""),"ANVIZ")</f>
        <v>ANVIZ</v>
      </c>
      <c r="E711" s="4" t="str">
        <f>IFERROR(__xludf.DUMMYFUNCTION("""COMPUTED_VALUE"""),"AZEP300PROID")</f>
        <v>AZEP300PROID</v>
      </c>
      <c r="F711" s="4" t="str">
        <f>IFERROR(__xludf.DUMMYFUNCTION("""COMPUTED_VALUE"""),"CONTROL DE ACCESO &gt; LECTORES BIOMETRICOS")</f>
        <v>CONTROL DE ACCESO &gt; LECTORES BIOMETRICOS</v>
      </c>
      <c r="G711" s="5"/>
      <c r="H711" s="6">
        <f>IFERROR(__xludf.DUMMYFUNCTION("""COMPUTED_VALUE"""),151.8)</f>
        <v>151.8</v>
      </c>
      <c r="I711" s="7">
        <f>IFERROR(__xludf.DUMMYFUNCTION("""COMPUTED_VALUE"""),21.0)</f>
        <v>21</v>
      </c>
      <c r="J711" s="6">
        <f>IFERROR(__xludf.DUMMYFUNCTION("""COMPUTED_VALUE"""),182.16)</f>
        <v>182.16</v>
      </c>
      <c r="K711" s="6">
        <f>IFERROR(__xludf.DUMMYFUNCTION("""COMPUTED_VALUE"""),212.52)</f>
        <v>212.52</v>
      </c>
      <c r="L711" s="3"/>
      <c r="M711" s="3"/>
    </row>
    <row r="712" ht="48.0" customHeight="1">
      <c r="A712" s="3" t="str">
        <f>IFERROR(__xludf.DUMMYFUNCTION("""COMPUTED_VALUE"""),"AZT50M")</f>
        <v>AZT50M</v>
      </c>
      <c r="B712" s="4" t="str">
        <f>IFERROR(__xludf.DUMMYFUNCTION("""COMPUTED_VALUE"""),"LECTOR BIOMÉTRICO CON CAPACIDAD PARA 1000 HUELLAS, 50000 REGISTROS")</f>
        <v>LECTOR BIOMÉTRICO CON CAPACIDAD PARA 1000 HUELLAS, 50000 REGISTROS</v>
      </c>
      <c r="C712" s="4" t="str">
        <f>IFERROR(__xludf.DUMMYFUNCTION("""COMPUTED_VALUE"""),"Lector biométrico con capacidad para 1000 huellas, 50000 registros. Cubierta contra polvo y lluvia. Display LCD. Salida de relé (COM, NO, NC). Salida wiegand. Sensor de puerta abierta. Apto intemperie – IP53. clave + huella, huella + clave. Alimentación 1"&amp;"2V")</f>
        <v>Lector biométrico con capacidad para 1000 huellas, 50000 registros. Cubierta contra polvo y lluvia. Display LCD. Salida de relé (COM, NO, NC). Salida wiegand. Sensor de puerta abierta. Apto intemperie – IP53. clave + huella, huella + clave. Alimentación 12V</v>
      </c>
      <c r="D712" s="4" t="str">
        <f>IFERROR(__xludf.DUMMYFUNCTION("""COMPUTED_VALUE"""),"ANVIZ")</f>
        <v>ANVIZ</v>
      </c>
      <c r="E712" s="4" t="str">
        <f>IFERROR(__xludf.DUMMYFUNCTION("""COMPUTED_VALUE"""),"AZT50M")</f>
        <v>AZT50M</v>
      </c>
      <c r="F712" s="4" t="str">
        <f>IFERROR(__xludf.DUMMYFUNCTION("""COMPUTED_VALUE"""),"CONTROL DE ACCESO &gt; LECTORES BIOMETRICOS")</f>
        <v>CONTROL DE ACCESO &gt; LECTORES BIOMETRICOS</v>
      </c>
      <c r="G712" s="5"/>
      <c r="H712" s="6">
        <f>IFERROR(__xludf.DUMMYFUNCTION("""COMPUTED_VALUE"""),110.0)</f>
        <v>110</v>
      </c>
      <c r="I712" s="7">
        <f>IFERROR(__xludf.DUMMYFUNCTION("""COMPUTED_VALUE"""),21.0)</f>
        <v>21</v>
      </c>
      <c r="J712" s="6">
        <f>IFERROR(__xludf.DUMMYFUNCTION("""COMPUTED_VALUE"""),132.0)</f>
        <v>132</v>
      </c>
      <c r="K712" s="6">
        <f>IFERROR(__xludf.DUMMYFUNCTION("""COMPUTED_VALUE"""),154.0)</f>
        <v>154</v>
      </c>
      <c r="L712" s="3"/>
      <c r="M712" s="3"/>
    </row>
    <row r="713" ht="48.0" customHeight="1">
      <c r="A713" s="3" t="str">
        <f>IFERROR(__xludf.DUMMYFUNCTION("""COMPUTED_VALUE"""),"AZM5PLUS")</f>
        <v>AZM5PLUS</v>
      </c>
      <c r="B713" s="4" t="str">
        <f>IFERROR(__xludf.DUMMYFUNCTION("""COMPUTED_VALUE"""),"C")</f>
        <v>C</v>
      </c>
      <c r="C713" s="4" t="str">
        <f>IFERROR(__xludf.DUMMYFUNCTION("""COMPUTED_VALUE"""),"C.ACCESO ANVIZ HUELLA RFID IP65 IK10 3000 USER WIFI S/F")</f>
        <v>C.ACCESO ANVIZ HUELLA RFID IP65 IK10 3000 USER WIFI S/F</v>
      </c>
      <c r="D713" s="4" t="str">
        <f>IFERROR(__xludf.DUMMYFUNCTION("""COMPUTED_VALUE"""),"ANVIZ")</f>
        <v>ANVIZ</v>
      </c>
      <c r="E713" s="4" t="str">
        <f>IFERROR(__xludf.DUMMYFUNCTION("""COMPUTED_VALUE"""),"AZM5PLUS")</f>
        <v>AZM5PLUS</v>
      </c>
      <c r="F713" s="4" t="str">
        <f>IFERROR(__xludf.DUMMYFUNCTION("""COMPUTED_VALUE"""),"CONTROL DE ACCESO &gt; LECTORES BIOMETRICOS")</f>
        <v>CONTROL DE ACCESO &gt; LECTORES BIOMETRICOS</v>
      </c>
      <c r="G713" s="5"/>
      <c r="H713" s="6">
        <f>IFERROR(__xludf.DUMMYFUNCTION("""COMPUTED_VALUE"""),249.48)</f>
        <v>249.48</v>
      </c>
      <c r="I713" s="7">
        <f>IFERROR(__xludf.DUMMYFUNCTION("""COMPUTED_VALUE"""),21.0)</f>
        <v>21</v>
      </c>
      <c r="J713" s="6">
        <f>IFERROR(__xludf.DUMMYFUNCTION("""COMPUTED_VALUE"""),299.38)</f>
        <v>299.38</v>
      </c>
      <c r="K713" s="6">
        <f>IFERROR(__xludf.DUMMYFUNCTION("""COMPUTED_VALUE"""),349.27)</f>
        <v>349.27</v>
      </c>
      <c r="L713" s="3"/>
      <c r="M713" s="3"/>
    </row>
    <row r="714" ht="48.0" customHeight="1">
      <c r="A714" s="3" t="str">
        <f>IFERROR(__xludf.DUMMYFUNCTION("""COMPUTED_VALUE"""),"AZC2PRO")</f>
        <v>AZC2PRO</v>
      </c>
      <c r="B714" s="4" t="str">
        <f>IFERROR(__xludf.DUMMYFUNCTION("""COMPUTED_VALUE"""),"CONTROL DE ACCESO BIOMÉTRICO Y CLAVE TECLADO Y PANTALLA")</f>
        <v>CONTROL DE ACCESO BIOMÉTRICO Y CLAVE TECLADO Y PANTALLA</v>
      </c>
      <c r="C714" s="4" t="str">
        <f>IFERROR(__xludf.DUMMYFUNCTION("""COMPUTED_VALUE"""),"Control de acceso biométrico y clave Teclado y pantalla TFT LCD gráfica de 3,5"" multi idioma. Capacidad de hasta 5000 grabaciones de huella y hasta 100.000 registros. Cada usuario puede grabar 2 huellas y 1 contraseña. TCP/IP &amp; WIFI.")</f>
        <v>Control de acceso biométrico y clave Teclado y pantalla TFT LCD gráfica de 3,5" multi idioma. Capacidad de hasta 5000 grabaciones de huella y hasta 100.000 registros. Cada usuario puede grabar 2 huellas y 1 contraseña. TCP/IP &amp; WIFI.</v>
      </c>
      <c r="D714" s="4" t="str">
        <f>IFERROR(__xludf.DUMMYFUNCTION("""COMPUTED_VALUE"""),"ANVIZ")</f>
        <v>ANVIZ</v>
      </c>
      <c r="E714" s="4" t="str">
        <f>IFERROR(__xludf.DUMMYFUNCTION("""COMPUTED_VALUE"""),"AZC2PRO")</f>
        <v>AZC2PRO</v>
      </c>
      <c r="F714" s="4" t="str">
        <f>IFERROR(__xludf.DUMMYFUNCTION("""COMPUTED_VALUE"""),"CONTROL DE ACCESO &gt; LECTORES BIOMETRICOS")</f>
        <v>CONTROL DE ACCESO &gt; LECTORES BIOMETRICOS</v>
      </c>
      <c r="G714" s="5"/>
      <c r="H714" s="6">
        <f>IFERROR(__xludf.DUMMYFUNCTION("""COMPUTED_VALUE"""),286.0)</f>
        <v>286</v>
      </c>
      <c r="I714" s="7">
        <f>IFERROR(__xludf.DUMMYFUNCTION("""COMPUTED_VALUE"""),21.0)</f>
        <v>21</v>
      </c>
      <c r="J714" s="6">
        <f>IFERROR(__xludf.DUMMYFUNCTION("""COMPUTED_VALUE"""),343.2)</f>
        <v>343.2</v>
      </c>
      <c r="K714" s="6">
        <f>IFERROR(__xludf.DUMMYFUNCTION("""COMPUTED_VALUE"""),400.4)</f>
        <v>400.4</v>
      </c>
      <c r="L714" s="3"/>
      <c r="M714" s="3"/>
    </row>
    <row r="715" ht="48.0" customHeight="1">
      <c r="A715" s="3" t="str">
        <f>IFERROR(__xludf.DUMMYFUNCTION("""COMPUTED_VALUE"""),"AZOA99/UBIO")</f>
        <v>AZOA99/UBIO</v>
      </c>
      <c r="B715" s="4" t="str">
        <f>IFERROR(__xludf.DUMMYFUNCTION("""COMPUTED_VALUE"""),"UNIDAD DE ESCRITORIO PARA RECOLECTAR HUELLAS, CONEXIÓN USB")</f>
        <v>UNIDAD DE ESCRITORIO PARA RECOLECTAR HUELLAS, CONEXIÓN USB</v>
      </c>
      <c r="C715" s="4" t="str">
        <f>IFERROR(__xludf.DUMMYFUNCTION("""COMPUTED_VALUE"""),"Unidad de escritorio para recolectar huellas, conexión USB")</f>
        <v>Unidad de escritorio para recolectar huellas, conexión USB</v>
      </c>
      <c r="D715" s="4" t="str">
        <f>IFERROR(__xludf.DUMMYFUNCTION("""COMPUTED_VALUE"""),"ANVIZ")</f>
        <v>ANVIZ</v>
      </c>
      <c r="E715" s="4" t="str">
        <f>IFERROR(__xludf.DUMMYFUNCTION("""COMPUTED_VALUE"""),"AZOA99/UBIO")</f>
        <v>AZOA99/UBIO</v>
      </c>
      <c r="F715" s="4" t="str">
        <f>IFERROR(__xludf.DUMMYFUNCTION("""COMPUTED_VALUE"""),"CONTROL DE ACCESO &gt; LECTORES BIOMETRICOS")</f>
        <v>CONTROL DE ACCESO &gt; LECTORES BIOMETRICOS</v>
      </c>
      <c r="G715" s="5"/>
      <c r="H715" s="6">
        <f>IFERROR(__xludf.DUMMYFUNCTION("""COMPUTED_VALUE"""),55.0)</f>
        <v>55</v>
      </c>
      <c r="I715" s="7">
        <f>IFERROR(__xludf.DUMMYFUNCTION("""COMPUTED_VALUE"""),21.0)</f>
        <v>21</v>
      </c>
      <c r="J715" s="6">
        <f>IFERROR(__xludf.DUMMYFUNCTION("""COMPUTED_VALUE"""),66.0)</f>
        <v>66</v>
      </c>
      <c r="K715" s="6">
        <f>IFERROR(__xludf.DUMMYFUNCTION("""COMPUTED_VALUE"""),77.0)</f>
        <v>77</v>
      </c>
      <c r="L715" s="3"/>
      <c r="M715" s="3"/>
    </row>
    <row r="716" ht="48.0" customHeight="1">
      <c r="A716" s="3" t="str">
        <f>IFERROR(__xludf.DUMMYFUNCTION("""COMPUTED_VALUE"""),"AZSC021")</f>
        <v>AZSC021</v>
      </c>
      <c r="B716" s="4" t="str">
        <f>IFERROR(__xludf.DUMMYFUNCTION("""COMPUTED_VALUE"""),"MÓDULO PARA MANEJO DE CERRADURAS")</f>
        <v>MÓDULO PARA MANEJO DE CERRADURAS</v>
      </c>
      <c r="C716" s="4" t="str">
        <f>IFERROR(__xludf.DUMMYFUNCTION("""COMPUTED_VALUE"""),"Módulo para manejo de cerraduras. Posee conexión de entradas y salidas para 2 lector de huellas T5")</f>
        <v>Módulo para manejo de cerraduras. Posee conexión de entradas y salidas para 2 lector de huellas T5</v>
      </c>
      <c r="D716" s="4" t="str">
        <f>IFERROR(__xludf.DUMMYFUNCTION("""COMPUTED_VALUE"""),"ANVIZ")</f>
        <v>ANVIZ</v>
      </c>
      <c r="E716" s="4" t="str">
        <f>IFERROR(__xludf.DUMMYFUNCTION("""COMPUTED_VALUE"""),"AZSC021")</f>
        <v>AZSC021</v>
      </c>
      <c r="F716" s="4" t="str">
        <f>IFERROR(__xludf.DUMMYFUNCTION("""COMPUTED_VALUE"""),"CONTROL DE ACCESO &gt; LECTORES BIOMETRICOS")</f>
        <v>CONTROL DE ACCESO &gt; LECTORES BIOMETRICOS</v>
      </c>
      <c r="G716" s="5"/>
      <c r="H716" s="6">
        <f>IFERROR(__xludf.DUMMYFUNCTION("""COMPUTED_VALUE"""),22.0)</f>
        <v>22</v>
      </c>
      <c r="I716" s="7">
        <f>IFERROR(__xludf.DUMMYFUNCTION("""COMPUTED_VALUE"""),21.0)</f>
        <v>21</v>
      </c>
      <c r="J716" s="6">
        <f>IFERROR(__xludf.DUMMYFUNCTION("""COMPUTED_VALUE"""),26.4)</f>
        <v>26.4</v>
      </c>
      <c r="K716" s="6">
        <f>IFERROR(__xludf.DUMMYFUNCTION("""COMPUTED_VALUE"""),30.8)</f>
        <v>30.8</v>
      </c>
      <c r="L716" s="3"/>
      <c r="M716" s="3"/>
    </row>
    <row r="717" ht="48.0" customHeight="1">
      <c r="A717" s="3" t="str">
        <f>IFERROR(__xludf.DUMMYFUNCTION("""COMPUTED_VALUE"""),"F710")</f>
        <v>F710</v>
      </c>
      <c r="B717" s="4" t="str">
        <f>IFERROR(__xludf.DUMMYFUNCTION("""COMPUTED_VALUE"""),"SISTEMA STAND ALONE DE RECONOCIMIENTO FACIAL")</f>
        <v>SISTEMA STAND ALONE DE RECONOCIMIENTO FACIAL</v>
      </c>
      <c r="C717" s="4" t="str">
        <f>IFERROR(__xludf.DUMMYFUNCTION("""COMPUTED_VALUE"""),"Sistema stand alone de reconocimiento facial; rápida identificaciónl, 500 usuarios, pantalla color de 3.5"", trabaja en diferentes condiciones de luz, control horario y de acceso. Lector de proximidad 125KHz incorporado.")</f>
        <v>Sistema stand alone de reconocimiento facial; rápida identificaciónl, 500 usuarios, pantalla color de 3.5", trabaja en diferentes condiciones de luz, control horario y de acceso. Lector de proximidad 125KHz incorporado.</v>
      </c>
      <c r="D717" s="4" t="str">
        <f>IFERROR(__xludf.DUMMYFUNCTION("""COMPUTED_VALUE"""),"Generico")</f>
        <v>Generico</v>
      </c>
      <c r="E717" s="4" t="str">
        <f>IFERROR(__xludf.DUMMYFUNCTION("""COMPUTED_VALUE"""),"F710")</f>
        <v>F710</v>
      </c>
      <c r="F717" s="4" t="str">
        <f>IFERROR(__xludf.DUMMYFUNCTION("""COMPUTED_VALUE"""),"CONTROL DE ACCESO &gt; LECTORES BIOMETRICOS")</f>
        <v>CONTROL DE ACCESO &gt; LECTORES BIOMETRICOS</v>
      </c>
      <c r="G717" s="5"/>
      <c r="H717" s="6">
        <f>IFERROR(__xludf.DUMMYFUNCTION("""COMPUTED_VALUE"""),55.0)</f>
        <v>55</v>
      </c>
      <c r="I717" s="7">
        <f>IFERROR(__xludf.DUMMYFUNCTION("""COMPUTED_VALUE"""),21.0)</f>
        <v>21</v>
      </c>
      <c r="J717" s="6">
        <f>IFERROR(__xludf.DUMMYFUNCTION("""COMPUTED_VALUE"""),66.0)</f>
        <v>66</v>
      </c>
      <c r="K717" s="6">
        <f>IFERROR(__xludf.DUMMYFUNCTION("""COMPUTED_VALUE"""),77.0)</f>
        <v>77</v>
      </c>
      <c r="L717" s="3"/>
      <c r="M717" s="3"/>
    </row>
    <row r="718" ht="48.0" customHeight="1">
      <c r="A718" s="3" t="str">
        <f>IFERROR(__xludf.DUMMYFUNCTION("""COMPUTED_VALUE"""),"AZFACEPASSPRO")</f>
        <v>AZFACEPASSPRO</v>
      </c>
      <c r="B718" s="4" t="str">
        <f>IFERROR(__xludf.DUMMYFUNCTION("""COMPUTED_VALUE"""),"LECTOR FACIAL CON PANTALLA LCD TACTIL, CAMARA DUAL PARA")</f>
        <v>LECTOR FACIAL CON PANTALLA LCD TACTIL, CAMARA DUAL PARA</v>
      </c>
      <c r="C718" s="4" t="str">
        <f>IFERROR(__xludf.DUMMYFUNCTION("""COMPUTED_VALUE"""),"Lector Facial con pantalla LCD tactil, camara dual para vision 3D, Conexion TCP/IP, USB PEN DRIVE, Log de eventos 200.000. Lector de proximidad 125KHz incorporado.")</f>
        <v>Lector Facial con pantalla LCD tactil, camara dual para vision 3D, Conexion TCP/IP, USB PEN DRIVE, Log de eventos 200.000. Lector de proximidad 125KHz incorporado.</v>
      </c>
      <c r="D718" s="4" t="str">
        <f>IFERROR(__xludf.DUMMYFUNCTION("""COMPUTED_VALUE"""),"ANVIZ")</f>
        <v>ANVIZ</v>
      </c>
      <c r="E718" s="4" t="str">
        <f>IFERROR(__xludf.DUMMYFUNCTION("""COMPUTED_VALUE"""),"AZFACEPASSPRO")</f>
        <v>AZFACEPASSPRO</v>
      </c>
      <c r="F718" s="4" t="str">
        <f>IFERROR(__xludf.DUMMYFUNCTION("""COMPUTED_VALUE"""),"CONTROL DE ACCESO &gt; LECTORES BIOMETRICOS")</f>
        <v>CONTROL DE ACCESO &gt; LECTORES BIOMETRICOS</v>
      </c>
      <c r="G718" s="5"/>
      <c r="H718" s="6">
        <f>IFERROR(__xludf.DUMMYFUNCTION("""COMPUTED_VALUE"""),55.0)</f>
        <v>55</v>
      </c>
      <c r="I718" s="7">
        <f>IFERROR(__xludf.DUMMYFUNCTION("""COMPUTED_VALUE"""),21.0)</f>
        <v>21</v>
      </c>
      <c r="J718" s="6">
        <f>IFERROR(__xludf.DUMMYFUNCTION("""COMPUTED_VALUE"""),66.0)</f>
        <v>66</v>
      </c>
      <c r="K718" s="6">
        <f>IFERROR(__xludf.DUMMYFUNCTION("""COMPUTED_VALUE"""),77.0)</f>
        <v>77</v>
      </c>
      <c r="L718" s="3"/>
      <c r="M718" s="3"/>
    </row>
    <row r="719" ht="48.0" customHeight="1">
      <c r="A719" s="3" t="str">
        <f>IFERROR(__xludf.DUMMYFUNCTION("""COMPUTED_VALUE"""),"AR716EI")</f>
        <v>AR716EI</v>
      </c>
      <c r="B719" s="4" t="str">
        <f>IFERROR(__xludf.DUMMYFUNCTION("""COMPUTED_VALUE"""),"16 PUERTAS CON SALIDA PARA TCPIP")</f>
        <v>16 PUERTAS CON SALIDA PARA TCPIP</v>
      </c>
      <c r="C719" s="4" t="str">
        <f>IFERROR(__xludf.DUMMYFUNCTION("""COMPUTED_VALUE"""),"16 puertas con salida para TCPIP. 15000 usuarios. Soporta conexión a red. Alarmas. Control horario.")</f>
        <v>16 puertas con salida para TCPIP. 15000 usuarios. Soporta conexión a red. Alarmas. Control horario.</v>
      </c>
      <c r="D719" s="4" t="str">
        <f>IFERROR(__xludf.DUMMYFUNCTION("""COMPUTED_VALUE"""),"SOYAL")</f>
        <v>SOYAL</v>
      </c>
      <c r="E719" s="4" t="str">
        <f>IFERROR(__xludf.DUMMYFUNCTION("""COMPUTED_VALUE"""),"AR716EI")</f>
        <v>AR716EI</v>
      </c>
      <c r="F719" s="4" t="str">
        <f>IFERROR(__xludf.DUMMYFUNCTION("""COMPUTED_VALUE"""),"CONTROL DE ACCESO &gt; CONTROLADORES")</f>
        <v>CONTROL DE ACCESO &gt; CONTROLADORES</v>
      </c>
      <c r="G719" s="5"/>
      <c r="H719" s="6">
        <f>IFERROR(__xludf.DUMMYFUNCTION("""COMPUTED_VALUE"""),539.0)</f>
        <v>539</v>
      </c>
      <c r="I719" s="7">
        <f>IFERROR(__xludf.DUMMYFUNCTION("""COMPUTED_VALUE"""),21.0)</f>
        <v>21</v>
      </c>
      <c r="J719" s="6">
        <f>IFERROR(__xludf.DUMMYFUNCTION("""COMPUTED_VALUE"""),646.8)</f>
        <v>646.8</v>
      </c>
      <c r="K719" s="6">
        <f>IFERROR(__xludf.DUMMYFUNCTION("""COMPUTED_VALUE"""),754.6)</f>
        <v>754.6</v>
      </c>
      <c r="L719" s="3"/>
      <c r="M719" s="3"/>
    </row>
    <row r="720" ht="48.0" customHeight="1">
      <c r="A720" s="3" t="str">
        <f>IFERROR(__xludf.DUMMYFUNCTION("""COMPUTED_VALUE"""),"AR716EIO")</f>
        <v>AR716EIO</v>
      </c>
      <c r="B720" s="4" t="str">
        <f>IFERROR(__xludf.DUMMYFUNCTION("""COMPUTED_VALUE"""),"PLACA EXPANSORA DE 8 ENTRADAS Y 8 SAL RELAY PAR AR716")</f>
        <v>PLACA EXPANSORA DE 8 ENTRADAS Y 8 SAL RELAY PAR AR716</v>
      </c>
      <c r="C720" s="4" t="str">
        <f>IFERROR(__xludf.DUMMYFUNCTION("""COMPUTED_VALUE"""),"Placa expansora de 8 entraDAS y 8 sal relay par ar716")</f>
        <v>Placa expansora de 8 entraDAS y 8 sal relay par ar716</v>
      </c>
      <c r="D720" s="4" t="str">
        <f>IFERROR(__xludf.DUMMYFUNCTION("""COMPUTED_VALUE"""),"SOYAL")</f>
        <v>SOYAL</v>
      </c>
      <c r="E720" s="4" t="str">
        <f>IFERROR(__xludf.DUMMYFUNCTION("""COMPUTED_VALUE"""),"AR716EIO")</f>
        <v>AR716EIO</v>
      </c>
      <c r="F720" s="4" t="str">
        <f>IFERROR(__xludf.DUMMYFUNCTION("""COMPUTED_VALUE"""),"CONTROL DE ACCESO &gt; CONTROLADORES")</f>
        <v>CONTROL DE ACCESO &gt; CONTROLADORES</v>
      </c>
      <c r="G720" s="5"/>
      <c r="H720" s="6">
        <f>IFERROR(__xludf.DUMMYFUNCTION("""COMPUTED_VALUE"""),104.5)</f>
        <v>104.5</v>
      </c>
      <c r="I720" s="7">
        <f>IFERROR(__xludf.DUMMYFUNCTION("""COMPUTED_VALUE"""),10.5)</f>
        <v>10.5</v>
      </c>
      <c r="J720" s="6">
        <f>IFERROR(__xludf.DUMMYFUNCTION("""COMPUTED_VALUE"""),125.4)</f>
        <v>125.4</v>
      </c>
      <c r="K720" s="6">
        <f>IFERROR(__xludf.DUMMYFUNCTION("""COMPUTED_VALUE"""),146.3)</f>
        <v>146.3</v>
      </c>
      <c r="L720" s="3"/>
      <c r="M720" s="3"/>
    </row>
    <row r="721" ht="48.0" customHeight="1">
      <c r="A721" s="3" t="str">
        <f>IFERROR(__xludf.DUMMYFUNCTION("""COMPUTED_VALUE"""),"DHIASC2204BS")</f>
        <v>DHIASC2204BS</v>
      </c>
      <c r="B721" s="4" t="str">
        <f>IFERROR(__xludf.DUMMYFUNCTION("""COMPUTED_VALUE"""),"REEMPLAZO DE DHI-ASC1204B-S")</f>
        <v>REEMPLAZO DE DHI-ASC1204B-S</v>
      </c>
      <c r="C721" s="4" t="str">
        <f>IFERROR(__xludf.DUMMYFUNCTION("""COMPUTED_VALUE"""),"Reemplazo de DHI-ASC1204B-S. Admite 100.000 usuarios y 500.000 registros de tarjetas; Protocolo RS-485 y Wiegand; Soporte de enclavamiento, combinación de grupo, anti-passback, desbloqueo remoto; compatible con sincronización de hora manual y sincronizaci"&amp;"ón de hora automática; Admite protección de memoria de apagado y actualización en línea; PoE.")</f>
        <v>Reemplazo de DHI-ASC1204B-S. Admite 100.000 usuarios y 500.000 registros de tarjetas; Protocolo RS-485 y Wiegand; Soporte de enclavamiento, combinación de grupo, anti-passback, desbloqueo remoto; compatible con sincronización de hora manual y sincronización de hora automática; Admite protección de memoria de apagado y actualización en línea; PoE.</v>
      </c>
      <c r="D721" s="4" t="str">
        <f>IFERROR(__xludf.DUMMYFUNCTION("""COMPUTED_VALUE"""),"DAHUA")</f>
        <v>DAHUA</v>
      </c>
      <c r="E721" s="4" t="str">
        <f>IFERROR(__xludf.DUMMYFUNCTION("""COMPUTED_VALUE"""),"DHIASC2204BS")</f>
        <v>DHIASC2204BS</v>
      </c>
      <c r="F721" s="4" t="str">
        <f>IFERROR(__xludf.DUMMYFUNCTION("""COMPUTED_VALUE"""),"CONTROL DE ACCESO &gt; CONTROLADORES")</f>
        <v>CONTROL DE ACCESO &gt; CONTROLADORES</v>
      </c>
      <c r="G721" s="5"/>
      <c r="H721" s="6">
        <f>IFERROR(__xludf.DUMMYFUNCTION("""COMPUTED_VALUE"""),155.14)</f>
        <v>155.14</v>
      </c>
      <c r="I721" s="7">
        <f>IFERROR(__xludf.DUMMYFUNCTION("""COMPUTED_VALUE"""),10.5)</f>
        <v>10.5</v>
      </c>
      <c r="J721" s="6">
        <f>IFERROR(__xludf.DUMMYFUNCTION("""COMPUTED_VALUE"""),186.17)</f>
        <v>186.17</v>
      </c>
      <c r="K721" s="6">
        <f>IFERROR(__xludf.DUMMYFUNCTION("""COMPUTED_VALUE"""),217.2)</f>
        <v>217.2</v>
      </c>
      <c r="L721" s="3"/>
      <c r="M721" s="3"/>
    </row>
    <row r="722" ht="48.0" customHeight="1">
      <c r="A722" s="3" t="str">
        <f>IFERROR(__xludf.DUMMYFUNCTION("""COMPUTED_VALUE"""),"OWTARJ")</f>
        <v>OWTARJ</v>
      </c>
      <c r="B722" s="4" t="str">
        <f>IFERROR(__xludf.DUMMYFUNCTION("""COMPUTED_VALUE"""),"TARJETA DE PROXIMIDAD")</f>
        <v>TARJETA DE PROXIMIDAD</v>
      </c>
      <c r="C722" s="4" t="str">
        <f>IFERROR(__xludf.DUMMYFUNCTION("""COMPUTED_VALUE"""),"Tarjeta de proximidad. Formato estándar 125KHz")</f>
        <v>Tarjeta de proximidad. Formato estándar 125KHz</v>
      </c>
      <c r="D722" s="4" t="str">
        <f>IFERROR(__xludf.DUMMYFUNCTION("""COMPUTED_VALUE"""),"OWL LOCKS")</f>
        <v>OWL LOCKS</v>
      </c>
      <c r="E722" s="4" t="str">
        <f>IFERROR(__xludf.DUMMYFUNCTION("""COMPUTED_VALUE"""),"OWTARJ")</f>
        <v>OWTARJ</v>
      </c>
      <c r="F722" s="4" t="str">
        <f>IFERROR(__xludf.DUMMYFUNCTION("""COMPUTED_VALUE"""),"CONTROL DE ACCESO &gt; TARJETAS DE PROXIMIDAD")</f>
        <v>CONTROL DE ACCESO &gt; TARJETAS DE PROXIMIDAD</v>
      </c>
      <c r="G722" s="5"/>
      <c r="H722" s="6">
        <f>IFERROR(__xludf.DUMMYFUNCTION("""COMPUTED_VALUE"""),0.83)</f>
        <v>0.83</v>
      </c>
      <c r="I722" s="7">
        <f>IFERROR(__xludf.DUMMYFUNCTION("""COMPUTED_VALUE"""),10.5)</f>
        <v>10.5</v>
      </c>
      <c r="J722" s="6">
        <f>IFERROR(__xludf.DUMMYFUNCTION("""COMPUTED_VALUE"""),1.0)</f>
        <v>1</v>
      </c>
      <c r="K722" s="6">
        <f>IFERROR(__xludf.DUMMYFUNCTION("""COMPUTED_VALUE"""),1.16)</f>
        <v>1.16</v>
      </c>
      <c r="L722" s="3"/>
      <c r="M722" s="3"/>
    </row>
    <row r="723" ht="48.0" customHeight="1">
      <c r="A723" s="3" t="str">
        <f>IFERROR(__xludf.DUMMYFUNCTION("""COMPUTED_VALUE"""),"OWTARJ-X100")</f>
        <v>OWTARJ-X100</v>
      </c>
      <c r="B723" s="4" t="str">
        <f>IFERROR(__xludf.DUMMYFUNCTION("""COMPUTED_VALUE"""),"TARJETA DE PROXIMIDAD")</f>
        <v>TARJETA DE PROXIMIDAD</v>
      </c>
      <c r="C723" s="4" t="str">
        <f>IFERROR(__xludf.DUMMYFUNCTION("""COMPUTED_VALUE"""),"Tarjeta de proximidad. Formato estándar 125KHz x 100 unidades")</f>
        <v>Tarjeta de proximidad. Formato estándar 125KHz x 100 unidades</v>
      </c>
      <c r="D723" s="4" t="str">
        <f>IFERROR(__xludf.DUMMYFUNCTION("""COMPUTED_VALUE"""),"OWL LOCKS")</f>
        <v>OWL LOCKS</v>
      </c>
      <c r="E723" s="4" t="str">
        <f>IFERROR(__xludf.DUMMYFUNCTION("""COMPUTED_VALUE"""),"OWTARJ-X100")</f>
        <v>OWTARJ-X100</v>
      </c>
      <c r="F723" s="4" t="str">
        <f>IFERROR(__xludf.DUMMYFUNCTION("""COMPUTED_VALUE"""),"CONTROL DE ACCESO &gt; TARJETAS DE PROXIMIDAD")</f>
        <v>CONTROL DE ACCESO &gt; TARJETAS DE PROXIMIDAD</v>
      </c>
      <c r="G723" s="5"/>
      <c r="H723" s="6">
        <f>IFERROR(__xludf.DUMMYFUNCTION("""COMPUTED_VALUE"""),71.5)</f>
        <v>71.5</v>
      </c>
      <c r="I723" s="7">
        <f>IFERROR(__xludf.DUMMYFUNCTION("""COMPUTED_VALUE"""),10.5)</f>
        <v>10.5</v>
      </c>
      <c r="J723" s="6">
        <f>IFERROR(__xludf.DUMMYFUNCTION("""COMPUTED_VALUE"""),85.8)</f>
        <v>85.8</v>
      </c>
      <c r="K723" s="6">
        <f>IFERROR(__xludf.DUMMYFUNCTION("""COMPUTED_VALUE"""),100.1)</f>
        <v>100.1</v>
      </c>
      <c r="L723" s="3"/>
      <c r="M723" s="3"/>
    </row>
    <row r="724" ht="48.0" customHeight="1">
      <c r="A724" s="3" t="str">
        <f>IFERROR(__xludf.DUMMYFUNCTION("""COMPUTED_VALUE"""),"OWTARJ-X1000")</f>
        <v>OWTARJ-X1000</v>
      </c>
      <c r="B724" s="4" t="str">
        <f>IFERROR(__xludf.DUMMYFUNCTION("""COMPUTED_VALUE"""),"TARJETA DE PROXIMIDAD")</f>
        <v>TARJETA DE PROXIMIDAD</v>
      </c>
      <c r="C724" s="4" t="str">
        <f>IFERROR(__xludf.DUMMYFUNCTION("""COMPUTED_VALUE"""),"Tarjeta de proximidad. Formato estándar 125KHz x 1000 unidades")</f>
        <v>Tarjeta de proximidad. Formato estándar 125KHz x 1000 unidades</v>
      </c>
      <c r="D724" s="4" t="str">
        <f>IFERROR(__xludf.DUMMYFUNCTION("""COMPUTED_VALUE"""),"OWL LOCKS")</f>
        <v>OWL LOCKS</v>
      </c>
      <c r="E724" s="4" t="str">
        <f>IFERROR(__xludf.DUMMYFUNCTION("""COMPUTED_VALUE"""),"OWTARJ-X1000")</f>
        <v>OWTARJ-X1000</v>
      </c>
      <c r="F724" s="4" t="str">
        <f>IFERROR(__xludf.DUMMYFUNCTION("""COMPUTED_VALUE"""),"CONTROL DE ACCESO &gt; TARJETAS DE PROXIMIDAD")</f>
        <v>CONTROL DE ACCESO &gt; TARJETAS DE PROXIMIDAD</v>
      </c>
      <c r="G724" s="5"/>
      <c r="H724" s="6">
        <f>IFERROR(__xludf.DUMMYFUNCTION("""COMPUTED_VALUE"""),550.0)</f>
        <v>550</v>
      </c>
      <c r="I724" s="7">
        <f>IFERROR(__xludf.DUMMYFUNCTION("""COMPUTED_VALUE"""),10.5)</f>
        <v>10.5</v>
      </c>
      <c r="J724" s="6">
        <f>IFERROR(__xludf.DUMMYFUNCTION("""COMPUTED_VALUE"""),660.0)</f>
        <v>660</v>
      </c>
      <c r="K724" s="6">
        <f>IFERROR(__xludf.DUMMYFUNCTION("""COMPUTED_VALUE"""),770.0)</f>
        <v>770</v>
      </c>
      <c r="L724" s="3"/>
      <c r="M724" s="3"/>
    </row>
    <row r="725" ht="48.0" customHeight="1">
      <c r="A725" s="3" t="str">
        <f>IFERROR(__xludf.DUMMYFUNCTION("""COMPUTED_VALUE"""),"ARTARJ")</f>
        <v>ARTARJ</v>
      </c>
      <c r="B725" s="4" t="str">
        <f>IFERROR(__xludf.DUMMYFUNCTION("""COMPUTED_VALUE"""),"TARJETA DE PROXIMIDAD")</f>
        <v>TARJETA DE PROXIMIDAD</v>
      </c>
      <c r="C725" s="4" t="str">
        <f>IFERROR(__xludf.DUMMYFUNCTION("""COMPUTED_VALUE"""),"Tarjeta de proximidad. Formato estándar 125KHz")</f>
        <v>Tarjeta de proximidad. Formato estándar 125KHz</v>
      </c>
      <c r="D725" s="4" t="str">
        <f>IFERROR(__xludf.DUMMYFUNCTION("""COMPUTED_VALUE"""),"SOYAL")</f>
        <v>SOYAL</v>
      </c>
      <c r="E725" s="4" t="str">
        <f>IFERROR(__xludf.DUMMYFUNCTION("""COMPUTED_VALUE"""),"ARTARJ")</f>
        <v>ARTARJ</v>
      </c>
      <c r="F725" s="4" t="str">
        <f>IFERROR(__xludf.DUMMYFUNCTION("""COMPUTED_VALUE"""),"CONTROL DE ACCESO &gt; TARJETAS DE PROXIMIDAD")</f>
        <v>CONTROL DE ACCESO &gt; TARJETAS DE PROXIMIDAD</v>
      </c>
      <c r="G725" s="5"/>
      <c r="H725" s="6">
        <f>IFERROR(__xludf.DUMMYFUNCTION("""COMPUTED_VALUE"""),1.1)</f>
        <v>1.1</v>
      </c>
      <c r="I725" s="7">
        <f>IFERROR(__xludf.DUMMYFUNCTION("""COMPUTED_VALUE"""),10.5)</f>
        <v>10.5</v>
      </c>
      <c r="J725" s="6">
        <f>IFERROR(__xludf.DUMMYFUNCTION("""COMPUTED_VALUE"""),1.32)</f>
        <v>1.32</v>
      </c>
      <c r="K725" s="6">
        <f>IFERROR(__xludf.DUMMYFUNCTION("""COMPUTED_VALUE"""),1.54)</f>
        <v>1.54</v>
      </c>
      <c r="L725" s="3"/>
      <c r="M725" s="3"/>
    </row>
    <row r="726" ht="48.0" customHeight="1">
      <c r="A726" s="3" t="str">
        <f>IFERROR(__xludf.DUMMYFUNCTION("""COMPUTED_VALUE"""),"ARTARJISO")</f>
        <v>ARTARJISO</v>
      </c>
      <c r="B726" s="4" t="str">
        <f>IFERROR(__xludf.DUMMYFUNCTION("""COMPUTED_VALUE"""),"TARJETA DE PROXIMIDAD")</f>
        <v>TARJETA DE PROXIMIDAD</v>
      </c>
      <c r="C726" s="4" t="str">
        <f>IFERROR(__xludf.DUMMYFUNCTION("""COMPUTED_VALUE"""),"Tarjeta de proximidad. Formato delgado. 125KHz")</f>
        <v>Tarjeta de proximidad. Formato delgado. 125KHz</v>
      </c>
      <c r="D726" s="4" t="str">
        <f>IFERROR(__xludf.DUMMYFUNCTION("""COMPUTED_VALUE"""),"SOYAL")</f>
        <v>SOYAL</v>
      </c>
      <c r="E726" s="4" t="str">
        <f>IFERROR(__xludf.DUMMYFUNCTION("""COMPUTED_VALUE"""),"ARTARJISO")</f>
        <v>ARTARJISO</v>
      </c>
      <c r="F726" s="4" t="str">
        <f>IFERROR(__xludf.DUMMYFUNCTION("""COMPUTED_VALUE"""),"CONTROL DE ACCESO &gt; TARJETAS DE PROXIMIDAD")</f>
        <v>CONTROL DE ACCESO &gt; TARJETAS DE PROXIMIDAD</v>
      </c>
      <c r="G726" s="5"/>
      <c r="H726" s="6">
        <f>IFERROR(__xludf.DUMMYFUNCTION("""COMPUTED_VALUE"""),1.1)</f>
        <v>1.1</v>
      </c>
      <c r="I726" s="7">
        <f>IFERROR(__xludf.DUMMYFUNCTION("""COMPUTED_VALUE"""),10.5)</f>
        <v>10.5</v>
      </c>
      <c r="J726" s="6">
        <f>IFERROR(__xludf.DUMMYFUNCTION("""COMPUTED_VALUE"""),1.32)</f>
        <v>1.32</v>
      </c>
      <c r="K726" s="6">
        <f>IFERROR(__xludf.DUMMYFUNCTION("""COMPUTED_VALUE"""),1.54)</f>
        <v>1.54</v>
      </c>
      <c r="L726" s="3"/>
      <c r="M726" s="3"/>
    </row>
    <row r="727" ht="48.0" customHeight="1">
      <c r="A727" s="3" t="str">
        <f>IFERROR(__xludf.DUMMYFUNCTION("""COMPUTED_VALUE"""),"OWTARJMI")</f>
        <v>OWTARJMI</v>
      </c>
      <c r="B727" s="4" t="str">
        <f>IFERROR(__xludf.DUMMYFUNCTION("""COMPUTED_VALUE"""),"TARJETA DE PROXIMIDAD")</f>
        <v>TARJETA DE PROXIMIDAD</v>
      </c>
      <c r="C727" s="4" t="str">
        <f>IFERROR(__xludf.DUMMYFUNCTION("""COMPUTED_VALUE"""),"Tarjeta de proximidad. Formato delgado. 13,56MHZ MIFARE")</f>
        <v>Tarjeta de proximidad. Formato delgado. 13,56MHZ MIFARE</v>
      </c>
      <c r="D727" s="4" t="str">
        <f>IFERROR(__xludf.DUMMYFUNCTION("""COMPUTED_VALUE"""),"OWL LOCKS")</f>
        <v>OWL LOCKS</v>
      </c>
      <c r="E727" s="4" t="str">
        <f>IFERROR(__xludf.DUMMYFUNCTION("""COMPUTED_VALUE"""),"OWTARJMI")</f>
        <v>OWTARJMI</v>
      </c>
      <c r="F727" s="4" t="str">
        <f>IFERROR(__xludf.DUMMYFUNCTION("""COMPUTED_VALUE"""),"CONTROL DE ACCESO &gt; TARJETAS DE PROXIMIDAD")</f>
        <v>CONTROL DE ACCESO &gt; TARJETAS DE PROXIMIDAD</v>
      </c>
      <c r="G727" s="5"/>
      <c r="H727" s="6">
        <f>IFERROR(__xludf.DUMMYFUNCTION("""COMPUTED_VALUE"""),0.94)</f>
        <v>0.94</v>
      </c>
      <c r="I727" s="7">
        <f>IFERROR(__xludf.DUMMYFUNCTION("""COMPUTED_VALUE"""),10.5)</f>
        <v>10.5</v>
      </c>
      <c r="J727" s="6">
        <f>IFERROR(__xludf.DUMMYFUNCTION("""COMPUTED_VALUE"""),1.13)</f>
        <v>1.13</v>
      </c>
      <c r="K727" s="6">
        <f>IFERROR(__xludf.DUMMYFUNCTION("""COMPUTED_VALUE"""),1.32)</f>
        <v>1.32</v>
      </c>
      <c r="L727" s="3"/>
      <c r="M727" s="3"/>
    </row>
    <row r="728" ht="48.0" customHeight="1">
      <c r="A728" s="3" t="str">
        <f>IFERROR(__xludf.DUMMYFUNCTION("""COMPUTED_VALUE"""),"OWTARJ-MI-X200")</f>
        <v>OWTARJ-MI-X200</v>
      </c>
      <c r="B728" s="4" t="str">
        <f>IFERROR(__xludf.DUMMYFUNCTION("""COMPUTED_VALUE"""),"TARJETA DE PROXIMIDAD")</f>
        <v>TARJETA DE PROXIMIDAD</v>
      </c>
      <c r="C728" s="4" t="str">
        <f>IFERROR(__xludf.DUMMYFUNCTION("""COMPUTED_VALUE"""),"Tarjeta de proximidad. Formato delgado. 13,56MHZ MIFARE x 200 unidades")</f>
        <v>Tarjeta de proximidad. Formato delgado. 13,56MHZ MIFARE x 200 unidades</v>
      </c>
      <c r="D728" s="4" t="str">
        <f>IFERROR(__xludf.DUMMYFUNCTION("""COMPUTED_VALUE"""),"OWL LOCKS")</f>
        <v>OWL LOCKS</v>
      </c>
      <c r="E728" s="4" t="str">
        <f>IFERROR(__xludf.DUMMYFUNCTION("""COMPUTED_VALUE"""),"OWTARJ-MI-X200")</f>
        <v>OWTARJ-MI-X200</v>
      </c>
      <c r="F728" s="4" t="str">
        <f>IFERROR(__xludf.DUMMYFUNCTION("""COMPUTED_VALUE"""),"CONTROL DE ACCESO &gt; TARJETAS DE PROXIMIDAD")</f>
        <v>CONTROL DE ACCESO &gt; TARJETAS DE PROXIMIDAD</v>
      </c>
      <c r="G728" s="5"/>
      <c r="H728" s="6">
        <f>IFERROR(__xludf.DUMMYFUNCTION("""COMPUTED_VALUE"""),165.0)</f>
        <v>165</v>
      </c>
      <c r="I728" s="7">
        <f>IFERROR(__xludf.DUMMYFUNCTION("""COMPUTED_VALUE"""),10.5)</f>
        <v>10.5</v>
      </c>
      <c r="J728" s="6">
        <f>IFERROR(__xludf.DUMMYFUNCTION("""COMPUTED_VALUE"""),198.0)</f>
        <v>198</v>
      </c>
      <c r="K728" s="6">
        <f>IFERROR(__xludf.DUMMYFUNCTION("""COMPUTED_VALUE"""),231.0)</f>
        <v>231</v>
      </c>
      <c r="L728" s="3"/>
      <c r="M728" s="3"/>
    </row>
    <row r="729" ht="48.0" customHeight="1">
      <c r="A729" s="3" t="str">
        <f>IFERROR(__xludf.DUMMYFUNCTION("""COMPUTED_VALUE"""),"OWTARJ-MI-X1000")</f>
        <v>OWTARJ-MI-X1000</v>
      </c>
      <c r="B729" s="4" t="str">
        <f>IFERROR(__xludf.DUMMYFUNCTION("""COMPUTED_VALUE"""),"TARJETA DE PROXIMIDAD")</f>
        <v>TARJETA DE PROXIMIDAD</v>
      </c>
      <c r="C729" s="4" t="str">
        <f>IFERROR(__xludf.DUMMYFUNCTION("""COMPUTED_VALUE"""),"Tarjeta de proximidad. Formato delgado. 13,56MHZ MIFARE x 1000 unidades")</f>
        <v>Tarjeta de proximidad. Formato delgado. 13,56MHZ MIFARE x 1000 unidades</v>
      </c>
      <c r="D729" s="4" t="str">
        <f>IFERROR(__xludf.DUMMYFUNCTION("""COMPUTED_VALUE"""),"OWL LOCKS")</f>
        <v>OWL LOCKS</v>
      </c>
      <c r="E729" s="4" t="str">
        <f>IFERROR(__xludf.DUMMYFUNCTION("""COMPUTED_VALUE"""),"OWTARJ-MI-X1000")</f>
        <v>OWTARJ-MI-X1000</v>
      </c>
      <c r="F729" s="4" t="str">
        <f>IFERROR(__xludf.DUMMYFUNCTION("""COMPUTED_VALUE"""),"CONTROL DE ACCESO &gt; TARJETAS DE PROXIMIDAD")</f>
        <v>CONTROL DE ACCESO &gt; TARJETAS DE PROXIMIDAD</v>
      </c>
      <c r="G729" s="5"/>
      <c r="H729" s="6">
        <f>IFERROR(__xludf.DUMMYFUNCTION("""COMPUTED_VALUE"""),660.0)</f>
        <v>660</v>
      </c>
      <c r="I729" s="7">
        <f>IFERROR(__xludf.DUMMYFUNCTION("""COMPUTED_VALUE"""),10.5)</f>
        <v>10.5</v>
      </c>
      <c r="J729" s="6">
        <f>IFERROR(__xludf.DUMMYFUNCTION("""COMPUTED_VALUE"""),792.0)</f>
        <v>792</v>
      </c>
      <c r="K729" s="6">
        <f>IFERROR(__xludf.DUMMYFUNCTION("""COMPUTED_VALUE"""),924.0)</f>
        <v>924</v>
      </c>
      <c r="L729" s="3"/>
      <c r="M729" s="3"/>
    </row>
    <row r="730" ht="48.0" customHeight="1">
      <c r="A730" s="3" t="str">
        <f>IFERROR(__xludf.DUMMYFUNCTION("""COMPUTED_VALUE"""),"DSK7M102M")</f>
        <v>DSK7M102M</v>
      </c>
      <c r="B730" s="4" t="str">
        <f>IFERROR(__xludf.DUMMYFUNCTION("""COMPUTED_VALUE"""),"TAG DE PROXIMIDAD MIFARE 13")</f>
        <v>TAG DE PROXIMIDAD MIFARE 13</v>
      </c>
      <c r="C730" s="4" t="str">
        <f>IFERROR(__xludf.DUMMYFUNCTION("""COMPUTED_VALUE"""),"Tag de proximidad Mifare 13.56MHz")</f>
        <v>Tag de proximidad Mifare 13.56MHz</v>
      </c>
      <c r="D730" s="4" t="str">
        <f>IFERROR(__xludf.DUMMYFUNCTION("""COMPUTED_VALUE"""),"HIKVISION")</f>
        <v>HIKVISION</v>
      </c>
      <c r="E730" s="4" t="str">
        <f>IFERROR(__xludf.DUMMYFUNCTION("""COMPUTED_VALUE"""),"DSK7M102M")</f>
        <v>DSK7M102M</v>
      </c>
      <c r="F730" s="4" t="str">
        <f>IFERROR(__xludf.DUMMYFUNCTION("""COMPUTED_VALUE"""),"CONTROL DE ACCESO &gt; TARJETAS DE PROXIMIDAD")</f>
        <v>CONTROL DE ACCESO &gt; TARJETAS DE PROXIMIDAD</v>
      </c>
      <c r="G730" s="5"/>
      <c r="H730" s="6">
        <f>IFERROR(__xludf.DUMMYFUNCTION("""COMPUTED_VALUE"""),0.77)</f>
        <v>0.77</v>
      </c>
      <c r="I730" s="7">
        <f>IFERROR(__xludf.DUMMYFUNCTION("""COMPUTED_VALUE"""),21.0)</f>
        <v>21</v>
      </c>
      <c r="J730" s="6">
        <f>IFERROR(__xludf.DUMMYFUNCTION("""COMPUTED_VALUE"""),0.92)</f>
        <v>0.92</v>
      </c>
      <c r="K730" s="6">
        <f>IFERROR(__xludf.DUMMYFUNCTION("""COMPUTED_VALUE"""),1.08)</f>
        <v>1.08</v>
      </c>
      <c r="L730" s="3"/>
      <c r="M730" s="3"/>
    </row>
    <row r="731" ht="48.0" customHeight="1">
      <c r="A731" s="3" t="str">
        <f>IFERROR(__xludf.DUMMYFUNCTION("""COMPUTED_VALUE"""),"ARTAG")</f>
        <v>ARTAG</v>
      </c>
      <c r="B731" s="4" t="str">
        <f>IFERROR(__xludf.DUMMYFUNCTION("""COMPUTED_VALUE"""),"TAG DE PROXIMIDAD 125KHZ")</f>
        <v>TAG DE PROXIMIDAD 125KHZ</v>
      </c>
      <c r="C731" s="4" t="str">
        <f>IFERROR(__xludf.DUMMYFUNCTION("""COMPUTED_VALUE"""),"Tag de proximidad 125KHz")</f>
        <v>Tag de proximidad 125KHz</v>
      </c>
      <c r="D731" s="4" t="str">
        <f>IFERROR(__xludf.DUMMYFUNCTION("""COMPUTED_VALUE"""),"SOYAL")</f>
        <v>SOYAL</v>
      </c>
      <c r="E731" s="4" t="str">
        <f>IFERROR(__xludf.DUMMYFUNCTION("""COMPUTED_VALUE"""),"ARTAG")</f>
        <v>ARTAG</v>
      </c>
      <c r="F731" s="4" t="str">
        <f>IFERROR(__xludf.DUMMYFUNCTION("""COMPUTED_VALUE"""),"CONTROL DE ACCESO &gt; TARJETAS DE PROXIMIDAD")</f>
        <v>CONTROL DE ACCESO &gt; TARJETAS DE PROXIMIDAD</v>
      </c>
      <c r="G731" s="5"/>
      <c r="H731" s="6">
        <f>IFERROR(__xludf.DUMMYFUNCTION("""COMPUTED_VALUE"""),1.82)</f>
        <v>1.82</v>
      </c>
      <c r="I731" s="7">
        <f>IFERROR(__xludf.DUMMYFUNCTION("""COMPUTED_VALUE"""),10.5)</f>
        <v>10.5</v>
      </c>
      <c r="J731" s="6">
        <f>IFERROR(__xludf.DUMMYFUNCTION("""COMPUTED_VALUE"""),2.18)</f>
        <v>2.18</v>
      </c>
      <c r="K731" s="6">
        <f>IFERROR(__xludf.DUMMYFUNCTION("""COMPUTED_VALUE"""),2.55)</f>
        <v>2.55</v>
      </c>
      <c r="L731" s="3"/>
      <c r="M731" s="3"/>
    </row>
    <row r="732" ht="48.0" customHeight="1">
      <c r="A732" s="3" t="str">
        <f>IFERROR(__xludf.DUMMYFUNCTION("""COMPUTED_VALUE"""),"OWTAG")</f>
        <v>OWTAG</v>
      </c>
      <c r="B732" s="4" t="str">
        <f>IFERROR(__xludf.DUMMYFUNCTION("""COMPUTED_VALUE"""),"TAG DE PROXIMIDAD 125KHZ COLOR AZUL")</f>
        <v>TAG DE PROXIMIDAD 125KHZ COLOR AZUL</v>
      </c>
      <c r="C732" s="4" t="str">
        <f>IFERROR(__xludf.DUMMYFUNCTION("""COMPUTED_VALUE"""),"Tag de proximidad 125KHz color azul")</f>
        <v>Tag de proximidad 125KHz color azul</v>
      </c>
      <c r="D732" s="4" t="str">
        <f>IFERROR(__xludf.DUMMYFUNCTION("""COMPUTED_VALUE"""),"OWL LOCKS")</f>
        <v>OWL LOCKS</v>
      </c>
      <c r="E732" s="4" t="str">
        <f>IFERROR(__xludf.DUMMYFUNCTION("""COMPUTED_VALUE"""),"OWTAG")</f>
        <v>OWTAG</v>
      </c>
      <c r="F732" s="4" t="str">
        <f>IFERROR(__xludf.DUMMYFUNCTION("""COMPUTED_VALUE"""),"CONTROL DE ACCESO &gt; TARJETAS DE PROXIMIDAD")</f>
        <v>CONTROL DE ACCESO &gt; TARJETAS DE PROXIMIDAD</v>
      </c>
      <c r="G732" s="5"/>
      <c r="H732" s="6">
        <f>IFERROR(__xludf.DUMMYFUNCTION("""COMPUTED_VALUE"""),0.83)</f>
        <v>0.83</v>
      </c>
      <c r="I732" s="7">
        <f>IFERROR(__xludf.DUMMYFUNCTION("""COMPUTED_VALUE"""),10.5)</f>
        <v>10.5</v>
      </c>
      <c r="J732" s="6">
        <f>IFERROR(__xludf.DUMMYFUNCTION("""COMPUTED_VALUE"""),1.0)</f>
        <v>1</v>
      </c>
      <c r="K732" s="6">
        <f>IFERROR(__xludf.DUMMYFUNCTION("""COMPUTED_VALUE"""),1.16)</f>
        <v>1.16</v>
      </c>
      <c r="L732" s="3"/>
      <c r="M732" s="3"/>
    </row>
    <row r="733" ht="48.0" customHeight="1">
      <c r="A733" s="3" t="str">
        <f>IFERROR(__xludf.DUMMYFUNCTION("""COMPUTED_VALUE"""),"OWTAG-X100")</f>
        <v>OWTAG-X100</v>
      </c>
      <c r="B733" s="4" t="str">
        <f>IFERROR(__xludf.DUMMYFUNCTION("""COMPUTED_VALUE"""),"TAG DE PROXIMIDAD 125KHZ X 100 UNIDADES")</f>
        <v>TAG DE PROXIMIDAD 125KHZ X 100 UNIDADES</v>
      </c>
      <c r="C733" s="4" t="str">
        <f>IFERROR(__xludf.DUMMYFUNCTION("""COMPUTED_VALUE"""),"Tag de proximidad 125KHz x 100 unidades")</f>
        <v>Tag de proximidad 125KHz x 100 unidades</v>
      </c>
      <c r="D733" s="4" t="str">
        <f>IFERROR(__xludf.DUMMYFUNCTION("""COMPUTED_VALUE"""),"OWL LOCKS")</f>
        <v>OWL LOCKS</v>
      </c>
      <c r="E733" s="4" t="str">
        <f>IFERROR(__xludf.DUMMYFUNCTION("""COMPUTED_VALUE"""),"OWTAG-X100")</f>
        <v>OWTAG-X100</v>
      </c>
      <c r="F733" s="4" t="str">
        <f>IFERROR(__xludf.DUMMYFUNCTION("""COMPUTED_VALUE"""),"CONTROL DE ACCESO &gt; TARJETAS DE PROXIMIDAD")</f>
        <v>CONTROL DE ACCESO &gt; TARJETAS DE PROXIMIDAD</v>
      </c>
      <c r="G733" s="5"/>
      <c r="H733" s="6">
        <f>IFERROR(__xludf.DUMMYFUNCTION("""COMPUTED_VALUE"""),71.5)</f>
        <v>71.5</v>
      </c>
      <c r="I733" s="7">
        <f>IFERROR(__xludf.DUMMYFUNCTION("""COMPUTED_VALUE"""),10.5)</f>
        <v>10.5</v>
      </c>
      <c r="J733" s="6">
        <f>IFERROR(__xludf.DUMMYFUNCTION("""COMPUTED_VALUE"""),85.8)</f>
        <v>85.8</v>
      </c>
      <c r="K733" s="6">
        <f>IFERROR(__xludf.DUMMYFUNCTION("""COMPUTED_VALUE"""),100.1)</f>
        <v>100.1</v>
      </c>
      <c r="L733" s="3"/>
      <c r="M733" s="3"/>
    </row>
    <row r="734" ht="48.0" customHeight="1">
      <c r="A734" s="3" t="str">
        <f>IFERROR(__xludf.DUMMYFUNCTION("""COMPUTED_VALUE"""),"OWTAG-X1000")</f>
        <v>OWTAG-X1000</v>
      </c>
      <c r="B734" s="4" t="str">
        <f>IFERROR(__xludf.DUMMYFUNCTION("""COMPUTED_VALUE"""),"TAG DE PROXIMIDAD 125KHZ X 1000 UNIDADES")</f>
        <v>TAG DE PROXIMIDAD 125KHZ X 1000 UNIDADES</v>
      </c>
      <c r="C734" s="4" t="str">
        <f>IFERROR(__xludf.DUMMYFUNCTION("""COMPUTED_VALUE"""),"Tag de proximidad 125KHz x 1000 unidades")</f>
        <v>Tag de proximidad 125KHz x 1000 unidades</v>
      </c>
      <c r="D734" s="4" t="str">
        <f>IFERROR(__xludf.DUMMYFUNCTION("""COMPUTED_VALUE"""),"OWL LOCKS")</f>
        <v>OWL LOCKS</v>
      </c>
      <c r="E734" s="4" t="str">
        <f>IFERROR(__xludf.DUMMYFUNCTION("""COMPUTED_VALUE"""),"OWTAG-X1000")</f>
        <v>OWTAG-X1000</v>
      </c>
      <c r="F734" s="4" t="str">
        <f>IFERROR(__xludf.DUMMYFUNCTION("""COMPUTED_VALUE"""),"CONTROL DE ACCESO &gt; TARJETAS DE PROXIMIDAD")</f>
        <v>CONTROL DE ACCESO &gt; TARJETAS DE PROXIMIDAD</v>
      </c>
      <c r="G734" s="5"/>
      <c r="H734" s="6">
        <f>IFERROR(__xludf.DUMMYFUNCTION("""COMPUTED_VALUE"""),550.0)</f>
        <v>550</v>
      </c>
      <c r="I734" s="7">
        <f>IFERROR(__xludf.DUMMYFUNCTION("""COMPUTED_VALUE"""),10.5)</f>
        <v>10.5</v>
      </c>
      <c r="J734" s="6">
        <f>IFERROR(__xludf.DUMMYFUNCTION("""COMPUTED_VALUE"""),660.0)</f>
        <v>660</v>
      </c>
      <c r="K734" s="6">
        <f>IFERROR(__xludf.DUMMYFUNCTION("""COMPUTED_VALUE"""),770.0)</f>
        <v>770</v>
      </c>
      <c r="L734" s="3"/>
      <c r="M734" s="3"/>
    </row>
    <row r="735" ht="48.0" customHeight="1">
      <c r="A735" s="3" t="str">
        <f>IFERROR(__xludf.DUMMYFUNCTION("""COMPUTED_VALUE"""),"ARTAGMI")</f>
        <v>ARTAGMI</v>
      </c>
      <c r="B735" s="4" t="str">
        <f>IFERROR(__xludf.DUMMYFUNCTION("""COMPUTED_VALUE"""),"TAG DE PROXIMIDAD GRIS")</f>
        <v>TAG DE PROXIMIDAD GRIS</v>
      </c>
      <c r="C735" s="4" t="str">
        <f>IFERROR(__xludf.DUMMYFUNCTION("""COMPUTED_VALUE"""),"Tag de proximidad gris. 13,56MHZ MIFARE")</f>
        <v>Tag de proximidad gris. 13,56MHZ MIFARE</v>
      </c>
      <c r="D735" s="4" t="str">
        <f>IFERROR(__xludf.DUMMYFUNCTION("""COMPUTED_VALUE"""),"SOYAL")</f>
        <v>SOYAL</v>
      </c>
      <c r="E735" s="4" t="str">
        <f>IFERROR(__xludf.DUMMYFUNCTION("""COMPUTED_VALUE"""),"ARTAGMI")</f>
        <v>ARTAGMI</v>
      </c>
      <c r="F735" s="4" t="str">
        <f>IFERROR(__xludf.DUMMYFUNCTION("""COMPUTED_VALUE"""),"CONTROL DE ACCESO &gt; TARJETAS DE PROXIMIDAD")</f>
        <v>CONTROL DE ACCESO &gt; TARJETAS DE PROXIMIDAD</v>
      </c>
      <c r="G735" s="5"/>
      <c r="H735" s="6">
        <f>IFERROR(__xludf.DUMMYFUNCTION("""COMPUTED_VALUE"""),2.15)</f>
        <v>2.15</v>
      </c>
      <c r="I735" s="7">
        <f>IFERROR(__xludf.DUMMYFUNCTION("""COMPUTED_VALUE"""),10.5)</f>
        <v>10.5</v>
      </c>
      <c r="J735" s="6">
        <f>IFERROR(__xludf.DUMMYFUNCTION("""COMPUTED_VALUE"""),2.58)</f>
        <v>2.58</v>
      </c>
      <c r="K735" s="6">
        <f>IFERROR(__xludf.DUMMYFUNCTION("""COMPUTED_VALUE"""),3.01)</f>
        <v>3.01</v>
      </c>
      <c r="L735" s="3"/>
      <c r="M735" s="3"/>
    </row>
    <row r="736" ht="48.0" customHeight="1">
      <c r="A736" s="3" t="str">
        <f>IFERROR(__xludf.DUMMYFUNCTION("""COMPUTED_VALUE"""),"OWTAGMI")</f>
        <v>OWTAGMI</v>
      </c>
      <c r="B736" s="4" t="str">
        <f>IFERROR(__xludf.DUMMYFUNCTION("""COMPUTED_VALUE"""),"TAG DE PROXIMIDAD GRIS")</f>
        <v>TAG DE PROXIMIDAD GRIS</v>
      </c>
      <c r="C736" s="4" t="str">
        <f>IFERROR(__xludf.DUMMYFUNCTION("""COMPUTED_VALUE"""),"Tag de proximidad gris. 13,56MHZ MIFARE")</f>
        <v>Tag de proximidad gris. 13,56MHZ MIFARE</v>
      </c>
      <c r="D736" s="4" t="str">
        <f>IFERROR(__xludf.DUMMYFUNCTION("""COMPUTED_VALUE"""),"OWL LOCKS")</f>
        <v>OWL LOCKS</v>
      </c>
      <c r="E736" s="4" t="str">
        <f>IFERROR(__xludf.DUMMYFUNCTION("""COMPUTED_VALUE"""),"OWTAGMI")</f>
        <v>OWTAGMI</v>
      </c>
      <c r="F736" s="4" t="str">
        <f>IFERROR(__xludf.DUMMYFUNCTION("""COMPUTED_VALUE"""),"CONTROL DE ACCESO &gt; TARJETAS DE PROXIMIDAD")</f>
        <v>CONTROL DE ACCESO &gt; TARJETAS DE PROXIMIDAD</v>
      </c>
      <c r="G736" s="5"/>
      <c r="H736" s="6">
        <f>IFERROR(__xludf.DUMMYFUNCTION("""COMPUTED_VALUE"""),0.94)</f>
        <v>0.94</v>
      </c>
      <c r="I736" s="7">
        <f>IFERROR(__xludf.DUMMYFUNCTION("""COMPUTED_VALUE"""),10.5)</f>
        <v>10.5</v>
      </c>
      <c r="J736" s="6">
        <f>IFERROR(__xludf.DUMMYFUNCTION("""COMPUTED_VALUE"""),1.13)</f>
        <v>1.13</v>
      </c>
      <c r="K736" s="6">
        <f>IFERROR(__xludf.DUMMYFUNCTION("""COMPUTED_VALUE"""),1.32)</f>
        <v>1.32</v>
      </c>
      <c r="L736" s="3"/>
      <c r="M736" s="3"/>
    </row>
    <row r="737" ht="48.0" customHeight="1">
      <c r="A737" s="3" t="str">
        <f>IFERROR(__xludf.DUMMYFUNCTION("""COMPUTED_VALUE"""),"OWTAG-MI-X100")</f>
        <v>OWTAG-MI-X100</v>
      </c>
      <c r="B737" s="4" t="str">
        <f>IFERROR(__xludf.DUMMYFUNCTION("""COMPUTED_VALUE"""),"TAG DE PROXIMIDAD GRIS")</f>
        <v>TAG DE PROXIMIDAD GRIS</v>
      </c>
      <c r="C737" s="4" t="str">
        <f>IFERROR(__xludf.DUMMYFUNCTION("""COMPUTED_VALUE"""),"Tag de proximidad gris. 13,56MHZ MIFARE x 100 unidades")</f>
        <v>Tag de proximidad gris. 13,56MHZ MIFARE x 100 unidades</v>
      </c>
      <c r="D737" s="4" t="str">
        <f>IFERROR(__xludf.DUMMYFUNCTION("""COMPUTED_VALUE"""),"OWL LOCKS")</f>
        <v>OWL LOCKS</v>
      </c>
      <c r="E737" s="4" t="str">
        <f>IFERROR(__xludf.DUMMYFUNCTION("""COMPUTED_VALUE"""),"OWTAG-MI-X100")</f>
        <v>OWTAG-MI-X100</v>
      </c>
      <c r="F737" s="4" t="str">
        <f>IFERROR(__xludf.DUMMYFUNCTION("""COMPUTED_VALUE"""),"CONTROL DE ACCESO &gt; TARJETAS DE PROXIMIDAD")</f>
        <v>CONTROL DE ACCESO &gt; TARJETAS DE PROXIMIDAD</v>
      </c>
      <c r="G737" s="5"/>
      <c r="H737" s="6">
        <f>IFERROR(__xludf.DUMMYFUNCTION("""COMPUTED_VALUE"""),82.5)</f>
        <v>82.5</v>
      </c>
      <c r="I737" s="7">
        <f>IFERROR(__xludf.DUMMYFUNCTION("""COMPUTED_VALUE"""),10.5)</f>
        <v>10.5</v>
      </c>
      <c r="J737" s="6">
        <f>IFERROR(__xludf.DUMMYFUNCTION("""COMPUTED_VALUE"""),99.0)</f>
        <v>99</v>
      </c>
      <c r="K737" s="6">
        <f>IFERROR(__xludf.DUMMYFUNCTION("""COMPUTED_VALUE"""),115.5)</f>
        <v>115.5</v>
      </c>
      <c r="L737" s="3"/>
      <c r="M737" s="3"/>
    </row>
    <row r="738" ht="48.0" customHeight="1">
      <c r="A738" s="3" t="str">
        <f>IFERROR(__xludf.DUMMYFUNCTION("""COMPUTED_VALUE"""),"OWTAG-MI-X1000")</f>
        <v>OWTAG-MI-X1000</v>
      </c>
      <c r="B738" s="4" t="str">
        <f>IFERROR(__xludf.DUMMYFUNCTION("""COMPUTED_VALUE"""),"TAG DE PROXIMIDAD GRIS")</f>
        <v>TAG DE PROXIMIDAD GRIS</v>
      </c>
      <c r="C738" s="4" t="str">
        <f>IFERROR(__xludf.DUMMYFUNCTION("""COMPUTED_VALUE"""),"Tag de proximidad gris. 13,56MHZ MIFARE x 1000 unidades")</f>
        <v>Tag de proximidad gris. 13,56MHZ MIFARE x 1000 unidades</v>
      </c>
      <c r="D738" s="4" t="str">
        <f>IFERROR(__xludf.DUMMYFUNCTION("""COMPUTED_VALUE"""),"OWL LOCKS")</f>
        <v>OWL LOCKS</v>
      </c>
      <c r="E738" s="4" t="str">
        <f>IFERROR(__xludf.DUMMYFUNCTION("""COMPUTED_VALUE"""),"OWTAG-MI-X1000")</f>
        <v>OWTAG-MI-X1000</v>
      </c>
      <c r="F738" s="4" t="str">
        <f>IFERROR(__xludf.DUMMYFUNCTION("""COMPUTED_VALUE"""),"CONTROL DE ACCESO &gt; TARJETAS DE PROXIMIDAD")</f>
        <v>CONTROL DE ACCESO &gt; TARJETAS DE PROXIMIDAD</v>
      </c>
      <c r="G738" s="5"/>
      <c r="H738" s="6">
        <f>IFERROR(__xludf.DUMMYFUNCTION("""COMPUTED_VALUE"""),660.0)</f>
        <v>660</v>
      </c>
      <c r="I738" s="7">
        <f>IFERROR(__xludf.DUMMYFUNCTION("""COMPUTED_VALUE"""),10.5)</f>
        <v>10.5</v>
      </c>
      <c r="J738" s="6">
        <f>IFERROR(__xludf.DUMMYFUNCTION("""COMPUTED_VALUE"""),792.0)</f>
        <v>792</v>
      </c>
      <c r="K738" s="6">
        <f>IFERROR(__xludf.DUMMYFUNCTION("""COMPUTED_VALUE"""),924.0)</f>
        <v>924</v>
      </c>
      <c r="L738" s="3"/>
      <c r="M738" s="3"/>
    </row>
    <row r="739" ht="48.0" customHeight="1">
      <c r="A739" s="3" t="str">
        <f>IFERROR(__xludf.DUMMYFUNCTION("""COMPUTED_VALUE"""),"YOYO")</f>
        <v>YOYO</v>
      </c>
      <c r="B739" s="4" t="str">
        <f>IFERROR(__xludf.DUMMYFUNCTION("""COMPUTED_VALUE"""),"LLAVERO RETRÁCTIL PARA CREDENCIALES")</f>
        <v>LLAVERO RETRÁCTIL PARA CREDENCIALES</v>
      </c>
      <c r="C739" s="4" t="str">
        <f>IFERROR(__xludf.DUMMYFUNCTION("""COMPUTED_VALUE"""),"Llavero retráctil para credenciales")</f>
        <v>Llavero retráctil para credenciales</v>
      </c>
      <c r="D739" s="4" t="str">
        <f>IFERROR(__xludf.DUMMYFUNCTION("""COMPUTED_VALUE"""),"OWL LOCKS")</f>
        <v>OWL LOCKS</v>
      </c>
      <c r="E739" s="4" t="str">
        <f>IFERROR(__xludf.DUMMYFUNCTION("""COMPUTED_VALUE"""),"YOYO")</f>
        <v>YOYO</v>
      </c>
      <c r="F739" s="4" t="str">
        <f>IFERROR(__xludf.DUMMYFUNCTION("""COMPUTED_VALUE"""),"CONTROL DE ACCESO &gt; TARJETAS DE PROXIMIDAD")</f>
        <v>CONTROL DE ACCESO &gt; TARJETAS DE PROXIMIDAD</v>
      </c>
      <c r="G739" s="5"/>
      <c r="H739" s="6">
        <f>IFERROR(__xludf.DUMMYFUNCTION("""COMPUTED_VALUE"""),1.76)</f>
        <v>1.76</v>
      </c>
      <c r="I739" s="7">
        <f>IFERROR(__xludf.DUMMYFUNCTION("""COMPUTED_VALUE"""),21.0)</f>
        <v>21</v>
      </c>
      <c r="J739" s="6">
        <f>IFERROR(__xludf.DUMMYFUNCTION("""COMPUTED_VALUE"""),2.11)</f>
        <v>2.11</v>
      </c>
      <c r="K739" s="6">
        <f>IFERROR(__xludf.DUMMYFUNCTION("""COMPUTED_VALUE"""),2.46)</f>
        <v>2.46</v>
      </c>
      <c r="L739" s="3"/>
      <c r="M739" s="3"/>
    </row>
    <row r="740" ht="48.0" customHeight="1">
      <c r="A740" s="3" t="str">
        <f>IFERROR(__xludf.DUMMYFUNCTION("""COMPUTED_VALUE"""),"AR727CM")</f>
        <v>AR727CM</v>
      </c>
      <c r="B740" s="4" t="str">
        <f>IFERROR(__xludf.DUMMYFUNCTION("""COMPUTED_VALUE"""),"CONVERSOR DE SEÑAL 485 A TCP/IP PARA CONTROLADORES SOYAL")</f>
        <v>CONVERSOR DE SEÑAL 485 A TCP/IP PARA CONTROLADORES SOYAL</v>
      </c>
      <c r="C740" s="4" t="str">
        <f>IFERROR(__xludf.DUMMYFUNCTION("""COMPUTED_VALUE"""),"Conversor de señal 485 a TCP/IP para controladores Soyal")</f>
        <v>Conversor de señal 485 a TCP/IP para controladores Soyal</v>
      </c>
      <c r="D740" s="4" t="str">
        <f>IFERROR(__xludf.DUMMYFUNCTION("""COMPUTED_VALUE"""),"SOYAL")</f>
        <v>SOYAL</v>
      </c>
      <c r="E740" s="4" t="str">
        <f>IFERROR(__xludf.DUMMYFUNCTION("""COMPUTED_VALUE"""),"AR727CM")</f>
        <v>AR727CM</v>
      </c>
      <c r="F740" s="4" t="str">
        <f>IFERROR(__xludf.DUMMYFUNCTION("""COMPUTED_VALUE"""),"CONTROL DE ACCESO &gt; ACCESORIOS")</f>
        <v>CONTROL DE ACCESO &gt; ACCESORIOS</v>
      </c>
      <c r="G740" s="5"/>
      <c r="H740" s="6">
        <f>IFERROR(__xludf.DUMMYFUNCTION("""COMPUTED_VALUE"""),118.8)</f>
        <v>118.8</v>
      </c>
      <c r="I740" s="7">
        <f>IFERROR(__xludf.DUMMYFUNCTION("""COMPUTED_VALUE"""),21.0)</f>
        <v>21</v>
      </c>
      <c r="J740" s="6">
        <f>IFERROR(__xludf.DUMMYFUNCTION("""COMPUTED_VALUE"""),142.56)</f>
        <v>142.56</v>
      </c>
      <c r="K740" s="6">
        <f>IFERROR(__xludf.DUMMYFUNCTION("""COMPUTED_VALUE"""),166.32)</f>
        <v>166.32</v>
      </c>
      <c r="L740" s="3"/>
      <c r="M740" s="3"/>
    </row>
    <row r="741" ht="48.0" customHeight="1">
      <c r="A741" s="3" t="str">
        <f>IFERROR(__xludf.DUMMYFUNCTION("""COMPUTED_VALUE"""),"AR727CM-V38I4O485")</f>
        <v>AR727CM-V38I4O485</v>
      </c>
      <c r="B741" s="4" t="str">
        <f>IFERROR(__xludf.DUMMYFUNCTION("""COMPUTED_VALUE"""),"CONVERSOR DE SEÑAL RS 232 O 485 A TCP/IP")</f>
        <v>CONVERSOR DE SEÑAL RS 232 O 485 A TCP/IP</v>
      </c>
      <c r="C741" s="4" t="str">
        <f>IFERROR(__xludf.DUMMYFUNCTION("""COMPUTED_VALUE"""),"Conversor de señal RS 232 o 485 A TCP/IP para controladores Soyal con 4 entradas y 1 salidas rele NA/NC y 3 salidas digitales temporizadas")</f>
        <v>Conversor de señal RS 232 o 485 A TCP/IP para controladores Soyal con 4 entradas y 1 salidas rele NA/NC y 3 salidas digitales temporizadas</v>
      </c>
      <c r="D741" s="4" t="str">
        <f>IFERROR(__xludf.DUMMYFUNCTION("""COMPUTED_VALUE"""),"SOYAL")</f>
        <v>SOYAL</v>
      </c>
      <c r="E741" s="4" t="str">
        <f>IFERROR(__xludf.DUMMYFUNCTION("""COMPUTED_VALUE"""),"AR727CM-V38I4O485")</f>
        <v>AR727CM-V38I4O485</v>
      </c>
      <c r="F741" s="4" t="str">
        <f>IFERROR(__xludf.DUMMYFUNCTION("""COMPUTED_VALUE"""),"CONTROL DE ACCESO &gt; ACCESORIOS")</f>
        <v>CONTROL DE ACCESO &gt; ACCESORIOS</v>
      </c>
      <c r="G741" s="5"/>
      <c r="H741" s="6">
        <f>IFERROR(__xludf.DUMMYFUNCTION("""COMPUTED_VALUE"""),137.5)</f>
        <v>137.5</v>
      </c>
      <c r="I741" s="7">
        <f>IFERROR(__xludf.DUMMYFUNCTION("""COMPUTED_VALUE"""),21.0)</f>
        <v>21</v>
      </c>
      <c r="J741" s="6">
        <f>IFERROR(__xludf.DUMMYFUNCTION("""COMPUTED_VALUE"""),165.0)</f>
        <v>165</v>
      </c>
      <c r="K741" s="6">
        <f>IFERROR(__xludf.DUMMYFUNCTION("""COMPUTED_VALUE"""),192.5)</f>
        <v>192.5</v>
      </c>
      <c r="L741" s="3"/>
      <c r="M741" s="3"/>
    </row>
    <row r="742" ht="48.0" customHeight="1">
      <c r="A742" s="3" t="str">
        <f>IFERROR(__xludf.DUMMYFUNCTION("""COMPUTED_VALUE"""),"AR321CM")</f>
        <v>AR321CM</v>
      </c>
      <c r="B742" s="4" t="str">
        <f>IFERROR(__xludf.DUMMYFUNCTION("""COMPUTED_VALUE"""),"CONVERSOR USB A 485")</f>
        <v>CONVERSOR USB A 485</v>
      </c>
      <c r="C742" s="4" t="str">
        <f>IFERROR(__xludf.DUMMYFUNCTION("""COMPUTED_VALUE"""),"Conversor USB a 485")</f>
        <v>Conversor USB a 485</v>
      </c>
      <c r="D742" s="4" t="str">
        <f>IFERROR(__xludf.DUMMYFUNCTION("""COMPUTED_VALUE"""),"SOYAL")</f>
        <v>SOYAL</v>
      </c>
      <c r="E742" s="4" t="str">
        <f>IFERROR(__xludf.DUMMYFUNCTION("""COMPUTED_VALUE"""),"AR321CM")</f>
        <v>AR321CM</v>
      </c>
      <c r="F742" s="4" t="str">
        <f>IFERROR(__xludf.DUMMYFUNCTION("""COMPUTED_VALUE"""),"CONTROL DE ACCESO &gt; ACCESORIOS")</f>
        <v>CONTROL DE ACCESO &gt; ACCESORIOS</v>
      </c>
      <c r="G742" s="5"/>
      <c r="H742" s="6">
        <f>IFERROR(__xludf.DUMMYFUNCTION("""COMPUTED_VALUE"""),70.4)</f>
        <v>70.4</v>
      </c>
      <c r="I742" s="7">
        <f>IFERROR(__xludf.DUMMYFUNCTION("""COMPUTED_VALUE"""),21.0)</f>
        <v>21</v>
      </c>
      <c r="J742" s="6">
        <f>IFERROR(__xludf.DUMMYFUNCTION("""COMPUTED_VALUE"""),84.48)</f>
        <v>84.48</v>
      </c>
      <c r="K742" s="6">
        <f>IFERROR(__xludf.DUMMYFUNCTION("""COMPUTED_VALUE"""),98.56)</f>
        <v>98.56</v>
      </c>
      <c r="L742" s="3"/>
      <c r="M742" s="3"/>
    </row>
    <row r="743" ht="48.0" customHeight="1">
      <c r="A743" s="3" t="str">
        <f>IFERROR(__xludf.DUMMYFUNCTION("""COMPUTED_VALUE"""),"AR401RO16")</f>
        <v>AR401RO16</v>
      </c>
      <c r="B743" s="4" t="str">
        <f>IFERROR(__xludf.DUMMYFUNCTION("""COMPUTED_VALUE"""),"MÓDULO DE 16 SALIDAS PARA AUTOMATIZACIÓN")</f>
        <v>MÓDULO DE 16 SALIDAS PARA AUTOMATIZACIÓN</v>
      </c>
      <c r="C743" s="4" t="str">
        <f>IFERROR(__xludf.DUMMYFUNCTION("""COMPUTED_VALUE"""),"Módulo de 16 salidas para automatización")</f>
        <v>Módulo de 16 salidas para automatización</v>
      </c>
      <c r="D743" s="4" t="str">
        <f>IFERROR(__xludf.DUMMYFUNCTION("""COMPUTED_VALUE"""),"SOYAL")</f>
        <v>SOYAL</v>
      </c>
      <c r="E743" s="4" t="str">
        <f>IFERROR(__xludf.DUMMYFUNCTION("""COMPUTED_VALUE"""),"AR401RO16")</f>
        <v>AR401RO16</v>
      </c>
      <c r="F743" s="4" t="str">
        <f>IFERROR(__xludf.DUMMYFUNCTION("""COMPUTED_VALUE"""),"CONTROL DE ACCESO &gt; ACCESORIOS")</f>
        <v>CONTROL DE ACCESO &gt; ACCESORIOS</v>
      </c>
      <c r="G743" s="5"/>
      <c r="H743" s="6">
        <f>IFERROR(__xludf.DUMMYFUNCTION("""COMPUTED_VALUE"""),291.5)</f>
        <v>291.5</v>
      </c>
      <c r="I743" s="7">
        <f>IFERROR(__xludf.DUMMYFUNCTION("""COMPUTED_VALUE"""),10.5)</f>
        <v>10.5</v>
      </c>
      <c r="J743" s="6">
        <f>IFERROR(__xludf.DUMMYFUNCTION("""COMPUTED_VALUE"""),349.8)</f>
        <v>349.8</v>
      </c>
      <c r="K743" s="6">
        <f>IFERROR(__xludf.DUMMYFUNCTION("""COMPUTED_VALUE"""),408.1)</f>
        <v>408.1</v>
      </c>
      <c r="L743" s="3"/>
      <c r="M743" s="3"/>
    </row>
    <row r="744" ht="48.0" customHeight="1">
      <c r="A744" s="3" t="str">
        <f>IFERROR(__xludf.DUMMYFUNCTION("""COMPUTED_VALUE"""),"AR829L485321")</f>
        <v>AR829L485321</v>
      </c>
      <c r="B744" s="4" t="str">
        <f>IFERROR(__xludf.DUMMYFUNCTION("""COMPUTED_VALUE"""),"CONVERSOR DE SEÑAL TTL A RS485 PARA CONTROLADORES")</f>
        <v>CONVERSOR DE SEÑAL TTL A RS485 PARA CONTROLADORES</v>
      </c>
      <c r="C744" s="4" t="str">
        <f>IFERROR(__xludf.DUMMYFUNCTION("""COMPUTED_VALUE"""),"Conversor de señal TTL a RS485 para controladores")</f>
        <v>Conversor de señal TTL a RS485 para controladores</v>
      </c>
      <c r="D744" s="4" t="str">
        <f>IFERROR(__xludf.DUMMYFUNCTION("""COMPUTED_VALUE"""),"SOYAL")</f>
        <v>SOYAL</v>
      </c>
      <c r="E744" s="4" t="str">
        <f>IFERROR(__xludf.DUMMYFUNCTION("""COMPUTED_VALUE"""),"AR829L485321")</f>
        <v>AR829L485321</v>
      </c>
      <c r="F744" s="4" t="str">
        <f>IFERROR(__xludf.DUMMYFUNCTION("""COMPUTED_VALUE"""),"CONTROL DE ACCESO &gt; ACCESORIOS")</f>
        <v>CONTROL DE ACCESO &gt; ACCESORIOS</v>
      </c>
      <c r="G744" s="5"/>
      <c r="H744" s="6">
        <f>IFERROR(__xludf.DUMMYFUNCTION("""COMPUTED_VALUE"""),36.3)</f>
        <v>36.3</v>
      </c>
      <c r="I744" s="7">
        <f>IFERROR(__xludf.DUMMYFUNCTION("""COMPUTED_VALUE"""),10.5)</f>
        <v>10.5</v>
      </c>
      <c r="J744" s="6">
        <f>IFERROR(__xludf.DUMMYFUNCTION("""COMPUTED_VALUE"""),43.56)</f>
        <v>43.56</v>
      </c>
      <c r="K744" s="6">
        <f>IFERROR(__xludf.DUMMYFUNCTION("""COMPUTED_VALUE"""),50.82)</f>
        <v>50.82</v>
      </c>
      <c r="L744" s="3"/>
      <c r="M744" s="3"/>
    </row>
    <row r="745" ht="48.0" customHeight="1">
      <c r="A745" s="3" t="str">
        <f>IFERROR(__xludf.DUMMYFUNCTION("""COMPUTED_VALUE"""),"DKEXC")</f>
        <v>DKEXC</v>
      </c>
      <c r="B745" s="4" t="str">
        <f>IFERROR(__xludf.DUMMYFUNCTION("""COMPUTED_VALUE"""),"PLACA PARA MANEJO DE PUERTA DOBLE EXCLUSA PERMITE MANEJO")</f>
        <v>PLACA PARA MANEJO DE PUERTA DOBLE EXCLUSA PERMITE MANEJO</v>
      </c>
      <c r="C745" s="4" t="str">
        <f>IFERROR(__xludf.DUMMYFUNCTION("""COMPUTED_VALUE"""),"Placa para manejo de puerta doble exclusa permite manejo de cerraduras de corriente alterna o continua y accionamiento NA/NC")</f>
        <v>Placa para manejo de puerta doble exclusa permite manejo de cerraduras de corriente alterna o continua y accionamiento NA/NC</v>
      </c>
      <c r="D745" s="4" t="str">
        <f>IFERROR(__xludf.DUMMYFUNCTION("""COMPUTED_VALUE"""),"TEKSOR")</f>
        <v>TEKSOR</v>
      </c>
      <c r="E745" s="4" t="str">
        <f>IFERROR(__xludf.DUMMYFUNCTION("""COMPUTED_VALUE"""),"DKEXC")</f>
        <v>DKEXC</v>
      </c>
      <c r="F745" s="4" t="str">
        <f>IFERROR(__xludf.DUMMYFUNCTION("""COMPUTED_VALUE"""),"CONTROL DE ACCESO &gt; ACCESORIOS")</f>
        <v>CONTROL DE ACCESO &gt; ACCESORIOS</v>
      </c>
      <c r="G745" s="5"/>
      <c r="H745" s="6">
        <f>IFERROR(__xludf.DUMMYFUNCTION("""COMPUTED_VALUE"""),35.2)</f>
        <v>35.2</v>
      </c>
      <c r="I745" s="7">
        <f>IFERROR(__xludf.DUMMYFUNCTION("""COMPUTED_VALUE"""),21.0)</f>
        <v>21</v>
      </c>
      <c r="J745" s="6">
        <f>IFERROR(__xludf.DUMMYFUNCTION("""COMPUTED_VALUE"""),42.24)</f>
        <v>42.24</v>
      </c>
      <c r="K745" s="6">
        <f>IFERROR(__xludf.DUMMYFUNCTION("""COMPUTED_VALUE"""),49.28)</f>
        <v>49.28</v>
      </c>
      <c r="L745" s="3"/>
      <c r="M745" s="3"/>
    </row>
    <row r="746" ht="48.0" customHeight="1">
      <c r="A746" s="3" t="str">
        <f>IFERROR(__xludf.DUMMYFUNCTION("""COMPUTED_VALUE"""),"OL150")</f>
        <v>OL150</v>
      </c>
      <c r="B746" s="4" t="str">
        <f>IFERROR(__xludf.DUMMYFUNCTION("""COMPUTED_VALUE"""),"DESTRABA PESTILLO BOBINA DOBLE ELÉCTRICA 12VAC 1A FRENTE 93X26MM")</f>
        <v>DESTRABA PESTILLO BOBINA DOBLE ELÉCTRICA 12VAC 1A FRENTE 93X26MM</v>
      </c>
      <c r="C746" s="4" t="str">
        <f>IFERROR(__xludf.DUMMYFUNCTION("""COMPUTED_VALUE"""),"Destraba Pestillo Bobina doble eléctrica 12VAC 1A Frente 93x26mm. Cuerpo de 60x33mm.")</f>
        <v>Destraba Pestillo Bobina doble eléctrica 12VAC 1A Frente 93x26mm. Cuerpo de 60x33mm.</v>
      </c>
      <c r="D746" s="4" t="str">
        <f>IFERROR(__xludf.DUMMYFUNCTION("""COMPUTED_VALUE"""),"GENERICO")</f>
        <v>GENERICO</v>
      </c>
      <c r="E746" s="4" t="str">
        <f>IFERROR(__xludf.DUMMYFUNCTION("""COMPUTED_VALUE"""),"OL150")</f>
        <v>OL150</v>
      </c>
      <c r="F746" s="4" t="str">
        <f>IFERROR(__xludf.DUMMYFUNCTION("""COMPUTED_VALUE"""),"CONTROL DE ACCESO &gt; CERRADURAS")</f>
        <v>CONTROL DE ACCESO &gt; CERRADURAS</v>
      </c>
      <c r="G746" s="5"/>
      <c r="H746" s="6">
        <f>IFERROR(__xludf.DUMMYFUNCTION("""COMPUTED_VALUE"""),9.28)</f>
        <v>9.28</v>
      </c>
      <c r="I746" s="7">
        <f>IFERROR(__xludf.DUMMYFUNCTION("""COMPUTED_VALUE"""),21.0)</f>
        <v>21</v>
      </c>
      <c r="J746" s="6">
        <f>IFERROR(__xludf.DUMMYFUNCTION("""COMPUTED_VALUE"""),11.14)</f>
        <v>11.14</v>
      </c>
      <c r="K746" s="6">
        <f>IFERROR(__xludf.DUMMYFUNCTION("""COMPUTED_VALUE"""),12.99)</f>
        <v>12.99</v>
      </c>
      <c r="L746" s="3"/>
      <c r="M746" s="3"/>
    </row>
    <row r="747" ht="48.0" customHeight="1">
      <c r="A747" s="3" t="str">
        <f>IFERROR(__xludf.DUMMYFUNCTION("""COMPUTED_VALUE"""),"OL50")</f>
        <v>OL50</v>
      </c>
      <c r="B747" s="4" t="str">
        <f>IFERROR(__xludf.DUMMYFUNCTION("""COMPUTED_VALUE"""),"MINI DESTRABA PESTILLO BOBINA DOBLE ELÉCTRICA 12VAC 1A FRENTE")</f>
        <v>MINI DESTRABA PESTILLO BOBINA DOBLE ELÉCTRICA 12VAC 1A FRENTE</v>
      </c>
      <c r="C747" s="4" t="str">
        <f>IFERROR(__xludf.DUMMYFUNCTION("""COMPUTED_VALUE"""),"Mini Destraba Pestillo Bobina doble eléctrica 12VAC 1A Frente 93x26mm. Cuerpo de 60x22mm.")</f>
        <v>Mini Destraba Pestillo Bobina doble eléctrica 12VAC 1A Frente 93x26mm. Cuerpo de 60x22mm.</v>
      </c>
      <c r="D747" s="4" t="str">
        <f>IFERROR(__xludf.DUMMYFUNCTION("""COMPUTED_VALUE"""),"GENERICO")</f>
        <v>GENERICO</v>
      </c>
      <c r="E747" s="4" t="str">
        <f>IFERROR(__xludf.DUMMYFUNCTION("""COMPUTED_VALUE"""),"OL50")</f>
        <v>OL50</v>
      </c>
      <c r="F747" s="4" t="str">
        <f>IFERROR(__xludf.DUMMYFUNCTION("""COMPUTED_VALUE"""),"CONTROL DE ACCESO &gt; CERRADURAS")</f>
        <v>CONTROL DE ACCESO &gt; CERRADURAS</v>
      </c>
      <c r="G747" s="5"/>
      <c r="H747" s="6">
        <f>IFERROR(__xludf.DUMMYFUNCTION("""COMPUTED_VALUE"""),9.28)</f>
        <v>9.28</v>
      </c>
      <c r="I747" s="7">
        <f>IFERROR(__xludf.DUMMYFUNCTION("""COMPUTED_VALUE"""),21.0)</f>
        <v>21</v>
      </c>
      <c r="J747" s="6">
        <f>IFERROR(__xludf.DUMMYFUNCTION("""COMPUTED_VALUE"""),11.14)</f>
        <v>11.14</v>
      </c>
      <c r="K747" s="6">
        <f>IFERROR(__xludf.DUMMYFUNCTION("""COMPUTED_VALUE"""),12.99)</f>
        <v>12.99</v>
      </c>
      <c r="L747" s="3"/>
      <c r="M747" s="3"/>
    </row>
    <row r="748" ht="48.0" customHeight="1">
      <c r="A748" s="3" t="str">
        <f>IFERROR(__xludf.DUMMYFUNCTION("""COMPUTED_VALUE"""),"OWSL124KS")</f>
        <v>OWSL124KS</v>
      </c>
      <c r="B748" s="4" t="str">
        <f>IFERROR(__xludf.DUMMYFUNCTION("""COMPUTED_VALUE"""),"MINI DESTRABA PESTILLO REFORZADO 12VCC")</f>
        <v>MINI DESTRABA PESTILLO REFORZADO 12VCC</v>
      </c>
      <c r="C748" s="4" t="str">
        <f>IFERROR(__xludf.DUMMYFUNCTION("""COMPUTED_VALUE"""),"Mini Destraba Pestillo REFORZADO 12VCC. Medidas L124*W43*H32mm")</f>
        <v>Mini Destraba Pestillo REFORZADO 12VCC. Medidas L124*W43*H32mm</v>
      </c>
      <c r="D748" s="4" t="str">
        <f>IFERROR(__xludf.DUMMYFUNCTION("""COMPUTED_VALUE"""),"OWL LOCKS")</f>
        <v>OWL LOCKS</v>
      </c>
      <c r="E748" s="4" t="str">
        <f>IFERROR(__xludf.DUMMYFUNCTION("""COMPUTED_VALUE"""),"OWSL124KS")</f>
        <v>OWSL124KS</v>
      </c>
      <c r="F748" s="4" t="str">
        <f>IFERROR(__xludf.DUMMYFUNCTION("""COMPUTED_VALUE"""),"CONTROL DE ACCESO &gt; CERRADURAS")</f>
        <v>CONTROL DE ACCESO &gt; CERRADURAS</v>
      </c>
      <c r="G748" s="5"/>
      <c r="H748" s="6">
        <f>IFERROR(__xludf.DUMMYFUNCTION("""COMPUTED_VALUE"""),50.05)</f>
        <v>50.05</v>
      </c>
      <c r="I748" s="7">
        <f>IFERROR(__xludf.DUMMYFUNCTION("""COMPUTED_VALUE"""),21.0)</f>
        <v>21</v>
      </c>
      <c r="J748" s="6">
        <f>IFERROR(__xludf.DUMMYFUNCTION("""COMPUTED_VALUE"""),60.06)</f>
        <v>60.06</v>
      </c>
      <c r="K748" s="6">
        <f>IFERROR(__xludf.DUMMYFUNCTION("""COMPUTED_VALUE"""),70.07)</f>
        <v>70.07</v>
      </c>
      <c r="L748" s="3"/>
      <c r="M748" s="3"/>
    </row>
    <row r="749" ht="48.0" customHeight="1">
      <c r="A749" s="3" t="str">
        <f>IFERROR(__xludf.DUMMYFUNCTION("""COMPUTED_VALUE"""),"OWSL150ANO")</f>
        <v>OWSL150ANO</v>
      </c>
      <c r="B749" s="4" t="str">
        <f>IFERROR(__xludf.DUMMYFUNCTION("""COMPUTED_VALUE"""),"DESTRABA PESTILLOS ELÉCTRICO 12VDC, 250 KILOS 120MA")</f>
        <v>DESTRABA PESTILLOS ELÉCTRICO 12VDC, 250 KILOS 120MA</v>
      </c>
      <c r="C749" s="4" t="str">
        <f>IFERROR(__xludf.DUMMYFUNCTION("""COMPUTED_VALUE"""),"Destraba pestillos eléctrico 12VDC, 250 Kilos 120mA. Dimensiones: 150(L)x30(A)x28(P) Apertura power ON Fail Secure NO")</f>
        <v>Destraba pestillos eléctrico 12VDC, 250 Kilos 120mA. Dimensiones: 150(L)x30(A)x28(P) Apertura power ON Fail Secure NO</v>
      </c>
      <c r="D749" s="4" t="str">
        <f>IFERROR(__xludf.DUMMYFUNCTION("""COMPUTED_VALUE"""),"OWL LOCKS")</f>
        <v>OWL LOCKS</v>
      </c>
      <c r="E749" s="4" t="str">
        <f>IFERROR(__xludf.DUMMYFUNCTION("""COMPUTED_VALUE"""),"OWSL150ANO")</f>
        <v>OWSL150ANO</v>
      </c>
      <c r="F749" s="4" t="str">
        <f>IFERROR(__xludf.DUMMYFUNCTION("""COMPUTED_VALUE"""),"CONTROL DE ACCESO &gt; CERRADURAS")</f>
        <v>CONTROL DE ACCESO &gt; CERRADURAS</v>
      </c>
      <c r="G749" s="5"/>
      <c r="H749" s="6">
        <f>IFERROR(__xludf.DUMMYFUNCTION("""COMPUTED_VALUE"""),32.89)</f>
        <v>32.89</v>
      </c>
      <c r="I749" s="7">
        <f>IFERROR(__xludf.DUMMYFUNCTION("""COMPUTED_VALUE"""),21.0)</f>
        <v>21</v>
      </c>
      <c r="J749" s="6">
        <f>IFERROR(__xludf.DUMMYFUNCTION("""COMPUTED_VALUE"""),39.47)</f>
        <v>39.47</v>
      </c>
      <c r="K749" s="6">
        <f>IFERROR(__xludf.DUMMYFUNCTION("""COMPUTED_VALUE"""),46.05)</f>
        <v>46.05</v>
      </c>
      <c r="L749" s="3"/>
      <c r="M749" s="3"/>
    </row>
    <row r="750" ht="48.0" customHeight="1">
      <c r="A750" s="3" t="str">
        <f>IFERROR(__xludf.DUMMYFUNCTION("""COMPUTED_VALUE"""),"OWSL150BNO")</f>
        <v>OWSL150BNO</v>
      </c>
      <c r="B750" s="4" t="str">
        <f>IFERROR(__xludf.DUMMYFUNCTION("""COMPUTED_VALUE"""),"DESTRABA PESTILLOS ELÉCTRICO CON COVERTOR PLÁSTICO 12VDC, 250 KILOS")</f>
        <v>DESTRABA PESTILLOS ELÉCTRICO CON COVERTOR PLÁSTICO 12VDC, 250 KILOS</v>
      </c>
      <c r="C750" s="4" t="str">
        <f>IFERROR(__xludf.DUMMYFUNCTION("""COMPUTED_VALUE"""),"Destraba pestillos eléctrico con covertor plástico 12VDC, 250 Kilos 120mA. Dimensiones: 150(L)x30(A)x28(P) Apertura power ON Fail Secure NO")</f>
        <v>Destraba pestillos eléctrico con covertor plástico 12VDC, 250 Kilos 120mA. Dimensiones: 150(L)x30(A)x28(P) Apertura power ON Fail Secure NO</v>
      </c>
      <c r="D750" s="4" t="str">
        <f>IFERROR(__xludf.DUMMYFUNCTION("""COMPUTED_VALUE"""),"OWL LOCKS")</f>
        <v>OWL LOCKS</v>
      </c>
      <c r="E750" s="4" t="str">
        <f>IFERROR(__xludf.DUMMYFUNCTION("""COMPUTED_VALUE"""),"OWSL150BNO")</f>
        <v>OWSL150BNO</v>
      </c>
      <c r="F750" s="4" t="str">
        <f>IFERROR(__xludf.DUMMYFUNCTION("""COMPUTED_VALUE"""),"CONTROL DE ACCESO &gt; CERRADURAS")</f>
        <v>CONTROL DE ACCESO &gt; CERRADURAS</v>
      </c>
      <c r="G750" s="5"/>
      <c r="H750" s="6">
        <f>IFERROR(__xludf.DUMMYFUNCTION("""COMPUTED_VALUE"""),32.89)</f>
        <v>32.89</v>
      </c>
      <c r="I750" s="7">
        <f>IFERROR(__xludf.DUMMYFUNCTION("""COMPUTED_VALUE"""),21.0)</f>
        <v>21</v>
      </c>
      <c r="J750" s="6">
        <f>IFERROR(__xludf.DUMMYFUNCTION("""COMPUTED_VALUE"""),39.47)</f>
        <v>39.47</v>
      </c>
      <c r="K750" s="6">
        <f>IFERROR(__xludf.DUMMYFUNCTION("""COMPUTED_VALUE"""),46.05)</f>
        <v>46.05</v>
      </c>
      <c r="L750" s="3"/>
      <c r="M750" s="3"/>
    </row>
    <row r="751" ht="48.0" customHeight="1">
      <c r="A751" s="3" t="str">
        <f>IFERROR(__xludf.DUMMYFUNCTION("""COMPUTED_VALUE"""),"OWSL150BNC")</f>
        <v>OWSL150BNC</v>
      </c>
      <c r="B751" s="4" t="str">
        <f>IFERROR(__xludf.DUMMYFUNCTION("""COMPUTED_VALUE"""),"DESTRABA PESTILLOS ELÉCTRICO CON COVERTOR PLÁSTICO 12VDC, 250 KILOS")</f>
        <v>DESTRABA PESTILLOS ELÉCTRICO CON COVERTOR PLÁSTICO 12VDC, 250 KILOS</v>
      </c>
      <c r="C751" s="4" t="str">
        <f>IFERROR(__xludf.DUMMYFUNCTION("""COMPUTED_VALUE"""),"Destraba pestillos eléctrico con covertor plástico 12VDC, 250 Kilos 120mA. Dimensiones: 150(L)x30(A)x28(P) Apertura power OFF Fail Safe NC")</f>
        <v>Destraba pestillos eléctrico con covertor plástico 12VDC, 250 Kilos 120mA. Dimensiones: 150(L)x30(A)x28(P) Apertura power OFF Fail Safe NC</v>
      </c>
      <c r="D751" s="4" t="str">
        <f>IFERROR(__xludf.DUMMYFUNCTION("""COMPUTED_VALUE"""),"OWL LOCKS")</f>
        <v>OWL LOCKS</v>
      </c>
      <c r="E751" s="4" t="str">
        <f>IFERROR(__xludf.DUMMYFUNCTION("""COMPUTED_VALUE"""),"OWSL150BNC")</f>
        <v>OWSL150BNC</v>
      </c>
      <c r="F751" s="4" t="str">
        <f>IFERROR(__xludf.DUMMYFUNCTION("""COMPUTED_VALUE"""),"CONTROL DE ACCESO &gt; CERRADURAS")</f>
        <v>CONTROL DE ACCESO &gt; CERRADURAS</v>
      </c>
      <c r="G751" s="5"/>
      <c r="H751" s="6">
        <f>IFERROR(__xludf.DUMMYFUNCTION("""COMPUTED_VALUE"""),31.35)</f>
        <v>31.35</v>
      </c>
      <c r="I751" s="7">
        <f>IFERROR(__xludf.DUMMYFUNCTION("""COMPUTED_VALUE"""),21.0)</f>
        <v>21</v>
      </c>
      <c r="J751" s="6">
        <f>IFERROR(__xludf.DUMMYFUNCTION("""COMPUTED_VALUE"""),37.62)</f>
        <v>37.62</v>
      </c>
      <c r="K751" s="6">
        <f>IFERROR(__xludf.DUMMYFUNCTION("""COMPUTED_VALUE"""),43.89)</f>
        <v>43.89</v>
      </c>
      <c r="L751" s="3"/>
      <c r="M751" s="3"/>
    </row>
    <row r="752" ht="48.0" customHeight="1">
      <c r="A752" s="3" t="str">
        <f>IFERROR(__xludf.DUMMYFUNCTION("""COMPUTED_VALUE"""),"OLP2020")</f>
        <v>OLP2020</v>
      </c>
      <c r="B752" s="4" t="str">
        <f>IFERROR(__xludf.DUMMYFUNCTION("""COMPUTED_VALUE"""),"CERRADURA ELÉCTRICA PARA PORTONES AUTOMÁTICOS")</f>
        <v>CERRADURA ELÉCTRICA PARA PORTONES AUTOMÁTICOS</v>
      </c>
      <c r="C752" s="4" t="str">
        <f>IFERROR(__xludf.DUMMYFUNCTION("""COMPUTED_VALUE"""),"Cerradura eléctrica para portones automáticos. Accionamiento eléctrico. Con tambor y 2 llaves tipo yale.Contrafrente para deslizamiento de perno. Traba perno de 18mm de diámetro. Alimentación 220V.")</f>
        <v>Cerradura eléctrica para portones automáticos. Accionamiento eléctrico. Con tambor y 2 llaves tipo yale.Contrafrente para deslizamiento de perno. Traba perno de 18mm de diámetro. Alimentación 220V.</v>
      </c>
      <c r="D752" s="4" t="str">
        <f>IFERROR(__xludf.DUMMYFUNCTION("""COMPUTED_VALUE"""),"GENERICO")</f>
        <v>GENERICO</v>
      </c>
      <c r="E752" s="4" t="str">
        <f>IFERROR(__xludf.DUMMYFUNCTION("""COMPUTED_VALUE"""),"OLP2020")</f>
        <v>OLP2020</v>
      </c>
      <c r="F752" s="4" t="str">
        <f>IFERROR(__xludf.DUMMYFUNCTION("""COMPUTED_VALUE"""),"CONTROL DE ACCESO &gt; CERRADURAS")</f>
        <v>CONTROL DE ACCESO &gt; CERRADURAS</v>
      </c>
      <c r="G752" s="5"/>
      <c r="H752" s="6">
        <f>IFERROR(__xludf.DUMMYFUNCTION("""COMPUTED_VALUE"""),105.59)</f>
        <v>105.59</v>
      </c>
      <c r="I752" s="7">
        <f>IFERROR(__xludf.DUMMYFUNCTION("""COMPUTED_VALUE"""),21.0)</f>
        <v>21</v>
      </c>
      <c r="J752" s="6">
        <f>IFERROR(__xludf.DUMMYFUNCTION("""COMPUTED_VALUE"""),126.71)</f>
        <v>126.71</v>
      </c>
      <c r="K752" s="6">
        <f>IFERROR(__xludf.DUMMYFUNCTION("""COMPUTED_VALUE"""),147.83)</f>
        <v>147.83</v>
      </c>
      <c r="L752" s="3"/>
      <c r="M752" s="3"/>
    </row>
    <row r="753" ht="48.0" customHeight="1">
      <c r="A753" s="3" t="str">
        <f>IFERROR(__xludf.DUMMYFUNCTION("""COMPUTED_VALUE"""),"OWRL511")</f>
        <v>OWRL511</v>
      </c>
      <c r="B753" s="4" t="str">
        <f>IFERROR(__xludf.DUMMYFUNCTION("""COMPUTED_VALUE"""),"CERRADURA ELÉCTRICA 130(L)X106(A)X40(P) VOLTAJE 12VDC / 350MA ACCIONAM")</f>
        <v>CERRADURA ELÉCTRICA 130(L)X106(A)X40(P) VOLTAJE 12VDC / 350MA ACCIONAM</v>
      </c>
      <c r="C753" s="4" t="str">
        <f>IFERROR(__xludf.DUMMYFUNCTION("""COMPUTED_VALUE"""),"Cerradura eléctrica 130(L)x106(A)x40(P) Voltaje 12VDC / 350mA Accionamiento eléctrico, sensor de puerta. Con 1 tambor y 2 llaves. Perilla para deslizamiento de perno. Terminación PULIDO")</f>
        <v>Cerradura eléctrica 130(L)x106(A)x40(P) Voltaje 12VDC / 350mA Accionamiento eléctrico, sensor de puerta. Con 1 tambor y 2 llaves. Perilla para deslizamiento de perno. Terminación PULIDO</v>
      </c>
      <c r="D753" s="4" t="str">
        <f>IFERROR(__xludf.DUMMYFUNCTION("""COMPUTED_VALUE"""),"OWL LOCKS")</f>
        <v>OWL LOCKS</v>
      </c>
      <c r="E753" s="4" t="str">
        <f>IFERROR(__xludf.DUMMYFUNCTION("""COMPUTED_VALUE"""),"OWRL511")</f>
        <v>OWRL511</v>
      </c>
      <c r="F753" s="4" t="str">
        <f>IFERROR(__xludf.DUMMYFUNCTION("""COMPUTED_VALUE"""),"CONTROL DE ACCESO &gt; CERRADURAS")</f>
        <v>CONTROL DE ACCESO &gt; CERRADURAS</v>
      </c>
      <c r="G753" s="5"/>
      <c r="H753" s="6">
        <f>IFERROR(__xludf.DUMMYFUNCTION("""COMPUTED_VALUE"""),49.5)</f>
        <v>49.5</v>
      </c>
      <c r="I753" s="7">
        <f>IFERROR(__xludf.DUMMYFUNCTION("""COMPUTED_VALUE"""),21.0)</f>
        <v>21</v>
      </c>
      <c r="J753" s="6">
        <f>IFERROR(__xludf.DUMMYFUNCTION("""COMPUTED_VALUE"""),59.4)</f>
        <v>59.4</v>
      </c>
      <c r="K753" s="6">
        <f>IFERROR(__xludf.DUMMYFUNCTION("""COMPUTED_VALUE"""),69.3)</f>
        <v>69.3</v>
      </c>
      <c r="L753" s="3"/>
      <c r="M753" s="3"/>
    </row>
    <row r="754" ht="48.0" customHeight="1">
      <c r="A754" s="3" t="str">
        <f>IFERROR(__xludf.DUMMYFUNCTION("""COMPUTED_VALUE"""),"OWRL512")</f>
        <v>OWRL512</v>
      </c>
      <c r="B754" s="4" t="str">
        <f>IFERROR(__xludf.DUMMYFUNCTION("""COMPUTED_VALUE"""),"CERRADURA ELÉCTRICA 130(L)X106(A)X40(P) VOLTAJE 12VDC / 350MA ACCIONAM")</f>
        <v>CERRADURA ELÉCTRICA 130(L)X106(A)X40(P) VOLTAJE 12VDC / 350MA ACCIONAM</v>
      </c>
      <c r="C754" s="4" t="str">
        <f>IFERROR(__xludf.DUMMYFUNCTION("""COMPUTED_VALUE"""),"Cerradura eléctrica 130(L)x106(A)x40(P) Voltaje 12VDC / 350mA Accionamiento eléctrico, sensor de puerta. Con 2 tambores y 2 llaves. Terminación PULIDO")</f>
        <v>Cerradura eléctrica 130(L)x106(A)x40(P) Voltaje 12VDC / 350mA Accionamiento eléctrico, sensor de puerta. Con 2 tambores y 2 llaves. Terminación PULIDO</v>
      </c>
      <c r="D754" s="4" t="str">
        <f>IFERROR(__xludf.DUMMYFUNCTION("""COMPUTED_VALUE"""),"OWL LOCKS")</f>
        <v>OWL LOCKS</v>
      </c>
      <c r="E754" s="4" t="str">
        <f>IFERROR(__xludf.DUMMYFUNCTION("""COMPUTED_VALUE"""),"OWRL512")</f>
        <v>OWRL512</v>
      </c>
      <c r="F754" s="4" t="str">
        <f>IFERROR(__xludf.DUMMYFUNCTION("""COMPUTED_VALUE"""),"CONTROL DE ACCESO &gt; CERRADURAS")</f>
        <v>CONTROL DE ACCESO &gt; CERRADURAS</v>
      </c>
      <c r="G754" s="5"/>
      <c r="H754" s="6">
        <f>IFERROR(__xludf.DUMMYFUNCTION("""COMPUTED_VALUE"""),64.9)</f>
        <v>64.9</v>
      </c>
      <c r="I754" s="7">
        <f>IFERROR(__xludf.DUMMYFUNCTION("""COMPUTED_VALUE"""),21.0)</f>
        <v>21</v>
      </c>
      <c r="J754" s="6">
        <f>IFERROR(__xludf.DUMMYFUNCTION("""COMPUTED_VALUE"""),77.88)</f>
        <v>77.88</v>
      </c>
      <c r="K754" s="6">
        <f>IFERROR(__xludf.DUMMYFUNCTION("""COMPUTED_VALUE"""),90.86)</f>
        <v>90.86</v>
      </c>
      <c r="L754" s="3"/>
      <c r="M754" s="3"/>
    </row>
    <row r="755" ht="48.0" customHeight="1">
      <c r="A755" s="3" t="str">
        <f>IFERROR(__xludf.DUMMYFUNCTION("""COMPUTED_VALUE"""),"AR1207A29")</f>
        <v>AR1207A29</v>
      </c>
      <c r="B755" s="4" t="str">
        <f>IFERROR(__xludf.DUMMYFUNCTION("""COMPUTED_VALUE"""),"CERRADURA CON PERNO CON SENSOR DE PUERTA NC/NA")</f>
        <v>CERRADURA CON PERNO CON SENSOR DE PUERTA NC/NA</v>
      </c>
      <c r="C755" s="4" t="str">
        <f>IFERROR(__xludf.DUMMYFUNCTION("""COMPUTED_VALUE"""),"Cerradura con perno con sensor de puerta NC/NA. Fail Safe. REX. Autocierre por inactividad. Demora:0/3/9 seg. Dimensiones: 205(L)x32(A)x44(P) / 104(L)x32(A)x35(P). La cerradura permanece accionada mientras se mantenga la alimentación.")</f>
        <v>Cerradura con perno con sensor de puerta NC/NA. Fail Safe. REX. Autocierre por inactividad. Demora:0/3/9 seg. Dimensiones: 205(L)x32(A)x44(P) / 104(L)x32(A)x35(P). La cerradura permanece accionada mientras se mantenga la alimentación.</v>
      </c>
      <c r="D755" s="4" t="str">
        <f>IFERROR(__xludf.DUMMYFUNCTION("""COMPUTED_VALUE"""),"SOYAL")</f>
        <v>SOYAL</v>
      </c>
      <c r="E755" s="4" t="str">
        <f>IFERROR(__xludf.DUMMYFUNCTION("""COMPUTED_VALUE"""),"AR1207A29")</f>
        <v>AR1207A29</v>
      </c>
      <c r="F755" s="4" t="str">
        <f>IFERROR(__xludf.DUMMYFUNCTION("""COMPUTED_VALUE"""),"CONTROL DE ACCESO &gt; CERRADURAS")</f>
        <v>CONTROL DE ACCESO &gt; CERRADURAS</v>
      </c>
      <c r="G755" s="5"/>
      <c r="H755" s="6">
        <f>IFERROR(__xludf.DUMMYFUNCTION("""COMPUTED_VALUE"""),130.9)</f>
        <v>130.9</v>
      </c>
      <c r="I755" s="7">
        <f>IFERROR(__xludf.DUMMYFUNCTION("""COMPUTED_VALUE"""),21.0)</f>
        <v>21</v>
      </c>
      <c r="J755" s="6">
        <f>IFERROR(__xludf.DUMMYFUNCTION("""COMPUTED_VALUE"""),157.08)</f>
        <v>157.08</v>
      </c>
      <c r="K755" s="6">
        <f>IFERROR(__xludf.DUMMYFUNCTION("""COMPUTED_VALUE"""),183.26)</f>
        <v>183.26</v>
      </c>
      <c r="L755" s="3"/>
      <c r="M755" s="3"/>
    </row>
    <row r="756" ht="48.0" customHeight="1">
      <c r="A756" s="3" t="str">
        <f>IFERROR(__xludf.DUMMYFUNCTION("""COMPUTED_VALUE"""),"AR1207A29F")</f>
        <v>AR1207A29F</v>
      </c>
      <c r="B756" s="4" t="str">
        <f>IFERROR(__xludf.DUMMYFUNCTION("""COMPUTED_VALUE"""),"CERRADURA CON PERNO CON SENSOR DE PUERTA NC/NA")</f>
        <v>CERRADURA CON PERNO CON SENSOR DE PUERTA NC/NA</v>
      </c>
      <c r="C756" s="4" t="str">
        <f>IFERROR(__xludf.DUMMYFUNCTION("""COMPUTED_VALUE"""),"Cerradura con perno con sensor de puerta NC/NA. Fail Safe. REX. Autocierre por inactividad. Demora:0/3/9 seg. Dimensiones: 205(L)x32(A)x44(P) / 104(L)x32(A)x35(P) Con posibilidad de instalacion de tambor con llave. La cerradura permanece accionada mientra"&amp;"s se mantenga la alimentación.")</f>
        <v>Cerradura con perno con sensor de puerta NC/NA. Fail Safe. REX. Autocierre por inactividad. Demora:0/3/9 seg. Dimensiones: 205(L)x32(A)x44(P) / 104(L)x32(A)x35(P) Con posibilidad de instalacion de tambor con llave. La cerradura permanece accionada mientras se mantenga la alimentación.</v>
      </c>
      <c r="D756" s="4" t="str">
        <f>IFERROR(__xludf.DUMMYFUNCTION("""COMPUTED_VALUE"""),"SOYAL")</f>
        <v>SOYAL</v>
      </c>
      <c r="E756" s="4" t="str">
        <f>IFERROR(__xludf.DUMMYFUNCTION("""COMPUTED_VALUE"""),"AR1207A29F")</f>
        <v>AR1207A29F</v>
      </c>
      <c r="F756" s="4" t="str">
        <f>IFERROR(__xludf.DUMMYFUNCTION("""COMPUTED_VALUE"""),"CONTROL DE ACCESO &gt; CERRADURAS")</f>
        <v>CONTROL DE ACCESO &gt; CERRADURAS</v>
      </c>
      <c r="G756" s="5"/>
      <c r="H756" s="6">
        <f>IFERROR(__xludf.DUMMYFUNCTION("""COMPUTED_VALUE"""),138.6)</f>
        <v>138.6</v>
      </c>
      <c r="I756" s="7">
        <f>IFERROR(__xludf.DUMMYFUNCTION("""COMPUTED_VALUE"""),21.0)</f>
        <v>21</v>
      </c>
      <c r="J756" s="6">
        <f>IFERROR(__xludf.DUMMYFUNCTION("""COMPUTED_VALUE"""),166.32)</f>
        <v>166.32</v>
      </c>
      <c r="K756" s="6">
        <f>IFERROR(__xludf.DUMMYFUNCTION("""COMPUTED_VALUE"""),194.04)</f>
        <v>194.04</v>
      </c>
      <c r="L756" s="3"/>
      <c r="M756" s="3"/>
    </row>
    <row r="757" ht="48.0" customHeight="1">
      <c r="A757" s="3" t="str">
        <f>IFERROR(__xludf.DUMMYFUNCTION("""COMPUTED_VALUE"""),"AR1201ABR")</f>
        <v>AR1201ABR</v>
      </c>
      <c r="B757" s="4" t="str">
        <f>IFERROR(__xludf.DUMMYFUNCTION("""COMPUTED_VALUE"""),"KIT DE ACCESORIOS DE MONTAJE DE SUPERFICIE PARA CERRADURAS")</f>
        <v>KIT DE ACCESORIOS DE MONTAJE DE SUPERFICIE PARA CERRADURAS</v>
      </c>
      <c r="C757" s="4" t="str">
        <f>IFERROR(__xludf.DUMMYFUNCTION("""COMPUTED_VALUE"""),"Kit de accesorios de montaje de superficie para cerraduras AR1207A para montaje en superficie. Dimensiones: 211(L)x44(A)x50(P) / 110(L)x44(A)x50(P)")</f>
        <v>Kit de accesorios de montaje de superficie para cerraduras AR1207A para montaje en superficie. Dimensiones: 211(L)x44(A)x50(P) / 110(L)x44(A)x50(P)</v>
      </c>
      <c r="D757" s="4" t="str">
        <f>IFERROR(__xludf.DUMMYFUNCTION("""COMPUTED_VALUE"""),"SOYAL")</f>
        <v>SOYAL</v>
      </c>
      <c r="E757" s="4" t="str">
        <f>IFERROR(__xludf.DUMMYFUNCTION("""COMPUTED_VALUE"""),"AR1201ABR")</f>
        <v>AR1201ABR</v>
      </c>
      <c r="F757" s="4" t="str">
        <f>IFERROR(__xludf.DUMMYFUNCTION("""COMPUTED_VALUE"""),"CONTROL DE ACCESO &gt; CERRADURAS")</f>
        <v>CONTROL DE ACCESO &gt; CERRADURAS</v>
      </c>
      <c r="G757" s="5"/>
      <c r="H757" s="6">
        <f>IFERROR(__xludf.DUMMYFUNCTION("""COMPUTED_VALUE"""),53.9)</f>
        <v>53.9</v>
      </c>
      <c r="I757" s="7">
        <f>IFERROR(__xludf.DUMMYFUNCTION("""COMPUTED_VALUE"""),21.0)</f>
        <v>21</v>
      </c>
      <c r="J757" s="6">
        <f>IFERROR(__xludf.DUMMYFUNCTION("""COMPUTED_VALUE"""),64.68)</f>
        <v>64.68</v>
      </c>
      <c r="K757" s="6">
        <f>IFERROR(__xludf.DUMMYFUNCTION("""COMPUTED_VALUE"""),75.46)</f>
        <v>75.46</v>
      </c>
      <c r="L757" s="3"/>
      <c r="M757" s="3"/>
    </row>
    <row r="758" ht="48.0" customHeight="1">
      <c r="A758" s="3" t="str">
        <f>IFERROR(__xludf.DUMMYFUNCTION("""COMPUTED_VALUE"""),"AR1201AUBR")</f>
        <v>AR1201AUBR</v>
      </c>
      <c r="B758" s="4" t="str">
        <f>IFERROR(__xludf.DUMMYFUNCTION("""COMPUTED_VALUE"""),"KIT DE ACCESORIOS DE MONTAJE DE SUPERFICIE PARA CERRADURAS")</f>
        <v>KIT DE ACCESORIOS DE MONTAJE DE SUPERFICIE PARA CERRADURAS</v>
      </c>
      <c r="C758" s="4" t="str">
        <f>IFERROR(__xludf.DUMMYFUNCTION("""COMPUTED_VALUE"""),"Kit de accesorios de montaje de superficie para cerraduras AR1207A para puerta blindex.")</f>
        <v>Kit de accesorios de montaje de superficie para cerraduras AR1207A para puerta blindex.</v>
      </c>
      <c r="D758" s="4" t="str">
        <f>IFERROR(__xludf.DUMMYFUNCTION("""COMPUTED_VALUE"""),"SOYAL")</f>
        <v>SOYAL</v>
      </c>
      <c r="E758" s="4" t="str">
        <f>IFERROR(__xludf.DUMMYFUNCTION("""COMPUTED_VALUE"""),"AR1201AUBR")</f>
        <v>AR1201AUBR</v>
      </c>
      <c r="F758" s="4" t="str">
        <f>IFERROR(__xludf.DUMMYFUNCTION("""COMPUTED_VALUE"""),"CONTROL DE ACCESO &gt; CERRADURAS")</f>
        <v>CONTROL DE ACCESO &gt; CERRADURAS</v>
      </c>
      <c r="G758" s="5"/>
      <c r="H758" s="6">
        <f>IFERROR(__xludf.DUMMYFUNCTION("""COMPUTED_VALUE"""),60.5)</f>
        <v>60.5</v>
      </c>
      <c r="I758" s="7">
        <f>IFERROR(__xludf.DUMMYFUNCTION("""COMPUTED_VALUE"""),21.0)</f>
        <v>21</v>
      </c>
      <c r="J758" s="6">
        <f>IFERROR(__xludf.DUMMYFUNCTION("""COMPUTED_VALUE"""),72.6)</f>
        <v>72.6</v>
      </c>
      <c r="K758" s="6">
        <f>IFERROR(__xludf.DUMMYFUNCTION("""COMPUTED_VALUE"""),84.7)</f>
        <v>84.7</v>
      </c>
      <c r="L758" s="3"/>
      <c r="M758" s="3"/>
    </row>
    <row r="759" ht="48.0" customHeight="1">
      <c r="A759" s="3" t="str">
        <f>IFERROR(__xludf.DUMMYFUNCTION("""COMPUTED_VALUE"""),"AR1207AU")</f>
        <v>AR1207AU</v>
      </c>
      <c r="B759" s="4" t="str">
        <f>IFERROR(__xludf.DUMMYFUNCTION("""COMPUTED_VALUE"""),"ACCESORIOS DE MONTAJE PARA BLINDEX PARA EL LADO DEL")</f>
        <v>ACCESORIOS DE MONTAJE PARA BLINDEX PARA EL LADO DEL</v>
      </c>
      <c r="C759" s="4" t="str">
        <f>IFERROR(__xludf.DUMMYFUNCTION("""COMPUTED_VALUE"""),"Accesorios de montaje para blindex para el lado del cuerpo de la cerradura AR1207A.")</f>
        <v>Accesorios de montaje para blindex para el lado del cuerpo de la cerradura AR1207A.</v>
      </c>
      <c r="D759" s="4" t="str">
        <f>IFERROR(__xludf.DUMMYFUNCTION("""COMPUTED_VALUE"""),"SOYAL")</f>
        <v>SOYAL</v>
      </c>
      <c r="E759" s="4" t="str">
        <f>IFERROR(__xludf.DUMMYFUNCTION("""COMPUTED_VALUE"""),"AR1207AU")</f>
        <v>AR1207AU</v>
      </c>
      <c r="F759" s="4" t="str">
        <f>IFERROR(__xludf.DUMMYFUNCTION("""COMPUTED_VALUE"""),"CONTROL DE ACCESO &gt; CERRADURAS")</f>
        <v>CONTROL DE ACCESO &gt; CERRADURAS</v>
      </c>
      <c r="G759" s="5"/>
      <c r="H759" s="6">
        <f>IFERROR(__xludf.DUMMYFUNCTION("""COMPUTED_VALUE"""),24.75)</f>
        <v>24.75</v>
      </c>
      <c r="I759" s="7">
        <f>IFERROR(__xludf.DUMMYFUNCTION("""COMPUTED_VALUE"""),21.0)</f>
        <v>21</v>
      </c>
      <c r="J759" s="6">
        <f>IFERROR(__xludf.DUMMYFUNCTION("""COMPUTED_VALUE"""),29.7)</f>
        <v>29.7</v>
      </c>
      <c r="K759" s="6">
        <f>IFERROR(__xludf.DUMMYFUNCTION("""COMPUTED_VALUE"""),34.65)</f>
        <v>34.65</v>
      </c>
      <c r="L759" s="3"/>
      <c r="M759" s="3"/>
    </row>
    <row r="760" ht="48.0" customHeight="1">
      <c r="A760" s="3" t="str">
        <f>IFERROR(__xludf.DUMMYFUNCTION("""COMPUTED_VALUE"""),"AR1207AUP")</f>
        <v>AR1207AUP</v>
      </c>
      <c r="B760" s="4" t="str">
        <f>IFERROR(__xludf.DUMMYFUNCTION("""COMPUTED_VALUE"""),"ACCESORIOS DE MONTAJE PARA BLINDEX PARA EL LADO DEL")</f>
        <v>ACCESORIOS DE MONTAJE PARA BLINDEX PARA EL LADO DEL</v>
      </c>
      <c r="C760" s="4" t="str">
        <f>IFERROR(__xludf.DUMMYFUNCTION("""COMPUTED_VALUE"""),"Accesorios de montaje para blindex para el lado del perno de la cerradura AR1207A.")</f>
        <v>Accesorios de montaje para blindex para el lado del perno de la cerradura AR1207A.</v>
      </c>
      <c r="D760" s="4" t="str">
        <f>IFERROR(__xludf.DUMMYFUNCTION("""COMPUTED_VALUE"""),"SOYAL")</f>
        <v>SOYAL</v>
      </c>
      <c r="E760" s="4" t="str">
        <f>IFERROR(__xludf.DUMMYFUNCTION("""COMPUTED_VALUE"""),"AR1207AUP")</f>
        <v>AR1207AUP</v>
      </c>
      <c r="F760" s="4" t="str">
        <f>IFERROR(__xludf.DUMMYFUNCTION("""COMPUTED_VALUE"""),"CONTROL DE ACCESO &gt; CERRADURAS")</f>
        <v>CONTROL DE ACCESO &gt; CERRADURAS</v>
      </c>
      <c r="G760" s="5"/>
      <c r="H760" s="6">
        <f>IFERROR(__xludf.DUMMYFUNCTION("""COMPUTED_VALUE"""),24.75)</f>
        <v>24.75</v>
      </c>
      <c r="I760" s="7">
        <f>IFERROR(__xludf.DUMMYFUNCTION("""COMPUTED_VALUE"""),21.0)</f>
        <v>21</v>
      </c>
      <c r="J760" s="6">
        <f>IFERROR(__xludf.DUMMYFUNCTION("""COMPUTED_VALUE"""),29.7)</f>
        <v>29.7</v>
      </c>
      <c r="K760" s="6">
        <f>IFERROR(__xludf.DUMMYFUNCTION("""COMPUTED_VALUE"""),34.65)</f>
        <v>34.65</v>
      </c>
      <c r="L760" s="3"/>
      <c r="M760" s="3"/>
    </row>
    <row r="761" ht="48.0" customHeight="1">
      <c r="A761" s="3" t="str">
        <f>IFERROR(__xludf.DUMMYFUNCTION("""COMPUTED_VALUE"""),"AR1207B29F")</f>
        <v>AR1207B29F</v>
      </c>
      <c r="B761" s="4" t="str">
        <f>IFERROR(__xludf.DUMMYFUNCTION("""COMPUTED_VALUE"""),"CERRADURA CON PERNO CON SENSOR DE PUERTA NC/NA")</f>
        <v>CERRADURA CON PERNO CON SENSOR DE PUERTA NC/NA</v>
      </c>
      <c r="C761" s="4" t="str">
        <f>IFERROR(__xludf.DUMMYFUNCTION("""COMPUTED_VALUE"""),"Cerradura con perno con sensor de puerta NC/NA. Fail Secure. REX. Autocierre por inactividad. Demora:0/3/6/9 seg. Dimensiones: 205(L)x32(A)x44(P) / 104(L)x32(A)x35(P). Con posibilidad de instalacion de tambor con llave. La cerradura permanece accionada mi"&amp;"entras no haya alimentación.")</f>
        <v>Cerradura con perno con sensor de puerta NC/NA. Fail Secure. REX. Autocierre por inactividad. Demora:0/3/6/9 seg. Dimensiones: 205(L)x32(A)x44(P) / 104(L)x32(A)x35(P). Con posibilidad de instalacion de tambor con llave. La cerradura permanece accionada mientras no haya alimentación.</v>
      </c>
      <c r="D761" s="4" t="str">
        <f>IFERROR(__xludf.DUMMYFUNCTION("""COMPUTED_VALUE"""),"SOYAL")</f>
        <v>SOYAL</v>
      </c>
      <c r="E761" s="4" t="str">
        <f>IFERROR(__xludf.DUMMYFUNCTION("""COMPUTED_VALUE"""),"AR1207B29F")</f>
        <v>AR1207B29F</v>
      </c>
      <c r="F761" s="4" t="str">
        <f>IFERROR(__xludf.DUMMYFUNCTION("""COMPUTED_VALUE"""),"CONTROL DE ACCESO &gt; CERRADURAS")</f>
        <v>CONTROL DE ACCESO &gt; CERRADURAS</v>
      </c>
      <c r="G761" s="5"/>
      <c r="H761" s="6">
        <f>IFERROR(__xludf.DUMMYFUNCTION("""COMPUTED_VALUE"""),138.6)</f>
        <v>138.6</v>
      </c>
      <c r="I761" s="7">
        <f>IFERROR(__xludf.DUMMYFUNCTION("""COMPUTED_VALUE"""),21.0)</f>
        <v>21</v>
      </c>
      <c r="J761" s="6">
        <f>IFERROR(__xludf.DUMMYFUNCTION("""COMPUTED_VALUE"""),166.32)</f>
        <v>166.32</v>
      </c>
      <c r="K761" s="6">
        <f>IFERROR(__xludf.DUMMYFUNCTION("""COMPUTED_VALUE"""),194.04)</f>
        <v>194.04</v>
      </c>
      <c r="L761" s="3"/>
      <c r="M761" s="3"/>
    </row>
    <row r="762" ht="48.0" customHeight="1">
      <c r="A762" s="3" t="str">
        <f>IFERROR(__xludf.DUMMYFUNCTION("""COMPUTED_VALUE"""),"AR1203KT004")</f>
        <v>AR1203KT004</v>
      </c>
      <c r="B762" s="4" t="str">
        <f>IFERROR(__xludf.DUMMYFUNCTION("""COMPUTED_VALUE"""),"KIT DE TAMBOR CON LLAVE PARA CERRADURAS LK1207P")</f>
        <v>KIT DE TAMBOR CON LLAVE PARA CERRADURAS LK1207P</v>
      </c>
      <c r="C762" s="4" t="str">
        <f>IFERROR(__xludf.DUMMYFUNCTION("""COMPUTED_VALUE"""),"Kit de tambor con llave para cerraduras LK1207P.")</f>
        <v>Kit de tambor con llave para cerraduras LK1207P.</v>
      </c>
      <c r="D762" s="4" t="str">
        <f>IFERROR(__xludf.DUMMYFUNCTION("""COMPUTED_VALUE"""),"SOYAL")</f>
        <v>SOYAL</v>
      </c>
      <c r="E762" s="4" t="str">
        <f>IFERROR(__xludf.DUMMYFUNCTION("""COMPUTED_VALUE"""),"AR1203KT004")</f>
        <v>AR1203KT004</v>
      </c>
      <c r="F762" s="4" t="str">
        <f>IFERROR(__xludf.DUMMYFUNCTION("""COMPUTED_VALUE"""),"CONTROL DE ACCESO &gt; CERRADURAS")</f>
        <v>CONTROL DE ACCESO &gt; CERRADURAS</v>
      </c>
      <c r="G762" s="5"/>
      <c r="H762" s="6">
        <f>IFERROR(__xludf.DUMMYFUNCTION("""COMPUTED_VALUE"""),42.9)</f>
        <v>42.9</v>
      </c>
      <c r="I762" s="7">
        <f>IFERROR(__xludf.DUMMYFUNCTION("""COMPUTED_VALUE"""),21.0)</f>
        <v>21</v>
      </c>
      <c r="J762" s="6">
        <f>IFERROR(__xludf.DUMMYFUNCTION("""COMPUTED_VALUE"""),51.48)</f>
        <v>51.48</v>
      </c>
      <c r="K762" s="6">
        <f>IFERROR(__xludf.DUMMYFUNCTION("""COMPUTED_VALUE"""),60.06)</f>
        <v>60.06</v>
      </c>
      <c r="L762" s="3"/>
      <c r="M762" s="3"/>
    </row>
    <row r="763" ht="48.0" customHeight="1">
      <c r="A763" s="3" t="str">
        <f>IFERROR(__xludf.DUMMYFUNCTION("""COMPUTED_VALUE"""),"OWBL39")</f>
        <v>OWBL39</v>
      </c>
      <c r="B763" s="4" t="str">
        <f>IFERROR(__xludf.DUMMYFUNCTION("""COMPUTED_VALUE"""),"CERRADURA CON PERNO PARA PUERTA DE BLINDEX CON SENSOR")</f>
        <v>CERRADURA CON PERNO PARA PUERTA DE BLINDEX CON SENSOR</v>
      </c>
      <c r="C763" s="4" t="str">
        <f>IFERROR(__xludf.DUMMYFUNCTION("""COMPUTED_VALUE"""),"Cerradura con perno para puerta de Blindex con sensor de puerta NC/NA. Fail Safe. REX. Autocierre por inactividad. Demora:0/3/6 seg. Dimensiones: 170(L)x49(A)x43(P.) La cerradura permanece accionada mientras se mantenga la alimentación.")</f>
        <v>Cerradura con perno para puerta de Blindex con sensor de puerta NC/NA. Fail Safe. REX. Autocierre por inactividad. Demora:0/3/6 seg. Dimensiones: 170(L)x49(A)x43(P.) La cerradura permanece accionada mientras se mantenga la alimentación.</v>
      </c>
      <c r="D763" s="4" t="str">
        <f>IFERROR(__xludf.DUMMYFUNCTION("""COMPUTED_VALUE"""),"OWL LOCKS")</f>
        <v>OWL LOCKS</v>
      </c>
      <c r="E763" s="4" t="str">
        <f>IFERROR(__xludf.DUMMYFUNCTION("""COMPUTED_VALUE"""),"OWBL39")</f>
        <v>OWBL39</v>
      </c>
      <c r="F763" s="4" t="str">
        <f>IFERROR(__xludf.DUMMYFUNCTION("""COMPUTED_VALUE"""),"CONTROL DE ACCESO &gt; CERRADURAS")</f>
        <v>CONTROL DE ACCESO &gt; CERRADURAS</v>
      </c>
      <c r="G763" s="5"/>
      <c r="H763" s="6">
        <f>IFERROR(__xludf.DUMMYFUNCTION("""COMPUTED_VALUE"""),63.69)</f>
        <v>63.69</v>
      </c>
      <c r="I763" s="7">
        <f>IFERROR(__xludf.DUMMYFUNCTION("""COMPUTED_VALUE"""),21.0)</f>
        <v>21</v>
      </c>
      <c r="J763" s="6">
        <f>IFERROR(__xludf.DUMMYFUNCTION("""COMPUTED_VALUE"""),76.43)</f>
        <v>76.43</v>
      </c>
      <c r="K763" s="6">
        <f>IFERROR(__xludf.DUMMYFUNCTION("""COMPUTED_VALUE"""),89.17)</f>
        <v>89.17</v>
      </c>
      <c r="L763" s="3"/>
      <c r="M763" s="3"/>
    </row>
    <row r="764" ht="48.0" customHeight="1">
      <c r="A764" s="3" t="str">
        <f>IFERROR(__xludf.DUMMYFUNCTION("""COMPUTED_VALUE"""),"OWBL36")</f>
        <v>OWBL36</v>
      </c>
      <c r="B764" s="4" t="str">
        <f>IFERROR(__xludf.DUMMYFUNCTION("""COMPUTED_VALUE"""),"CERRADURA CON PERNO 400KG CON SENSOR DE PUERTA NC/NA")</f>
        <v>CERRADURA CON PERNO 400KG CON SENSOR DE PUERTA NC/NA</v>
      </c>
      <c r="C764" s="4" t="str">
        <f>IFERROR(__xludf.DUMMYFUNCTION("""COMPUTED_VALUE"""),"Cerradura con perno 400kg con sensor de puerta NC/NA. Fail Safe. REX. Autocierre por inactividad. Demora:0/3/6 seg. Dimensiones: 200(L)x34(A)x42(P.) La cerradura permanece accionada mientras se mantenga la alimentación.")</f>
        <v>Cerradura con perno 400kg con sensor de puerta NC/NA. Fail Safe. REX. Autocierre por inactividad. Demora:0/3/6 seg. Dimensiones: 200(L)x34(A)x42(P.) La cerradura permanece accionada mientras se mantenga la alimentación.</v>
      </c>
      <c r="D764" s="4" t="str">
        <f>IFERROR(__xludf.DUMMYFUNCTION("""COMPUTED_VALUE"""),"OWL LOCKS")</f>
        <v>OWL LOCKS</v>
      </c>
      <c r="E764" s="4" t="str">
        <f>IFERROR(__xludf.DUMMYFUNCTION("""COMPUTED_VALUE"""),"OWBL36")</f>
        <v>OWBL36</v>
      </c>
      <c r="F764" s="4" t="str">
        <f>IFERROR(__xludf.DUMMYFUNCTION("""COMPUTED_VALUE"""),"CONTROL DE ACCESO &gt; CERRADURAS")</f>
        <v>CONTROL DE ACCESO &gt; CERRADURAS</v>
      </c>
      <c r="G764" s="5"/>
      <c r="H764" s="6">
        <f>IFERROR(__xludf.DUMMYFUNCTION("""COMPUTED_VALUE"""),49.5)</f>
        <v>49.5</v>
      </c>
      <c r="I764" s="7">
        <f>IFERROR(__xludf.DUMMYFUNCTION("""COMPUTED_VALUE"""),21.0)</f>
        <v>21</v>
      </c>
      <c r="J764" s="6">
        <f>IFERROR(__xludf.DUMMYFUNCTION("""COMPUTED_VALUE"""),59.4)</f>
        <v>59.4</v>
      </c>
      <c r="K764" s="6">
        <f>IFERROR(__xludf.DUMMYFUNCTION("""COMPUTED_VALUE"""),69.3)</f>
        <v>69.3</v>
      </c>
      <c r="L764" s="3"/>
      <c r="M764" s="3"/>
    </row>
    <row r="765" ht="48.0" customHeight="1">
      <c r="A765" s="3" t="str">
        <f>IFERROR(__xludf.DUMMYFUNCTION("""COMPUTED_VALUE"""),"OWB200")</f>
        <v>OWB200</v>
      </c>
      <c r="B765" s="4" t="str">
        <f>IFERROR(__xludf.DUMMYFUNCTION("""COMPUTED_VALUE"""),"KIT DE ACCESORIOS DE MONTAJE DE SUPERFICIE Y BLINDEX")</f>
        <v>KIT DE ACCESORIOS DE MONTAJE DE SUPERFICIE Y BLINDEX</v>
      </c>
      <c r="C765" s="4" t="str">
        <f>IFERROR(__xludf.DUMMYFUNCTION("""COMPUTED_VALUE"""),"Kit de accesorios de montaje de superficie y blindex para cerradura OWBL36 Dimensiones: 280(L)x57(A)x45(P.)")</f>
        <v>Kit de accesorios de montaje de superficie y blindex para cerradura OWBL36 Dimensiones: 280(L)x57(A)x45(P.)</v>
      </c>
      <c r="D765" s="4" t="str">
        <f>IFERROR(__xludf.DUMMYFUNCTION("""COMPUTED_VALUE"""),"OWL LOCKS")</f>
        <v>OWL LOCKS</v>
      </c>
      <c r="E765" s="4" t="str">
        <f>IFERROR(__xludf.DUMMYFUNCTION("""COMPUTED_VALUE"""),"OWB200")</f>
        <v>OWB200</v>
      </c>
      <c r="F765" s="4" t="str">
        <f>IFERROR(__xludf.DUMMYFUNCTION("""COMPUTED_VALUE"""),"CONTROL DE ACCESO &gt; CERRADURAS")</f>
        <v>CONTROL DE ACCESO &gt; CERRADURAS</v>
      </c>
      <c r="G765" s="5"/>
      <c r="H765" s="6">
        <f>IFERROR(__xludf.DUMMYFUNCTION("""COMPUTED_VALUE"""),30.38)</f>
        <v>30.38</v>
      </c>
      <c r="I765" s="7">
        <f>IFERROR(__xludf.DUMMYFUNCTION("""COMPUTED_VALUE"""),21.0)</f>
        <v>21</v>
      </c>
      <c r="J765" s="6">
        <f>IFERROR(__xludf.DUMMYFUNCTION("""COMPUTED_VALUE"""),36.46)</f>
        <v>36.46</v>
      </c>
      <c r="K765" s="6">
        <f>IFERROR(__xludf.DUMMYFUNCTION("""COMPUTED_VALUE"""),42.53)</f>
        <v>42.53</v>
      </c>
      <c r="L765" s="3"/>
      <c r="M765" s="3"/>
    </row>
    <row r="766" ht="48.0" customHeight="1">
      <c r="A766" s="3" t="str">
        <f>IFERROR(__xludf.DUMMYFUNCTION("""COMPUTED_VALUE"""),"OWB70")</f>
        <v>OWB70</v>
      </c>
      <c r="B766" s="4" t="str">
        <f>IFERROR(__xludf.DUMMYFUNCTION("""COMPUTED_VALUE"""),"KIT DE ACCESORIO DE MONTAJE PARA PUERTA BLINDEX SOLO")</f>
        <v>KIT DE ACCESORIO DE MONTAJE PARA PUERTA BLINDEX SOLO</v>
      </c>
      <c r="C766" s="4" t="str">
        <f>IFERROR(__xludf.DUMMYFUNCTION("""COMPUTED_VALUE"""),"Kit de accesorio de montaje para puerta blindex solo del lado donde ingresa el perno, compatible con cerraduras OWBL36 y LK1207A/LK1207P")</f>
        <v>Kit de accesorio de montaje para puerta blindex solo del lado donde ingresa el perno, compatible con cerraduras OWBL36 y LK1207A/LK1207P</v>
      </c>
      <c r="D766" s="4" t="str">
        <f>IFERROR(__xludf.DUMMYFUNCTION("""COMPUTED_VALUE"""),"OWL LOCKS")</f>
        <v>OWL LOCKS</v>
      </c>
      <c r="E766" s="4" t="str">
        <f>IFERROR(__xludf.DUMMYFUNCTION("""COMPUTED_VALUE"""),"OWB70")</f>
        <v>OWB70</v>
      </c>
      <c r="F766" s="4" t="str">
        <f>IFERROR(__xludf.DUMMYFUNCTION("""COMPUTED_VALUE"""),"CONTROL DE ACCESO &gt; CERRADURAS")</f>
        <v>CONTROL DE ACCESO &gt; CERRADURAS</v>
      </c>
      <c r="G766" s="5"/>
      <c r="H766" s="6">
        <f>IFERROR(__xludf.DUMMYFUNCTION("""COMPUTED_VALUE"""),16.5)</f>
        <v>16.5</v>
      </c>
      <c r="I766" s="7">
        <f>IFERROR(__xludf.DUMMYFUNCTION("""COMPUTED_VALUE"""),21.0)</f>
        <v>21</v>
      </c>
      <c r="J766" s="6">
        <f>IFERROR(__xludf.DUMMYFUNCTION("""COMPUTED_VALUE"""),19.8)</f>
        <v>19.8</v>
      </c>
      <c r="K766" s="6">
        <f>IFERROR(__xludf.DUMMYFUNCTION("""COMPUTED_VALUE"""),23.1)</f>
        <v>23.1</v>
      </c>
      <c r="L766" s="3"/>
      <c r="M766" s="3"/>
    </row>
    <row r="767" ht="48.0" customHeight="1">
      <c r="A767" s="3" t="str">
        <f>IFERROR(__xludf.DUMMYFUNCTION("""COMPUTED_VALUE"""),"EBL100S")</f>
        <v>EBL100S</v>
      </c>
      <c r="B767" s="4" t="str">
        <f>IFERROR(__xludf.DUMMYFUNCTION("""COMPUTED_VALUE"""),"CERRADURA ELECTROMAGNÉTICA 100LBS (55KGS), 12/24 VDC")</f>
        <v>CERRADURA ELECTROMAGNÉTICA 100LBS (55KGS), 12/24 VDC</v>
      </c>
      <c r="C767" s="4" t="str">
        <f>IFERROR(__xludf.DUMMYFUNCTION("""COMPUTED_VALUE"""),"Cerradura electromagnética 100LBS (55Kgs), 12/24 VDC")</f>
        <v>Cerradura electromagnética 100LBS (55Kgs), 12/24 VDC</v>
      </c>
      <c r="D767" s="4" t="str">
        <f>IFERROR(__xludf.DUMMYFUNCTION("""COMPUTED_VALUE"""),"OWL LOCKS")</f>
        <v>OWL LOCKS</v>
      </c>
      <c r="E767" s="4" t="str">
        <f>IFERROR(__xludf.DUMMYFUNCTION("""COMPUTED_VALUE"""),"EBL100S")</f>
        <v>EBL100S</v>
      </c>
      <c r="F767" s="4" t="str">
        <f>IFERROR(__xludf.DUMMYFUNCTION("""COMPUTED_VALUE"""),"CONTROL DE ACCESO &gt; CERRADURAS")</f>
        <v>CONTROL DE ACCESO &gt; CERRADURAS</v>
      </c>
      <c r="G767" s="5"/>
      <c r="H767" s="6">
        <f>IFERROR(__xludf.DUMMYFUNCTION("""COMPUTED_VALUE"""),30.8)</f>
        <v>30.8</v>
      </c>
      <c r="I767" s="7">
        <f>IFERROR(__xludf.DUMMYFUNCTION("""COMPUTED_VALUE"""),21.0)</f>
        <v>21</v>
      </c>
      <c r="J767" s="6">
        <f>IFERROR(__xludf.DUMMYFUNCTION("""COMPUTED_VALUE"""),36.96)</f>
        <v>36.96</v>
      </c>
      <c r="K767" s="6">
        <f>IFERROR(__xludf.DUMMYFUNCTION("""COMPUTED_VALUE"""),43.12)</f>
        <v>43.12</v>
      </c>
      <c r="L767" s="3"/>
      <c r="M767" s="3"/>
    </row>
    <row r="768" ht="48.0" customHeight="1">
      <c r="A768" s="3" t="str">
        <f>IFERROR(__xludf.DUMMYFUNCTION("""COMPUTED_VALUE"""),"OW1802")</f>
        <v>OW1802</v>
      </c>
      <c r="B768" s="4" t="str">
        <f>IFERROR(__xludf.DUMMYFUNCTION("""COMPUTED_VALUE"""),"CERRADURA ELECTROMAGNÉTICA 350LBS (180KGS), 12 VDC")</f>
        <v>CERRADURA ELECTROMAGNÉTICA 350LBS (180KGS), 12 VDC</v>
      </c>
      <c r="C768" s="4" t="str">
        <f>IFERROR(__xludf.DUMMYFUNCTION("""COMPUTED_VALUE"""),"Cerradura electromagnética 350LBS (180Kgs), 12 VDC")</f>
        <v>Cerradura electromagnética 350LBS (180Kgs), 12 VDC</v>
      </c>
      <c r="D768" s="4" t="str">
        <f>IFERROR(__xludf.DUMMYFUNCTION("""COMPUTED_VALUE"""),"OWL LOCKS")</f>
        <v>OWL LOCKS</v>
      </c>
      <c r="E768" s="4" t="str">
        <f>IFERROR(__xludf.DUMMYFUNCTION("""COMPUTED_VALUE"""),"OW1802")</f>
        <v>OW1802</v>
      </c>
      <c r="F768" s="4" t="str">
        <f>IFERROR(__xludf.DUMMYFUNCTION("""COMPUTED_VALUE"""),"CONTROL DE ACCESO &gt; CERRADURAS")</f>
        <v>CONTROL DE ACCESO &gt; CERRADURAS</v>
      </c>
      <c r="G768" s="5"/>
      <c r="H768" s="6">
        <f>IFERROR(__xludf.DUMMYFUNCTION("""COMPUTED_VALUE"""),30.38)</f>
        <v>30.38</v>
      </c>
      <c r="I768" s="7">
        <f>IFERROR(__xludf.DUMMYFUNCTION("""COMPUTED_VALUE"""),21.0)</f>
        <v>21</v>
      </c>
      <c r="J768" s="6">
        <f>IFERROR(__xludf.DUMMYFUNCTION("""COMPUTED_VALUE"""),36.46)</f>
        <v>36.46</v>
      </c>
      <c r="K768" s="6">
        <f>IFERROR(__xludf.DUMMYFUNCTION("""COMPUTED_VALUE"""),42.53)</f>
        <v>42.53</v>
      </c>
      <c r="L768" s="3"/>
      <c r="M768" s="3"/>
    </row>
    <row r="769" ht="48.0" customHeight="1">
      <c r="A769" s="3" t="str">
        <f>IFERROR(__xludf.DUMMYFUNCTION("""COMPUTED_VALUE"""),"OW180ZL")</f>
        <v>OW180ZL</v>
      </c>
      <c r="B769" s="4" t="str">
        <f>IFERROR(__xludf.DUMMYFUNCTION("""COMPUTED_VALUE"""),"KIT DE ACCESORIOS DE MONTAJE L Y Z PARA CERRADURAS OW180")</f>
        <v>KIT DE ACCESORIOS DE MONTAJE L Y Z PARA CERRADURAS OW180</v>
      </c>
      <c r="C769" s="4" t="str">
        <f>IFERROR(__xludf.DUMMYFUNCTION("""COMPUTED_VALUE"""),"Kit de accesorios de Montaje L y Z para cerraduras OW180")</f>
        <v>Kit de accesorios de Montaje L y Z para cerraduras OW180</v>
      </c>
      <c r="D769" s="4" t="str">
        <f>IFERROR(__xludf.DUMMYFUNCTION("""COMPUTED_VALUE"""),"OWL LOCKS")</f>
        <v>OWL LOCKS</v>
      </c>
      <c r="E769" s="4" t="str">
        <f>IFERROR(__xludf.DUMMYFUNCTION("""COMPUTED_VALUE"""),"OW180ZL")</f>
        <v>OW180ZL</v>
      </c>
      <c r="F769" s="4" t="str">
        <f>IFERROR(__xludf.DUMMYFUNCTION("""COMPUTED_VALUE"""),"CONTROL DE ACCESO &gt; CERRADURAS")</f>
        <v>CONTROL DE ACCESO &gt; CERRADURAS</v>
      </c>
      <c r="G769" s="5"/>
      <c r="H769" s="6">
        <f>IFERROR(__xludf.DUMMYFUNCTION("""COMPUTED_VALUE"""),15.37)</f>
        <v>15.37</v>
      </c>
      <c r="I769" s="7">
        <f>IFERROR(__xludf.DUMMYFUNCTION("""COMPUTED_VALUE"""),21.0)</f>
        <v>21</v>
      </c>
      <c r="J769" s="6">
        <f>IFERROR(__xludf.DUMMYFUNCTION("""COMPUTED_VALUE"""),18.44)</f>
        <v>18.44</v>
      </c>
      <c r="K769" s="6">
        <f>IFERROR(__xludf.DUMMYFUNCTION("""COMPUTED_VALUE"""),21.52)</f>
        <v>21.52</v>
      </c>
      <c r="L769" s="3"/>
      <c r="M769" s="3"/>
    </row>
    <row r="770" ht="48.0" customHeight="1">
      <c r="A770" s="3" t="str">
        <f>IFERROR(__xludf.DUMMYFUNCTION("""COMPUTED_VALUE"""),"OW180U")</f>
        <v>OW180U</v>
      </c>
      <c r="B770" s="4" t="str">
        <f>IFERROR(__xludf.DUMMYFUNCTION("""COMPUTED_VALUE"""),"KIT DE ACCESORIOS DE MONTAJE U PARA CERRADURAS OW180")</f>
        <v>KIT DE ACCESORIOS DE MONTAJE U PARA CERRADURAS OW180</v>
      </c>
      <c r="C770" s="4" t="str">
        <f>IFERROR(__xludf.DUMMYFUNCTION("""COMPUTED_VALUE"""),"Kit de accesorios de Montaje U para cerraduras OW180")</f>
        <v>Kit de accesorios de Montaje U para cerraduras OW180</v>
      </c>
      <c r="D770" s="4" t="str">
        <f>IFERROR(__xludf.DUMMYFUNCTION("""COMPUTED_VALUE"""),"OWL LOCKS")</f>
        <v>OWL LOCKS</v>
      </c>
      <c r="E770" s="4" t="str">
        <f>IFERROR(__xludf.DUMMYFUNCTION("""COMPUTED_VALUE"""),"OW180U")</f>
        <v>OW180U</v>
      </c>
      <c r="F770" s="4" t="str">
        <f>IFERROR(__xludf.DUMMYFUNCTION("""COMPUTED_VALUE"""),"CONTROL DE ACCESO &gt; CERRADURAS")</f>
        <v>CONTROL DE ACCESO &gt; CERRADURAS</v>
      </c>
      <c r="G770" s="5"/>
      <c r="H770" s="6">
        <f>IFERROR(__xludf.DUMMYFUNCTION("""COMPUTED_VALUE"""),9.66)</f>
        <v>9.66</v>
      </c>
      <c r="I770" s="7">
        <f>IFERROR(__xludf.DUMMYFUNCTION("""COMPUTED_VALUE"""),21.0)</f>
        <v>21</v>
      </c>
      <c r="J770" s="6">
        <f>IFERROR(__xludf.DUMMYFUNCTION("""COMPUTED_VALUE"""),11.59)</f>
        <v>11.59</v>
      </c>
      <c r="K770" s="6">
        <f>IFERROR(__xludf.DUMMYFUNCTION("""COMPUTED_VALUE"""),13.52)</f>
        <v>13.52</v>
      </c>
      <c r="L770" s="3"/>
      <c r="M770" s="3"/>
    </row>
    <row r="771" ht="48.0" customHeight="1">
      <c r="A771" s="3" t="str">
        <f>IFERROR(__xludf.DUMMYFUNCTION("""COMPUTED_VALUE"""),"EBL180E")</f>
        <v>EBL180E</v>
      </c>
      <c r="B771" s="4" t="str">
        <f>IFERROR(__xludf.DUMMYFUNCTION("""COMPUTED_VALUE"""),"CERRADURA ELECTROMAGNÉTICA 350LBS (180KGS), 12 VDC PARA EMBUTIR")</f>
        <v>CERRADURA ELECTROMAGNÉTICA 350LBS (180KGS), 12 VDC PARA EMBUTIR</v>
      </c>
      <c r="C771" s="4" t="str">
        <f>IFERROR(__xludf.DUMMYFUNCTION("""COMPUTED_VALUE"""),"Cerradura electromagnética 350LBS (180Kgs), 12 VDC para EMBUTIR")</f>
        <v>Cerradura electromagnética 350LBS (180Kgs), 12 VDC para EMBUTIR</v>
      </c>
      <c r="D771" s="4" t="str">
        <f>IFERROR(__xludf.DUMMYFUNCTION("""COMPUTED_VALUE"""),"OWL")</f>
        <v>OWL</v>
      </c>
      <c r="E771" s="4" t="str">
        <f>IFERROR(__xludf.DUMMYFUNCTION("""COMPUTED_VALUE"""),"EBL180E")</f>
        <v>EBL180E</v>
      </c>
      <c r="F771" s="4" t="str">
        <f>IFERROR(__xludf.DUMMYFUNCTION("""COMPUTED_VALUE"""),"CONTROL DE ACCESO &gt; CERRADURAS")</f>
        <v>CONTROL DE ACCESO &gt; CERRADURAS</v>
      </c>
      <c r="G771" s="5"/>
      <c r="H771" s="6">
        <f>IFERROR(__xludf.DUMMYFUNCTION("""COMPUTED_VALUE"""),32.89)</f>
        <v>32.89</v>
      </c>
      <c r="I771" s="7">
        <f>IFERROR(__xludf.DUMMYFUNCTION("""COMPUTED_VALUE"""),21.0)</f>
        <v>21</v>
      </c>
      <c r="J771" s="6">
        <f>IFERROR(__xludf.DUMMYFUNCTION("""COMPUTED_VALUE"""),39.47)</f>
        <v>39.47</v>
      </c>
      <c r="K771" s="6">
        <f>IFERROR(__xludf.DUMMYFUNCTION("""COMPUTED_VALUE"""),46.05)</f>
        <v>46.05</v>
      </c>
      <c r="L771" s="3"/>
      <c r="M771" s="3"/>
    </row>
    <row r="772" ht="48.0" customHeight="1">
      <c r="A772" s="3" t="str">
        <f>IFERROR(__xludf.DUMMYFUNCTION("""COMPUTED_VALUE"""),"OW2805")</f>
        <v>OW2805</v>
      </c>
      <c r="B772" s="4" t="str">
        <f>IFERROR(__xludf.DUMMYFUNCTION("""COMPUTED_VALUE"""),"CERRADURA ELECTROMAGNÉTICA 600LBS (280 KGS), 12VDC LED DE ESTADO,")</f>
        <v>CERRADURA ELECTROMAGNÉTICA 600LBS (280 KGS), 12VDC LED DE ESTADO,</v>
      </c>
      <c r="C772" s="4" t="str">
        <f>IFERROR(__xludf.DUMMYFUNCTION("""COMPUTED_VALUE"""),"Cerradura electromagnética 600LBS (280 Kgs), 12VDC Led de estado, sensor de puerta")</f>
        <v>Cerradura electromagnética 600LBS (280 Kgs), 12VDC Led de estado, sensor de puerta</v>
      </c>
      <c r="D772" s="4" t="str">
        <f>IFERROR(__xludf.DUMMYFUNCTION("""COMPUTED_VALUE"""),"OWL LOCKS")</f>
        <v>OWL LOCKS</v>
      </c>
      <c r="E772" s="4" t="str">
        <f>IFERROR(__xludf.DUMMYFUNCTION("""COMPUTED_VALUE"""),"OW2805")</f>
        <v>OW2805</v>
      </c>
      <c r="F772" s="4" t="str">
        <f>IFERROR(__xludf.DUMMYFUNCTION("""COMPUTED_VALUE"""),"CONTROL DE ACCESO &gt; CERRADURAS")</f>
        <v>CONTROL DE ACCESO &gt; CERRADURAS</v>
      </c>
      <c r="G772" s="5"/>
      <c r="H772" s="6">
        <f>IFERROR(__xludf.DUMMYFUNCTION("""COMPUTED_VALUE"""),35.75)</f>
        <v>35.75</v>
      </c>
      <c r="I772" s="7">
        <f>IFERROR(__xludf.DUMMYFUNCTION("""COMPUTED_VALUE"""),21.0)</f>
        <v>21</v>
      </c>
      <c r="J772" s="6">
        <f>IFERROR(__xludf.DUMMYFUNCTION("""COMPUTED_VALUE"""),42.9)</f>
        <v>42.9</v>
      </c>
      <c r="K772" s="6">
        <f>IFERROR(__xludf.DUMMYFUNCTION("""COMPUTED_VALUE"""),50.05)</f>
        <v>50.05</v>
      </c>
      <c r="L772" s="3"/>
      <c r="M772" s="3"/>
    </row>
    <row r="773" ht="48.0" customHeight="1">
      <c r="A773" s="3" t="str">
        <f>IFERROR(__xludf.DUMMYFUNCTION("""COMPUTED_VALUE"""),"OW280ZL")</f>
        <v>OW280ZL</v>
      </c>
      <c r="B773" s="4" t="str">
        <f>IFERROR(__xludf.DUMMYFUNCTION("""COMPUTED_VALUE"""),"KIT DE ACCESORIOS DE MONTAJE L Y Z PARA CERRADURAS OW280")</f>
        <v>KIT DE ACCESORIOS DE MONTAJE L Y Z PARA CERRADURAS OW280</v>
      </c>
      <c r="C773" s="4" t="str">
        <f>IFERROR(__xludf.DUMMYFUNCTION("""COMPUTED_VALUE"""),"Kit de accesorios de Montaje L y Z para cerraduras OW280")</f>
        <v>Kit de accesorios de Montaje L y Z para cerraduras OW280</v>
      </c>
      <c r="D773" s="4" t="str">
        <f>IFERROR(__xludf.DUMMYFUNCTION("""COMPUTED_VALUE"""),"OWL LOCKS")</f>
        <v>OWL LOCKS</v>
      </c>
      <c r="E773" s="4" t="str">
        <f>IFERROR(__xludf.DUMMYFUNCTION("""COMPUTED_VALUE"""),"OW280ZL")</f>
        <v>OW280ZL</v>
      </c>
      <c r="F773" s="4" t="str">
        <f>IFERROR(__xludf.DUMMYFUNCTION("""COMPUTED_VALUE"""),"CONTROL DE ACCESO &gt; CERRADURAS")</f>
        <v>CONTROL DE ACCESO &gt; CERRADURAS</v>
      </c>
      <c r="G773" s="5"/>
      <c r="H773" s="6">
        <f>IFERROR(__xludf.DUMMYFUNCTION("""COMPUTED_VALUE"""),17.88)</f>
        <v>17.88</v>
      </c>
      <c r="I773" s="7">
        <f>IFERROR(__xludf.DUMMYFUNCTION("""COMPUTED_VALUE"""),21.0)</f>
        <v>21</v>
      </c>
      <c r="J773" s="6">
        <f>IFERROR(__xludf.DUMMYFUNCTION("""COMPUTED_VALUE"""),21.46)</f>
        <v>21.46</v>
      </c>
      <c r="K773" s="6">
        <f>IFERROR(__xludf.DUMMYFUNCTION("""COMPUTED_VALUE"""),25.03)</f>
        <v>25.03</v>
      </c>
      <c r="L773" s="3"/>
      <c r="M773" s="3"/>
    </row>
    <row r="774" ht="48.0" customHeight="1">
      <c r="A774" s="3" t="str">
        <f>IFERROR(__xludf.DUMMYFUNCTION("""COMPUTED_VALUE"""),"OW280U")</f>
        <v>OW280U</v>
      </c>
      <c r="B774" s="4" t="str">
        <f>IFERROR(__xludf.DUMMYFUNCTION("""COMPUTED_VALUE"""),"KIT DE ACCESORIOS DE MONTAJE U PARA CERRADURAS OW280")</f>
        <v>KIT DE ACCESORIOS DE MONTAJE U PARA CERRADURAS OW280</v>
      </c>
      <c r="C774" s="4" t="str">
        <f>IFERROR(__xludf.DUMMYFUNCTION("""COMPUTED_VALUE"""),"Kit de accesorios de Montaje U para cerraduras OW280")</f>
        <v>Kit de accesorios de Montaje U para cerraduras OW280</v>
      </c>
      <c r="D774" s="4" t="str">
        <f>IFERROR(__xludf.DUMMYFUNCTION("""COMPUTED_VALUE"""),"OWL LOCKS")</f>
        <v>OWL LOCKS</v>
      </c>
      <c r="E774" s="4" t="str">
        <f>IFERROR(__xludf.DUMMYFUNCTION("""COMPUTED_VALUE"""),"OW280U")</f>
        <v>OW280U</v>
      </c>
      <c r="F774" s="4" t="str">
        <f>IFERROR(__xludf.DUMMYFUNCTION("""COMPUTED_VALUE"""),"CONTROL DE ACCESO &gt; CERRADURAS")</f>
        <v>CONTROL DE ACCESO &gt; CERRADURAS</v>
      </c>
      <c r="G774" s="5"/>
      <c r="H774" s="6">
        <f>IFERROR(__xludf.DUMMYFUNCTION("""COMPUTED_VALUE"""),10.62)</f>
        <v>10.62</v>
      </c>
      <c r="I774" s="7">
        <f>IFERROR(__xludf.DUMMYFUNCTION("""COMPUTED_VALUE"""),21.0)</f>
        <v>21</v>
      </c>
      <c r="J774" s="6">
        <f>IFERROR(__xludf.DUMMYFUNCTION("""COMPUTED_VALUE"""),12.74)</f>
        <v>12.74</v>
      </c>
      <c r="K774" s="6">
        <f>IFERROR(__xludf.DUMMYFUNCTION("""COMPUTED_VALUE"""),14.87)</f>
        <v>14.87</v>
      </c>
      <c r="L774" s="3"/>
      <c r="M774" s="3"/>
    </row>
    <row r="775" ht="48.0" customHeight="1">
      <c r="A775" s="3" t="str">
        <f>IFERROR(__xludf.DUMMYFUNCTION("""COMPUTED_VALUE"""),"DS-K4H255S")</f>
        <v>DS-K4H255S</v>
      </c>
      <c r="B775" s="4" t="str">
        <f>IFERROR(__xludf.DUMMYFUNCTION("""COMPUTED_VALUE"""),"CERRADURA ELECTROMAGNÉTICA DE 280KG, 12 VDC, 340MA")</f>
        <v>CERRADURA ELECTROMAGNÉTICA DE 280KG, 12 VDC, 340MA</v>
      </c>
      <c r="C775" s="4" t="str">
        <f>IFERROR(__xludf.DUMMYFUNCTION("""COMPUTED_VALUE"""),"Cerradura electromagnética de 280kg, 12 VDC, 340mA.")</f>
        <v>Cerradura electromagnética de 280kg, 12 VDC, 340mA.</v>
      </c>
      <c r="D775" s="4" t="str">
        <f>IFERROR(__xludf.DUMMYFUNCTION("""COMPUTED_VALUE"""),"HIKVISION")</f>
        <v>HIKVISION</v>
      </c>
      <c r="E775" s="4" t="str">
        <f>IFERROR(__xludf.DUMMYFUNCTION("""COMPUTED_VALUE"""),"DS-K4H255S")</f>
        <v>DS-K4H255S</v>
      </c>
      <c r="F775" s="4" t="str">
        <f>IFERROR(__xludf.DUMMYFUNCTION("""COMPUTED_VALUE"""),"CONTROL DE ACCESO &gt; CERRADURAS")</f>
        <v>CONTROL DE ACCESO &gt; CERRADURAS</v>
      </c>
      <c r="G775" s="5" t="s">
        <v>1</v>
      </c>
      <c r="H775" s="6">
        <f>IFERROR(__xludf.DUMMYFUNCTION("""COMPUTED_VALUE"""),22.55)</f>
        <v>22.55</v>
      </c>
      <c r="I775" s="7">
        <f>IFERROR(__xludf.DUMMYFUNCTION("""COMPUTED_VALUE"""),21.0)</f>
        <v>21</v>
      </c>
      <c r="J775" s="6">
        <f>IFERROR(__xludf.DUMMYFUNCTION("""COMPUTED_VALUE"""),27.06)</f>
        <v>27.06</v>
      </c>
      <c r="K775" s="6">
        <f>IFERROR(__xludf.DUMMYFUNCTION("""COMPUTED_VALUE"""),31.57)</f>
        <v>31.57</v>
      </c>
      <c r="L775" s="3"/>
      <c r="M775" s="3"/>
    </row>
    <row r="776" ht="48.0" customHeight="1">
      <c r="A776" s="3" t="str">
        <f>IFERROR(__xludf.DUMMYFUNCTION("""COMPUTED_VALUE"""),"DS-K4H255-LZ")</f>
        <v>DS-K4H255-LZ</v>
      </c>
      <c r="B776" s="4" t="str">
        <f>IFERROR(__xludf.DUMMYFUNCTION("""COMPUTED_VALUE"""),"ACSESORIO DE MONTAJE LZ PARA CERRADURAS DS-K4H255S")</f>
        <v>ACSESORIO DE MONTAJE LZ PARA CERRADURAS DS-K4H255S</v>
      </c>
      <c r="C776" s="4" t="str">
        <f>IFERROR(__xludf.DUMMYFUNCTION("""COMPUTED_VALUE"""),"Acsesorio de montaje LZ para cerraduras DS-K4H255S")</f>
        <v>Acsesorio de montaje LZ para cerraduras DS-K4H255S</v>
      </c>
      <c r="D776" s="4" t="str">
        <f>IFERROR(__xludf.DUMMYFUNCTION("""COMPUTED_VALUE"""),"HIKVISION")</f>
        <v>HIKVISION</v>
      </c>
      <c r="E776" s="4" t="str">
        <f>IFERROR(__xludf.DUMMYFUNCTION("""COMPUTED_VALUE"""),"DS-K4H255-LZ")</f>
        <v>DS-K4H255-LZ</v>
      </c>
      <c r="F776" s="4" t="str">
        <f>IFERROR(__xludf.DUMMYFUNCTION("""COMPUTED_VALUE"""),"CONTROL DE ACCESO &gt; CERRADURAS")</f>
        <v>CONTROL DE ACCESO &gt; CERRADURAS</v>
      </c>
      <c r="G776" s="5"/>
      <c r="H776" s="6">
        <f>IFERROR(__xludf.DUMMYFUNCTION("""COMPUTED_VALUE"""),11.33)</f>
        <v>11.33</v>
      </c>
      <c r="I776" s="7">
        <f>IFERROR(__xludf.DUMMYFUNCTION("""COMPUTED_VALUE"""),21.0)</f>
        <v>21</v>
      </c>
      <c r="J776" s="6">
        <f>IFERROR(__xludf.DUMMYFUNCTION("""COMPUTED_VALUE"""),13.6)</f>
        <v>13.6</v>
      </c>
      <c r="K776" s="6">
        <f>IFERROR(__xludf.DUMMYFUNCTION("""COMPUTED_VALUE"""),15.86)</f>
        <v>15.86</v>
      </c>
      <c r="L776" s="3"/>
      <c r="M776" s="3"/>
    </row>
    <row r="777" ht="48.0" customHeight="1">
      <c r="A777" s="3" t="str">
        <f>IFERROR(__xludf.DUMMYFUNCTION("""COMPUTED_VALUE"""),"DS-K4H258-U")</f>
        <v>DS-K4H258-U</v>
      </c>
      <c r="B777" s="4" t="str">
        <f>IFERROR(__xludf.DUMMYFUNCTION("""COMPUTED_VALUE"""),"ACSESORIO DE MONTAJE U PARA CERRADURAS DS-K4H258S- DS-K4H255S")</f>
        <v>ACSESORIO DE MONTAJE U PARA CERRADURAS DS-K4H258S- DS-K4H255S</v>
      </c>
      <c r="C777" s="4" t="str">
        <f>IFERROR(__xludf.DUMMYFUNCTION("""COMPUTED_VALUE"""),"Acsesorio de montaje U para cerraduras DS-K4H258S- DS-K4H255S")</f>
        <v>Acsesorio de montaje U para cerraduras DS-K4H258S- DS-K4H255S</v>
      </c>
      <c r="D777" s="4" t="str">
        <f>IFERROR(__xludf.DUMMYFUNCTION("""COMPUTED_VALUE"""),"HIKVISION")</f>
        <v>HIKVISION</v>
      </c>
      <c r="E777" s="4" t="str">
        <f>IFERROR(__xludf.DUMMYFUNCTION("""COMPUTED_VALUE"""),"DS-K4H258-U")</f>
        <v>DS-K4H258-U</v>
      </c>
      <c r="F777" s="4" t="str">
        <f>IFERROR(__xludf.DUMMYFUNCTION("""COMPUTED_VALUE"""),"CONTROL DE ACCESO &gt; CERRADURAS")</f>
        <v>CONTROL DE ACCESO &gt; CERRADURAS</v>
      </c>
      <c r="G777" s="5"/>
      <c r="H777" s="6">
        <f>IFERROR(__xludf.DUMMYFUNCTION("""COMPUTED_VALUE"""),6.6)</f>
        <v>6.6</v>
      </c>
      <c r="I777" s="7">
        <f>IFERROR(__xludf.DUMMYFUNCTION("""COMPUTED_VALUE"""),21.0)</f>
        <v>21</v>
      </c>
      <c r="J777" s="6">
        <f>IFERROR(__xludf.DUMMYFUNCTION("""COMPUTED_VALUE"""),7.92)</f>
        <v>7.92</v>
      </c>
      <c r="K777" s="6">
        <f>IFERROR(__xludf.DUMMYFUNCTION("""COMPUTED_VALUE"""),9.24)</f>
        <v>9.24</v>
      </c>
      <c r="L777" s="3"/>
      <c r="M777" s="3"/>
    </row>
    <row r="778" ht="48.0" customHeight="1">
      <c r="A778" s="3" t="str">
        <f>IFERROR(__xludf.DUMMYFUNCTION("""COMPUTED_VALUE"""),"OW280SW5")</f>
        <v>OW280SW5</v>
      </c>
      <c r="B778" s="4" t="str">
        <f>IFERROR(__xludf.DUMMYFUNCTION("""COMPUTED_VALUE"""),"CERRADURA ELECTROMAGNÉTICA APTA EXTERIOR 600LBS (280 KGS), DC 12V")</f>
        <v>CERRADURA ELECTROMAGNÉTICA APTA EXTERIOR 600LBS (280 KGS), DC 12V</v>
      </c>
      <c r="C778" s="4" t="str">
        <f>IFERROR(__xludf.DUMMYFUNCTION("""COMPUTED_VALUE"""),"Cerradura electromagnética apta exterior 600LBS (280 Kgs), DC 12V Led de estado, sensor de puerta")</f>
        <v>Cerradura electromagnética apta exterior 600LBS (280 Kgs), DC 12V Led de estado, sensor de puerta</v>
      </c>
      <c r="D778" s="4" t="str">
        <f>IFERROR(__xludf.DUMMYFUNCTION("""COMPUTED_VALUE"""),"OWL LOCKS")</f>
        <v>OWL LOCKS</v>
      </c>
      <c r="E778" s="4" t="str">
        <f>IFERROR(__xludf.DUMMYFUNCTION("""COMPUTED_VALUE"""),"OW280SW5")</f>
        <v>OW280SW5</v>
      </c>
      <c r="F778" s="4" t="str">
        <f>IFERROR(__xludf.DUMMYFUNCTION("""COMPUTED_VALUE"""),"CONTROL DE ACCESO &gt; CERRADURAS")</f>
        <v>CONTROL DE ACCESO &gt; CERRADURAS</v>
      </c>
      <c r="G778" s="5"/>
      <c r="H778" s="6">
        <f>IFERROR(__xludf.DUMMYFUNCTION("""COMPUTED_VALUE"""),47.1)</f>
        <v>47.1</v>
      </c>
      <c r="I778" s="7">
        <f>IFERROR(__xludf.DUMMYFUNCTION("""COMPUTED_VALUE"""),21.0)</f>
        <v>21</v>
      </c>
      <c r="J778" s="6">
        <f>IFERROR(__xludf.DUMMYFUNCTION("""COMPUTED_VALUE"""),56.52)</f>
        <v>56.52</v>
      </c>
      <c r="K778" s="6">
        <f>IFERROR(__xludf.DUMMYFUNCTION("""COMPUTED_VALUE"""),65.94)</f>
        <v>65.94</v>
      </c>
      <c r="L778" s="3"/>
      <c r="M778" s="3"/>
    </row>
    <row r="779" ht="48.0" customHeight="1">
      <c r="A779" s="3" t="str">
        <f>IFERROR(__xludf.DUMMYFUNCTION("""COMPUTED_VALUE"""),"EBL280SW-ZL")</f>
        <v>EBL280SW-ZL</v>
      </c>
      <c r="B779" s="4" t="str">
        <f>IFERROR(__xludf.DUMMYFUNCTION("""COMPUTED_VALUE"""),"CERRADURA ELECTROMAGNÉTICA APTA EXTERIOR 600LBS (280 KGS) INCLUYE MONT")</f>
        <v>CERRADURA ELECTROMAGNÉTICA APTA EXTERIOR 600LBS (280 KGS) INCLUYE MONT</v>
      </c>
      <c r="C779" s="4" t="str">
        <f>IFERROR(__xludf.DUMMYFUNCTION("""COMPUTED_VALUE"""),"Cerradura electromagnética apta exterior 600LBS (280 Kgs) Incluye montaje ZL")</f>
        <v>Cerradura electromagnética apta exterior 600LBS (280 Kgs) Incluye montaje ZL</v>
      </c>
      <c r="D779" s="4" t="str">
        <f>IFERROR(__xludf.DUMMYFUNCTION("""COMPUTED_VALUE"""),"OWL LOCKS")</f>
        <v>OWL LOCKS</v>
      </c>
      <c r="E779" s="4" t="str">
        <f>IFERROR(__xludf.DUMMYFUNCTION("""COMPUTED_VALUE"""),"EBL280SW-ZL")</f>
        <v>EBL280SW-ZL</v>
      </c>
      <c r="F779" s="4" t="str">
        <f>IFERROR(__xludf.DUMMYFUNCTION("""COMPUTED_VALUE"""),"CONTROL DE ACCESO &gt; CERRADURAS")</f>
        <v>CONTROL DE ACCESO &gt; CERRADURAS</v>
      </c>
      <c r="G779" s="5"/>
      <c r="H779" s="6">
        <f>IFERROR(__xludf.DUMMYFUNCTION("""COMPUTED_VALUE"""),64.9)</f>
        <v>64.9</v>
      </c>
      <c r="I779" s="7">
        <f>IFERROR(__xludf.DUMMYFUNCTION("""COMPUTED_VALUE"""),21.0)</f>
        <v>21</v>
      </c>
      <c r="J779" s="6">
        <f>IFERROR(__xludf.DUMMYFUNCTION("""COMPUTED_VALUE"""),77.88)</f>
        <v>77.88</v>
      </c>
      <c r="K779" s="6">
        <f>IFERROR(__xludf.DUMMYFUNCTION("""COMPUTED_VALUE"""),90.86)</f>
        <v>90.86</v>
      </c>
      <c r="L779" s="3"/>
      <c r="M779" s="3"/>
    </row>
    <row r="780" ht="48.0" customHeight="1">
      <c r="A780" s="3" t="str">
        <f>IFERROR(__xludf.DUMMYFUNCTION("""COMPUTED_VALUE"""),"OW280P6TSW")</f>
        <v>OW280P6TSW</v>
      </c>
      <c r="B780" s="4" t="str">
        <f>IFERROR(__xludf.DUMMYFUNCTION("""COMPUTED_VALUE"""),"CERRADURA ELECTROMAGNÉTICA 600LBS (280 KGS), DC 12~24V LED DE")</f>
        <v>CERRADURA ELECTROMAGNÉTICA 600LBS (280 KGS), DC 12~24V LED DE</v>
      </c>
      <c r="C780" s="4" t="str">
        <f>IFERROR(__xludf.DUMMYFUNCTION("""COMPUTED_VALUE"""),"Cerradura electromagnética 600LBS (280 Kgs), DC 12~24V Led de estado, sensor de puerta. SMART tuya App control.")</f>
        <v>Cerradura electromagnética 600LBS (280 Kgs), DC 12~24V Led de estado, sensor de puerta. SMART tuya App control.</v>
      </c>
      <c r="D780" s="4" t="str">
        <f>IFERROR(__xludf.DUMMYFUNCTION("""COMPUTED_VALUE"""),"OWL LOCKS")</f>
        <v>OWL LOCKS</v>
      </c>
      <c r="E780" s="4" t="str">
        <f>IFERROR(__xludf.DUMMYFUNCTION("""COMPUTED_VALUE"""),"OW280P6TSW")</f>
        <v>OW280P6TSW</v>
      </c>
      <c r="F780" s="4" t="str">
        <f>IFERROR(__xludf.DUMMYFUNCTION("""COMPUTED_VALUE"""),"CONTROL DE ACCESO &gt; CERRADURAS")</f>
        <v>CONTROL DE ACCESO &gt; CERRADURAS</v>
      </c>
      <c r="G780" s="5"/>
      <c r="H780" s="6">
        <f>IFERROR(__xludf.DUMMYFUNCTION("""COMPUTED_VALUE"""),83.05)</f>
        <v>83.05</v>
      </c>
      <c r="I780" s="7">
        <f>IFERROR(__xludf.DUMMYFUNCTION("""COMPUTED_VALUE"""),21.0)</f>
        <v>21</v>
      </c>
      <c r="J780" s="6">
        <f>IFERROR(__xludf.DUMMYFUNCTION("""COMPUTED_VALUE"""),99.66)</f>
        <v>99.66</v>
      </c>
      <c r="K780" s="6">
        <f>IFERROR(__xludf.DUMMYFUNCTION("""COMPUTED_VALUE"""),116.27)</f>
        <v>116.27</v>
      </c>
      <c r="L780" s="3"/>
      <c r="M780" s="3"/>
    </row>
    <row r="781" ht="48.0" customHeight="1">
      <c r="A781" s="3" t="str">
        <f>IFERROR(__xludf.DUMMYFUNCTION("""COMPUTED_VALUE"""),"OWEL500P")</f>
        <v>OWEL500P</v>
      </c>
      <c r="B781" s="4" t="str">
        <f>IFERROR(__xludf.DUMMYFUNCTION("""COMPUTED_VALUE"""),"CERRADURA ELECTROMAGNÉTICA 1100LBS (500 KGS), 12VDC/24VDC LED DE ENCEN")</f>
        <v>CERRADURA ELECTROMAGNÉTICA 1100LBS (500 KGS), 12VDC/24VDC LED DE ENCEN</v>
      </c>
      <c r="C781" s="4" t="str">
        <f>IFERROR(__xludf.DUMMYFUNCTION("""COMPUTED_VALUE"""),"Cerradura electromagnética 1100LBS (500 Kgs), 12VDC/24VDC Led de encendido")</f>
        <v>Cerradura electromagnética 1100LBS (500 Kgs), 12VDC/24VDC Led de encendido</v>
      </c>
      <c r="D781" s="4" t="str">
        <f>IFERROR(__xludf.DUMMYFUNCTION("""COMPUTED_VALUE"""),"OWL LOCKS")</f>
        <v>OWL LOCKS</v>
      </c>
      <c r="E781" s="4" t="str">
        <f>IFERROR(__xludf.DUMMYFUNCTION("""COMPUTED_VALUE"""),"OWEL500P")</f>
        <v>OWEL500P</v>
      </c>
      <c r="F781" s="4" t="str">
        <f>IFERROR(__xludf.DUMMYFUNCTION("""COMPUTED_VALUE"""),"CONTROL DE ACCESO &gt; CERRADURAS")</f>
        <v>CONTROL DE ACCESO &gt; CERRADURAS</v>
      </c>
      <c r="G781" s="5"/>
      <c r="H781" s="6">
        <f>IFERROR(__xludf.DUMMYFUNCTION("""COMPUTED_VALUE"""),74.8)</f>
        <v>74.8</v>
      </c>
      <c r="I781" s="7">
        <f>IFERROR(__xludf.DUMMYFUNCTION("""COMPUTED_VALUE"""),21.0)</f>
        <v>21</v>
      </c>
      <c r="J781" s="6">
        <f>IFERROR(__xludf.DUMMYFUNCTION("""COMPUTED_VALUE"""),89.76)</f>
        <v>89.76</v>
      </c>
      <c r="K781" s="6">
        <f>IFERROR(__xludf.DUMMYFUNCTION("""COMPUTED_VALUE"""),104.72)</f>
        <v>104.72</v>
      </c>
      <c r="L781" s="3"/>
      <c r="M781" s="3"/>
    </row>
    <row r="782" ht="48.0" customHeight="1">
      <c r="A782" s="3" t="str">
        <f>IFERROR(__xludf.DUMMYFUNCTION("""COMPUTED_VALUE"""),"OW500ZL")</f>
        <v>OW500ZL</v>
      </c>
      <c r="B782" s="4" t="str">
        <f>IFERROR(__xludf.DUMMYFUNCTION("""COMPUTED_VALUE"""),"KIT DE ACCESORIOS DE MONTAJE ZL PARA CERRADURAS OWEL500P")</f>
        <v>KIT DE ACCESORIOS DE MONTAJE ZL PARA CERRADURAS OWEL500P</v>
      </c>
      <c r="C782" s="4" t="str">
        <f>IFERROR(__xludf.DUMMYFUNCTION("""COMPUTED_VALUE"""),"Kit de accesorios de Montaje ZL para cerraduras OWEL500P")</f>
        <v>Kit de accesorios de Montaje ZL para cerraduras OWEL500P</v>
      </c>
      <c r="D782" s="4" t="str">
        <f>IFERROR(__xludf.DUMMYFUNCTION("""COMPUTED_VALUE"""),"OWL LOCKS")</f>
        <v>OWL LOCKS</v>
      </c>
      <c r="E782" s="4" t="str">
        <f>IFERROR(__xludf.DUMMYFUNCTION("""COMPUTED_VALUE"""),"OW500ZL")</f>
        <v>OW500ZL</v>
      </c>
      <c r="F782" s="4" t="str">
        <f>IFERROR(__xludf.DUMMYFUNCTION("""COMPUTED_VALUE"""),"CONTROL DE ACCESO &gt; CERRADURAS")</f>
        <v>CONTROL DE ACCESO &gt; CERRADURAS</v>
      </c>
      <c r="G782" s="5"/>
      <c r="H782" s="6">
        <f>IFERROR(__xludf.DUMMYFUNCTION("""COMPUTED_VALUE"""),35.2)</f>
        <v>35.2</v>
      </c>
      <c r="I782" s="7">
        <f>IFERROR(__xludf.DUMMYFUNCTION("""COMPUTED_VALUE"""),21.0)</f>
        <v>21</v>
      </c>
      <c r="J782" s="6">
        <f>IFERROR(__xludf.DUMMYFUNCTION("""COMPUTED_VALUE"""),42.24)</f>
        <v>42.24</v>
      </c>
      <c r="K782" s="6">
        <f>IFERROR(__xludf.DUMMYFUNCTION("""COMPUTED_VALUE"""),49.28)</f>
        <v>49.28</v>
      </c>
      <c r="L782" s="3"/>
      <c r="M782" s="3"/>
    </row>
    <row r="783" ht="48.0" customHeight="1">
      <c r="A783" s="3" t="str">
        <f>IFERROR(__xludf.DUMMYFUNCTION("""COMPUTED_VALUE"""),"EBL1200LED")</f>
        <v>EBL1200LED</v>
      </c>
      <c r="B783" s="4" t="str">
        <f>IFERROR(__xludf.DUMMYFUNCTION("""COMPUTED_VALUE"""),"CERRADURA ELECTROMAGNÉTICA 1100LBS (500 KGS), 12VDC/24VDC LED DE ESTAD")</f>
        <v>CERRADURA ELECTROMAGNÉTICA 1100LBS (500 KGS), 12VDC/24VDC LED DE ESTAD</v>
      </c>
      <c r="C783" s="4" t="str">
        <f>IFERROR(__xludf.DUMMYFUNCTION("""COMPUTED_VALUE"""),"Cerradura electromagnética 1100LBS (500 Kgs), 12VDC/24VDC Led de estado, sensor de puerta")</f>
        <v>Cerradura electromagnética 1100LBS (500 Kgs), 12VDC/24VDC Led de estado, sensor de puerta</v>
      </c>
      <c r="D783" s="4" t="str">
        <f>IFERROR(__xludf.DUMMYFUNCTION("""COMPUTED_VALUE"""),"OWL LOCKS")</f>
        <v>OWL LOCKS</v>
      </c>
      <c r="E783" s="4" t="str">
        <f>IFERROR(__xludf.DUMMYFUNCTION("""COMPUTED_VALUE"""),"EBL1200LED")</f>
        <v>EBL1200LED</v>
      </c>
      <c r="F783" s="4" t="str">
        <f>IFERROR(__xludf.DUMMYFUNCTION("""COMPUTED_VALUE"""),"CONTROL DE ACCESO &gt; CERRADURAS")</f>
        <v>CONTROL DE ACCESO &gt; CERRADURAS</v>
      </c>
      <c r="G783" s="5"/>
      <c r="H783" s="6">
        <f>IFERROR(__xludf.DUMMYFUNCTION("""COMPUTED_VALUE"""),81.47)</f>
        <v>81.47</v>
      </c>
      <c r="I783" s="7">
        <f>IFERROR(__xludf.DUMMYFUNCTION("""COMPUTED_VALUE"""),21.0)</f>
        <v>21</v>
      </c>
      <c r="J783" s="6">
        <f>IFERROR(__xludf.DUMMYFUNCTION("""COMPUTED_VALUE"""),97.76)</f>
        <v>97.76</v>
      </c>
      <c r="K783" s="6">
        <f>IFERROR(__xludf.DUMMYFUNCTION("""COMPUTED_VALUE"""),114.06)</f>
        <v>114.06</v>
      </c>
      <c r="L783" s="3"/>
      <c r="M783" s="3"/>
    </row>
    <row r="784" ht="48.0" customHeight="1">
      <c r="A784" s="3" t="str">
        <f>IFERROR(__xludf.DUMMYFUNCTION("""COMPUTED_VALUE"""),"EBL1200ZL")</f>
        <v>EBL1200ZL</v>
      </c>
      <c r="B784" s="4" t="str">
        <f>IFERROR(__xludf.DUMMYFUNCTION("""COMPUTED_VALUE"""),"KIT DE ACCESORIOS DE MONTAJE Z PARA CERRADURAS EBL1200")</f>
        <v>KIT DE ACCESORIOS DE MONTAJE Z PARA CERRADURAS EBL1200</v>
      </c>
      <c r="C784" s="4" t="str">
        <f>IFERROR(__xludf.DUMMYFUNCTION("""COMPUTED_VALUE"""),"Kit de accesorios de Montaje Z para cerraduras EBL1200")</f>
        <v>Kit de accesorios de Montaje Z para cerraduras EBL1200</v>
      </c>
      <c r="D784" s="4" t="str">
        <f>IFERROR(__xludf.DUMMYFUNCTION("""COMPUTED_VALUE"""),"OWL LOCKS")</f>
        <v>OWL LOCKS</v>
      </c>
      <c r="E784" s="4" t="str">
        <f>IFERROR(__xludf.DUMMYFUNCTION("""COMPUTED_VALUE"""),"EBL1200ZL")</f>
        <v>EBL1200ZL</v>
      </c>
      <c r="F784" s="4" t="str">
        <f>IFERROR(__xludf.DUMMYFUNCTION("""COMPUTED_VALUE"""),"CONTROL DE ACCESO &gt; CERRADURAS")</f>
        <v>CONTROL DE ACCESO &gt; CERRADURAS</v>
      </c>
      <c r="G784" s="5"/>
      <c r="H784" s="6">
        <f>IFERROR(__xludf.DUMMYFUNCTION("""COMPUTED_VALUE"""),38.02)</f>
        <v>38.02</v>
      </c>
      <c r="I784" s="7">
        <f>IFERROR(__xludf.DUMMYFUNCTION("""COMPUTED_VALUE"""),21.0)</f>
        <v>21</v>
      </c>
      <c r="J784" s="6">
        <f>IFERROR(__xludf.DUMMYFUNCTION("""COMPUTED_VALUE"""),45.62)</f>
        <v>45.62</v>
      </c>
      <c r="K784" s="6">
        <f>IFERROR(__xludf.DUMMYFUNCTION("""COMPUTED_VALUE"""),53.23)</f>
        <v>53.23</v>
      </c>
      <c r="L784" s="3"/>
      <c r="M784" s="3"/>
    </row>
    <row r="785" ht="48.0" customHeight="1">
      <c r="A785" s="3" t="str">
        <f>IFERROR(__xludf.DUMMYFUNCTION("""COMPUTED_VALUE"""),"OW401")</f>
        <v>OW401</v>
      </c>
      <c r="B785" s="4" t="str">
        <f>IFERROR(__xludf.DUMMYFUNCTION("""COMPUTED_VALUE"""),"PASACABLE METÁLICO FLEXIBLE 35 CM PERMITE OCULTAR LOS CABLES")</f>
        <v>PASACABLE METÁLICO FLEXIBLE 35 CM PERMITE OCULTAR LOS CABLES</v>
      </c>
      <c r="C785" s="4" t="str">
        <f>IFERROR(__xludf.DUMMYFUNCTION("""COMPUTED_VALUE"""),"Pasacable metálico flexible 35 cm Permite ocultar los cables")</f>
        <v>Pasacable metálico flexible 35 cm Permite ocultar los cables</v>
      </c>
      <c r="D785" s="4" t="str">
        <f>IFERROR(__xludf.DUMMYFUNCTION("""COMPUTED_VALUE"""),"OWL LOCKS")</f>
        <v>OWL LOCKS</v>
      </c>
      <c r="E785" s="4" t="str">
        <f>IFERROR(__xludf.DUMMYFUNCTION("""COMPUTED_VALUE"""),"OW401")</f>
        <v>OW401</v>
      </c>
      <c r="F785" s="4" t="str">
        <f>IFERROR(__xludf.DUMMYFUNCTION("""COMPUTED_VALUE"""),"CONTROL DE ACCESO &gt; CERRADURAS")</f>
        <v>CONTROL DE ACCESO &gt; CERRADURAS</v>
      </c>
      <c r="G785" s="5"/>
      <c r="H785" s="6">
        <f>IFERROR(__xludf.DUMMYFUNCTION("""COMPUTED_VALUE"""),16.5)</f>
        <v>16.5</v>
      </c>
      <c r="I785" s="7">
        <f>IFERROR(__xludf.DUMMYFUNCTION("""COMPUTED_VALUE"""),21.0)</f>
        <v>21</v>
      </c>
      <c r="J785" s="6">
        <f>IFERROR(__xludf.DUMMYFUNCTION("""COMPUTED_VALUE"""),19.8)</f>
        <v>19.8</v>
      </c>
      <c r="K785" s="6">
        <f>IFERROR(__xludf.DUMMYFUNCTION("""COMPUTED_VALUE"""),23.1)</f>
        <v>23.1</v>
      </c>
      <c r="L785" s="3"/>
      <c r="M785" s="3"/>
    </row>
    <row r="786" ht="48.0" customHeight="1">
      <c r="A786" s="3" t="str">
        <f>IFERROR(__xludf.DUMMYFUNCTION("""COMPUTED_VALUE"""),"OWDL01")</f>
        <v>OWDL01</v>
      </c>
      <c r="B786" s="4" t="str">
        <f>IFERROR(__xludf.DUMMYFUNCTION("""COMPUTED_VALUE"""),"PASACABLE PLÁSTICO-METÁLICO FLEXIBLE 40 CM PERMITE OCULTAR LOS CABLES")</f>
        <v>PASACABLE PLÁSTICO-METÁLICO FLEXIBLE 40 CM PERMITE OCULTAR LOS CABLES</v>
      </c>
      <c r="C786" s="4" t="str">
        <f>IFERROR(__xludf.DUMMYFUNCTION("""COMPUTED_VALUE"""),"Pasacable plástico-metálico flexible 40 cm Permite ocultar los cables")</f>
        <v>Pasacable plástico-metálico flexible 40 cm Permite ocultar los cables</v>
      </c>
      <c r="D786" s="4" t="str">
        <f>IFERROR(__xludf.DUMMYFUNCTION("""COMPUTED_VALUE"""),"OWL LOCKS")</f>
        <v>OWL LOCKS</v>
      </c>
      <c r="E786" s="4" t="str">
        <f>IFERROR(__xludf.DUMMYFUNCTION("""COMPUTED_VALUE"""),"OWDL01")</f>
        <v>OWDL01</v>
      </c>
      <c r="F786" s="4" t="str">
        <f>IFERROR(__xludf.DUMMYFUNCTION("""COMPUTED_VALUE"""),"CONTROL DE ACCESO &gt; CERRADURAS")</f>
        <v>CONTROL DE ACCESO &gt; CERRADURAS</v>
      </c>
      <c r="G786" s="5"/>
      <c r="H786" s="6">
        <f>IFERROR(__xludf.DUMMYFUNCTION("""COMPUTED_VALUE"""),7.15)</f>
        <v>7.15</v>
      </c>
      <c r="I786" s="7">
        <f>IFERROR(__xludf.DUMMYFUNCTION("""COMPUTED_VALUE"""),21.0)</f>
        <v>21</v>
      </c>
      <c r="J786" s="6">
        <f>IFERROR(__xludf.DUMMYFUNCTION("""COMPUTED_VALUE"""),8.58)</f>
        <v>8.58</v>
      </c>
      <c r="K786" s="6">
        <f>IFERROR(__xludf.DUMMYFUNCTION("""COMPUTED_VALUE"""),10.01)</f>
        <v>10.01</v>
      </c>
      <c r="L786" s="3"/>
      <c r="M786" s="3"/>
    </row>
    <row r="787" ht="48.0" customHeight="1">
      <c r="A787" s="3" t="str">
        <f>IFERROR(__xludf.DUMMYFUNCTION("""COMPUTED_VALUE"""),"OWDC45")</f>
        <v>OWDC45</v>
      </c>
      <c r="B787" s="4" t="str">
        <f>IFERROR(__xludf.DUMMYFUNCTION("""COMPUTED_VALUE"""),"CIERRAPUERTAS HIDRÁULICO CON AMORTIGUADOR SILENCIOSO, VELOCIDAD AJUSTA")</f>
        <v>CIERRAPUERTAS HIDRÁULICO CON AMORTIGUADOR SILENCIOSO, VELOCIDAD AJUSTA</v>
      </c>
      <c r="C787" s="4" t="str">
        <f>IFERROR(__xludf.DUMMYFUNCTION("""COMPUTED_VALUE"""),"Cierrapuertas hidráulico con Amortiguador silencioso, velocidad ajustable Material: Aleación de aluminio Máx. Ancho de puerta 950mm Peso de la puerta 40-65kg Velocidad 1 : 180°-15° Velocidad 2: 15°-0°")</f>
        <v>Cierrapuertas hidráulico con Amortiguador silencioso, velocidad ajustable Material: Aleación de aluminio Máx. Ancho de puerta 950mm Peso de la puerta 40-65kg Velocidad 1 : 180°-15° Velocidad 2: 15°-0°</v>
      </c>
      <c r="D787" s="4" t="str">
        <f>IFERROR(__xludf.DUMMYFUNCTION("""COMPUTED_VALUE"""),"OWL LOCKS")</f>
        <v>OWL LOCKS</v>
      </c>
      <c r="E787" s="4" t="str">
        <f>IFERROR(__xludf.DUMMYFUNCTION("""COMPUTED_VALUE"""),"OWDC45")</f>
        <v>OWDC45</v>
      </c>
      <c r="F787" s="4" t="str">
        <f>IFERROR(__xludf.DUMMYFUNCTION("""COMPUTED_VALUE"""),"CONTROL DE ACCESO &gt; CERRADURAS")</f>
        <v>CONTROL DE ACCESO &gt; CERRADURAS</v>
      </c>
      <c r="G787" s="5"/>
      <c r="H787" s="6">
        <f>IFERROR(__xludf.DUMMYFUNCTION("""COMPUTED_VALUE"""),21.45)</f>
        <v>21.45</v>
      </c>
      <c r="I787" s="7">
        <f>IFERROR(__xludf.DUMMYFUNCTION("""COMPUTED_VALUE"""),21.0)</f>
        <v>21</v>
      </c>
      <c r="J787" s="6">
        <f>IFERROR(__xludf.DUMMYFUNCTION("""COMPUTED_VALUE"""),25.74)</f>
        <v>25.74</v>
      </c>
      <c r="K787" s="6">
        <f>IFERROR(__xludf.DUMMYFUNCTION("""COMPUTED_VALUE"""),30.03)</f>
        <v>30.03</v>
      </c>
      <c r="L787" s="3"/>
      <c r="M787" s="3"/>
    </row>
    <row r="788" ht="48.0" customHeight="1">
      <c r="A788" s="3" t="str">
        <f>IFERROR(__xludf.DUMMYFUNCTION("""COMPUTED_VALUE"""),"AR101PBI")</f>
        <v>AR101PBI</v>
      </c>
      <c r="B788" s="4" t="str">
        <f>IFERROR(__xludf.DUMMYFUNCTION("""COMPUTED_VALUE"""),"MINI PULSADOR NO TOUCH (SIN CONTACTO) INCLUYE LED DE")</f>
        <v>MINI PULSADOR NO TOUCH (SIN CONTACTO) INCLUYE LED DE</v>
      </c>
      <c r="C788" s="4" t="str">
        <f>IFERROR(__xludf.DUMMYFUNCTION("""COMPUTED_VALUE"""),"Mini pulsador NO TOUCH (sin contacto) incluye LED de estadoideal para montaje en superficies peqeñas o en platinas metalicas para jajas 5*5, 4*10 o 10*5 (no incluídas)")</f>
        <v>Mini pulsador NO TOUCH (sin contacto) incluye LED de estadoideal para montaje en superficies peqeñas o en platinas metalicas para jajas 5*5, 4*10 o 10*5 (no incluídas)</v>
      </c>
      <c r="D788" s="4" t="str">
        <f>IFERROR(__xludf.DUMMYFUNCTION("""COMPUTED_VALUE"""),"SOYAL")</f>
        <v>SOYAL</v>
      </c>
      <c r="E788" s="4" t="str">
        <f>IFERROR(__xludf.DUMMYFUNCTION("""COMPUTED_VALUE"""),"AR101PBI")</f>
        <v>AR101PBI</v>
      </c>
      <c r="F788" s="4" t="str">
        <f>IFERROR(__xludf.DUMMYFUNCTION("""COMPUTED_VALUE"""),"CONTROL DE ACCESO &gt; PULSADORES")</f>
        <v>CONTROL DE ACCESO &gt; PULSADORES</v>
      </c>
      <c r="G788" s="5"/>
      <c r="H788" s="6">
        <f>IFERROR(__xludf.DUMMYFUNCTION("""COMPUTED_VALUE"""),30.31)</f>
        <v>30.31</v>
      </c>
      <c r="I788" s="7">
        <f>IFERROR(__xludf.DUMMYFUNCTION("""COMPUTED_VALUE"""),10.5)</f>
        <v>10.5</v>
      </c>
      <c r="J788" s="6">
        <f>IFERROR(__xludf.DUMMYFUNCTION("""COMPUTED_VALUE"""),36.37)</f>
        <v>36.37</v>
      </c>
      <c r="K788" s="6">
        <f>IFERROR(__xludf.DUMMYFUNCTION("""COMPUTED_VALUE"""),42.43)</f>
        <v>42.43</v>
      </c>
      <c r="L788" s="3"/>
      <c r="M788" s="3"/>
    </row>
    <row r="789" ht="48.0" customHeight="1">
      <c r="A789" s="3" t="str">
        <f>IFERROR(__xludf.DUMMYFUNCTION("""COMPUTED_VALUE"""),"AR10104")</f>
        <v>AR10104</v>
      </c>
      <c r="B789" s="4" t="str">
        <f>IFERROR(__xludf.DUMMYFUNCTION("""COMPUTED_VALUE"""),"TAPA DE MONTAJE DE SERIE AR101 COMPATIBLE CON MODELOS")</f>
        <v>TAPA DE MONTAJE DE SERIE AR101 COMPATIBLE CON MODELOS</v>
      </c>
      <c r="C789" s="4" t="str">
        <f>IFERROR(__xludf.DUMMYFUNCTION("""COMPUTED_VALUE"""),"Tapa de montaje de serie AR101 compatible con modelos AR101PBI/AR101USX/AR101HDR medidas 11x40 mm")</f>
        <v>Tapa de montaje de serie AR101 compatible con modelos AR101PBI/AR101USX/AR101HDR medidas 11x40 mm</v>
      </c>
      <c r="D789" s="4" t="str">
        <f>IFERROR(__xludf.DUMMYFUNCTION("""COMPUTED_VALUE"""),"SOYAL")</f>
        <v>SOYAL</v>
      </c>
      <c r="E789" s="4" t="str">
        <f>IFERROR(__xludf.DUMMYFUNCTION("""COMPUTED_VALUE"""),"AR10104")</f>
        <v>AR10104</v>
      </c>
      <c r="F789" s="4" t="str">
        <f>IFERROR(__xludf.DUMMYFUNCTION("""COMPUTED_VALUE"""),"CONTROL DE ACCESO &gt; PULSADORES")</f>
        <v>CONTROL DE ACCESO &gt; PULSADORES</v>
      </c>
      <c r="G789" s="5"/>
      <c r="H789" s="6">
        <f>IFERROR(__xludf.DUMMYFUNCTION("""COMPUTED_VALUE"""),4.18)</f>
        <v>4.18</v>
      </c>
      <c r="I789" s="7">
        <f>IFERROR(__xludf.DUMMYFUNCTION("""COMPUTED_VALUE"""),21.0)</f>
        <v>21</v>
      </c>
      <c r="J789" s="6">
        <f>IFERROR(__xludf.DUMMYFUNCTION("""COMPUTED_VALUE"""),5.02)</f>
        <v>5.02</v>
      </c>
      <c r="K789" s="6">
        <f>IFERROR(__xludf.DUMMYFUNCTION("""COMPUTED_VALUE"""),5.85)</f>
        <v>5.85</v>
      </c>
      <c r="L789" s="3"/>
      <c r="M789" s="3"/>
    </row>
    <row r="790" ht="48.0" customHeight="1">
      <c r="A790" s="3" t="str">
        <f>IFERROR(__xludf.DUMMYFUNCTION("""COMPUTED_VALUE"""),"AR10107")</f>
        <v>AR10107</v>
      </c>
      <c r="B790" s="4" t="str">
        <f>IFERROR(__xludf.DUMMYFUNCTION("""COMPUTED_VALUE"""),"TAPA DE MONTAJE DE SERIE AR101 COMPATIBLE CON MODELOS")</f>
        <v>TAPA DE MONTAJE DE SERIE AR101 COMPATIBLE CON MODELOS</v>
      </c>
      <c r="C790" s="4" t="str">
        <f>IFERROR(__xludf.DUMMYFUNCTION("""COMPUTED_VALUE"""),"Tapa de montaje de serie AR101 compatible con modelos AR101PBI/AR101USX/AR101HDR medidas 11x70 mm")</f>
        <v>Tapa de montaje de serie AR101 compatible con modelos AR101PBI/AR101USX/AR101HDR medidas 11x70 mm</v>
      </c>
      <c r="D790" s="4" t="str">
        <f>IFERROR(__xludf.DUMMYFUNCTION("""COMPUTED_VALUE"""),"SOYAL")</f>
        <v>SOYAL</v>
      </c>
      <c r="E790" s="4" t="str">
        <f>IFERROR(__xludf.DUMMYFUNCTION("""COMPUTED_VALUE"""),"AR10107")</f>
        <v>AR10107</v>
      </c>
      <c r="F790" s="4" t="str">
        <f>IFERROR(__xludf.DUMMYFUNCTION("""COMPUTED_VALUE"""),"CONTROL DE ACCESO &gt; PULSADORES")</f>
        <v>CONTROL DE ACCESO &gt; PULSADORES</v>
      </c>
      <c r="G790" s="5"/>
      <c r="H790" s="6">
        <f>IFERROR(__xludf.DUMMYFUNCTION("""COMPUTED_VALUE"""),4.18)</f>
        <v>4.18</v>
      </c>
      <c r="I790" s="7">
        <f>IFERROR(__xludf.DUMMYFUNCTION("""COMPUTED_VALUE"""),21.0)</f>
        <v>21</v>
      </c>
      <c r="J790" s="6">
        <f>IFERROR(__xludf.DUMMYFUNCTION("""COMPUTED_VALUE"""),5.02)</f>
        <v>5.02</v>
      </c>
      <c r="K790" s="6">
        <f>IFERROR(__xludf.DUMMYFUNCTION("""COMPUTED_VALUE"""),5.85)</f>
        <v>5.85</v>
      </c>
      <c r="L790" s="3"/>
      <c r="M790" s="3"/>
    </row>
    <row r="791" ht="48.0" customHeight="1">
      <c r="A791" s="3" t="str">
        <f>IFERROR(__xludf.DUMMYFUNCTION("""COMPUTED_VALUE"""),"OWZ30")</f>
        <v>OWZ30</v>
      </c>
      <c r="B791" s="4" t="str">
        <f>IFERROR(__xludf.DUMMYFUNCTION("""COMPUTED_VALUE"""),"MINI PULSADOR REX PARA MONTAJE DE SUPERFICIE INCLUYE GABINETE")</f>
        <v>MINI PULSADOR REX PARA MONTAJE DE SUPERFICIE INCLUYE GABINETE</v>
      </c>
      <c r="C791" s="4" t="str">
        <f>IFERROR(__xludf.DUMMYFUNCTION("""COMPUTED_VALUE"""),"Mini pulsador REX para montaje de superficie incluye gabinete metálico. Dimensiones Largo: 80 mm / Ancho: 30 mm / Profundidad: 24 mm Contacto de salida: NA")</f>
        <v>Mini pulsador REX para montaje de superficie incluye gabinete metálico. Dimensiones Largo: 80 mm / Ancho: 30 mm / Profundidad: 24 mm Contacto de salida: NA</v>
      </c>
      <c r="D791" s="4" t="str">
        <f>IFERROR(__xludf.DUMMYFUNCTION("""COMPUTED_VALUE"""),"OWL LOCKS")</f>
        <v>OWL LOCKS</v>
      </c>
      <c r="E791" s="4" t="str">
        <f>IFERROR(__xludf.DUMMYFUNCTION("""COMPUTED_VALUE"""),"OWZ30")</f>
        <v>OWZ30</v>
      </c>
      <c r="F791" s="4" t="str">
        <f>IFERROR(__xludf.DUMMYFUNCTION("""COMPUTED_VALUE"""),"CONTROL DE ACCESO &gt; PULSADORES")</f>
        <v>CONTROL DE ACCESO &gt; PULSADORES</v>
      </c>
      <c r="G791" s="5"/>
      <c r="H791" s="6">
        <f>IFERROR(__xludf.DUMMYFUNCTION("""COMPUTED_VALUE"""),10.45)</f>
        <v>10.45</v>
      </c>
      <c r="I791" s="7">
        <f>IFERROR(__xludf.DUMMYFUNCTION("""COMPUTED_VALUE"""),10.5)</f>
        <v>10.5</v>
      </c>
      <c r="J791" s="6">
        <f>IFERROR(__xludf.DUMMYFUNCTION("""COMPUTED_VALUE"""),12.54)</f>
        <v>12.54</v>
      </c>
      <c r="K791" s="6">
        <f>IFERROR(__xludf.DUMMYFUNCTION("""COMPUTED_VALUE"""),14.63)</f>
        <v>14.63</v>
      </c>
      <c r="L791" s="3"/>
      <c r="M791" s="3"/>
    </row>
    <row r="792" ht="48.0" customHeight="1">
      <c r="A792" s="3" t="str">
        <f>IFERROR(__xludf.DUMMYFUNCTION("""COMPUTED_VALUE"""),"OWZ53D3")</f>
        <v>OWZ53D3</v>
      </c>
      <c r="B792" s="4" t="str">
        <f>IFERROR(__xludf.DUMMYFUNCTION("""COMPUTED_VALUE"""),"MINI PULSADOR REX PARA MONTAJE DE SUPERFICIE INCLUYE GABINETE")</f>
        <v>MINI PULSADOR REX PARA MONTAJE DE SUPERFICIE INCLUYE GABINETE</v>
      </c>
      <c r="C792" s="4" t="str">
        <f>IFERROR(__xludf.DUMMYFUNCTION("""COMPUTED_VALUE"""),"Mini pulsador REX para montaje de superficie incluye gabinete metálico NC/NA 53*53*26 mm")</f>
        <v>Mini pulsador REX para montaje de superficie incluye gabinete metálico NC/NA 53*53*26 mm</v>
      </c>
      <c r="D792" s="4" t="str">
        <f>IFERROR(__xludf.DUMMYFUNCTION("""COMPUTED_VALUE"""),"OWL LOCKS")</f>
        <v>OWL LOCKS</v>
      </c>
      <c r="E792" s="4" t="str">
        <f>IFERROR(__xludf.DUMMYFUNCTION("""COMPUTED_VALUE"""),"OWZ53D3")</f>
        <v>OWZ53D3</v>
      </c>
      <c r="F792" s="4" t="str">
        <f>IFERROR(__xludf.DUMMYFUNCTION("""COMPUTED_VALUE"""),"CONTROL DE ACCESO &gt; PULSADORES")</f>
        <v>CONTROL DE ACCESO &gt; PULSADORES</v>
      </c>
      <c r="G792" s="5"/>
      <c r="H792" s="6">
        <f>IFERROR(__xludf.DUMMYFUNCTION("""COMPUTED_VALUE"""),15.57)</f>
        <v>15.57</v>
      </c>
      <c r="I792" s="7">
        <f>IFERROR(__xludf.DUMMYFUNCTION("""COMPUTED_VALUE"""),10.5)</f>
        <v>10.5</v>
      </c>
      <c r="J792" s="6">
        <f>IFERROR(__xludf.DUMMYFUNCTION("""COMPUTED_VALUE"""),18.68)</f>
        <v>18.68</v>
      </c>
      <c r="K792" s="6">
        <f>IFERROR(__xludf.DUMMYFUNCTION("""COMPUTED_VALUE"""),21.8)</f>
        <v>21.8</v>
      </c>
      <c r="L792" s="3"/>
      <c r="M792" s="3"/>
    </row>
    <row r="793" ht="48.0" customHeight="1">
      <c r="A793" s="3" t="str">
        <f>IFERROR(__xludf.DUMMYFUNCTION("""COMPUTED_VALUE"""),"OWZ53LS")</f>
        <v>OWZ53LS</v>
      </c>
      <c r="B793" s="4" t="str">
        <f>IFERROR(__xludf.DUMMYFUNCTION("""COMPUTED_VALUE"""),"MINI PULSADOR REX PARA MONTAJE DE SUPERFICIE INCLUYE GABINETE")</f>
        <v>MINI PULSADOR REX PARA MONTAJE DE SUPERFICIE INCLUYE GABINETE</v>
      </c>
      <c r="C793" s="4" t="str">
        <f>IFERROR(__xludf.DUMMYFUNCTION("""COMPUTED_VALUE"""),"Mini pulsador REX para montaje de superficie incluye gabinete metálico NA 53*53*26 mm con LED de estado NA")</f>
        <v>Mini pulsador REX para montaje de superficie incluye gabinete metálico NA 53*53*26 mm con LED de estado NA</v>
      </c>
      <c r="D793" s="4" t="str">
        <f>IFERROR(__xludf.DUMMYFUNCTION("""COMPUTED_VALUE"""),"OWL LOCKS")</f>
        <v>OWL LOCKS</v>
      </c>
      <c r="E793" s="4" t="str">
        <f>IFERROR(__xludf.DUMMYFUNCTION("""COMPUTED_VALUE"""),"OWZ53LS")</f>
        <v>OWZ53LS</v>
      </c>
      <c r="F793" s="4" t="str">
        <f>IFERROR(__xludf.DUMMYFUNCTION("""COMPUTED_VALUE"""),"CONTROL DE ACCESO &gt; PULSADORES")</f>
        <v>CONTROL DE ACCESO &gt; PULSADORES</v>
      </c>
      <c r="G793" s="5"/>
      <c r="H793" s="6">
        <f>IFERROR(__xludf.DUMMYFUNCTION("""COMPUTED_VALUE"""),20.79)</f>
        <v>20.79</v>
      </c>
      <c r="I793" s="7">
        <f>IFERROR(__xludf.DUMMYFUNCTION("""COMPUTED_VALUE"""),10.5)</f>
        <v>10.5</v>
      </c>
      <c r="J793" s="6">
        <f>IFERROR(__xludf.DUMMYFUNCTION("""COMPUTED_VALUE"""),24.95)</f>
        <v>24.95</v>
      </c>
      <c r="K793" s="6">
        <f>IFERROR(__xludf.DUMMYFUNCTION("""COMPUTED_VALUE"""),29.11)</f>
        <v>29.11</v>
      </c>
      <c r="L793" s="3"/>
      <c r="M793" s="3"/>
    </row>
    <row r="794" ht="48.0" customHeight="1">
      <c r="A794" s="3" t="str">
        <f>IFERROR(__xludf.DUMMYFUNCTION("""COMPUTED_VALUE"""),"OWHO02A")</f>
        <v>OWHO02A</v>
      </c>
      <c r="B794" s="4" t="str">
        <f>IFERROR(__xludf.DUMMYFUNCTION("""COMPUTED_VALUE"""),"PULSADOR REX PARA EMBUTIR 86*86*30 MM NC/NA")</f>
        <v>PULSADOR REX PARA EMBUTIR 86*86*30 MM NC/NA</v>
      </c>
      <c r="C794" s="4" t="str">
        <f>IFERROR(__xludf.DUMMYFUNCTION("""COMPUTED_VALUE"""),"Pulsador REX para embutir 86*86*30 mm NC/NA")</f>
        <v>Pulsador REX para embutir 86*86*30 mm NC/NA</v>
      </c>
      <c r="D794" s="4" t="str">
        <f>IFERROR(__xludf.DUMMYFUNCTION("""COMPUTED_VALUE"""),"OWL LOCKS")</f>
        <v>OWL LOCKS</v>
      </c>
      <c r="E794" s="4" t="str">
        <f>IFERROR(__xludf.DUMMYFUNCTION("""COMPUTED_VALUE"""),"OWHO02A")</f>
        <v>OWHO02A</v>
      </c>
      <c r="F794" s="4" t="str">
        <f>IFERROR(__xludf.DUMMYFUNCTION("""COMPUTED_VALUE"""),"CONTROL DE ACCESO &gt; PULSADORES")</f>
        <v>CONTROL DE ACCESO &gt; PULSADORES</v>
      </c>
      <c r="G794" s="5"/>
      <c r="H794" s="6">
        <f>IFERROR(__xludf.DUMMYFUNCTION("""COMPUTED_VALUE"""),4.07)</f>
        <v>4.07</v>
      </c>
      <c r="I794" s="7">
        <f>IFERROR(__xludf.DUMMYFUNCTION("""COMPUTED_VALUE"""),10.5)</f>
        <v>10.5</v>
      </c>
      <c r="J794" s="6">
        <f>IFERROR(__xludf.DUMMYFUNCTION("""COMPUTED_VALUE"""),4.88)</f>
        <v>4.88</v>
      </c>
      <c r="K794" s="6">
        <f>IFERROR(__xludf.DUMMYFUNCTION("""COMPUTED_VALUE"""),5.7)</f>
        <v>5.7</v>
      </c>
      <c r="L794" s="3"/>
      <c r="M794" s="3"/>
    </row>
    <row r="795" ht="48.0" customHeight="1">
      <c r="A795" s="3" t="str">
        <f>IFERROR(__xludf.DUMMYFUNCTION("""COMPUTED_VALUE"""),"OWHO02AGAB")</f>
        <v>OWHO02AGAB</v>
      </c>
      <c r="B795" s="4" t="str">
        <f>IFERROR(__xludf.DUMMYFUNCTION("""COMPUTED_VALUE"""),"PULSADOR REX PARA MONTAJE DE SUPERFICIE GABINETE PLÁSTICO")</f>
        <v>PULSADOR REX PARA MONTAJE DE SUPERFICIE GABINETE PLÁSTICO</v>
      </c>
      <c r="C795" s="4" t="str">
        <f>IFERROR(__xludf.DUMMYFUNCTION("""COMPUTED_VALUE"""),"Pulsador REX para montaje de superficie gabinete plástico. 86*86*30 mm NC/NA")</f>
        <v>Pulsador REX para montaje de superficie gabinete plástico. 86*86*30 mm NC/NA</v>
      </c>
      <c r="D795" s="4" t="str">
        <f>IFERROR(__xludf.DUMMYFUNCTION("""COMPUTED_VALUE"""),"OWL LOCKS")</f>
        <v>OWL LOCKS</v>
      </c>
      <c r="E795" s="4" t="str">
        <f>IFERROR(__xludf.DUMMYFUNCTION("""COMPUTED_VALUE"""),"OWHO02AGAB")</f>
        <v>OWHO02AGAB</v>
      </c>
      <c r="F795" s="4" t="str">
        <f>IFERROR(__xludf.DUMMYFUNCTION("""COMPUTED_VALUE"""),"CONTROL DE ACCESO &gt; PULSADORES")</f>
        <v>CONTROL DE ACCESO &gt; PULSADORES</v>
      </c>
      <c r="G795" s="5"/>
      <c r="H795" s="6">
        <f>IFERROR(__xludf.DUMMYFUNCTION("""COMPUTED_VALUE"""),5.13)</f>
        <v>5.13</v>
      </c>
      <c r="I795" s="7">
        <f>IFERROR(__xludf.DUMMYFUNCTION("""COMPUTED_VALUE"""),10.5)</f>
        <v>10.5</v>
      </c>
      <c r="J795" s="6">
        <f>IFERROR(__xludf.DUMMYFUNCTION("""COMPUTED_VALUE"""),6.16)</f>
        <v>6.16</v>
      </c>
      <c r="K795" s="6">
        <f>IFERROR(__xludf.DUMMYFUNCTION("""COMPUTED_VALUE"""),7.18)</f>
        <v>7.18</v>
      </c>
      <c r="L795" s="3"/>
      <c r="M795" s="3"/>
    </row>
    <row r="796" ht="48.0" customHeight="1">
      <c r="A796" s="3" t="str">
        <f>IFERROR(__xludf.DUMMYFUNCTION("""COMPUTED_VALUE"""),"OWS861")</f>
        <v>OWS861</v>
      </c>
      <c r="B796" s="4" t="str">
        <f>IFERROR(__xludf.DUMMYFUNCTION("""COMPUTED_VALUE"""),"PULSADOR REX PARA EMBUTIR 86*86 MM")</f>
        <v>PULSADOR REX PARA EMBUTIR 86*86 MM</v>
      </c>
      <c r="C796" s="4" t="str">
        <f>IFERROR(__xludf.DUMMYFUNCTION("""COMPUTED_VALUE"""),"Pulsador REX para embutir 86*86 Mm. Frente de acero inoxidable")</f>
        <v>Pulsador REX para embutir 86*86 Mm. Frente de acero inoxidable</v>
      </c>
      <c r="D796" s="4" t="str">
        <f>IFERROR(__xludf.DUMMYFUNCTION("""COMPUTED_VALUE"""),"OWL LOCKS")</f>
        <v>OWL LOCKS</v>
      </c>
      <c r="E796" s="4" t="str">
        <f>IFERROR(__xludf.DUMMYFUNCTION("""COMPUTED_VALUE"""),"OWS861")</f>
        <v>OWS861</v>
      </c>
      <c r="F796" s="4" t="str">
        <f>IFERROR(__xludf.DUMMYFUNCTION("""COMPUTED_VALUE"""),"CONTROL DE ACCESO &gt; PULSADORES")</f>
        <v>CONTROL DE ACCESO &gt; PULSADORES</v>
      </c>
      <c r="G796" s="5"/>
      <c r="H796" s="6">
        <f>IFERROR(__xludf.DUMMYFUNCTION("""COMPUTED_VALUE"""),8.88)</f>
        <v>8.88</v>
      </c>
      <c r="I796" s="7">
        <f>IFERROR(__xludf.DUMMYFUNCTION("""COMPUTED_VALUE"""),10.5)</f>
        <v>10.5</v>
      </c>
      <c r="J796" s="6">
        <f>IFERROR(__xludf.DUMMYFUNCTION("""COMPUTED_VALUE"""),10.66)</f>
        <v>10.66</v>
      </c>
      <c r="K796" s="6">
        <f>IFERROR(__xludf.DUMMYFUNCTION("""COMPUTED_VALUE"""),12.43)</f>
        <v>12.43</v>
      </c>
      <c r="L796" s="3"/>
      <c r="M796" s="3"/>
    </row>
    <row r="797" ht="48.0" customHeight="1">
      <c r="A797" s="3" t="str">
        <f>IFERROR(__xludf.DUMMYFUNCTION("""COMPUTED_VALUE"""),"ARPB8ABR")</f>
        <v>ARPB8ABR</v>
      </c>
      <c r="B797" s="4" t="str">
        <f>IFERROR(__xludf.DUMMYFUNCTION("""COMPUTED_VALUE"""),"PULSADOR REX PARA EMBUTIR")</f>
        <v>PULSADOR REX PARA EMBUTIR</v>
      </c>
      <c r="C797" s="4" t="str">
        <f>IFERROR(__xludf.DUMMYFUNCTION("""COMPUTED_VALUE"""),"Pulsador REX para embutir. Cuadrado 5cm. Frente plateado con LED de estado")</f>
        <v>Pulsador REX para embutir. Cuadrado 5cm. Frente plateado con LED de estado</v>
      </c>
      <c r="D797" s="4" t="str">
        <f>IFERROR(__xludf.DUMMYFUNCTION("""COMPUTED_VALUE"""),"SOYAL")</f>
        <v>SOYAL</v>
      </c>
      <c r="E797" s="4" t="str">
        <f>IFERROR(__xludf.DUMMYFUNCTION("""COMPUTED_VALUE"""),"ARPB8ABR")</f>
        <v>ARPB8ABR</v>
      </c>
      <c r="F797" s="4" t="str">
        <f>IFERROR(__xludf.DUMMYFUNCTION("""COMPUTED_VALUE"""),"CONTROL DE ACCESO &gt; PULSADORES")</f>
        <v>CONTROL DE ACCESO &gt; PULSADORES</v>
      </c>
      <c r="G797" s="5"/>
      <c r="H797" s="6">
        <f>IFERROR(__xludf.DUMMYFUNCTION("""COMPUTED_VALUE"""),25.92)</f>
        <v>25.92</v>
      </c>
      <c r="I797" s="7">
        <f>IFERROR(__xludf.DUMMYFUNCTION("""COMPUTED_VALUE"""),10.5)</f>
        <v>10.5</v>
      </c>
      <c r="J797" s="6">
        <f>IFERROR(__xludf.DUMMYFUNCTION("""COMPUTED_VALUE"""),31.1)</f>
        <v>31.1</v>
      </c>
      <c r="K797" s="6">
        <f>IFERROR(__xludf.DUMMYFUNCTION("""COMPUTED_VALUE"""),36.29)</f>
        <v>36.29</v>
      </c>
      <c r="L797" s="3"/>
      <c r="M797" s="3"/>
    </row>
    <row r="798" ht="48.0" customHeight="1">
      <c r="A798" s="3" t="str">
        <f>IFERROR(__xludf.DUMMYFUNCTION("""COMPUTED_VALUE"""),"OWC2")</f>
        <v>OWC2</v>
      </c>
      <c r="B798" s="4" t="str">
        <f>IFERROR(__xludf.DUMMYFUNCTION("""COMPUTED_VALUE"""),"PULSADOR REX 86*86*22 MM NC/NA LED BICOLOR MONTAJE DE SUPERFICIE")</f>
        <v>PULSADOR REX 86*86*22 MM NC/NA LED BICOLOR MONTAJE DE SUPERFICIE</v>
      </c>
      <c r="C798" s="4" t="str">
        <f>IFERROR(__xludf.DUMMYFUNCTION("""COMPUTED_VALUE"""),"Pulsador REX 86*86*22 mm NC/NA led bicolor montaje de superficie")</f>
        <v>Pulsador REX 86*86*22 mm NC/NA led bicolor montaje de superficie</v>
      </c>
      <c r="D798" s="4" t="str">
        <f>IFERROR(__xludf.DUMMYFUNCTION("""COMPUTED_VALUE"""),"OWL LOCKS")</f>
        <v>OWL LOCKS</v>
      </c>
      <c r="E798" s="4" t="str">
        <f>IFERROR(__xludf.DUMMYFUNCTION("""COMPUTED_VALUE"""),"OWC2")</f>
        <v>OWC2</v>
      </c>
      <c r="F798" s="4" t="str">
        <f>IFERROR(__xludf.DUMMYFUNCTION("""COMPUTED_VALUE"""),"CONTROL DE ACCESO &gt; PULSADORES")</f>
        <v>CONTROL DE ACCESO &gt; PULSADORES</v>
      </c>
      <c r="G798" s="5"/>
      <c r="H798" s="6">
        <f>IFERROR(__xludf.DUMMYFUNCTION("""COMPUTED_VALUE"""),17.66)</f>
        <v>17.66</v>
      </c>
      <c r="I798" s="7">
        <f>IFERROR(__xludf.DUMMYFUNCTION("""COMPUTED_VALUE"""),10.5)</f>
        <v>10.5</v>
      </c>
      <c r="J798" s="6">
        <f>IFERROR(__xludf.DUMMYFUNCTION("""COMPUTED_VALUE"""),21.19)</f>
        <v>21.19</v>
      </c>
      <c r="K798" s="6">
        <f>IFERROR(__xludf.DUMMYFUNCTION("""COMPUTED_VALUE"""),24.72)</f>
        <v>24.72</v>
      </c>
      <c r="L798" s="3"/>
      <c r="M798" s="3"/>
    </row>
    <row r="799" ht="48.0" customHeight="1">
      <c r="A799" s="3" t="str">
        <f>IFERROR(__xludf.DUMMYFUNCTION("""COMPUTED_VALUE"""),"OWAT886")</f>
        <v>OWAT886</v>
      </c>
      <c r="B799" s="4" t="str">
        <f>IFERROR(__xludf.DUMMYFUNCTION("""COMPUTED_VALUE"""),"PULSADOR REX 86*86 MM NC/NA")</f>
        <v>PULSADOR REX 86*86 MM NC/NA</v>
      </c>
      <c r="C799" s="4" t="str">
        <f>IFERROR(__xludf.DUMMYFUNCTION("""COMPUTED_VALUE"""),"Pulsador REX 86*86 mm NC/NA. Frente aluminio")</f>
        <v>Pulsador REX 86*86 mm NC/NA. Frente aluminio</v>
      </c>
      <c r="D799" s="4" t="str">
        <f>IFERROR(__xludf.DUMMYFUNCTION("""COMPUTED_VALUE"""),"OWL LOCKS")</f>
        <v>OWL LOCKS</v>
      </c>
      <c r="E799" s="4" t="str">
        <f>IFERROR(__xludf.DUMMYFUNCTION("""COMPUTED_VALUE"""),"OWAT886")</f>
        <v>OWAT886</v>
      </c>
      <c r="F799" s="4" t="str">
        <f>IFERROR(__xludf.DUMMYFUNCTION("""COMPUTED_VALUE"""),"CONTROL DE ACCESO &gt; PULSADORES")</f>
        <v>CONTROL DE ACCESO &gt; PULSADORES</v>
      </c>
      <c r="G799" s="5"/>
      <c r="H799" s="6">
        <f>IFERROR(__xludf.DUMMYFUNCTION("""COMPUTED_VALUE"""),23.93)</f>
        <v>23.93</v>
      </c>
      <c r="I799" s="7">
        <f>IFERROR(__xludf.DUMMYFUNCTION("""COMPUTED_VALUE"""),10.5)</f>
        <v>10.5</v>
      </c>
      <c r="J799" s="6">
        <f>IFERROR(__xludf.DUMMYFUNCTION("""COMPUTED_VALUE"""),28.72)</f>
        <v>28.72</v>
      </c>
      <c r="K799" s="6">
        <f>IFERROR(__xludf.DUMMYFUNCTION("""COMPUTED_VALUE"""),33.5)</f>
        <v>33.5</v>
      </c>
      <c r="L799" s="3"/>
      <c r="M799" s="3"/>
    </row>
    <row r="800" ht="48.0" customHeight="1">
      <c r="A800" s="3" t="str">
        <f>IFERROR(__xludf.DUMMYFUNCTION("""COMPUTED_VALUE"""),"OWM8RP68W")</f>
        <v>OWM8RP68W</v>
      </c>
      <c r="B800" s="4" t="str">
        <f>IFERROR(__xludf.DUMMYFUNCTION("""COMPUTED_VALUE"""),"PULSADOR TIPO GOLPE DE PUÑO EN CAJA PLASTICA")</f>
        <v>PULSADOR TIPO GOLPE DE PUÑO EN CAJA PLASTICA</v>
      </c>
      <c r="C800" s="4" t="str">
        <f>IFERROR(__xludf.DUMMYFUNCTION("""COMPUTED_VALUE"""),"Pulsador tipo golpe de puño en caja plastica")</f>
        <v>Pulsador tipo golpe de puño en caja plastica</v>
      </c>
      <c r="D800" s="4" t="str">
        <f>IFERROR(__xludf.DUMMYFUNCTION("""COMPUTED_VALUE"""),"OWL LOCKS")</f>
        <v>OWL LOCKS</v>
      </c>
      <c r="E800" s="4" t="str">
        <f>IFERROR(__xludf.DUMMYFUNCTION("""COMPUTED_VALUE"""),"OWM8RP68W")</f>
        <v>OWM8RP68W</v>
      </c>
      <c r="F800" s="4" t="str">
        <f>IFERROR(__xludf.DUMMYFUNCTION("""COMPUTED_VALUE"""),"CONTROL DE ACCESO &gt; PULSADORES")</f>
        <v>CONTROL DE ACCESO &gt; PULSADORES</v>
      </c>
      <c r="G800" s="5"/>
      <c r="H800" s="6">
        <f>IFERROR(__xludf.DUMMYFUNCTION("""COMPUTED_VALUE"""),23.52)</f>
        <v>23.52</v>
      </c>
      <c r="I800" s="7">
        <f>IFERROR(__xludf.DUMMYFUNCTION("""COMPUTED_VALUE"""),10.5)</f>
        <v>10.5</v>
      </c>
      <c r="J800" s="6">
        <f>IFERROR(__xludf.DUMMYFUNCTION("""COMPUTED_VALUE"""),28.22)</f>
        <v>28.22</v>
      </c>
      <c r="K800" s="6">
        <f>IFERROR(__xludf.DUMMYFUNCTION("""COMPUTED_VALUE"""),32.93)</f>
        <v>32.93</v>
      </c>
      <c r="L800" s="3"/>
      <c r="M800" s="3"/>
    </row>
    <row r="801" ht="48.0" customHeight="1">
      <c r="A801" s="3" t="str">
        <f>IFERROR(__xludf.DUMMYFUNCTION("""COMPUTED_VALUE"""),"ARPB1A")</f>
        <v>ARPB1A</v>
      </c>
      <c r="B801" s="4" t="str">
        <f>IFERROR(__xludf.DUMMYFUNCTION("""COMPUTED_VALUE"""),"PULSADOR REX PARA EMBUTIR")</f>
        <v>PULSADOR REX PARA EMBUTIR</v>
      </c>
      <c r="C801" s="4" t="str">
        <f>IFERROR(__xludf.DUMMYFUNCTION("""COMPUTED_VALUE"""),"Pulsador REX para embutir. Ancho 4 cm. Frente de aluminio NA/NC")</f>
        <v>Pulsador REX para embutir. Ancho 4 cm. Frente de aluminio NA/NC</v>
      </c>
      <c r="D801" s="4" t="str">
        <f>IFERROR(__xludf.DUMMYFUNCTION("""COMPUTED_VALUE"""),"SOYAL")</f>
        <v>SOYAL</v>
      </c>
      <c r="E801" s="4" t="str">
        <f>IFERROR(__xludf.DUMMYFUNCTION("""COMPUTED_VALUE"""),"ARPB1A")</f>
        <v>ARPB1A</v>
      </c>
      <c r="F801" s="4" t="str">
        <f>IFERROR(__xludf.DUMMYFUNCTION("""COMPUTED_VALUE"""),"CONTROL DE ACCESO &gt; PULSADORES")</f>
        <v>CONTROL DE ACCESO &gt; PULSADORES</v>
      </c>
      <c r="G801" s="5"/>
      <c r="H801" s="6">
        <f>IFERROR(__xludf.DUMMYFUNCTION("""COMPUTED_VALUE"""),26.13)</f>
        <v>26.13</v>
      </c>
      <c r="I801" s="7">
        <f>IFERROR(__xludf.DUMMYFUNCTION("""COMPUTED_VALUE"""),10.5)</f>
        <v>10.5</v>
      </c>
      <c r="J801" s="6">
        <f>IFERROR(__xludf.DUMMYFUNCTION("""COMPUTED_VALUE"""),31.36)</f>
        <v>31.36</v>
      </c>
      <c r="K801" s="6">
        <f>IFERROR(__xludf.DUMMYFUNCTION("""COMPUTED_VALUE"""),36.58)</f>
        <v>36.58</v>
      </c>
      <c r="L801" s="3"/>
      <c r="M801" s="3"/>
    </row>
    <row r="802" ht="48.0" customHeight="1">
      <c r="A802" s="3" t="str">
        <f>IFERROR(__xludf.DUMMYFUNCTION("""COMPUTED_VALUE"""),"OWS40H")</f>
        <v>OWS40H</v>
      </c>
      <c r="B802" s="4" t="str">
        <f>IFERROR(__xludf.DUMMYFUNCTION("""COMPUTED_VALUE"""),"PULSADOR REX PARA EMBUTIR 115*40*25 MM")</f>
        <v>PULSADOR REX PARA EMBUTIR 115*40*25 MM</v>
      </c>
      <c r="C802" s="4" t="str">
        <f>IFERROR(__xludf.DUMMYFUNCTION("""COMPUTED_VALUE"""),"Pulsador REX para embutir 115*40*25 mm. Ancho 4 cm. Frente de acero inoxidable")</f>
        <v>Pulsador REX para embutir 115*40*25 mm. Ancho 4 cm. Frente de acero inoxidable</v>
      </c>
      <c r="D802" s="4" t="str">
        <f>IFERROR(__xludf.DUMMYFUNCTION("""COMPUTED_VALUE"""),"OWL LOCKS")</f>
        <v>OWL LOCKS</v>
      </c>
      <c r="E802" s="4" t="str">
        <f>IFERROR(__xludf.DUMMYFUNCTION("""COMPUTED_VALUE"""),"OWS40H")</f>
        <v>OWS40H</v>
      </c>
      <c r="F802" s="4" t="str">
        <f>IFERROR(__xludf.DUMMYFUNCTION("""COMPUTED_VALUE"""),"CONTROL DE ACCESO &gt; PULSADORES")</f>
        <v>CONTROL DE ACCESO &gt; PULSADORES</v>
      </c>
      <c r="G802" s="5"/>
      <c r="H802" s="6">
        <f>IFERROR(__xludf.DUMMYFUNCTION("""COMPUTED_VALUE"""),8.88)</f>
        <v>8.88</v>
      </c>
      <c r="I802" s="7">
        <f>IFERROR(__xludf.DUMMYFUNCTION("""COMPUTED_VALUE"""),10.5)</f>
        <v>10.5</v>
      </c>
      <c r="J802" s="6">
        <f>IFERROR(__xludf.DUMMYFUNCTION("""COMPUTED_VALUE"""),10.66)</f>
        <v>10.66</v>
      </c>
      <c r="K802" s="6">
        <f>IFERROR(__xludf.DUMMYFUNCTION("""COMPUTED_VALUE"""),12.43)</f>
        <v>12.43</v>
      </c>
      <c r="L802" s="3"/>
      <c r="M802" s="3"/>
    </row>
    <row r="803" ht="48.0" customHeight="1">
      <c r="A803" s="3" t="str">
        <f>IFERROR(__xludf.DUMMYFUNCTION("""COMPUTED_VALUE"""),"ARPB204")</f>
        <v>ARPB204</v>
      </c>
      <c r="B803" s="4" t="str">
        <f>IFERROR(__xludf.DUMMYFUNCTION("""COMPUTED_VALUE"""),"PULSADOR REX PARA EMBUTIR 115*40 ANCHO 4 CM")</f>
        <v>PULSADOR REX PARA EMBUTIR 115*40 ANCHO 4 CM</v>
      </c>
      <c r="C803" s="4" t="str">
        <f>IFERROR(__xludf.DUMMYFUNCTION("""COMPUTED_VALUE"""),"Pulsador REX para embutir 115*40 Ancho 4 cm. Frente aluminio, led de estado NA/NC")</f>
        <v>Pulsador REX para embutir 115*40 Ancho 4 cm. Frente aluminio, led de estado NA/NC</v>
      </c>
      <c r="D803" s="4" t="str">
        <f>IFERROR(__xludf.DUMMYFUNCTION("""COMPUTED_VALUE"""),"SOYAL")</f>
        <v>SOYAL</v>
      </c>
      <c r="E803" s="4" t="str">
        <f>IFERROR(__xludf.DUMMYFUNCTION("""COMPUTED_VALUE"""),"ARPB204")</f>
        <v>ARPB204</v>
      </c>
      <c r="F803" s="4" t="str">
        <f>IFERROR(__xludf.DUMMYFUNCTION("""COMPUTED_VALUE"""),"CONTROL DE ACCESO &gt; PULSADORES")</f>
        <v>CONTROL DE ACCESO &gt; PULSADORES</v>
      </c>
      <c r="G803" s="5"/>
      <c r="H803" s="6">
        <f>IFERROR(__xludf.DUMMYFUNCTION("""COMPUTED_VALUE"""),26.13)</f>
        <v>26.13</v>
      </c>
      <c r="I803" s="7">
        <f>IFERROR(__xludf.DUMMYFUNCTION("""COMPUTED_VALUE"""),10.5)</f>
        <v>10.5</v>
      </c>
      <c r="J803" s="6">
        <f>IFERROR(__xludf.DUMMYFUNCTION("""COMPUTED_VALUE"""),31.36)</f>
        <v>31.36</v>
      </c>
      <c r="K803" s="6">
        <f>IFERROR(__xludf.DUMMYFUNCTION("""COMPUTED_VALUE"""),36.58)</f>
        <v>36.58</v>
      </c>
      <c r="L803" s="3"/>
      <c r="M803" s="3"/>
    </row>
    <row r="804" ht="48.0" customHeight="1">
      <c r="A804" s="3" t="str">
        <f>IFERROR(__xludf.DUMMYFUNCTION("""COMPUTED_VALUE"""),"DS-K7P04/T")</f>
        <v>DS-K7P04/T</v>
      </c>
      <c r="B804" s="4" t="str">
        <f>IFERROR(__xludf.DUMMYFUNCTION("""COMPUTED_VALUE"""),"PULSADOR DE SALIDA NO TOUCH")</f>
        <v>PULSADOR DE SALIDA NO TOUCH</v>
      </c>
      <c r="C804" s="4" t="str">
        <f>IFERROR(__xludf.DUMMYFUNCTION("""COMPUTED_VALUE"""),"Pulsador de salida No Touch. Stainless steel panel; Dimension(L×W×H): 90×35×37.7mm(3.54×1.38×1.48"").")</f>
        <v>Pulsador de salida No Touch. Stainless steel panel; Dimension(L×W×H): 90×35×37.7mm(3.54×1.38×1.48").</v>
      </c>
      <c r="D804" s="4" t="str">
        <f>IFERROR(__xludf.DUMMYFUNCTION("""COMPUTED_VALUE"""),"HIKVISION")</f>
        <v>HIKVISION</v>
      </c>
      <c r="E804" s="4" t="str">
        <f>IFERROR(__xludf.DUMMYFUNCTION("""COMPUTED_VALUE"""),"DS-K7P04/T")</f>
        <v>DS-K7P04/T</v>
      </c>
      <c r="F804" s="4" t="str">
        <f>IFERROR(__xludf.DUMMYFUNCTION("""COMPUTED_VALUE"""),"CONTROL DE ACCESO &gt; PULSADORES")</f>
        <v>CONTROL DE ACCESO &gt; PULSADORES</v>
      </c>
      <c r="G804" s="5"/>
      <c r="H804" s="6">
        <f>IFERROR(__xludf.DUMMYFUNCTION("""COMPUTED_VALUE"""),16.61)</f>
        <v>16.61</v>
      </c>
      <c r="I804" s="7">
        <f>IFERROR(__xludf.DUMMYFUNCTION("""COMPUTED_VALUE"""),21.0)</f>
        <v>21</v>
      </c>
      <c r="J804" s="6">
        <f>IFERROR(__xludf.DUMMYFUNCTION("""COMPUTED_VALUE"""),19.93)</f>
        <v>19.93</v>
      </c>
      <c r="K804" s="6">
        <f>IFERROR(__xludf.DUMMYFUNCTION("""COMPUTED_VALUE"""),23.25)</f>
        <v>23.25</v>
      </c>
      <c r="L804" s="3"/>
      <c r="M804" s="3"/>
    </row>
    <row r="805" ht="48.0" customHeight="1">
      <c r="A805" s="3" t="str">
        <f>IFERROR(__xludf.DUMMYFUNCTION("""COMPUTED_VALUE"""),"DS-K7P07")</f>
        <v>DS-K7P07</v>
      </c>
      <c r="B805" s="4" t="str">
        <f>IFERROR(__xludf.DUMMYFUNCTION("""COMPUTED_VALUE"""),"PULSADOR DE SALIDA NO TOUCH MATERIAL: ACERO INOXIDABLE, CON")</f>
        <v>PULSADOR DE SALIDA NO TOUCH MATERIAL: ACERO INOXIDABLE, CON</v>
      </c>
      <c r="C805" s="4" t="str">
        <f>IFERROR(__xludf.DUMMYFUNCTION("""COMPUTED_VALUE"""),"Pulsador de salida No Touch Material: acero inoxidable, con indicador Led 12-24 VCD. Contacto NO/COM/NC. Dimensiones: 115mm x 70 mm x 16 mm.")</f>
        <v>Pulsador de salida No Touch Material: acero inoxidable, con indicador Led 12-24 VCD. Contacto NO/COM/NC. Dimensiones: 115mm x 70 mm x 16 mm.</v>
      </c>
      <c r="D805" s="4" t="str">
        <f>IFERROR(__xludf.DUMMYFUNCTION("""COMPUTED_VALUE"""),"HIKVISION")</f>
        <v>HIKVISION</v>
      </c>
      <c r="E805" s="4" t="str">
        <f>IFERROR(__xludf.DUMMYFUNCTION("""COMPUTED_VALUE"""),"DS-K7P07")</f>
        <v>DS-K7P07</v>
      </c>
      <c r="F805" s="4" t="str">
        <f>IFERROR(__xludf.DUMMYFUNCTION("""COMPUTED_VALUE"""),"CONTROL DE ACCESO &gt; PULSADORES")</f>
        <v>CONTROL DE ACCESO &gt; PULSADORES</v>
      </c>
      <c r="G805" s="5"/>
      <c r="H805" s="6">
        <f>IFERROR(__xludf.DUMMYFUNCTION("""COMPUTED_VALUE"""),11.66)</f>
        <v>11.66</v>
      </c>
      <c r="I805" s="7">
        <f>IFERROR(__xludf.DUMMYFUNCTION("""COMPUTED_VALUE"""),21.0)</f>
        <v>21</v>
      </c>
      <c r="J805" s="6">
        <f>IFERROR(__xludf.DUMMYFUNCTION("""COMPUTED_VALUE"""),13.99)</f>
        <v>13.99</v>
      </c>
      <c r="K805" s="6">
        <f>IFERROR(__xludf.DUMMYFUNCTION("""COMPUTED_VALUE"""),16.32)</f>
        <v>16.32</v>
      </c>
      <c r="L805" s="3"/>
      <c r="M805" s="3"/>
    </row>
    <row r="806" ht="48.0" customHeight="1">
      <c r="A806" s="3" t="str">
        <f>IFERROR(__xludf.DUMMYFUNCTION("""COMPUTED_VALUE"""),"ARPB2A")</f>
        <v>ARPB2A</v>
      </c>
      <c r="B806" s="4" t="str">
        <f>IFERROR(__xludf.DUMMYFUNCTION("""COMPUTED_VALUE"""),"PULSADOR REX PARA EMBUTIR")</f>
        <v>PULSADOR REX PARA EMBUTIR</v>
      </c>
      <c r="C806" s="4" t="str">
        <f>IFERROR(__xludf.DUMMYFUNCTION("""COMPUTED_VALUE"""),"Pulsador REX para embutir. Ancho 7 cm. Frente de aluminio NA/NC")</f>
        <v>Pulsador REX para embutir. Ancho 7 cm. Frente de aluminio NA/NC</v>
      </c>
      <c r="D806" s="4" t="str">
        <f>IFERROR(__xludf.DUMMYFUNCTION("""COMPUTED_VALUE"""),"SOYAL")</f>
        <v>SOYAL</v>
      </c>
      <c r="E806" s="4" t="str">
        <f>IFERROR(__xludf.DUMMYFUNCTION("""COMPUTED_VALUE"""),"ARPB2A")</f>
        <v>ARPB2A</v>
      </c>
      <c r="F806" s="4" t="str">
        <f>IFERROR(__xludf.DUMMYFUNCTION("""COMPUTED_VALUE"""),"CONTROL DE ACCESO &gt; PULSADORES")</f>
        <v>CONTROL DE ACCESO &gt; PULSADORES</v>
      </c>
      <c r="G806" s="5"/>
      <c r="H806" s="6">
        <f>IFERROR(__xludf.DUMMYFUNCTION("""COMPUTED_VALUE"""),26.13)</f>
        <v>26.13</v>
      </c>
      <c r="I806" s="7">
        <f>IFERROR(__xludf.DUMMYFUNCTION("""COMPUTED_VALUE"""),10.5)</f>
        <v>10.5</v>
      </c>
      <c r="J806" s="6">
        <f>IFERROR(__xludf.DUMMYFUNCTION("""COMPUTED_VALUE"""),31.36)</f>
        <v>31.36</v>
      </c>
      <c r="K806" s="6">
        <f>IFERROR(__xludf.DUMMYFUNCTION("""COMPUTED_VALUE"""),36.58)</f>
        <v>36.58</v>
      </c>
      <c r="L806" s="3"/>
      <c r="M806" s="3"/>
    </row>
    <row r="807" ht="48.0" customHeight="1">
      <c r="A807" s="3" t="str">
        <f>IFERROR(__xludf.DUMMYFUNCTION("""COMPUTED_VALUE"""),"OWS70H")</f>
        <v>OWS70H</v>
      </c>
      <c r="B807" s="4" t="str">
        <f>IFERROR(__xludf.DUMMYFUNCTION("""COMPUTED_VALUE"""),"PULSADOR REX PARA EMBUTIR 115*70*25 MM")</f>
        <v>PULSADOR REX PARA EMBUTIR 115*70*25 MM</v>
      </c>
      <c r="C807" s="4" t="str">
        <f>IFERROR(__xludf.DUMMYFUNCTION("""COMPUTED_VALUE"""),"Pulsador REX para embutir 115*70*25 mm. Ancho 7 cm. Frente de acero inoxidable NA")</f>
        <v>Pulsador REX para embutir 115*70*25 mm. Ancho 7 cm. Frente de acero inoxidable NA</v>
      </c>
      <c r="D807" s="4" t="str">
        <f>IFERROR(__xludf.DUMMYFUNCTION("""COMPUTED_VALUE"""),"OWL LOCKS")</f>
        <v>OWL LOCKS</v>
      </c>
      <c r="E807" s="4" t="str">
        <f>IFERROR(__xludf.DUMMYFUNCTION("""COMPUTED_VALUE"""),"OWS70H")</f>
        <v>OWS70H</v>
      </c>
      <c r="F807" s="4" t="str">
        <f>IFERROR(__xludf.DUMMYFUNCTION("""COMPUTED_VALUE"""),"CONTROL DE ACCESO &gt; PULSADORES")</f>
        <v>CONTROL DE ACCESO &gt; PULSADORES</v>
      </c>
      <c r="G807" s="5"/>
      <c r="H807" s="6">
        <f>IFERROR(__xludf.DUMMYFUNCTION("""COMPUTED_VALUE"""),8.58)</f>
        <v>8.58</v>
      </c>
      <c r="I807" s="7">
        <f>IFERROR(__xludf.DUMMYFUNCTION("""COMPUTED_VALUE"""),10.5)</f>
        <v>10.5</v>
      </c>
      <c r="J807" s="6">
        <f>IFERROR(__xludf.DUMMYFUNCTION("""COMPUTED_VALUE"""),10.3)</f>
        <v>10.3</v>
      </c>
      <c r="K807" s="6">
        <f>IFERROR(__xludf.DUMMYFUNCTION("""COMPUTED_VALUE"""),12.01)</f>
        <v>12.01</v>
      </c>
      <c r="L807" s="3"/>
      <c r="M807" s="3"/>
    </row>
    <row r="808" ht="48.0" customHeight="1">
      <c r="A808" s="3" t="str">
        <f>IFERROR(__xludf.DUMMYFUNCTION("""COMPUTED_VALUE"""),"OWS870D")</f>
        <v>OWS870D</v>
      </c>
      <c r="B808" s="4" t="str">
        <f>IFERROR(__xludf.DUMMYFUNCTION("""COMPUTED_VALUE"""),"PULSADOR REX PARA EMBUTIR 115*70*25 MM")</f>
        <v>PULSADOR REX PARA EMBUTIR 115*70*25 MM</v>
      </c>
      <c r="C808" s="4" t="str">
        <f>IFERROR(__xludf.DUMMYFUNCTION("""COMPUTED_VALUE"""),"Pulsador REX para embutir 115*70*25 mm. Ancho 7 cm. Frente de acero inoxidable NA-NC")</f>
        <v>Pulsador REX para embutir 115*70*25 mm. Ancho 7 cm. Frente de acero inoxidable NA-NC</v>
      </c>
      <c r="D808" s="4" t="str">
        <f>IFERROR(__xludf.DUMMYFUNCTION("""COMPUTED_VALUE"""),"OWL LOCKS")</f>
        <v>OWL LOCKS</v>
      </c>
      <c r="E808" s="4" t="str">
        <f>IFERROR(__xludf.DUMMYFUNCTION("""COMPUTED_VALUE"""),"OWS870D")</f>
        <v>OWS870D</v>
      </c>
      <c r="F808" s="4" t="str">
        <f>IFERROR(__xludf.DUMMYFUNCTION("""COMPUTED_VALUE"""),"CONTROL DE ACCESO &gt; PULSADORES")</f>
        <v>CONTROL DE ACCESO &gt; PULSADORES</v>
      </c>
      <c r="G808" s="5"/>
      <c r="H808" s="6">
        <f>IFERROR(__xludf.DUMMYFUNCTION("""COMPUTED_VALUE"""),10.41)</f>
        <v>10.41</v>
      </c>
      <c r="I808" s="7">
        <f>IFERROR(__xludf.DUMMYFUNCTION("""COMPUTED_VALUE"""),10.5)</f>
        <v>10.5</v>
      </c>
      <c r="J808" s="6">
        <f>IFERROR(__xludf.DUMMYFUNCTION("""COMPUTED_VALUE"""),12.49)</f>
        <v>12.49</v>
      </c>
      <c r="K808" s="6">
        <f>IFERROR(__xludf.DUMMYFUNCTION("""COMPUTED_VALUE"""),14.57)</f>
        <v>14.57</v>
      </c>
      <c r="L808" s="3"/>
      <c r="M808" s="3"/>
    </row>
    <row r="809" ht="48.0" customHeight="1">
      <c r="A809" s="3" t="str">
        <f>IFERROR(__xludf.DUMMYFUNCTION("""COMPUTED_VALUE"""),"OWS870M3R")</f>
        <v>OWS870M3R</v>
      </c>
      <c r="B809" s="4" t="str">
        <f>IFERROR(__xludf.DUMMYFUNCTION("""COMPUTED_VALUE"""),"PULSADOR REX PARA EMBUTIR 115*70 MM")</f>
        <v>PULSADOR REX PARA EMBUTIR 115*70 MM</v>
      </c>
      <c r="C809" s="4" t="str">
        <f>IFERROR(__xludf.DUMMYFUNCTION("""COMPUTED_VALUE"""),"Pulsador REX para embutir 115*70 mm. Ancho 7 cm. Frente acero inoxidable NA/NC apto para intemperie IP65")</f>
        <v>Pulsador REX para embutir 115*70 mm. Ancho 7 cm. Frente acero inoxidable NA/NC apto para intemperie IP65</v>
      </c>
      <c r="D809" s="4" t="str">
        <f>IFERROR(__xludf.DUMMYFUNCTION("""COMPUTED_VALUE"""),"OWL LOCKS")</f>
        <v>OWL LOCKS</v>
      </c>
      <c r="E809" s="4" t="str">
        <f>IFERROR(__xludf.DUMMYFUNCTION("""COMPUTED_VALUE"""),"OWS870M3R")</f>
        <v>OWS870M3R</v>
      </c>
      <c r="F809" s="4" t="str">
        <f>IFERROR(__xludf.DUMMYFUNCTION("""COMPUTED_VALUE"""),"CONTROL DE ACCESO &gt; PULSADORES")</f>
        <v>CONTROL DE ACCESO &gt; PULSADORES</v>
      </c>
      <c r="G809" s="5"/>
      <c r="H809" s="6">
        <f>IFERROR(__xludf.DUMMYFUNCTION("""COMPUTED_VALUE"""),18.28)</f>
        <v>18.28</v>
      </c>
      <c r="I809" s="7">
        <f>IFERROR(__xludf.DUMMYFUNCTION("""COMPUTED_VALUE"""),10.5)</f>
        <v>10.5</v>
      </c>
      <c r="J809" s="6">
        <f>IFERROR(__xludf.DUMMYFUNCTION("""COMPUTED_VALUE"""),21.94)</f>
        <v>21.94</v>
      </c>
      <c r="K809" s="6">
        <f>IFERROR(__xludf.DUMMYFUNCTION("""COMPUTED_VALUE"""),25.59)</f>
        <v>25.59</v>
      </c>
      <c r="L809" s="3"/>
      <c r="M809" s="3"/>
    </row>
    <row r="810" ht="48.0" customHeight="1">
      <c r="A810" s="3" t="str">
        <f>IFERROR(__xludf.DUMMYFUNCTION("""COMPUTED_VALUE"""),"OWA870D4RED")</f>
        <v>OWA870D4RED</v>
      </c>
      <c r="B810" s="4" t="str">
        <f>IFERROR(__xludf.DUMMYFUNCTION("""COMPUTED_VALUE"""),"PULSADOR REX PARA EMBUTIR")</f>
        <v>PULSADOR REX PARA EMBUTIR</v>
      </c>
      <c r="C810" s="4" t="str">
        <f>IFERROR(__xludf.DUMMYFUNCTION("""COMPUTED_VALUE"""),"Pulsador REX para embutir.115*70 mm. Ancho 7 cm. Frente acero inoxidable NA/NC.")</f>
        <v>Pulsador REX para embutir.115*70 mm. Ancho 7 cm. Frente acero inoxidable NA/NC.</v>
      </c>
      <c r="D810" s="4" t="str">
        <f>IFERROR(__xludf.DUMMYFUNCTION("""COMPUTED_VALUE"""),"OWL LOCKS")</f>
        <v>OWL LOCKS</v>
      </c>
      <c r="E810" s="4" t="str">
        <f>IFERROR(__xludf.DUMMYFUNCTION("""COMPUTED_VALUE"""),"OWA870D4RED")</f>
        <v>OWA870D4RED</v>
      </c>
      <c r="F810" s="4" t="str">
        <f>IFERROR(__xludf.DUMMYFUNCTION("""COMPUTED_VALUE"""),"CONTROL DE ACCESO &gt; PULSADORES")</f>
        <v>CONTROL DE ACCESO &gt; PULSADORES</v>
      </c>
      <c r="G810" s="5"/>
      <c r="H810" s="6">
        <f>IFERROR(__xludf.DUMMYFUNCTION("""COMPUTED_VALUE"""),23.52)</f>
        <v>23.52</v>
      </c>
      <c r="I810" s="7">
        <f>IFERROR(__xludf.DUMMYFUNCTION("""COMPUTED_VALUE"""),10.5)</f>
        <v>10.5</v>
      </c>
      <c r="J810" s="6">
        <f>IFERROR(__xludf.DUMMYFUNCTION("""COMPUTED_VALUE"""),28.22)</f>
        <v>28.22</v>
      </c>
      <c r="K810" s="6">
        <f>IFERROR(__xludf.DUMMYFUNCTION("""COMPUTED_VALUE"""),32.93)</f>
        <v>32.93</v>
      </c>
      <c r="L810" s="3"/>
      <c r="M810" s="3"/>
    </row>
    <row r="811" ht="48.0" customHeight="1">
      <c r="A811" s="3" t="str">
        <f>IFERROR(__xludf.DUMMYFUNCTION("""COMPUTED_VALUE"""),"ARPB7A")</f>
        <v>ARPB7A</v>
      </c>
      <c r="B811" s="4" t="str">
        <f>IFERROR(__xludf.DUMMYFUNCTION("""COMPUTED_VALUE"""),"PULSADOR REX PARA EMBUTIR")</f>
        <v>PULSADOR REX PARA EMBUTIR</v>
      </c>
      <c r="C811" s="4" t="str">
        <f>IFERROR(__xludf.DUMMYFUNCTION("""COMPUTED_VALUE"""),"Pulsador REX para embutir. Ancho 7 cm. Frente plateado con LED de estado")</f>
        <v>Pulsador REX para embutir. Ancho 7 cm. Frente plateado con LED de estado</v>
      </c>
      <c r="D811" s="4" t="str">
        <f>IFERROR(__xludf.DUMMYFUNCTION("""COMPUTED_VALUE"""),"SOYAL")</f>
        <v>SOYAL</v>
      </c>
      <c r="E811" s="4" t="str">
        <f>IFERROR(__xludf.DUMMYFUNCTION("""COMPUTED_VALUE"""),"ARPB7A")</f>
        <v>ARPB7A</v>
      </c>
      <c r="F811" s="4" t="str">
        <f>IFERROR(__xludf.DUMMYFUNCTION("""COMPUTED_VALUE"""),"CONTROL DE ACCESO &gt; PULSADORES")</f>
        <v>CONTROL DE ACCESO &gt; PULSADORES</v>
      </c>
      <c r="G811" s="5"/>
      <c r="H811" s="6">
        <f>IFERROR(__xludf.DUMMYFUNCTION("""COMPUTED_VALUE"""),26.13)</f>
        <v>26.13</v>
      </c>
      <c r="I811" s="7">
        <f>IFERROR(__xludf.DUMMYFUNCTION("""COMPUTED_VALUE"""),10.5)</f>
        <v>10.5</v>
      </c>
      <c r="J811" s="6">
        <f>IFERROR(__xludf.DUMMYFUNCTION("""COMPUTED_VALUE"""),31.36)</f>
        <v>31.36</v>
      </c>
      <c r="K811" s="6">
        <f>IFERROR(__xludf.DUMMYFUNCTION("""COMPUTED_VALUE"""),36.58)</f>
        <v>36.58</v>
      </c>
      <c r="L811" s="3"/>
      <c r="M811" s="3"/>
    </row>
    <row r="812" ht="48.0" customHeight="1">
      <c r="A812" s="3" t="str">
        <f>IFERROR(__xludf.DUMMYFUNCTION("""COMPUTED_VALUE"""),"ARPB207")</f>
        <v>ARPB207</v>
      </c>
      <c r="B812" s="4" t="str">
        <f>IFERROR(__xludf.DUMMYFUNCTION("""COMPUTED_VALUE"""),"PULSADOR REX PARA EMBUTIR 115*70 MM")</f>
        <v>PULSADOR REX PARA EMBUTIR 115*70 MM</v>
      </c>
      <c r="C812" s="4" t="str">
        <f>IFERROR(__xludf.DUMMYFUNCTION("""COMPUTED_VALUE"""),"Pulsador REX para embutir 115*70 mm. Ancho 7 cm. Frente aluminio, led de estado NA/NC")</f>
        <v>Pulsador REX para embutir 115*70 mm. Ancho 7 cm. Frente aluminio, led de estado NA/NC</v>
      </c>
      <c r="D812" s="4" t="str">
        <f>IFERROR(__xludf.DUMMYFUNCTION("""COMPUTED_VALUE"""),"SOYAL")</f>
        <v>SOYAL</v>
      </c>
      <c r="E812" s="4" t="str">
        <f>IFERROR(__xludf.DUMMYFUNCTION("""COMPUTED_VALUE"""),"ARPB207")</f>
        <v>ARPB207</v>
      </c>
      <c r="F812" s="4" t="str">
        <f>IFERROR(__xludf.DUMMYFUNCTION("""COMPUTED_VALUE"""),"CONTROL DE ACCESO &gt; PULSADORES")</f>
        <v>CONTROL DE ACCESO &gt; PULSADORES</v>
      </c>
      <c r="G812" s="5"/>
      <c r="H812" s="6">
        <f>IFERROR(__xludf.DUMMYFUNCTION("""COMPUTED_VALUE"""),23.52)</f>
        <v>23.52</v>
      </c>
      <c r="I812" s="7">
        <f>IFERROR(__xludf.DUMMYFUNCTION("""COMPUTED_VALUE"""),21.0)</f>
        <v>21</v>
      </c>
      <c r="J812" s="6">
        <f>IFERROR(__xludf.DUMMYFUNCTION("""COMPUTED_VALUE"""),28.22)</f>
        <v>28.22</v>
      </c>
      <c r="K812" s="6">
        <f>IFERROR(__xludf.DUMMYFUNCTION("""COMPUTED_VALUE"""),32.93)</f>
        <v>32.93</v>
      </c>
      <c r="L812" s="3"/>
      <c r="M812" s="3"/>
    </row>
    <row r="813" ht="48.0" customHeight="1">
      <c r="A813" s="3" t="str">
        <f>IFERROR(__xludf.DUMMYFUNCTION("""COMPUTED_VALUE"""),"OWS87022LG")</f>
        <v>OWS87022LG</v>
      </c>
      <c r="B813" s="4" t="str">
        <f>IFERROR(__xludf.DUMMYFUNCTION("""COMPUTED_VALUE"""),"PULSADOR REX PARA EMBUTIR")</f>
        <v>PULSADOR REX PARA EMBUTIR</v>
      </c>
      <c r="C813" s="4" t="str">
        <f>IFERROR(__xludf.DUMMYFUNCTION("""COMPUTED_VALUE"""),"Pulsador REX para embutir. Ancho 7 cm. Frente acero inoxidable con LED de estado verde NA/NC apto para intemperie IP65")</f>
        <v>Pulsador REX para embutir. Ancho 7 cm. Frente acero inoxidable con LED de estado verde NA/NC apto para intemperie IP65</v>
      </c>
      <c r="D813" s="4" t="str">
        <f>IFERROR(__xludf.DUMMYFUNCTION("""COMPUTED_VALUE"""),"OWL LOCKS")</f>
        <v>OWL LOCKS</v>
      </c>
      <c r="E813" s="4" t="str">
        <f>IFERROR(__xludf.DUMMYFUNCTION("""COMPUTED_VALUE"""),"OWS87022LG")</f>
        <v>OWS87022LG</v>
      </c>
      <c r="F813" s="4" t="str">
        <f>IFERROR(__xludf.DUMMYFUNCTION("""COMPUTED_VALUE"""),"CONTROL DE ACCESO &gt; PULSADORES")</f>
        <v>CONTROL DE ACCESO &gt; PULSADORES</v>
      </c>
      <c r="G813" s="5"/>
      <c r="H813" s="6">
        <f>IFERROR(__xludf.DUMMYFUNCTION("""COMPUTED_VALUE"""),19.33)</f>
        <v>19.33</v>
      </c>
      <c r="I813" s="7">
        <f>IFERROR(__xludf.DUMMYFUNCTION("""COMPUTED_VALUE"""),10.5)</f>
        <v>10.5</v>
      </c>
      <c r="J813" s="6">
        <f>IFERROR(__xludf.DUMMYFUNCTION("""COMPUTED_VALUE"""),23.2)</f>
        <v>23.2</v>
      </c>
      <c r="K813" s="6">
        <f>IFERROR(__xludf.DUMMYFUNCTION("""COMPUTED_VALUE"""),27.06)</f>
        <v>27.06</v>
      </c>
      <c r="L813" s="3"/>
      <c r="M813" s="3"/>
    </row>
    <row r="814" ht="48.0" customHeight="1">
      <c r="A814" s="3" t="str">
        <f>IFERROR(__xludf.DUMMYFUNCTION("""COMPUTED_VALUE"""),"OWAN870")</f>
        <v>OWAN870</v>
      </c>
      <c r="B814" s="4" t="str">
        <f>IFERROR(__xludf.DUMMYFUNCTION("""COMPUTED_VALUE"""),"PULSADOR NO TOUCH REX PARA EMBUTIR")</f>
        <v>PULSADOR NO TOUCH REX PARA EMBUTIR</v>
      </c>
      <c r="C814" s="4" t="str">
        <f>IFERROR(__xludf.DUMMYFUNCTION("""COMPUTED_VALUE"""),"Pulsador No touch REX para embutir. Ancho 7 cm. Frente aluminio con LED de estado bicolor azul/verde NA/NC")</f>
        <v>Pulsador No touch REX para embutir. Ancho 7 cm. Frente aluminio con LED de estado bicolor azul/verde NA/NC</v>
      </c>
      <c r="D814" s="4" t="str">
        <f>IFERROR(__xludf.DUMMYFUNCTION("""COMPUTED_VALUE"""),"OWL LOCKS")</f>
        <v>OWL LOCKS</v>
      </c>
      <c r="E814" s="4" t="str">
        <f>IFERROR(__xludf.DUMMYFUNCTION("""COMPUTED_VALUE"""),"OWAN870")</f>
        <v>OWAN870</v>
      </c>
      <c r="F814" s="4" t="str">
        <f>IFERROR(__xludf.DUMMYFUNCTION("""COMPUTED_VALUE"""),"CONTROL DE ACCESO &gt; PULSADORES")</f>
        <v>CONTROL DE ACCESO &gt; PULSADORES</v>
      </c>
      <c r="G814" s="5"/>
      <c r="H814" s="6">
        <f>IFERROR(__xludf.DUMMYFUNCTION("""COMPUTED_VALUE"""),23.93)</f>
        <v>23.93</v>
      </c>
      <c r="I814" s="7">
        <f>IFERROR(__xludf.DUMMYFUNCTION("""COMPUTED_VALUE"""),10.5)</f>
        <v>10.5</v>
      </c>
      <c r="J814" s="6">
        <f>IFERROR(__xludf.DUMMYFUNCTION("""COMPUTED_VALUE"""),28.72)</f>
        <v>28.72</v>
      </c>
      <c r="K814" s="6">
        <f>IFERROR(__xludf.DUMMYFUNCTION("""COMPUTED_VALUE"""),33.5)</f>
        <v>33.5</v>
      </c>
      <c r="L814" s="3"/>
      <c r="M814" s="3"/>
    </row>
    <row r="815" ht="48.0" customHeight="1">
      <c r="A815" s="3" t="str">
        <f>IFERROR(__xludf.DUMMYFUNCTION("""COMPUTED_VALUE"""),"OWS40KLC")</f>
        <v>OWS40KLC</v>
      </c>
      <c r="B815" s="4" t="str">
        <f>IFERROR(__xludf.DUMMYFUNCTION("""COMPUTED_VALUE"""),"SWITCH CON LLAVE CUADRADO DE 8")</f>
        <v>SWITCH CON LLAVE CUADRADO DE 8</v>
      </c>
      <c r="C815" s="4" t="str">
        <f>IFERROR(__xludf.DUMMYFUNCTION("""COMPUTED_VALUE"""),"Switch con llave cuadrado de 8.5 x 8.5 cm. Frente aluminio NA/NC")</f>
        <v>Switch con llave cuadrado de 8.5 x 8.5 cm. Frente aluminio NA/NC</v>
      </c>
      <c r="D815" s="4" t="str">
        <f>IFERROR(__xludf.DUMMYFUNCTION("""COMPUTED_VALUE"""),"OWL LOCKS")</f>
        <v>OWL LOCKS</v>
      </c>
      <c r="E815" s="4" t="str">
        <f>IFERROR(__xludf.DUMMYFUNCTION("""COMPUTED_VALUE"""),"OWS40KLC")</f>
        <v>OWS40KLC</v>
      </c>
      <c r="F815" s="4" t="str">
        <f>IFERROR(__xludf.DUMMYFUNCTION("""COMPUTED_VALUE"""),"CONECTIVIDAD &gt; SWITCH")</f>
        <v>CONECTIVIDAD &gt; SWITCH</v>
      </c>
      <c r="G815" s="5"/>
      <c r="H815" s="6">
        <f>IFERROR(__xludf.DUMMYFUNCTION("""COMPUTED_VALUE"""),17.48)</f>
        <v>17.48</v>
      </c>
      <c r="I815" s="7">
        <f>IFERROR(__xludf.DUMMYFUNCTION("""COMPUTED_VALUE"""),10.5)</f>
        <v>10.5</v>
      </c>
      <c r="J815" s="6">
        <f>IFERROR(__xludf.DUMMYFUNCTION("""COMPUTED_VALUE"""),20.98)</f>
        <v>20.98</v>
      </c>
      <c r="K815" s="6">
        <f>IFERROR(__xludf.DUMMYFUNCTION("""COMPUTED_VALUE"""),24.47)</f>
        <v>24.47</v>
      </c>
      <c r="L815" s="3"/>
      <c r="M815" s="3"/>
    </row>
    <row r="816" ht="48.0" customHeight="1">
      <c r="A816" s="3" t="str">
        <f>IFERROR(__xludf.DUMMYFUNCTION("""COMPUTED_VALUE"""),"OWS70KLC")</f>
        <v>OWS70KLC</v>
      </c>
      <c r="B816" s="4" t="str">
        <f>IFERROR(__xludf.DUMMYFUNCTION("""COMPUTED_VALUE"""),"SWITCH CON LLAVE RECTANGULAR ANCHO 7 CM")</f>
        <v>SWITCH CON LLAVE RECTANGULAR ANCHO 7 CM</v>
      </c>
      <c r="C816" s="4" t="str">
        <f>IFERROR(__xludf.DUMMYFUNCTION("""COMPUTED_VALUE"""),"Switch con llave rectangular Ancho 7 cm. Frente acero inoxidable NA/NC, led de estado")</f>
        <v>Switch con llave rectangular Ancho 7 cm. Frente acero inoxidable NA/NC, led de estado</v>
      </c>
      <c r="D816" s="4" t="str">
        <f>IFERROR(__xludf.DUMMYFUNCTION("""COMPUTED_VALUE"""),"OWL LOCKS")</f>
        <v>OWL LOCKS</v>
      </c>
      <c r="E816" s="4" t="str">
        <f>IFERROR(__xludf.DUMMYFUNCTION("""COMPUTED_VALUE"""),"OWS70KLC")</f>
        <v>OWS70KLC</v>
      </c>
      <c r="F816" s="4" t="str">
        <f>IFERROR(__xludf.DUMMYFUNCTION("""COMPUTED_VALUE"""),"CONECTIVIDAD &gt; SWITCH")</f>
        <v>CONECTIVIDAD &gt; SWITCH</v>
      </c>
      <c r="G816" s="5"/>
      <c r="H816" s="6">
        <f>IFERROR(__xludf.DUMMYFUNCTION("""COMPUTED_VALUE"""),21.95)</f>
        <v>21.95</v>
      </c>
      <c r="I816" s="7">
        <f>IFERROR(__xludf.DUMMYFUNCTION("""COMPUTED_VALUE"""),10.5)</f>
        <v>10.5</v>
      </c>
      <c r="J816" s="6">
        <f>IFERROR(__xludf.DUMMYFUNCTION("""COMPUTED_VALUE"""),26.34)</f>
        <v>26.34</v>
      </c>
      <c r="K816" s="6">
        <f>IFERROR(__xludf.DUMMYFUNCTION("""COMPUTED_VALUE"""),30.73)</f>
        <v>30.73</v>
      </c>
      <c r="L816" s="3"/>
      <c r="M816" s="3"/>
    </row>
    <row r="817" ht="48.0" customHeight="1">
      <c r="A817" s="3" t="str">
        <f>IFERROR(__xludf.DUMMYFUNCTION("""COMPUTED_VALUE"""),"OWK40BW")</f>
        <v>OWK40BW</v>
      </c>
      <c r="B817" s="4" t="str">
        <f>IFERROR(__xludf.DUMMYFUNCTION("""COMPUTED_VALUE"""),"PULSADOR NO TOUCH REX MONTAJE EN SUPERFICIE MEDIDAS 115*40MM,")</f>
        <v>PULSADOR NO TOUCH REX MONTAJE EN SUPERFICIE MEDIDAS 115*40MM,</v>
      </c>
      <c r="C817" s="4" t="str">
        <f>IFERROR(__xludf.DUMMYFUNCTION("""COMPUTED_VALUE"""),"Pulsador No touch REX montaje en superficie medidas 115*40mm, NO/NC/COM. Apto intemperie IP68. Led de estado Standby LED Azul, Activo LED verde, ajuste de Sensibilidad y demora")</f>
        <v>Pulsador No touch REX montaje en superficie medidas 115*40mm, NO/NC/COM. Apto intemperie IP68. Led de estado Standby LED Azul, Activo LED verde, ajuste de Sensibilidad y demora</v>
      </c>
      <c r="D817" s="4" t="str">
        <f>IFERROR(__xludf.DUMMYFUNCTION("""COMPUTED_VALUE"""),"OWL LOCKS")</f>
        <v>OWL LOCKS</v>
      </c>
      <c r="E817" s="4" t="str">
        <f>IFERROR(__xludf.DUMMYFUNCTION("""COMPUTED_VALUE"""),"OWK40BW")</f>
        <v>OWK40BW</v>
      </c>
      <c r="F817" s="4" t="str">
        <f>IFERROR(__xludf.DUMMYFUNCTION("""COMPUTED_VALUE"""),"CONTROL DE ACCESO &gt; PULSADORES")</f>
        <v>CONTROL DE ACCESO &gt; PULSADORES</v>
      </c>
      <c r="G817" s="5"/>
      <c r="H817" s="6">
        <f>IFERROR(__xludf.DUMMYFUNCTION("""COMPUTED_VALUE"""),25.6)</f>
        <v>25.6</v>
      </c>
      <c r="I817" s="7">
        <f>IFERROR(__xludf.DUMMYFUNCTION("""COMPUTED_VALUE"""),10.5)</f>
        <v>10.5</v>
      </c>
      <c r="J817" s="6">
        <f>IFERROR(__xludf.DUMMYFUNCTION("""COMPUTED_VALUE"""),30.72)</f>
        <v>30.72</v>
      </c>
      <c r="K817" s="6">
        <f>IFERROR(__xludf.DUMMYFUNCTION("""COMPUTED_VALUE"""),35.84)</f>
        <v>35.84</v>
      </c>
      <c r="L817" s="3"/>
      <c r="M817" s="3"/>
    </row>
    <row r="818" ht="48.0" customHeight="1">
      <c r="A818" s="3" t="str">
        <f>IFERROR(__xludf.DUMMYFUNCTION("""COMPUTED_VALUE"""),"OWK7B")</f>
        <v>OWK7B</v>
      </c>
      <c r="B818" s="4" t="str">
        <f>IFERROR(__xludf.DUMMYFUNCTION("""COMPUTED_VALUE"""),"PULSADOR NO TOUCH REX MONTAJE EN SUPERFICIE MEDIDAS 115*70MM,")</f>
        <v>PULSADOR NO TOUCH REX MONTAJE EN SUPERFICIE MEDIDAS 115*70MM,</v>
      </c>
      <c r="C818" s="4" t="str">
        <f>IFERROR(__xludf.DUMMYFUNCTION("""COMPUTED_VALUE"""),"Pulsador No touch REX montaje en superficie medidas 115*70mm, NO/NC/COM, Led de estado Standby LED Azul, Activo LED verde, ajuste de Sensibilidad y demora")</f>
        <v>Pulsador No touch REX montaje en superficie medidas 115*70mm, NO/NC/COM, Led de estado Standby LED Azul, Activo LED verde, ajuste de Sensibilidad y demora</v>
      </c>
      <c r="D818" s="4" t="str">
        <f>IFERROR(__xludf.DUMMYFUNCTION("""COMPUTED_VALUE"""),"OWL LOCKS")</f>
        <v>OWL LOCKS</v>
      </c>
      <c r="E818" s="4" t="str">
        <f>IFERROR(__xludf.DUMMYFUNCTION("""COMPUTED_VALUE"""),"OWK7B")</f>
        <v>OWK7B</v>
      </c>
      <c r="F818" s="4" t="str">
        <f>IFERROR(__xludf.DUMMYFUNCTION("""COMPUTED_VALUE"""),"CONTROL DE ACCESO &gt; PULSADORES")</f>
        <v>CONTROL DE ACCESO &gt; PULSADORES</v>
      </c>
      <c r="G818" s="5"/>
      <c r="H818" s="6">
        <f>IFERROR(__xludf.DUMMYFUNCTION("""COMPUTED_VALUE"""),22.47)</f>
        <v>22.47</v>
      </c>
      <c r="I818" s="7">
        <f>IFERROR(__xludf.DUMMYFUNCTION("""COMPUTED_VALUE"""),10.5)</f>
        <v>10.5</v>
      </c>
      <c r="J818" s="6">
        <f>IFERROR(__xludf.DUMMYFUNCTION("""COMPUTED_VALUE"""),26.96)</f>
        <v>26.96</v>
      </c>
      <c r="K818" s="6">
        <f>IFERROR(__xludf.DUMMYFUNCTION("""COMPUTED_VALUE"""),31.46)</f>
        <v>31.46</v>
      </c>
      <c r="L818" s="3"/>
      <c r="M818" s="3"/>
    </row>
    <row r="819" ht="48.0" customHeight="1">
      <c r="A819" s="3" t="str">
        <f>IFERROR(__xludf.DUMMYFUNCTION("""COMPUTED_VALUE"""),"OWT2NT")</f>
        <v>OWT2NT</v>
      </c>
      <c r="B819" s="4" t="str">
        <f>IFERROR(__xludf.DUMMYFUNCTION("""COMPUTED_VALUE"""),"PULSADOR NO TOUCH GABINETE PLÁLSTICO MONTAJE EN SUPERFICIE LED")</f>
        <v>PULSADOR NO TOUCH GABINETE PLÁLSTICO MONTAJE EN SUPERFICIE LED</v>
      </c>
      <c r="C819" s="4" t="str">
        <f>IFERROR(__xludf.DUMMYFUNCTION("""COMPUTED_VALUE"""),"Pulsador No touch gabinete plálstico montaje en superficie LED de estado 12/24v NA/NC Ajustes de tiempo de 0.3 a 3 segundos. Ajuste de sencibilidad de 3 a 15 cm.")</f>
        <v>Pulsador No touch gabinete plálstico montaje en superficie LED de estado 12/24v NA/NC Ajustes de tiempo de 0.3 a 3 segundos. Ajuste de sencibilidad de 3 a 15 cm.</v>
      </c>
      <c r="D819" s="4" t="str">
        <f>IFERROR(__xludf.DUMMYFUNCTION("""COMPUTED_VALUE"""),"OWL LOCKS")</f>
        <v>OWL LOCKS</v>
      </c>
      <c r="E819" s="4" t="str">
        <f>IFERROR(__xludf.DUMMYFUNCTION("""COMPUTED_VALUE"""),"OWT2NT")</f>
        <v>OWT2NT</v>
      </c>
      <c r="F819" s="4" t="str">
        <f>IFERROR(__xludf.DUMMYFUNCTION("""COMPUTED_VALUE"""),"CONTROL DE ACCESO &gt; PULSADORES")</f>
        <v>CONTROL DE ACCESO &gt; PULSADORES</v>
      </c>
      <c r="G819" s="5"/>
      <c r="H819" s="6">
        <f>IFERROR(__xludf.DUMMYFUNCTION("""COMPUTED_VALUE"""),19.33)</f>
        <v>19.33</v>
      </c>
      <c r="I819" s="7">
        <f>IFERROR(__xludf.DUMMYFUNCTION("""COMPUTED_VALUE"""),10.5)</f>
        <v>10.5</v>
      </c>
      <c r="J819" s="6">
        <f>IFERROR(__xludf.DUMMYFUNCTION("""COMPUTED_VALUE"""),23.2)</f>
        <v>23.2</v>
      </c>
      <c r="K819" s="6">
        <f>IFERROR(__xludf.DUMMYFUNCTION("""COMPUTED_VALUE"""),27.06)</f>
        <v>27.06</v>
      </c>
      <c r="L819" s="3"/>
      <c r="M819" s="3"/>
    </row>
    <row r="820" ht="48.0" customHeight="1">
      <c r="A820" s="3" t="str">
        <f>IFERROR(__xludf.DUMMYFUNCTION("""COMPUTED_VALUE"""),"OWT3W")</f>
        <v>OWT3W</v>
      </c>
      <c r="B820" s="4" t="str">
        <f>IFERROR(__xludf.DUMMYFUNCTION("""COMPUTED_VALUE"""),"PULSADOR NO TOUCH GABINETE METÁLICO MONTAJE EN SUPERFICIE LED")</f>
        <v>PULSADOR NO TOUCH GABINETE METÁLICO MONTAJE EN SUPERFICIE LED</v>
      </c>
      <c r="C820" s="4" t="str">
        <f>IFERROR(__xludf.DUMMYFUNCTION("""COMPUTED_VALUE"""),"Pulsador No touch gabinete metálico montaje en superficie LED de estado 12/24v NA/NC Ajustes de tiempo de 0.3 a 3 segundos. Ajuste de sencibilidad de 3 a 15 cm.")</f>
        <v>Pulsador No touch gabinete metálico montaje en superficie LED de estado 12/24v NA/NC Ajustes de tiempo de 0.3 a 3 segundos. Ajuste de sencibilidad de 3 a 15 cm.</v>
      </c>
      <c r="D820" s="4" t="str">
        <f>IFERROR(__xludf.DUMMYFUNCTION("""COMPUTED_VALUE"""),"OWL LOCKS")</f>
        <v>OWL LOCKS</v>
      </c>
      <c r="E820" s="4" t="str">
        <f>IFERROR(__xludf.DUMMYFUNCTION("""COMPUTED_VALUE"""),"OWT3W")</f>
        <v>OWT3W</v>
      </c>
      <c r="F820" s="4" t="str">
        <f>IFERROR(__xludf.DUMMYFUNCTION("""COMPUTED_VALUE"""),"CONTROL DE ACCESO &gt; PULSADORES")</f>
        <v>CONTROL DE ACCESO &gt; PULSADORES</v>
      </c>
      <c r="G820" s="5"/>
      <c r="H820" s="6">
        <f>IFERROR(__xludf.DUMMYFUNCTION("""COMPUTED_VALUE"""),23.93)</f>
        <v>23.93</v>
      </c>
      <c r="I820" s="7">
        <f>IFERROR(__xludf.DUMMYFUNCTION("""COMPUTED_VALUE"""),10.5)</f>
        <v>10.5</v>
      </c>
      <c r="J820" s="6">
        <f>IFERROR(__xludf.DUMMYFUNCTION("""COMPUTED_VALUE"""),28.72)</f>
        <v>28.72</v>
      </c>
      <c r="K820" s="6">
        <f>IFERROR(__xludf.DUMMYFUNCTION("""COMPUTED_VALUE"""),33.5)</f>
        <v>33.5</v>
      </c>
      <c r="L820" s="3"/>
      <c r="M820" s="3"/>
    </row>
    <row r="821" ht="48.0" customHeight="1">
      <c r="A821" s="3" t="str">
        <f>IFERROR(__xludf.DUMMYFUNCTION("""COMPUTED_VALUE"""),"OWHF911G")</f>
        <v>OWHF911G</v>
      </c>
      <c r="B821" s="4" t="str">
        <f>IFERROR(__xludf.DUMMYFUNCTION("""COMPUTED_VALUE"""),"PULSADOR SIMPLE ACCION DE EMERGENCIA ROMPA EL VIDRIO Y")</f>
        <v>PULSADOR SIMPLE ACCION DE EMERGENCIA ROMPA EL VIDRIO Y</v>
      </c>
      <c r="C821" s="4" t="str">
        <f>IFERROR(__xludf.DUMMYFUNCTION("""COMPUTED_VALUE"""),"Pulsador Simple Accion de Emergencia rompa el vidrio y contacto NA/NC")</f>
        <v>Pulsador Simple Accion de Emergencia rompa el vidrio y contacto NA/NC</v>
      </c>
      <c r="D821" s="4" t="str">
        <f>IFERROR(__xludf.DUMMYFUNCTION("""COMPUTED_VALUE"""),"OWL LOCKS")</f>
        <v>OWL LOCKS</v>
      </c>
      <c r="E821" s="4" t="str">
        <f>IFERROR(__xludf.DUMMYFUNCTION("""COMPUTED_VALUE"""),"OWHF911G")</f>
        <v>OWHF911G</v>
      </c>
      <c r="F821" s="4" t="str">
        <f>IFERROR(__xludf.DUMMYFUNCTION("""COMPUTED_VALUE"""),"CONTROL DE ACCESO &gt; PULSADORES")</f>
        <v>CONTROL DE ACCESO &gt; PULSADORES</v>
      </c>
      <c r="G821" s="5"/>
      <c r="H821" s="6">
        <f>IFERROR(__xludf.DUMMYFUNCTION("""COMPUTED_VALUE"""),9.93)</f>
        <v>9.93</v>
      </c>
      <c r="I821" s="7">
        <f>IFERROR(__xludf.DUMMYFUNCTION("""COMPUTED_VALUE"""),10.5)</f>
        <v>10.5</v>
      </c>
      <c r="J821" s="6">
        <f>IFERROR(__xludf.DUMMYFUNCTION("""COMPUTED_VALUE"""),11.92)</f>
        <v>11.92</v>
      </c>
      <c r="K821" s="6">
        <f>IFERROR(__xludf.DUMMYFUNCTION("""COMPUTED_VALUE"""),13.9)</f>
        <v>13.9</v>
      </c>
      <c r="L821" s="3"/>
      <c r="M821" s="3"/>
    </row>
    <row r="822" ht="48.0" customHeight="1">
      <c r="A822" s="3" t="str">
        <f>IFERROR(__xludf.DUMMYFUNCTION("""COMPUTED_VALUE"""),"OW808G")</f>
        <v>OW808G</v>
      </c>
      <c r="B822" s="4" t="str">
        <f>IFERROR(__xludf.DUMMYFUNCTION("""COMPUTED_VALUE"""),"PULSADOR DOBLE ACCION DE EMERGENCIA REESTABLECIBLE CON TAPA Y")</f>
        <v>PULSADOR DOBLE ACCION DE EMERGENCIA REESTABLECIBLE CON TAPA Y</v>
      </c>
      <c r="C822" s="4" t="str">
        <f>IFERROR(__xludf.DUMMYFUNCTION("""COMPUTED_VALUE"""),"Pulsador Doble Accion de Emergencia reestablecible con tapa y contacto NA/NC")</f>
        <v>Pulsador Doble Accion de Emergencia reestablecible con tapa y contacto NA/NC</v>
      </c>
      <c r="D822" s="4" t="str">
        <f>IFERROR(__xludf.DUMMYFUNCTION("""COMPUTED_VALUE"""),"OWL LOCKS")</f>
        <v>OWL LOCKS</v>
      </c>
      <c r="E822" s="4" t="str">
        <f>IFERROR(__xludf.DUMMYFUNCTION("""COMPUTED_VALUE"""),"OW808G")</f>
        <v>OW808G</v>
      </c>
      <c r="F822" s="4" t="str">
        <f>IFERROR(__xludf.DUMMYFUNCTION("""COMPUTED_VALUE"""),"CONTROL DE ACCESO &gt; PULSADORES")</f>
        <v>CONTROL DE ACCESO &gt; PULSADORES</v>
      </c>
      <c r="G822" s="5"/>
      <c r="H822" s="6">
        <f>IFERROR(__xludf.DUMMYFUNCTION("""COMPUTED_VALUE"""),14.1)</f>
        <v>14.1</v>
      </c>
      <c r="I822" s="7">
        <f>IFERROR(__xludf.DUMMYFUNCTION("""COMPUTED_VALUE"""),10.5)</f>
        <v>10.5</v>
      </c>
      <c r="J822" s="6">
        <f>IFERROR(__xludf.DUMMYFUNCTION("""COMPUTED_VALUE"""),16.92)</f>
        <v>16.92</v>
      </c>
      <c r="K822" s="6">
        <f>IFERROR(__xludf.DUMMYFUNCTION("""COMPUTED_VALUE"""),19.74)</f>
        <v>19.74</v>
      </c>
      <c r="L822" s="3"/>
      <c r="M822" s="3"/>
    </row>
    <row r="823" ht="48.0" customHeight="1">
      <c r="A823" s="3" t="str">
        <f>IFERROR(__xludf.DUMMYFUNCTION("""COMPUTED_VALUE"""),"SSPS200")</f>
        <v>SSPS200</v>
      </c>
      <c r="B823" s="4" t="str">
        <f>IFERROR(__xludf.DUMMYFUNCTION("""COMPUTED_VALUE"""),"PUERTA TRANSPARENTE PARA KAC CONVERSIÓN SIMPLE ACCIÓN A DOBLE ACCIÓN")</f>
        <v>PUERTA TRANSPARENTE PARA KAC CONVERSIÓN SIMPLE ACCIÓN A DOBLE ACCIÓN</v>
      </c>
      <c r="C823" s="4" t="str">
        <f>IFERROR(__xludf.DUMMYFUNCTION("""COMPUTED_VALUE"""),"Puerta transparente para KAC conversión Simple Acción a Doble acción")</f>
        <v>Puerta transparente para KAC conversión Simple Acción a Doble acción</v>
      </c>
      <c r="D823" s="4" t="str">
        <f>IFERROR(__xludf.DUMMYFUNCTION("""COMPUTED_VALUE"""),"SYSTEM SENSOR")</f>
        <v>SYSTEM SENSOR</v>
      </c>
      <c r="E823" s="4" t="str">
        <f>IFERROR(__xludf.DUMMYFUNCTION("""COMPUTED_VALUE"""),"SSPS200")</f>
        <v>SSPS200</v>
      </c>
      <c r="F823" s="4" t="str">
        <f>IFERROR(__xludf.DUMMYFUNCTION("""COMPUTED_VALUE"""),"CONTROL DE ACCESO &gt; PULSADORES")</f>
        <v>CONTROL DE ACCESO &gt; PULSADORES</v>
      </c>
      <c r="G823" s="5"/>
      <c r="H823" s="6">
        <f>IFERROR(__xludf.DUMMYFUNCTION("""COMPUTED_VALUE"""),4.05)</f>
        <v>4.05</v>
      </c>
      <c r="I823" s="7">
        <f>IFERROR(__xludf.DUMMYFUNCTION("""COMPUTED_VALUE"""),21.0)</f>
        <v>21</v>
      </c>
      <c r="J823" s="6">
        <f>IFERROR(__xludf.DUMMYFUNCTION("""COMPUTED_VALUE"""),4.86)</f>
        <v>4.86</v>
      </c>
      <c r="K823" s="6">
        <f>IFERROR(__xludf.DUMMYFUNCTION("""COMPUTED_VALUE"""),5.67)</f>
        <v>5.67</v>
      </c>
      <c r="L823" s="3"/>
      <c r="M823" s="3"/>
    </row>
    <row r="824" ht="48.0" customHeight="1">
      <c r="A824" s="3" t="str">
        <f>IFERROR(__xludf.DUMMYFUNCTION("""COMPUTED_VALUE"""),"OWM701")</f>
        <v>OWM701</v>
      </c>
      <c r="B824" s="4" t="str">
        <f>IFERROR(__xludf.DUMMYFUNCTION("""COMPUTED_VALUE"""),"GABINETE METÁLICO PULIDO DE MONTAJE SUPERFICIE DE 115*70*27 MM")</f>
        <v>GABINETE METÁLICO PULIDO DE MONTAJE SUPERFICIE DE 115*70*27 MM</v>
      </c>
      <c r="C824" s="4" t="str">
        <f>IFERROR(__xludf.DUMMYFUNCTION("""COMPUTED_VALUE"""),"Gabinete metálico pulido de montaje superficie de 115*70*27 mm apto para cualquier pulsador de embutir de 7 cm Línea Soyal y OWL")</f>
        <v>Gabinete metálico pulido de montaje superficie de 115*70*27 mm apto para cualquier pulsador de embutir de 7 cm Línea Soyal y OWL</v>
      </c>
      <c r="D824" s="4" t="str">
        <f>IFERROR(__xludf.DUMMYFUNCTION("""COMPUTED_VALUE"""),"OWL LOCKS")</f>
        <v>OWL LOCKS</v>
      </c>
      <c r="E824" s="4" t="str">
        <f>IFERROR(__xludf.DUMMYFUNCTION("""COMPUTED_VALUE"""),"OWM701")</f>
        <v>OWM701</v>
      </c>
      <c r="F824" s="4" t="str">
        <f>IFERROR(__xludf.DUMMYFUNCTION("""COMPUTED_VALUE"""),"CONTROL DE ACCESO &gt; PULSADORES")</f>
        <v>CONTROL DE ACCESO &gt; PULSADORES</v>
      </c>
      <c r="G824" s="5"/>
      <c r="H824" s="6">
        <f>IFERROR(__xludf.DUMMYFUNCTION("""COMPUTED_VALUE"""),8.88)</f>
        <v>8.88</v>
      </c>
      <c r="I824" s="7">
        <f>IFERROR(__xludf.DUMMYFUNCTION("""COMPUTED_VALUE"""),10.5)</f>
        <v>10.5</v>
      </c>
      <c r="J824" s="6">
        <f>IFERROR(__xludf.DUMMYFUNCTION("""COMPUTED_VALUE"""),10.66)</f>
        <v>10.66</v>
      </c>
      <c r="K824" s="6">
        <f>IFERROR(__xludf.DUMMYFUNCTION("""COMPUTED_VALUE"""),12.43)</f>
        <v>12.43</v>
      </c>
      <c r="L824" s="3"/>
      <c r="M824" s="3"/>
    </row>
    <row r="825" ht="48.0" customHeight="1">
      <c r="A825" s="3" t="str">
        <f>IFERROR(__xludf.DUMMYFUNCTION("""COMPUTED_VALUE"""),"OWM861")</f>
        <v>OWM861</v>
      </c>
      <c r="B825" s="4" t="str">
        <f>IFERROR(__xludf.DUMMYFUNCTION("""COMPUTED_VALUE"""),"GABINETE METÁLICO PULIDO DE MONTAJE SUPERFICIE DE 86*86*27 MM")</f>
        <v>GABINETE METÁLICO PULIDO DE MONTAJE SUPERFICIE DE 86*86*27 MM</v>
      </c>
      <c r="C825" s="4" t="str">
        <f>IFERROR(__xludf.DUMMYFUNCTION("""COMPUTED_VALUE"""),"Gabinete metálico pulido de montaje superficie de 86*86*27 mm apto para cualquier pulsador de embutir de 86 mm Línea Soyal y OWL")</f>
        <v>Gabinete metálico pulido de montaje superficie de 86*86*27 mm apto para cualquier pulsador de embutir de 86 mm Línea Soyal y OWL</v>
      </c>
      <c r="D825" s="4" t="str">
        <f>IFERROR(__xludf.DUMMYFUNCTION("""COMPUTED_VALUE"""),"OWL LOCKS")</f>
        <v>OWL LOCKS</v>
      </c>
      <c r="E825" s="4" t="str">
        <f>IFERROR(__xludf.DUMMYFUNCTION("""COMPUTED_VALUE"""),"OWM861")</f>
        <v>OWM861</v>
      </c>
      <c r="F825" s="4" t="str">
        <f>IFERROR(__xludf.DUMMYFUNCTION("""COMPUTED_VALUE"""),"CONTROL DE ACCESO &gt; PULSADORES")</f>
        <v>CONTROL DE ACCESO &gt; PULSADORES</v>
      </c>
      <c r="G825" s="5"/>
      <c r="H825" s="6">
        <f>IFERROR(__xludf.DUMMYFUNCTION("""COMPUTED_VALUE"""),7.83)</f>
        <v>7.83</v>
      </c>
      <c r="I825" s="7">
        <f>IFERROR(__xludf.DUMMYFUNCTION("""COMPUTED_VALUE"""),21.0)</f>
        <v>21</v>
      </c>
      <c r="J825" s="6">
        <f>IFERROR(__xludf.DUMMYFUNCTION("""COMPUTED_VALUE"""),9.4)</f>
        <v>9.4</v>
      </c>
      <c r="K825" s="6">
        <f>IFERROR(__xludf.DUMMYFUNCTION("""COMPUTED_VALUE"""),10.96)</f>
        <v>10.96</v>
      </c>
      <c r="L825" s="3"/>
      <c r="M825" s="3"/>
    </row>
    <row r="826" ht="48.0" customHeight="1">
      <c r="A826" s="3" t="str">
        <f>IFERROR(__xludf.DUMMYFUNCTION("""COMPUTED_VALUE"""),"AR321WDR1N11")</f>
        <v>AR321WDR1N11</v>
      </c>
      <c r="B826" s="4" t="str">
        <f>IFERROR(__xludf.DUMMYFUNCTION("""COMPUTED_VALUE"""),"LECTOR DE TARJETA INTELIGENTE DE PROXIMIDAD")</f>
        <v>LECTOR DE TARJETA INTELIGENTE DE PROXIMIDAD</v>
      </c>
      <c r="C826" s="4" t="str">
        <f>IFERROR(__xludf.DUMMYFUNCTION("""COMPUTED_VALUE"""),"Lector de tarjeta inteligente de proximidad. Trabajo en standalone o networking. Se utiliza para restringir el uso de aparatos electrónicos como televisores, aire acondicionado, cerraduras y otros electrodomésticos en lugares de áreas comunes o en lugares"&amp;" como hoteles, hospitales, sanatorios.")</f>
        <v>Lector de tarjeta inteligente de proximidad. Trabajo en standalone o networking. Se utiliza para restringir el uso de aparatos electrónicos como televisores, aire acondicionado, cerraduras y otros electrodomésticos en lugares de áreas comunes o en lugares como hoteles, hospitales, sanatorios.</v>
      </c>
      <c r="D826" s="4" t="str">
        <f>IFERROR(__xludf.DUMMYFUNCTION("""COMPUTED_VALUE"""),"SOYAL")</f>
        <v>SOYAL</v>
      </c>
      <c r="E826" s="4" t="str">
        <f>IFERROR(__xludf.DUMMYFUNCTION("""COMPUTED_VALUE"""),"AR321WDR1N11")</f>
        <v>AR321WDR1N11</v>
      </c>
      <c r="F826" s="4" t="str">
        <f>IFERROR(__xludf.DUMMYFUNCTION("""COMPUTED_VALUE"""),"CONTROL DE ACCESO &gt; EQUIPAMIENTO PARA HOTELERÍA")</f>
        <v>CONTROL DE ACCESO &gt; EQUIPAMIENTO PARA HOTELERÍA</v>
      </c>
      <c r="G826" s="5"/>
      <c r="H826" s="6">
        <f>IFERROR(__xludf.DUMMYFUNCTION("""COMPUTED_VALUE"""),99.0)</f>
        <v>99</v>
      </c>
      <c r="I826" s="7">
        <f>IFERROR(__xludf.DUMMYFUNCTION("""COMPUTED_VALUE"""),21.0)</f>
        <v>21</v>
      </c>
      <c r="J826" s="6">
        <f>IFERROR(__xludf.DUMMYFUNCTION("""COMPUTED_VALUE"""),118.8)</f>
        <v>118.8</v>
      </c>
      <c r="K826" s="6">
        <f>IFERROR(__xludf.DUMMYFUNCTION("""COMPUTED_VALUE"""),138.6)</f>
        <v>138.6</v>
      </c>
      <c r="L826" s="3"/>
      <c r="M826" s="3"/>
    </row>
    <row r="827" ht="48.0" customHeight="1">
      <c r="A827" s="3" t="str">
        <f>IFERROR(__xludf.DUMMYFUNCTION("""COMPUTED_VALUE"""),"AR721WDR")</f>
        <v>AR721WDR</v>
      </c>
      <c r="B827" s="4" t="str">
        <f>IFERROR(__xludf.DUMMYFUNCTION("""COMPUTED_VALUE"""),"LECTOR MIFARE")</f>
        <v>LECTOR MIFARE</v>
      </c>
      <c r="C827" s="4" t="str">
        <f>IFERROR(__xludf.DUMMYFUNCTION("""COMPUTED_VALUE"""),"Lector Mifare")</f>
        <v>Lector Mifare</v>
      </c>
      <c r="D827" s="4" t="str">
        <f>IFERROR(__xludf.DUMMYFUNCTION("""COMPUTED_VALUE"""),"SOYAL")</f>
        <v>SOYAL</v>
      </c>
      <c r="E827" s="4" t="str">
        <f>IFERROR(__xludf.DUMMYFUNCTION("""COMPUTED_VALUE"""),"AR721WDR")</f>
        <v>AR721WDR</v>
      </c>
      <c r="F827" s="4" t="str">
        <f>IFERROR(__xludf.DUMMYFUNCTION("""COMPUTED_VALUE"""),"CONTROL DE ACCESO &gt; EQUIPAMIENTO PARA HOTELERÍA")</f>
        <v>CONTROL DE ACCESO &gt; EQUIPAMIENTO PARA HOTELERÍA</v>
      </c>
      <c r="G827" s="5"/>
      <c r="H827" s="6">
        <f>IFERROR(__xludf.DUMMYFUNCTION("""COMPUTED_VALUE"""),53.9)</f>
        <v>53.9</v>
      </c>
      <c r="I827" s="7">
        <f>IFERROR(__xludf.DUMMYFUNCTION("""COMPUTED_VALUE"""),21.0)</f>
        <v>21</v>
      </c>
      <c r="J827" s="6">
        <f>IFERROR(__xludf.DUMMYFUNCTION("""COMPUTED_VALUE"""),64.68)</f>
        <v>64.68</v>
      </c>
      <c r="K827" s="6">
        <f>IFERROR(__xludf.DUMMYFUNCTION("""COMPUTED_VALUE"""),75.46)</f>
        <v>75.46</v>
      </c>
      <c r="L827" s="3"/>
      <c r="M827" s="3"/>
    </row>
    <row r="828" ht="48.0" customHeight="1">
      <c r="A828" s="3" t="str">
        <f>IFERROR(__xludf.DUMMYFUNCTION("""COMPUTED_VALUE"""),"AR321DAX1")</f>
        <v>AR321DAX1</v>
      </c>
      <c r="B828" s="4" t="str">
        <f>IFERROR(__xludf.DUMMYFUNCTION("""COMPUTED_VALUE"""),"MODULO DE RED PARA CERRADURAS DE HOTELERÍA")</f>
        <v>MODULO DE RED PARA CERRADURAS DE HOTELERÍA</v>
      </c>
      <c r="C828" s="4" t="str">
        <f>IFERROR(__xludf.DUMMYFUNCTION("""COMPUTED_VALUE"""),"Modulo de red para cerraduras de hotelería.")</f>
        <v>Modulo de red para cerraduras de hotelería.</v>
      </c>
      <c r="D828" s="4" t="str">
        <f>IFERROR(__xludf.DUMMYFUNCTION("""COMPUTED_VALUE"""),"SOYAL")</f>
        <v>SOYAL</v>
      </c>
      <c r="E828" s="4" t="str">
        <f>IFERROR(__xludf.DUMMYFUNCTION("""COMPUTED_VALUE"""),"AR321DAX1")</f>
        <v>AR321DAX1</v>
      </c>
      <c r="F828" s="4" t="str">
        <f>IFERROR(__xludf.DUMMYFUNCTION("""COMPUTED_VALUE"""),"CONTROL DE ACCESO &gt; EQUIPAMIENTO PARA HOTELERÍA")</f>
        <v>CONTROL DE ACCESO &gt; EQUIPAMIENTO PARA HOTELERÍA</v>
      </c>
      <c r="G828" s="5"/>
      <c r="H828" s="6">
        <f>IFERROR(__xludf.DUMMYFUNCTION("""COMPUTED_VALUE"""),36.3)</f>
        <v>36.3</v>
      </c>
      <c r="I828" s="7">
        <f>IFERROR(__xludf.DUMMYFUNCTION("""COMPUTED_VALUE"""),21.0)</f>
        <v>21</v>
      </c>
      <c r="J828" s="6">
        <f>IFERROR(__xludf.DUMMYFUNCTION("""COMPUTED_VALUE"""),43.56)</f>
        <v>43.56</v>
      </c>
      <c r="K828" s="6">
        <f>IFERROR(__xludf.DUMMYFUNCTION("""COMPUTED_VALUE"""),50.82)</f>
        <v>50.82</v>
      </c>
      <c r="L828" s="3"/>
      <c r="M828" s="3"/>
    </row>
    <row r="829" ht="48.0" customHeight="1">
      <c r="A829" s="3" t="str">
        <f>IFERROR(__xludf.DUMMYFUNCTION("""COMPUTED_VALUE"""),"AR737PDX")</f>
        <v>AR737PDX</v>
      </c>
      <c r="B829" s="4" t="str">
        <f>IFERROR(__xludf.DUMMYFUNCTION("""COMPUTED_VALUE"""),"HERRAMIENTA DE PROGRAMACIÓN DE TARJETAS DE PROXIMIDAD INTELIGENTES PAR")</f>
        <v>HERRAMIENTA DE PROGRAMACIÓN DE TARJETAS DE PROXIMIDAD INTELIGENTES PAR</v>
      </c>
      <c r="C829" s="4" t="str">
        <f>IFERROR(__xludf.DUMMYFUNCTION("""COMPUTED_VALUE"""),"Herramienta de programación de tarjetas de proximidad inteligentes para tecnología SOR Mifare")</f>
        <v>Herramienta de programación de tarjetas de proximidad inteligentes para tecnología SOR Mifare</v>
      </c>
      <c r="D829" s="4" t="str">
        <f>IFERROR(__xludf.DUMMYFUNCTION("""COMPUTED_VALUE"""),"SOYAL")</f>
        <v>SOYAL</v>
      </c>
      <c r="E829" s="4" t="str">
        <f>IFERROR(__xludf.DUMMYFUNCTION("""COMPUTED_VALUE"""),"AR737PDX")</f>
        <v>AR737PDX</v>
      </c>
      <c r="F829" s="4" t="str">
        <f>IFERROR(__xludf.DUMMYFUNCTION("""COMPUTED_VALUE"""),"CONTROL DE ACCESO &gt; EQUIPAMIENTO PARA HOTELERÍA")</f>
        <v>CONTROL DE ACCESO &gt; EQUIPAMIENTO PARA HOTELERÍA</v>
      </c>
      <c r="G829" s="5"/>
      <c r="H829" s="6">
        <f>IFERROR(__xludf.DUMMYFUNCTION("""COMPUTED_VALUE"""),108.9)</f>
        <v>108.9</v>
      </c>
      <c r="I829" s="7">
        <f>IFERROR(__xludf.DUMMYFUNCTION("""COMPUTED_VALUE"""),21.0)</f>
        <v>21</v>
      </c>
      <c r="J829" s="6">
        <f>IFERROR(__xludf.DUMMYFUNCTION("""COMPUTED_VALUE"""),130.68)</f>
        <v>130.68</v>
      </c>
      <c r="K829" s="6">
        <f>IFERROR(__xludf.DUMMYFUNCTION("""COMPUTED_VALUE"""),152.46)</f>
        <v>152.46</v>
      </c>
      <c r="L829" s="3"/>
      <c r="M829" s="3"/>
    </row>
    <row r="830" ht="48.0" customHeight="1">
      <c r="A830" s="3" t="str">
        <f>IFERROR(__xludf.DUMMYFUNCTION("""COMPUTED_VALUE"""),"DS-KIS103")</f>
        <v>DS-KIS103</v>
      </c>
      <c r="B830" s="4" t="str">
        <f>IFERROR(__xludf.DUMMYFUNCTION("""COMPUTED_VALUE"""),"KIT DE INTERCOMUNICADOR DE AUDIO ANALÓGICO, PLUG &amp; PLAY DE 2 CABLES")</f>
        <v>KIT DE INTERCOMUNICADOR DE AUDIO ANALÓGICO, PLUG &amp; PLAY DE 2 CABLES</v>
      </c>
      <c r="C830" s="4" t="str">
        <f>IFERROR(__xludf.DUMMYFUNCTION("""COMPUTED_VALUE"""),"Kit de intercomunicador de audio analógico, plug &amp; play de 2 cables. Diseño de llamada de un toque para llamadas más fáciles. Carcasa de aleación de aluminio con cubierta para lluvia IP55. Admite ajuste de volumen de timbre, cambio y selección de tono de "&amp;"llamada Admite desbloqueo remoto")</f>
        <v>Kit de intercomunicador de audio analógico, plug &amp; play de 2 cables. Diseño de llamada de un toque para llamadas más fáciles. Carcasa de aleación de aluminio con cubierta para lluvia IP55. Admite ajuste de volumen de timbre, cambio y selección de tono de llamada Admite desbloqueo remoto</v>
      </c>
      <c r="D830" s="4" t="str">
        <f>IFERROR(__xludf.DUMMYFUNCTION("""COMPUTED_VALUE"""),"HIKVISION")</f>
        <v>HIKVISION</v>
      </c>
      <c r="E830" s="4" t="str">
        <f>IFERROR(__xludf.DUMMYFUNCTION("""COMPUTED_VALUE"""),"DS-KIS103")</f>
        <v>DS-KIS103</v>
      </c>
      <c r="F830" s="4" t="str">
        <f>IFERROR(__xludf.DUMMYFUNCTION("""COMPUTED_VALUE"""),"PORTEROS / VIDEOPORTEROS &gt; VIDEO PORTEROS 4 HILOS")</f>
        <v>PORTEROS / VIDEOPORTEROS &gt; VIDEO PORTEROS 4 HILOS</v>
      </c>
      <c r="G830" s="5"/>
      <c r="H830" s="6">
        <f>IFERROR(__xludf.DUMMYFUNCTION("""COMPUTED_VALUE"""),48.4)</f>
        <v>48.4</v>
      </c>
      <c r="I830" s="7">
        <f>IFERROR(__xludf.DUMMYFUNCTION("""COMPUTED_VALUE"""),21.0)</f>
        <v>21</v>
      </c>
      <c r="J830" s="6">
        <f>IFERROR(__xludf.DUMMYFUNCTION("""COMPUTED_VALUE"""),58.08)</f>
        <v>58.08</v>
      </c>
      <c r="K830" s="6">
        <f>IFERROR(__xludf.DUMMYFUNCTION("""COMPUTED_VALUE"""),67.76)</f>
        <v>67.76</v>
      </c>
      <c r="L830" s="3"/>
      <c r="M830" s="3"/>
    </row>
    <row r="831" ht="48.0" customHeight="1">
      <c r="A831" s="3" t="str">
        <f>IFERROR(__xludf.DUMMYFUNCTION("""COMPUTED_VALUE"""),"DSKIS202T")</f>
        <v>DSKIS202T</v>
      </c>
      <c r="B831" s="4" t="str">
        <f>IFERROR(__xludf.DUMMYFUNCTION("""COMPUTED_VALUE"""),"KIT DE VIDEOPORTERO ANALÓGICO CON PANTALLA LCD A COLOR")</f>
        <v>KIT DE VIDEOPORTERO ANALÓGICO CON PANTALLA LCD A COLOR</v>
      </c>
      <c r="C831" s="4" t="str">
        <f>IFERROR(__xludf.DUMMYFUNCTION("""COMPUTED_VALUE"""),"Kit de Videoportero Analógico con Pantalla LCD a Color de 7 pulgadas / Frente de Calle camara 2MP Kit incluye frente DS-KB2411T-IM y monitor DS-KH2220, rollo de cable de 5 metros de 4 hilos, and other accessories . Soportan hasta 3 pantallas y dos frentes"&amp;".")</f>
        <v>Kit de Videoportero Analógico con Pantalla LCD a Color de 7 pulgadas / Frente de Calle camara 2MP Kit incluye frente DS-KB2411T-IM y monitor DS-KH2220, rollo de cable de 5 metros de 4 hilos, and other accessories . Soportan hasta 3 pantallas y dos frentes.</v>
      </c>
      <c r="D831" s="4" t="str">
        <f>IFERROR(__xludf.DUMMYFUNCTION("""COMPUTED_VALUE"""),"HIKVISION")</f>
        <v>HIKVISION</v>
      </c>
      <c r="E831" s="4" t="str">
        <f>IFERROR(__xludf.DUMMYFUNCTION("""COMPUTED_VALUE"""),"DSKIS202T")</f>
        <v>DSKIS202T</v>
      </c>
      <c r="F831" s="4" t="str">
        <f>IFERROR(__xludf.DUMMYFUNCTION("""COMPUTED_VALUE"""),"PORTEROS / VIDEOPORTEROS &gt; VIDEO PORTEROS 4 HILOS")</f>
        <v>PORTEROS / VIDEOPORTEROS &gt; VIDEO PORTEROS 4 HILOS</v>
      </c>
      <c r="G831" s="5"/>
      <c r="H831" s="6">
        <f>IFERROR(__xludf.DUMMYFUNCTION("""COMPUTED_VALUE"""),133.1)</f>
        <v>133.1</v>
      </c>
      <c r="I831" s="7">
        <f>IFERROR(__xludf.DUMMYFUNCTION("""COMPUTED_VALUE"""),21.0)</f>
        <v>21</v>
      </c>
      <c r="J831" s="6">
        <f>IFERROR(__xludf.DUMMYFUNCTION("""COMPUTED_VALUE"""),159.72)</f>
        <v>159.72</v>
      </c>
      <c r="K831" s="6">
        <f>IFERROR(__xludf.DUMMYFUNCTION("""COMPUTED_VALUE"""),186.34)</f>
        <v>186.34</v>
      </c>
      <c r="L831" s="3"/>
      <c r="M831" s="3"/>
    </row>
    <row r="832" ht="48.0" customHeight="1">
      <c r="A832" s="3" t="str">
        <f>IFERROR(__xludf.DUMMYFUNCTION("""COMPUTED_VALUE"""),"DS-KIS203T")</f>
        <v>DS-KIS203T</v>
      </c>
      <c r="B832" s="4" t="str">
        <f>IFERROR(__xludf.DUMMYFUNCTION("""COMPUTED_VALUE"""),"KIT DE VIDEOPORTERO ANALÓGICO CON PANTALLA LCD A COLOR")</f>
        <v>KIT DE VIDEOPORTERO ANALÓGICO CON PANTALLA LCD A COLOR</v>
      </c>
      <c r="C832" s="4" t="str">
        <f>IFERROR(__xludf.DUMMYFUNCTION("""COMPUTED_VALUE"""),"Kit de Videoportero Analógico con Pantalla LCD a Color de 7 pulgadas / Frente de Calle camara 2MP IP65 Kit incluye frente DS-KB2421T-IM y monitor DS-KH2220, rollo de cable de 5 metros de 4 hilos, and other accessories. Soportan hasta 3 pantallas y dos fre"&amp;"ntes.")</f>
        <v>Kit de Videoportero Analógico con Pantalla LCD a Color de 7 pulgadas / Frente de Calle camara 2MP IP65 Kit incluye frente DS-KB2421T-IM y monitor DS-KH2220, rollo de cable de 5 metros de 4 hilos, and other accessories. Soportan hasta 3 pantallas y dos frentes.</v>
      </c>
      <c r="D832" s="4" t="str">
        <f>IFERROR(__xludf.DUMMYFUNCTION("""COMPUTED_VALUE"""),"HIKVISION")</f>
        <v>HIKVISION</v>
      </c>
      <c r="E832" s="4" t="str">
        <f>IFERROR(__xludf.DUMMYFUNCTION("""COMPUTED_VALUE"""),"DS-KIS203T")</f>
        <v>DS-KIS203T</v>
      </c>
      <c r="F832" s="4" t="str">
        <f>IFERROR(__xludf.DUMMYFUNCTION("""COMPUTED_VALUE"""),"PORTEROS / VIDEOPORTEROS &gt; VIDEO PORTEROS 4 HILOS")</f>
        <v>PORTEROS / VIDEOPORTEROS &gt; VIDEO PORTEROS 4 HILOS</v>
      </c>
      <c r="G832" s="5"/>
      <c r="H832" s="6">
        <f>IFERROR(__xludf.DUMMYFUNCTION("""COMPUTED_VALUE"""),150.7)</f>
        <v>150.7</v>
      </c>
      <c r="I832" s="7">
        <f>IFERROR(__xludf.DUMMYFUNCTION("""COMPUTED_VALUE"""),21.0)</f>
        <v>21</v>
      </c>
      <c r="J832" s="6">
        <f>IFERROR(__xludf.DUMMYFUNCTION("""COMPUTED_VALUE"""),180.84)</f>
        <v>180.84</v>
      </c>
      <c r="K832" s="6">
        <f>IFERROR(__xludf.DUMMYFUNCTION("""COMPUTED_VALUE"""),210.98)</f>
        <v>210.98</v>
      </c>
      <c r="L832" s="3"/>
      <c r="M832" s="3"/>
    </row>
    <row r="833" ht="48.0" customHeight="1">
      <c r="A833" s="3" t="str">
        <f>IFERROR(__xludf.DUMMYFUNCTION("""COMPUTED_VALUE"""),"DS-KH2220")</f>
        <v>DS-KH2220</v>
      </c>
      <c r="B833" s="4" t="str">
        <f>IFERROR(__xludf.DUMMYFUNCTION("""COMPUTED_VALUE"""),"MONITOR 7 PULGADAS ADICIONAL PARA VIDEOPORTERO ANÁLOGO DS-KIS202 /")</f>
        <v>MONITOR 7 PULGADAS ADICIONAL PARA VIDEOPORTERO ANÁLOGO DS-KIS202 /</v>
      </c>
      <c r="C833" s="4" t="str">
        <f>IFERROR(__xludf.DUMMYFUNCTION("""COMPUTED_VALUE"""),"Monitor 7 pulgadas Adicional para Videoportero Análogo DS-KIS202 / DS-KIS203 Soporta hasta 3 unidades interiores en cascada; desbloqueo de cerradura,monitoreo de cámara del portero y cámara exterior analógica (NO INCLUYE FUENTE 12V 1A)")</f>
        <v>Monitor 7 pulgadas Adicional para Videoportero Análogo DS-KIS202 / DS-KIS203 Soporta hasta 3 unidades interiores en cascada; desbloqueo de cerradura,monitoreo de cámara del portero y cámara exterior analógica (NO INCLUYE FUENTE 12V 1A)</v>
      </c>
      <c r="D833" s="4" t="str">
        <f>IFERROR(__xludf.DUMMYFUNCTION("""COMPUTED_VALUE"""),"HIKVISION")</f>
        <v>HIKVISION</v>
      </c>
      <c r="E833" s="4" t="str">
        <f>IFERROR(__xludf.DUMMYFUNCTION("""COMPUTED_VALUE"""),"DS-KH2220")</f>
        <v>DS-KH2220</v>
      </c>
      <c r="F833" s="4" t="str">
        <f>IFERROR(__xludf.DUMMYFUNCTION("""COMPUTED_VALUE"""),"PORTEROS / VIDEOPORTEROS &gt; VIDEO PORTEROS 4 HILOS")</f>
        <v>PORTEROS / VIDEOPORTEROS &gt; VIDEO PORTEROS 4 HILOS</v>
      </c>
      <c r="G833" s="5"/>
      <c r="H833" s="6">
        <f>IFERROR(__xludf.DUMMYFUNCTION("""COMPUTED_VALUE"""),75.9)</f>
        <v>75.9</v>
      </c>
      <c r="I833" s="7">
        <f>IFERROR(__xludf.DUMMYFUNCTION("""COMPUTED_VALUE"""),21.0)</f>
        <v>21</v>
      </c>
      <c r="J833" s="6">
        <f>IFERROR(__xludf.DUMMYFUNCTION("""COMPUTED_VALUE"""),91.08)</f>
        <v>91.08</v>
      </c>
      <c r="K833" s="6">
        <f>IFERROR(__xludf.DUMMYFUNCTION("""COMPUTED_VALUE"""),106.26)</f>
        <v>106.26</v>
      </c>
      <c r="L833" s="3"/>
      <c r="M833" s="3"/>
    </row>
    <row r="834" ht="48.0" customHeight="1">
      <c r="A834" s="3" t="str">
        <f>IFERROR(__xludf.DUMMYFUNCTION("""COMPUTED_VALUE"""),"DS-KIS212")</f>
        <v>DS-KIS212</v>
      </c>
      <c r="B834" s="4" t="str">
        <f>IFERROR(__xludf.DUMMYFUNCTION("""COMPUTED_VALUE"""),"KIT DE VIDEOPORTERO ANALÓGICO CON PANTALLA LCD A COLOR")</f>
        <v>KIT DE VIDEOPORTERO ANALÓGICO CON PANTALLA LCD A COLOR</v>
      </c>
      <c r="C834" s="4" t="str">
        <f>IFERROR(__xludf.DUMMYFUNCTION("""COMPUTED_VALUE"""),"Kit de Videoportero Analógico con Pantalla LCD a Color de 7 pulgadas de 4-hilos HD. el kit incluye. un frente DS-KB2412T-IM y una pantalla DS-KH2230T. 5 metros de cable de 4 hilos y accesorios de montaje. Expandible hasta dos frentes y tres pantallas")</f>
        <v>Kit de Videoportero Analógico con Pantalla LCD a Color de 7 pulgadas de 4-hilos HD. el kit incluye. un frente DS-KB2412T-IM y una pantalla DS-KH2230T. 5 metros de cable de 4 hilos y accesorios de montaje. Expandible hasta dos frentes y tres pantallas</v>
      </c>
      <c r="D834" s="4" t="str">
        <f>IFERROR(__xludf.DUMMYFUNCTION("""COMPUTED_VALUE"""),"HIKVISION")</f>
        <v>HIKVISION</v>
      </c>
      <c r="E834" s="4" t="str">
        <f>IFERROR(__xludf.DUMMYFUNCTION("""COMPUTED_VALUE"""),"DS-KIS212")</f>
        <v>DS-KIS212</v>
      </c>
      <c r="F834" s="4" t="str">
        <f>IFERROR(__xludf.DUMMYFUNCTION("""COMPUTED_VALUE"""),"PORTEROS / VIDEOPORTEROS &gt; VIDEO PORTEROS 4 HILOS")</f>
        <v>PORTEROS / VIDEOPORTEROS &gt; VIDEO PORTEROS 4 HILOS</v>
      </c>
      <c r="G834" s="5"/>
      <c r="H834" s="6">
        <f>IFERROR(__xludf.DUMMYFUNCTION("""COMPUTED_VALUE"""),140.8)</f>
        <v>140.8</v>
      </c>
      <c r="I834" s="7">
        <f>IFERROR(__xludf.DUMMYFUNCTION("""COMPUTED_VALUE"""),21.0)</f>
        <v>21</v>
      </c>
      <c r="J834" s="6">
        <f>IFERROR(__xludf.DUMMYFUNCTION("""COMPUTED_VALUE"""),168.96)</f>
        <v>168.96</v>
      </c>
      <c r="K834" s="6">
        <f>IFERROR(__xludf.DUMMYFUNCTION("""COMPUTED_VALUE"""),197.12)</f>
        <v>197.12</v>
      </c>
      <c r="L834" s="3"/>
      <c r="M834" s="3"/>
    </row>
    <row r="835" ht="48.0" customHeight="1">
      <c r="A835" s="3" t="str">
        <f>IFERROR(__xludf.DUMMYFUNCTION("""COMPUTED_VALUE"""),"DS-KIS302-P")</f>
        <v>DS-KIS302-P</v>
      </c>
      <c r="B835" s="4" t="str">
        <f>IFERROR(__xludf.DUMMYFUNCTION("""COMPUTED_VALUE"""),"KIT DE VIDEOPORTERO ANALÓGICO / IP A 4 HILOS")</f>
        <v>KIT DE VIDEOPORTERO ANALÓGICO / IP A 4 HILOS</v>
      </c>
      <c r="C835" s="4" t="str">
        <f>IFERROR(__xludf.DUMMYFUNCTION("""COMPUTED_VALUE"""),"Kit de Videoportero Analógico / IP a 4 Hilos con Función de Llamada a App Hik-Connect / Monitor se Conecta a Internet por Cable o WiFi y por 4 Hilos al Frente de Calle / Expandible a Mas Equipos Kit including DS-KB2411T-IM and DS-KH6320-WTDE1")</f>
        <v>Kit de Videoportero Analógico / IP a 4 Hilos con Función de Llamada a App Hik-Connect / Monitor se Conecta a Internet por Cable o WiFi y por 4 Hilos al Frente de Calle / Expandible a Mas Equipos Kit including DS-KB2411T-IM and DS-KH6320-WTDE1</v>
      </c>
      <c r="D835" s="4" t="str">
        <f>IFERROR(__xludf.DUMMYFUNCTION("""COMPUTED_VALUE"""),"HIKVISION")</f>
        <v>HIKVISION</v>
      </c>
      <c r="E835" s="4" t="str">
        <f>IFERROR(__xludf.DUMMYFUNCTION("""COMPUTED_VALUE"""),"DS-KIS302-P")</f>
        <v>DS-KIS302-P</v>
      </c>
      <c r="F835" s="4" t="str">
        <f>IFERROR(__xludf.DUMMYFUNCTION("""COMPUTED_VALUE"""),"PORTEROS / VIDEOPORTEROS &gt; VIDEO PORTEROS 4 HILOS")</f>
        <v>PORTEROS / VIDEOPORTEROS &gt; VIDEO PORTEROS 4 HILOS</v>
      </c>
      <c r="G835" s="5"/>
      <c r="H835" s="6">
        <f>IFERROR(__xludf.DUMMYFUNCTION("""COMPUTED_VALUE"""),198.0)</f>
        <v>198</v>
      </c>
      <c r="I835" s="7">
        <f>IFERROR(__xludf.DUMMYFUNCTION("""COMPUTED_VALUE"""),21.0)</f>
        <v>21</v>
      </c>
      <c r="J835" s="6">
        <f>IFERROR(__xludf.DUMMYFUNCTION("""COMPUTED_VALUE"""),237.6)</f>
        <v>237.6</v>
      </c>
      <c r="K835" s="6">
        <f>IFERROR(__xludf.DUMMYFUNCTION("""COMPUTED_VALUE"""),277.2)</f>
        <v>277.2</v>
      </c>
      <c r="L835" s="3"/>
      <c r="M835" s="3"/>
    </row>
    <row r="836" ht="48.0" customHeight="1">
      <c r="A836" s="3" t="str">
        <f>IFERROR(__xludf.DUMMYFUNCTION("""COMPUTED_VALUE"""),"DS-KB2421T-IM")</f>
        <v>DS-KB2421T-IM</v>
      </c>
      <c r="B836" s="4" t="str">
        <f>IFERROR(__xludf.DUMMYFUNCTION("""COMPUTED_VALUE"""),"FRENTE DE CALLE METALICO ANALÓGICO ADICIONAL PARA VIDEOPORTERO KIS-202")</f>
        <v>FRENTE DE CALLE METALICO ANALÓGICO ADICIONAL PARA VIDEOPORTERO KIS-202</v>
      </c>
      <c r="C836" s="4" t="str">
        <f>IFERROR(__xludf.DUMMYFUNCTION("""COMPUTED_VALUE"""),"Frente de Calle metalico analógico adicional para Videoportero KIS-202-203. Cámara pinhole 2MP con IR. One-touch calling design for easier calls Supports two door stations simultaneously in the intercom system Convenient installation and easy operation An"&amp;"ti-oxidant aluminium alloy")</f>
        <v>Frente de Calle metalico analógico adicional para Videoportero KIS-202-203. Cámara pinhole 2MP con IR. One-touch calling design for easier calls Supports two door stations simultaneously in the intercom system Convenient installation and easy operation Anti-oxidant aluminium alloy</v>
      </c>
      <c r="D836" s="4" t="str">
        <f>IFERROR(__xludf.DUMMYFUNCTION("""COMPUTED_VALUE"""),"HIKVISION")</f>
        <v>HIKVISION</v>
      </c>
      <c r="E836" s="4" t="str">
        <f>IFERROR(__xludf.DUMMYFUNCTION("""COMPUTED_VALUE"""),"DS-KB2421T-IM")</f>
        <v>DS-KB2421T-IM</v>
      </c>
      <c r="F836" s="4" t="str">
        <f>IFERROR(__xludf.DUMMYFUNCTION("""COMPUTED_VALUE"""),"PORTEROS / VIDEOPORTEROS &gt; VIDEO PORTEROS 4 HILOS")</f>
        <v>PORTEROS / VIDEOPORTEROS &gt; VIDEO PORTEROS 4 HILOS</v>
      </c>
      <c r="G836" s="5"/>
      <c r="H836" s="6">
        <f>IFERROR(__xludf.DUMMYFUNCTION("""COMPUTED_VALUE"""),97.9)</f>
        <v>97.9</v>
      </c>
      <c r="I836" s="7">
        <f>IFERROR(__xludf.DUMMYFUNCTION("""COMPUTED_VALUE"""),21.0)</f>
        <v>21</v>
      </c>
      <c r="J836" s="6">
        <f>IFERROR(__xludf.DUMMYFUNCTION("""COMPUTED_VALUE"""),117.48)</f>
        <v>117.48</v>
      </c>
      <c r="K836" s="6">
        <f>IFERROR(__xludf.DUMMYFUNCTION("""COMPUTED_VALUE"""),137.06)</f>
        <v>137.06</v>
      </c>
      <c r="L836" s="3"/>
      <c r="M836" s="3"/>
    </row>
    <row r="837" ht="48.0" customHeight="1">
      <c r="A837" s="3" t="str">
        <f>IFERROR(__xludf.DUMMYFUNCTION("""COMPUTED_VALUE"""),"DS-KIS603-P(C)")</f>
        <v>DS-KIS603-P(C)</v>
      </c>
      <c r="B837" s="4" t="str">
        <f>IFERROR(__xludf.DUMMYFUNCTION("""COMPUTED_VALUE"""),"KIT IP VIDEOPORTERO DOMICILIARIO INCLUYE: FRENTE DS-KV6113-WPE1 X1")</f>
        <v>KIT IP VIDEOPORTERO DOMICILIARIO INCLUYE: FRENTE DS-KV6113-WPE1 X1</v>
      </c>
      <c r="C837" s="4" t="str">
        <f>IFERROR(__xludf.DUMMYFUNCTION("""COMPUTED_VALUE"""),"KIT IP Videoportero domiciliario incluye: frente DS-KV6113-WPE1 x1; monitor DS-KH6320-WTE1 x1; PSU x2")</f>
        <v>KIT IP Videoportero domiciliario incluye: frente DS-KV6113-WPE1 x1; monitor DS-KH6320-WTE1 x1; PSU x2</v>
      </c>
      <c r="D837" s="4" t="str">
        <f>IFERROR(__xludf.DUMMYFUNCTION("""COMPUTED_VALUE"""),"HIKVISION")</f>
        <v>HIKVISION</v>
      </c>
      <c r="E837" s="4" t="str">
        <f>IFERROR(__xludf.DUMMYFUNCTION("""COMPUTED_VALUE"""),"DS-KIS603-P(C)")</f>
        <v>DS-KIS603-P(C)</v>
      </c>
      <c r="F837" s="4" t="str">
        <f>IFERROR(__xludf.DUMMYFUNCTION("""COMPUTED_VALUE"""),"PORTEROS / VIDEOPORTEROS &gt; VIDEO PORTEROS IP")</f>
        <v>PORTEROS / VIDEOPORTEROS &gt; VIDEO PORTEROS IP</v>
      </c>
      <c r="G837" s="5"/>
      <c r="H837" s="6">
        <f>IFERROR(__xludf.DUMMYFUNCTION("""COMPUTED_VALUE"""),377.3)</f>
        <v>377.3</v>
      </c>
      <c r="I837" s="7">
        <f>IFERROR(__xludf.DUMMYFUNCTION("""COMPUTED_VALUE"""),21.0)</f>
        <v>21</v>
      </c>
      <c r="J837" s="6">
        <f>IFERROR(__xludf.DUMMYFUNCTION("""COMPUTED_VALUE"""),452.76)</f>
        <v>452.76</v>
      </c>
      <c r="K837" s="6">
        <f>IFERROR(__xludf.DUMMYFUNCTION("""COMPUTED_VALUE"""),528.22)</f>
        <v>528.22</v>
      </c>
      <c r="L837" s="3"/>
      <c r="M837" s="3"/>
    </row>
    <row r="838" ht="48.0" customHeight="1">
      <c r="A838" s="3" t="str">
        <f>IFERROR(__xludf.DUMMYFUNCTION("""COMPUTED_VALUE"""),"DSKIS604P")</f>
        <v>DSKIS604P</v>
      </c>
      <c r="B838" s="4" t="str">
        <f>IFERROR(__xludf.DUMMYFUNCTION("""COMPUTED_VALUE"""),"KIT IP VIDEOPORTERO DOMICILIARIO INCLUYE: FRENTE DS-KV8113-WME1 X1 MON")</f>
        <v>KIT IP VIDEOPORTERO DOMICILIARIO INCLUYE: FRENTE DS-KV8113-WME1 X1 MON</v>
      </c>
      <c r="C838" s="4" t="str">
        <f>IFERROR(__xludf.DUMMYFUNCTION("""COMPUTED_VALUE"""),"KIT IP Videoportero domiciliario incluye: frente DS-KV8113-WME1 x1 monitor DS-KH6320-WTE1 x1; PSU x2")</f>
        <v>KIT IP Videoportero domiciliario incluye: frente DS-KV8113-WME1 x1 monitor DS-KH6320-WTE1 x1; PSU x2</v>
      </c>
      <c r="D838" s="4" t="str">
        <f>IFERROR(__xludf.DUMMYFUNCTION("""COMPUTED_VALUE"""),"HIKVISION")</f>
        <v>HIKVISION</v>
      </c>
      <c r="E838" s="4" t="str">
        <f>IFERROR(__xludf.DUMMYFUNCTION("""COMPUTED_VALUE"""),"DSKIS604P")</f>
        <v>DSKIS604P</v>
      </c>
      <c r="F838" s="4" t="str">
        <f>IFERROR(__xludf.DUMMYFUNCTION("""COMPUTED_VALUE"""),"PORTEROS / VIDEOPORTEROS &gt; VIDEO PORTEROS IP")</f>
        <v>PORTEROS / VIDEOPORTEROS &gt; VIDEO PORTEROS IP</v>
      </c>
      <c r="G838" s="5"/>
      <c r="H838" s="6">
        <f>IFERROR(__xludf.DUMMYFUNCTION("""COMPUTED_VALUE"""),389.4)</f>
        <v>389.4</v>
      </c>
      <c r="I838" s="7">
        <f>IFERROR(__xludf.DUMMYFUNCTION("""COMPUTED_VALUE"""),21.0)</f>
        <v>21</v>
      </c>
      <c r="J838" s="6">
        <f>IFERROR(__xludf.DUMMYFUNCTION("""COMPUTED_VALUE"""),467.28)</f>
        <v>467.28</v>
      </c>
      <c r="K838" s="6">
        <f>IFERROR(__xludf.DUMMYFUNCTION("""COMPUTED_VALUE"""),545.16)</f>
        <v>545.16</v>
      </c>
      <c r="L838" s="3"/>
      <c r="M838" s="3"/>
    </row>
    <row r="839" ht="48.0" customHeight="1">
      <c r="A839" s="3" t="str">
        <f>IFERROR(__xludf.DUMMYFUNCTION("""COMPUTED_VALUE"""),"DS-KIS604-P(C)")</f>
        <v>DS-KIS604-P(C)</v>
      </c>
      <c r="B839" s="4" t="str">
        <f>IFERROR(__xludf.DUMMYFUNCTION("""COMPUTED_VALUE"""),"KIT IP VIDEOPORTERO DOMICILIARIO INCLUYE: FRENTE DS-KV8113-WME1 X1 MON")</f>
        <v>KIT IP VIDEOPORTERO DOMICILIARIO INCLUYE: FRENTE DS-KV8113-WME1 X1 MON</v>
      </c>
      <c r="C839" s="4" t="str">
        <f>IFERROR(__xludf.DUMMYFUNCTION("""COMPUTED_VALUE"""),"KIT IP Videoportero domiciliario incluye: frente DS-KV8113-WME1 x1 monitor DS-KH6320-WTE1 x1; PSU x2")</f>
        <v>KIT IP Videoportero domiciliario incluye: frente DS-KV8113-WME1 x1 monitor DS-KH6320-WTE1 x1; PSU x2</v>
      </c>
      <c r="D839" s="4" t="str">
        <f>IFERROR(__xludf.DUMMYFUNCTION("""COMPUTED_VALUE"""),"HIKVISION")</f>
        <v>HIKVISION</v>
      </c>
      <c r="E839" s="4" t="str">
        <f>IFERROR(__xludf.DUMMYFUNCTION("""COMPUTED_VALUE"""),"DS-KIS604-P(C)")</f>
        <v>DS-KIS604-P(C)</v>
      </c>
      <c r="F839" s="4" t="str">
        <f>IFERROR(__xludf.DUMMYFUNCTION("""COMPUTED_VALUE"""),"PORTEROS / VIDEOPORTEROS &gt; VIDEO PORTEROS IP")</f>
        <v>PORTEROS / VIDEOPORTEROS &gt; VIDEO PORTEROS IP</v>
      </c>
      <c r="G839" s="5"/>
      <c r="H839" s="6">
        <f>IFERROR(__xludf.DUMMYFUNCTION("""COMPUTED_VALUE"""),431.2)</f>
        <v>431.2</v>
      </c>
      <c r="I839" s="7">
        <f>IFERROR(__xludf.DUMMYFUNCTION("""COMPUTED_VALUE"""),21.0)</f>
        <v>21</v>
      </c>
      <c r="J839" s="6">
        <f>IFERROR(__xludf.DUMMYFUNCTION("""COMPUTED_VALUE"""),517.44)</f>
        <v>517.44</v>
      </c>
      <c r="K839" s="6">
        <f>IFERROR(__xludf.DUMMYFUNCTION("""COMPUTED_VALUE"""),603.68)</f>
        <v>603.68</v>
      </c>
      <c r="L839" s="3"/>
      <c r="M839" s="3"/>
    </row>
    <row r="840" ht="48.0" customHeight="1">
      <c r="A840" s="3" t="str">
        <f>IFERROR(__xludf.DUMMYFUNCTION("""COMPUTED_VALUE"""),"DS-KB8113-IME1(B)")</f>
        <v>DS-KB8113-IME1(B)</v>
      </c>
      <c r="B840" s="4" t="str">
        <f>IFERROR(__xludf.DUMMYFUNCTION("""COMPUTED_VALUE"""),"VANDAL-RESISTANT DOORBELL 2MP HD CAMERA WITH IR SUPPLEMENT PROVIDING")</f>
        <v>VANDAL-RESISTANT DOORBELL 2MP HD CAMERA WITH IR SUPPLEMENT PROVIDING</v>
      </c>
      <c r="C840" s="4" t="str">
        <f>IFERROR(__xludf.DUMMYFUNCTION("""COMPUTED_VALUE"""),"Vandal-Resistant Doorbell 2MP HD Camera with IR supplement providing excellent image quality Supports standard POE power supply Supports mechanical doorbell, easier to call Convenient Hik-Connect APP Mobile Control: Receive calls, open the door and live v"&amp;"iew remotely Supports web configration Higher protection level: IK09 &amp; IP65")</f>
        <v>Vandal-Resistant Doorbell 2MP HD Camera with IR supplement providing excellent image quality Supports standard POE power supply Supports mechanical doorbell, easier to call Convenient Hik-Connect APP Mobile Control: Receive calls, open the door and live view remotely Supports web configration Higher protection level: IK09 &amp; IP65</v>
      </c>
      <c r="D840" s="4" t="str">
        <f>IFERROR(__xludf.DUMMYFUNCTION("""COMPUTED_VALUE"""),"HIKVISION")</f>
        <v>HIKVISION</v>
      </c>
      <c r="E840" s="4" t="str">
        <f>IFERROR(__xludf.DUMMYFUNCTION("""COMPUTED_VALUE"""),"DS-KB8113-IME1(B)")</f>
        <v>DS-KB8113-IME1(B)</v>
      </c>
      <c r="F840" s="4" t="str">
        <f>IFERROR(__xludf.DUMMYFUNCTION("""COMPUTED_VALUE"""),"PORTEROS / VIDEOPORTEROS &gt; VIDEO PORTEROS IP")</f>
        <v>PORTEROS / VIDEOPORTEROS &gt; VIDEO PORTEROS IP</v>
      </c>
      <c r="G840" s="5"/>
      <c r="H840" s="6">
        <f>IFERROR(__xludf.DUMMYFUNCTION("""COMPUTED_VALUE"""),179.3)</f>
        <v>179.3</v>
      </c>
      <c r="I840" s="7">
        <f>IFERROR(__xludf.DUMMYFUNCTION("""COMPUTED_VALUE"""),21.0)</f>
        <v>21</v>
      </c>
      <c r="J840" s="6">
        <f>IFERROR(__xludf.DUMMYFUNCTION("""COMPUTED_VALUE"""),215.16)</f>
        <v>215.16</v>
      </c>
      <c r="K840" s="6">
        <f>IFERROR(__xludf.DUMMYFUNCTION("""COMPUTED_VALUE"""),251.02)</f>
        <v>251.02</v>
      </c>
      <c r="L840" s="3"/>
      <c r="M840" s="3"/>
    </row>
    <row r="841" ht="48.0" customHeight="1">
      <c r="A841" s="3" t="str">
        <f>IFERROR(__xludf.DUMMYFUNCTION("""COMPUTED_VALUE"""),"DS-KV6113-WPE1(C)")</f>
        <v>DS-KV6113-WPE1(C)</v>
      </c>
      <c r="B841" s="4" t="str">
        <f>IFERROR(__xludf.DUMMYFUNCTION("""COMPUTED_VALUE"""),"POE/WIFI VILLA DOOR STATION 2 MP CAMERA WITH IR")</f>
        <v>POE/WIFI VILLA DOOR STATION 2 MP CAMERA WITH IR</v>
      </c>
      <c r="C841" s="4" t="str">
        <f>IFERROR(__xludf.DUMMYFUNCTION("""COMPUTED_VALUE"""),"POE/Wifi Villa Door Station 2 MP camera with IR supplement One-touch button calling design for easier calls Built-in card reader module Standard PoE power supply IP65 protection level Convenient Hik-Connect APP Mobile Control")</f>
        <v>POE/Wifi Villa Door Station 2 MP camera with IR supplement One-touch button calling design for easier calls Built-in card reader module Standard PoE power supply IP65 protection level Convenient Hik-Connect APP Mobile Control</v>
      </c>
      <c r="D841" s="4" t="str">
        <f>IFERROR(__xludf.DUMMYFUNCTION("""COMPUTED_VALUE"""),"HIKVISION")</f>
        <v>HIKVISION</v>
      </c>
      <c r="E841" s="4" t="str">
        <f>IFERROR(__xludf.DUMMYFUNCTION("""COMPUTED_VALUE"""),"DS-KV6113-WPE1(C)")</f>
        <v>DS-KV6113-WPE1(C)</v>
      </c>
      <c r="F841" s="4" t="str">
        <f>IFERROR(__xludf.DUMMYFUNCTION("""COMPUTED_VALUE"""),"PORTEROS / VIDEOPORTEROS &gt; VIDEO PORTEROS IP")</f>
        <v>PORTEROS / VIDEOPORTEROS &gt; VIDEO PORTEROS IP</v>
      </c>
      <c r="G841" s="5"/>
      <c r="H841" s="6">
        <f>IFERROR(__xludf.DUMMYFUNCTION("""COMPUTED_VALUE"""),192.5)</f>
        <v>192.5</v>
      </c>
      <c r="I841" s="7">
        <f>IFERROR(__xludf.DUMMYFUNCTION("""COMPUTED_VALUE"""),21.0)</f>
        <v>21</v>
      </c>
      <c r="J841" s="6">
        <f>IFERROR(__xludf.DUMMYFUNCTION("""COMPUTED_VALUE"""),231.0)</f>
        <v>231</v>
      </c>
      <c r="K841" s="6">
        <f>IFERROR(__xludf.DUMMYFUNCTION("""COMPUTED_VALUE"""),269.5)</f>
        <v>269.5</v>
      </c>
      <c r="L841" s="3"/>
      <c r="M841" s="3"/>
    </row>
    <row r="842" ht="48.0" customHeight="1">
      <c r="A842" s="3" t="str">
        <f>IFERROR(__xludf.DUMMYFUNCTION("""COMPUTED_VALUE"""),"DS-KABV6113-RS")</f>
        <v>DS-KABV6113-RS</v>
      </c>
      <c r="B842" s="4" t="str">
        <f>IFERROR(__xludf.DUMMYFUNCTION("""COMPUTED_VALUE"""),"CARCAZA PROTECTORA PARA KV6103/6113 SERIES VILLA DOOR STATION (SURFACE")</f>
        <v>CARCAZA PROTECTORA PARA KV6103/6113 SERIES VILLA DOOR STATION (SURFACE</v>
      </c>
      <c r="C842" s="4" t="str">
        <f>IFERROR(__xludf.DUMMYFUNCTION("""COMPUTED_VALUE"""),"Carcaza protectora para KV6103/6113 series villa door station (Surface mouting) Material: Plastic")</f>
        <v>Carcaza protectora para KV6103/6113 series villa door station (Surface mouting) Material: Plastic</v>
      </c>
      <c r="D842" s="4" t="str">
        <f>IFERROR(__xludf.DUMMYFUNCTION("""COMPUTED_VALUE"""),"HIKVISION")</f>
        <v>HIKVISION</v>
      </c>
      <c r="E842" s="4" t="str">
        <f>IFERROR(__xludf.DUMMYFUNCTION("""COMPUTED_VALUE"""),"DS-KABV6113-RS")</f>
        <v>DS-KABV6113-RS</v>
      </c>
      <c r="F842" s="4" t="str">
        <f>IFERROR(__xludf.DUMMYFUNCTION("""COMPUTED_VALUE"""),"PORTEROS / VIDEOPORTEROS &gt; VIDEO PORTEROS IP")</f>
        <v>PORTEROS / VIDEOPORTEROS &gt; VIDEO PORTEROS IP</v>
      </c>
      <c r="G842" s="5"/>
      <c r="H842" s="6">
        <f>IFERROR(__xludf.DUMMYFUNCTION("""COMPUTED_VALUE"""),9.57)</f>
        <v>9.57</v>
      </c>
      <c r="I842" s="7">
        <f>IFERROR(__xludf.DUMMYFUNCTION("""COMPUTED_VALUE"""),21.0)</f>
        <v>21</v>
      </c>
      <c r="J842" s="6">
        <f>IFERROR(__xludf.DUMMYFUNCTION("""COMPUTED_VALUE"""),11.48)</f>
        <v>11.48</v>
      </c>
      <c r="K842" s="6">
        <f>IFERROR(__xludf.DUMMYFUNCTION("""COMPUTED_VALUE"""),13.4)</f>
        <v>13.4</v>
      </c>
      <c r="L842" s="3"/>
      <c r="M842" s="3"/>
    </row>
    <row r="843" ht="48.0" customHeight="1">
      <c r="A843" s="3" t="str">
        <f>IFERROR(__xludf.DUMMYFUNCTION("""COMPUTED_VALUE"""),"DSKV8113WME1")</f>
        <v>DSKV8113WME1</v>
      </c>
      <c r="B843" s="4" t="str">
        <f>IFERROR(__xludf.DUMMYFUNCTION("""COMPUTED_VALUE"""),"DS-KV8113-WME1 FRENTE PORTERO CÁMARA CMOS 2MP HD COLOR, GABINETE")</f>
        <v>DS-KV8113-WME1 FRENTE PORTERO CÁMARA CMOS 2MP HD COLOR, GABINETE</v>
      </c>
      <c r="C843" s="4" t="str">
        <f>IFERROR(__xludf.DUMMYFUNCTION("""COMPUTED_VALUE"""),"DS-KV8113-WME1 Frente portero cámara CMOS 2MP HD Color, gabinete Aluminio,1 canal, Wi-Fi 802.11b/g/n, Standard PoE/ 12 VDC, Incluye lector de tarjeta Mifare; 10M/100M Self-adaptive Ethernet, RS-485; 4-ch alarm input, 2 relay for door lock contrl; IP65,3 i"&amp;"ndicator integrated")</f>
        <v>DS-KV8113-WME1 Frente portero cámara CMOS 2MP HD Color, gabinete Aluminio,1 canal, Wi-Fi 802.11b/g/n, Standard PoE/ 12 VDC, Incluye lector de tarjeta Mifare; 10M/100M Self-adaptive Ethernet, RS-485; 4-ch alarm input, 2 relay for door lock contrl; IP65,3 indicator integrated</v>
      </c>
      <c r="D843" s="4" t="str">
        <f>IFERROR(__xludf.DUMMYFUNCTION("""COMPUTED_VALUE"""),"HIKVISION")</f>
        <v>HIKVISION</v>
      </c>
      <c r="E843" s="4" t="str">
        <f>IFERROR(__xludf.DUMMYFUNCTION("""COMPUTED_VALUE"""),"DSKV8113WME1")</f>
        <v>DSKV8113WME1</v>
      </c>
      <c r="F843" s="4" t="str">
        <f>IFERROR(__xludf.DUMMYFUNCTION("""COMPUTED_VALUE"""),"PORTEROS / VIDEOPORTEROS &gt; VIDEO PORTEROS IP")</f>
        <v>PORTEROS / VIDEOPORTEROS &gt; VIDEO PORTEROS IP</v>
      </c>
      <c r="G843" s="5"/>
      <c r="H843" s="6">
        <f>IFERROR(__xludf.DUMMYFUNCTION("""COMPUTED_VALUE"""),238.7)</f>
        <v>238.7</v>
      </c>
      <c r="I843" s="7">
        <f>IFERROR(__xludf.DUMMYFUNCTION("""COMPUTED_VALUE"""),21.0)</f>
        <v>21</v>
      </c>
      <c r="J843" s="6">
        <f>IFERROR(__xludf.DUMMYFUNCTION("""COMPUTED_VALUE"""),286.44)</f>
        <v>286.44</v>
      </c>
      <c r="K843" s="6">
        <f>IFERROR(__xludf.DUMMYFUNCTION("""COMPUTED_VALUE"""),334.18)</f>
        <v>334.18</v>
      </c>
      <c r="L843" s="3"/>
      <c r="M843" s="3"/>
    </row>
    <row r="844" ht="48.0" customHeight="1">
      <c r="A844" s="3" t="str">
        <f>IFERROR(__xludf.DUMMYFUNCTION("""COMPUTED_VALUE"""),"DS-KV8113-WME1(C)")</f>
        <v>DS-KV8113-WME1(C)</v>
      </c>
      <c r="B844" s="4" t="str">
        <f>IFERROR(__xludf.DUMMYFUNCTION("""COMPUTED_VALUE"""),"FRENTE PORTERO CÁMARA CMOS 2MP HD COLOR, GABINETE ALUMINIO,1")</f>
        <v>FRENTE PORTERO CÁMARA CMOS 2MP HD COLOR, GABINETE ALUMINIO,1</v>
      </c>
      <c r="C844" s="4" t="str">
        <f>IFERROR(__xludf.DUMMYFUNCTION("""COMPUTED_VALUE"""),"Frente portero cámara CMOS 2MP HD Color, gabinete Aluminio,1 canal, Wi-Fi 802.11b/g/n, Standard PoE/ 12 VDC, Incluye lector de tarjeta Mifare; 10M/100M Self-adaptive Ethernet, RS-485; 4-ch alarm input, 2 relay for door lock contrl; IP65,3 indicator integr"&amp;"ated")</f>
        <v>Frente portero cámara CMOS 2MP HD Color, gabinete Aluminio,1 canal, Wi-Fi 802.11b/g/n, Standard PoE/ 12 VDC, Incluye lector de tarjeta Mifare; 10M/100M Self-adaptive Ethernet, RS-485; 4-ch alarm input, 2 relay for door lock contrl; IP65,3 indicator integrated</v>
      </c>
      <c r="D844" s="4" t="str">
        <f>IFERROR(__xludf.DUMMYFUNCTION("""COMPUTED_VALUE"""),"HIKVISION")</f>
        <v>HIKVISION</v>
      </c>
      <c r="E844" s="4" t="str">
        <f>IFERROR(__xludf.DUMMYFUNCTION("""COMPUTED_VALUE"""),"DS-KV8113-WME1(C)")</f>
        <v>DS-KV8113-WME1(C)</v>
      </c>
      <c r="F844" s="4" t="str">
        <f>IFERROR(__xludf.DUMMYFUNCTION("""COMPUTED_VALUE"""),"PORTEROS / VIDEOPORTEROS &gt; VIDEO PORTEROS IP")</f>
        <v>PORTEROS / VIDEOPORTEROS &gt; VIDEO PORTEROS IP</v>
      </c>
      <c r="G844" s="5"/>
      <c r="H844" s="6">
        <f>IFERROR(__xludf.DUMMYFUNCTION("""COMPUTED_VALUE"""),255.2)</f>
        <v>255.2</v>
      </c>
      <c r="I844" s="7">
        <f>IFERROR(__xludf.DUMMYFUNCTION("""COMPUTED_VALUE"""),21.0)</f>
        <v>21</v>
      </c>
      <c r="J844" s="6">
        <f>IFERROR(__xludf.DUMMYFUNCTION("""COMPUTED_VALUE"""),306.24)</f>
        <v>306.24</v>
      </c>
      <c r="K844" s="6">
        <f>IFERROR(__xludf.DUMMYFUNCTION("""COMPUTED_VALUE"""),357.28)</f>
        <v>357.28</v>
      </c>
      <c r="L844" s="3"/>
      <c r="M844" s="3"/>
    </row>
    <row r="845" ht="48.0" customHeight="1">
      <c r="A845" s="3" t="str">
        <f>IFERROR(__xludf.DUMMYFUNCTION("""COMPUTED_VALUE"""),"DSKV8213WME1")</f>
        <v>DSKV8213WME1</v>
      </c>
      <c r="B845" s="4" t="str">
        <f>IFERROR(__xludf.DUMMYFUNCTION("""COMPUTED_VALUE"""),"FRENTE PORTERO CÁMARA CMOS 2MP HD COLOR, GABINETE ALUMINIO,")</f>
        <v>FRENTE PORTERO CÁMARA CMOS 2MP HD COLOR, GABINETE ALUMINIO,</v>
      </c>
      <c r="C845" s="4" t="str">
        <f>IFERROR(__xludf.DUMMYFUNCTION("""COMPUTED_VALUE"""),"Frente portero cámara CMOS 2MP HD Color, gabinete Aluminio, 2 canales , Wi-Fi 802.11b/g/n, Standard PoE/ 12 VDC, Incluye lector de tarjeta Mifare; 10M/100M Self-adaptive Ethernet, RS-485; 4-ch alarm input, 2 relay for door lock contrl; IP65,3 indicator in"&amp;"tegrated")</f>
        <v>Frente portero cámara CMOS 2MP HD Color, gabinete Aluminio, 2 canales , Wi-Fi 802.11b/g/n, Standard PoE/ 12 VDC, Incluye lector de tarjeta Mifare; 10M/100M Self-adaptive Ethernet, RS-485; 4-ch alarm input, 2 relay for door lock contrl; IP65,3 indicator integrated</v>
      </c>
      <c r="D845" s="4" t="str">
        <f>IFERROR(__xludf.DUMMYFUNCTION("""COMPUTED_VALUE"""),"HIKVISION")</f>
        <v>HIKVISION</v>
      </c>
      <c r="E845" s="4" t="str">
        <f>IFERROR(__xludf.DUMMYFUNCTION("""COMPUTED_VALUE"""),"DSKV8213WME1")</f>
        <v>DSKV8213WME1</v>
      </c>
      <c r="F845" s="4" t="str">
        <f>IFERROR(__xludf.DUMMYFUNCTION("""COMPUTED_VALUE"""),"PORTEROS / VIDEOPORTEROS &gt; VIDEO PORTEROS IP")</f>
        <v>PORTEROS / VIDEOPORTEROS &gt; VIDEO PORTEROS IP</v>
      </c>
      <c r="G845" s="5"/>
      <c r="H845" s="6">
        <f>IFERROR(__xludf.DUMMYFUNCTION("""COMPUTED_VALUE"""),262.9)</f>
        <v>262.9</v>
      </c>
      <c r="I845" s="7">
        <f>IFERROR(__xludf.DUMMYFUNCTION("""COMPUTED_VALUE"""),21.0)</f>
        <v>21</v>
      </c>
      <c r="J845" s="6">
        <f>IFERROR(__xludf.DUMMYFUNCTION("""COMPUTED_VALUE"""),315.48)</f>
        <v>315.48</v>
      </c>
      <c r="K845" s="6">
        <f>IFERROR(__xludf.DUMMYFUNCTION("""COMPUTED_VALUE"""),368.06)</f>
        <v>368.06</v>
      </c>
      <c r="L845" s="3"/>
      <c r="M845" s="3"/>
    </row>
    <row r="846" ht="48.0" customHeight="1">
      <c r="A846" s="3" t="str">
        <f>IFERROR(__xludf.DUMMYFUNCTION("""COMPUTED_VALUE"""),"DS-KV8213-WME1(C)")</f>
        <v>DS-KV8213-WME1(C)</v>
      </c>
      <c r="B846" s="4" t="str">
        <f>IFERROR(__xludf.DUMMYFUNCTION("""COMPUTED_VALUE"""),"FRENTE PORTERO CÁMARA CMOS 2MP HD COLOR, GABINETE ALUMINIO,")</f>
        <v>FRENTE PORTERO CÁMARA CMOS 2MP HD COLOR, GABINETE ALUMINIO,</v>
      </c>
      <c r="C846" s="4" t="str">
        <f>IFERROR(__xludf.DUMMYFUNCTION("""COMPUTED_VALUE"""),"Frente portero cámara CMOS 2MP HD Color, gabinete Aluminio, 2 canales , Wi-Fi 802.11b/g/n, Standard PoE/ 12 VDC, Incluye lector de tarjeta Mifare; 10M/100M Self-adaptive Ethernet, RS-485; 4-ch alarm input, 2 relay for door lock contrl; IP65 IK08, Villa Do"&amp;"or Station Convenient Hik-Connect APP mobile control")</f>
        <v>Frente portero cámara CMOS 2MP HD Color, gabinete Aluminio, 2 canales , Wi-Fi 802.11b/g/n, Standard PoE/ 12 VDC, Incluye lector de tarjeta Mifare; 10M/100M Self-adaptive Ethernet, RS-485; 4-ch alarm input, 2 relay for door lock contrl; IP65 IK08, Villa Door Station Convenient Hik-Connect APP mobile control</v>
      </c>
      <c r="D846" s="4" t="str">
        <f>IFERROR(__xludf.DUMMYFUNCTION("""COMPUTED_VALUE"""),"HIKVISION")</f>
        <v>HIKVISION</v>
      </c>
      <c r="E846" s="4" t="str">
        <f>IFERROR(__xludf.DUMMYFUNCTION("""COMPUTED_VALUE"""),"DS-KV8213-WME1(C)")</f>
        <v>DS-KV8213-WME1(C)</v>
      </c>
      <c r="F846" s="4" t="str">
        <f>IFERROR(__xludf.DUMMYFUNCTION("""COMPUTED_VALUE"""),"PORTEROS / VIDEOPORTEROS &gt; VIDEO PORTEROS IP")</f>
        <v>PORTEROS / VIDEOPORTEROS &gt; VIDEO PORTEROS IP</v>
      </c>
      <c r="G846" s="5"/>
      <c r="H846" s="6">
        <f>IFERROR(__xludf.DUMMYFUNCTION("""COMPUTED_VALUE"""),272.8)</f>
        <v>272.8</v>
      </c>
      <c r="I846" s="7">
        <f>IFERROR(__xludf.DUMMYFUNCTION("""COMPUTED_VALUE"""),21.0)</f>
        <v>21</v>
      </c>
      <c r="J846" s="6">
        <f>IFERROR(__xludf.DUMMYFUNCTION("""COMPUTED_VALUE"""),327.36)</f>
        <v>327.36</v>
      </c>
      <c r="K846" s="6">
        <f>IFERROR(__xludf.DUMMYFUNCTION("""COMPUTED_VALUE"""),381.92)</f>
        <v>381.92</v>
      </c>
      <c r="L846" s="3"/>
      <c r="M846" s="3"/>
    </row>
    <row r="847" ht="48.0" customHeight="1">
      <c r="A847" s="3" t="str">
        <f>IFERROR(__xludf.DUMMYFUNCTION("""COMPUTED_VALUE"""),"DSKV8413WME1")</f>
        <v>DSKV8413WME1</v>
      </c>
      <c r="B847" s="4" t="str">
        <f>IFERROR(__xludf.DUMMYFUNCTION("""COMPUTED_VALUE"""),"DS-KV8413-WME1(B)(O-STD) FRENTE PORTERO CÁMARA CMOS 2MP HD COLOR, GABI")</f>
        <v>DS-KV8413-WME1(B)(O-STD) FRENTE PORTERO CÁMARA CMOS 2MP HD COLOR, GABI</v>
      </c>
      <c r="C847" s="4" t="str">
        <f>IFERROR(__xludf.DUMMYFUNCTION("""COMPUTED_VALUE"""),"DS-KV8413-WME1(B)(O-STD) Frente portero cámara CMOS 2MP HD Color, gabinete Aluminio, 4 canales , Wi-Fi 802.11b/g/n, Standard PoE/ 12 VDC, Incluye lector de tarjeta Mifare; 10M/100M Self-adaptive Ethernet, RS-485; 4-ch alarm input, 2 relay for door lock co"&amp;"ntrl; IP65,3 indicator integrated")</f>
        <v>DS-KV8413-WME1(B)(O-STD) Frente portero cámara CMOS 2MP HD Color, gabinete Aluminio, 4 canales , Wi-Fi 802.11b/g/n, Standard PoE/ 12 VDC, Incluye lector de tarjeta Mifare; 10M/100M Self-adaptive Ethernet, RS-485; 4-ch alarm input, 2 relay for door lock contrl; IP65,3 indicator integrated</v>
      </c>
      <c r="D847" s="4" t="str">
        <f>IFERROR(__xludf.DUMMYFUNCTION("""COMPUTED_VALUE"""),"HIKVISION")</f>
        <v>HIKVISION</v>
      </c>
      <c r="E847" s="4" t="str">
        <f>IFERROR(__xludf.DUMMYFUNCTION("""COMPUTED_VALUE"""),"DSKV8413WME1")</f>
        <v>DSKV8413WME1</v>
      </c>
      <c r="F847" s="4" t="str">
        <f>IFERROR(__xludf.DUMMYFUNCTION("""COMPUTED_VALUE"""),"PORTEROS / VIDEOPORTEROS &gt; VIDEO PORTEROS IP")</f>
        <v>PORTEROS / VIDEOPORTEROS &gt; VIDEO PORTEROS IP</v>
      </c>
      <c r="G847" s="5"/>
      <c r="H847" s="6">
        <f>IFERROR(__xludf.DUMMYFUNCTION("""COMPUTED_VALUE"""),280.5)</f>
        <v>280.5</v>
      </c>
      <c r="I847" s="7">
        <f>IFERROR(__xludf.DUMMYFUNCTION("""COMPUTED_VALUE"""),21.0)</f>
        <v>21</v>
      </c>
      <c r="J847" s="6">
        <f>IFERROR(__xludf.DUMMYFUNCTION("""COMPUTED_VALUE"""),336.6)</f>
        <v>336.6</v>
      </c>
      <c r="K847" s="6">
        <f>IFERROR(__xludf.DUMMYFUNCTION("""COMPUTED_VALUE"""),392.7)</f>
        <v>392.7</v>
      </c>
      <c r="L847" s="3"/>
      <c r="M847" s="3"/>
    </row>
    <row r="848" ht="48.0" customHeight="1">
      <c r="A848" s="3" t="str">
        <f>IFERROR(__xludf.DUMMYFUNCTION("""COMPUTED_VALUE"""),"DS-KV8413-WME1(C)")</f>
        <v>DS-KV8413-WME1(C)</v>
      </c>
      <c r="B848" s="4" t="str">
        <f>IFERROR(__xludf.DUMMYFUNCTION("""COMPUTED_VALUE"""),"FRENTE PORTERO CÁMARA CMOS 2MP HD COLOR, GABINETE ALUMINIO,")</f>
        <v>FRENTE PORTERO CÁMARA CMOS 2MP HD COLOR, GABINETE ALUMINIO,</v>
      </c>
      <c r="C848" s="4" t="str">
        <f>IFERROR(__xludf.DUMMYFUNCTION("""COMPUTED_VALUE"""),"Frente portero cámara CMOS 2MP HD Color, gabinete Aluminio, 4 canales , Wi-Fi 802.11b/g/n, Standard PoE/ 12 VDC, Incluye lector de tarjeta Mifare; 10M/100M Self-adaptive Ethernet, RS-485; 4-ch alarm input, 2 relay for door lock contrl; IP65 IK08, Villa Do"&amp;"or Station Convenient Hik-Connect APP mobile control")</f>
        <v>Frente portero cámara CMOS 2MP HD Color, gabinete Aluminio, 4 canales , Wi-Fi 802.11b/g/n, Standard PoE/ 12 VDC, Incluye lector de tarjeta Mifare; 10M/100M Self-adaptive Ethernet, RS-485; 4-ch alarm input, 2 relay for door lock contrl; IP65 IK08, Villa Door Station Convenient Hik-Connect APP mobile control</v>
      </c>
      <c r="D848" s="4" t="str">
        <f>IFERROR(__xludf.DUMMYFUNCTION("""COMPUTED_VALUE"""),"HIKVISION")</f>
        <v>HIKVISION</v>
      </c>
      <c r="E848" s="4" t="str">
        <f>IFERROR(__xludf.DUMMYFUNCTION("""COMPUTED_VALUE"""),"DS-KV8413-WME1(C)")</f>
        <v>DS-KV8413-WME1(C)</v>
      </c>
      <c r="F848" s="4" t="str">
        <f>IFERROR(__xludf.DUMMYFUNCTION("""COMPUTED_VALUE"""),"PORTEROS / VIDEOPORTEROS &gt; VIDEO PORTEROS IP")</f>
        <v>PORTEROS / VIDEOPORTEROS &gt; VIDEO PORTEROS IP</v>
      </c>
      <c r="G848" s="5"/>
      <c r="H848" s="6">
        <f>IFERROR(__xludf.DUMMYFUNCTION("""COMPUTED_VALUE"""),293.7)</f>
        <v>293.7</v>
      </c>
      <c r="I848" s="7">
        <f>IFERROR(__xludf.DUMMYFUNCTION("""COMPUTED_VALUE"""),21.0)</f>
        <v>21</v>
      </c>
      <c r="J848" s="6">
        <f>IFERROR(__xludf.DUMMYFUNCTION("""COMPUTED_VALUE"""),352.44)</f>
        <v>352.44</v>
      </c>
      <c r="K848" s="6">
        <f>IFERROR(__xludf.DUMMYFUNCTION("""COMPUTED_VALUE"""),411.18)</f>
        <v>411.18</v>
      </c>
      <c r="L848" s="3"/>
      <c r="M848" s="3"/>
    </row>
    <row r="849" ht="48.0" customHeight="1">
      <c r="A849" s="3" t="str">
        <f>IFERROR(__xludf.DUMMYFUNCTION("""COMPUTED_VALUE"""),"DSKABV8113RS")</f>
        <v>DSKABV8113RS</v>
      </c>
      <c r="B849" s="4" t="str">
        <f>IFERROR(__xludf.DUMMYFUNCTION("""COMPUTED_VALUE"""),"CARCASA PROTECTORA PARA VIDEOPORTEROS IP HIKVISION DE LA SERIE")</f>
        <v>CARCASA PROTECTORA PARA VIDEOPORTEROS IP HIKVISION DE LA SERIE</v>
      </c>
      <c r="C849" s="4" t="str">
        <f>IFERROR(__xludf.DUMMYFUNCTION("""COMPUTED_VALUE"""),"Carcasa protectora para Videoporteros IP HIKVISION de la serie DS-KV8X13WME1")</f>
        <v>Carcasa protectora para Videoporteros IP HIKVISION de la serie DS-KV8X13WME1</v>
      </c>
      <c r="D849" s="4" t="str">
        <f>IFERROR(__xludf.DUMMYFUNCTION("""COMPUTED_VALUE"""),"HIKVISION")</f>
        <v>HIKVISION</v>
      </c>
      <c r="E849" s="4" t="str">
        <f>IFERROR(__xludf.DUMMYFUNCTION("""COMPUTED_VALUE"""),"DSKABV8113RS")</f>
        <v>DSKABV8113RS</v>
      </c>
      <c r="F849" s="4" t="str">
        <f>IFERROR(__xludf.DUMMYFUNCTION("""COMPUTED_VALUE"""),"PORTEROS / VIDEOPORTEROS &gt; VIDEO PORTEROS IP")</f>
        <v>PORTEROS / VIDEOPORTEROS &gt; VIDEO PORTEROS IP</v>
      </c>
      <c r="G849" s="5"/>
      <c r="H849" s="6">
        <f>IFERROR(__xludf.DUMMYFUNCTION("""COMPUTED_VALUE"""),15.62)</f>
        <v>15.62</v>
      </c>
      <c r="I849" s="7">
        <f>IFERROR(__xludf.DUMMYFUNCTION("""COMPUTED_VALUE"""),21.0)</f>
        <v>21</v>
      </c>
      <c r="J849" s="6">
        <f>IFERROR(__xludf.DUMMYFUNCTION("""COMPUTED_VALUE"""),18.74)</f>
        <v>18.74</v>
      </c>
      <c r="K849" s="6">
        <f>IFERROR(__xludf.DUMMYFUNCTION("""COMPUTED_VALUE"""),21.87)</f>
        <v>21.87</v>
      </c>
      <c r="L849" s="3"/>
      <c r="M849" s="3"/>
    </row>
    <row r="850" ht="48.0" customHeight="1">
      <c r="A850" s="3" t="str">
        <f>IFERROR(__xludf.DUMMYFUNCTION("""COMPUTED_VALUE"""),"DSKD8003IME1")</f>
        <v>DSKD8003IME1</v>
      </c>
      <c r="B850" s="4" t="str">
        <f>IFERROR(__xludf.DUMMYFUNCTION("""COMPUTED_VALUE"""),"FRENTE DE CALLE IP 2 MEGAPIXEL PARA VIDEOPORTERO MODULAR")</f>
        <v>FRENTE DE CALLE IP 2 MEGAPIXEL PARA VIDEOPORTERO MODULAR</v>
      </c>
      <c r="C850" s="4" t="str">
        <f>IFERROR(__xludf.DUMMYFUNCTION("""COMPUTED_VALUE"""),"Frente de calle IP 2 Megapixel para Videoportero Modular / PoE / Angulo 180° / Ultra Baja Iluminación / Exterior IP65 / WDR 120 dB, needs mouting bracket. CMOS 2MP HD Colorful Camera, Fish eye, 1 Call Button, 1-ch Indoor station access, 2 relays for door "&amp;"lock control IR Supplement , 10M/100M Self-adaptive Ethernet, module connection with RS-485 , 4-ch alarm input IP65, 12 VDC or standard POE")</f>
        <v>Frente de calle IP 2 Megapixel para Videoportero Modular / PoE / Angulo 180° / Ultra Baja Iluminación / Exterior IP65 / WDR 120 dB, needs mouting bracket. CMOS 2MP HD Colorful Camera, Fish eye, 1 Call Button, 1-ch Indoor station access, 2 relays for door lock control IR Supplement , 10M/100M Self-adaptive Ethernet, module connection with RS-485 , 4-ch alarm input IP65, 12 VDC or standard POE</v>
      </c>
      <c r="D850" s="4" t="str">
        <f>IFERROR(__xludf.DUMMYFUNCTION("""COMPUTED_VALUE"""),"HIKVISION")</f>
        <v>HIKVISION</v>
      </c>
      <c r="E850" s="4" t="str">
        <f>IFERROR(__xludf.DUMMYFUNCTION("""COMPUTED_VALUE"""),"DSKD8003IME1")</f>
        <v>DSKD8003IME1</v>
      </c>
      <c r="F850" s="4" t="str">
        <f>IFERROR(__xludf.DUMMYFUNCTION("""COMPUTED_VALUE"""),"PORTEROS / VIDEOPORTEROS &gt; VIDEO PORTEROS IP")</f>
        <v>PORTEROS / VIDEOPORTEROS &gt; VIDEO PORTEROS IP</v>
      </c>
      <c r="G850" s="5"/>
      <c r="H850" s="6">
        <f>IFERROR(__xludf.DUMMYFUNCTION("""COMPUTED_VALUE"""),245.3)</f>
        <v>245.3</v>
      </c>
      <c r="I850" s="7">
        <f>IFERROR(__xludf.DUMMYFUNCTION("""COMPUTED_VALUE"""),21.0)</f>
        <v>21</v>
      </c>
      <c r="J850" s="6">
        <f>IFERROR(__xludf.DUMMYFUNCTION("""COMPUTED_VALUE"""),294.36)</f>
        <v>294.36</v>
      </c>
      <c r="K850" s="6">
        <f>IFERROR(__xludf.DUMMYFUNCTION("""COMPUTED_VALUE"""),343.42)</f>
        <v>343.42</v>
      </c>
      <c r="L850" s="3"/>
      <c r="M850" s="3"/>
    </row>
    <row r="851" ht="48.0" customHeight="1">
      <c r="A851" s="3" t="str">
        <f>IFERROR(__xludf.DUMMYFUNCTION("""COMPUTED_VALUE"""),"DS-KD8003-IME1(B)")</f>
        <v>DS-KD8003-IME1(B)</v>
      </c>
      <c r="B851" s="4" t="str">
        <f>IFERROR(__xludf.DUMMYFUNCTION("""COMPUTED_VALUE"""),"FRENTE DE CALLE IP 2 MEGAPIXEL PARA VIDEOPORTERO MODULAR")</f>
        <v>FRENTE DE CALLE IP 2 MEGAPIXEL PARA VIDEOPORTERO MODULAR</v>
      </c>
      <c r="C851" s="4" t="str">
        <f>IFERROR(__xludf.DUMMYFUNCTION("""COMPUTED_VALUE"""),"Frente de calle IP 2 Megapixel para Videoportero Modular / PoE / Angulo 180° / Ultra Baja Iluminación / Exterior IP65 / WDR 120 dB, 1 Pulsador para llamada.")</f>
        <v>Frente de calle IP 2 Megapixel para Videoportero Modular / PoE / Angulo 180° / Ultra Baja Iluminación / Exterior IP65 / WDR 120 dB, 1 Pulsador para llamada.</v>
      </c>
      <c r="D851" s="4" t="str">
        <f>IFERROR(__xludf.DUMMYFUNCTION("""COMPUTED_VALUE"""),"HIKVISION")</f>
        <v>HIKVISION</v>
      </c>
      <c r="E851" s="4" t="str">
        <f>IFERROR(__xludf.DUMMYFUNCTION("""COMPUTED_VALUE"""),"DS-KD8003-IME1(B)")</f>
        <v>DS-KD8003-IME1(B)</v>
      </c>
      <c r="F851" s="4" t="str">
        <f>IFERROR(__xludf.DUMMYFUNCTION("""COMPUTED_VALUE"""),"PORTEROS / VIDEOPORTEROS &gt; VIDEO PORTEROS IP")</f>
        <v>PORTEROS / VIDEOPORTEROS &gt; VIDEO PORTEROS IP</v>
      </c>
      <c r="G851" s="5"/>
      <c r="H851" s="6">
        <f>IFERROR(__xludf.DUMMYFUNCTION("""COMPUTED_VALUE"""),245.3)</f>
        <v>245.3</v>
      </c>
      <c r="I851" s="7">
        <f>IFERROR(__xludf.DUMMYFUNCTION("""COMPUTED_VALUE"""),21.0)</f>
        <v>21</v>
      </c>
      <c r="J851" s="6">
        <f>IFERROR(__xludf.DUMMYFUNCTION("""COMPUTED_VALUE"""),294.36)</f>
        <v>294.36</v>
      </c>
      <c r="K851" s="6">
        <f>IFERROR(__xludf.DUMMYFUNCTION("""COMPUTED_VALUE"""),343.42)</f>
        <v>343.42</v>
      </c>
      <c r="L851" s="3"/>
      <c r="M851" s="3"/>
    </row>
    <row r="852" ht="48.0" customHeight="1">
      <c r="A852" s="3" t="str">
        <f>IFERROR(__xludf.DUMMYFUNCTION("""COMPUTED_VALUE"""),"DSKDKK")</f>
        <v>DSKDKK</v>
      </c>
      <c r="B852" s="4" t="str">
        <f>IFERROR(__xludf.DUMMYFUNCTION("""COMPUTED_VALUE"""),"MÓDULO DE BOTONES PARA VIDEOPORTERO MODULAR / LLAMADA DE")</f>
        <v>MÓDULO DE BOTONES PARA VIDEOPORTERO MODULAR / LLAMADA DE</v>
      </c>
      <c r="C852" s="4" t="str">
        <f>IFERROR(__xludf.DUMMYFUNCTION("""COMPUTED_VALUE"""),"Módulo de Botones Para Videoportero Modular / Llamada de un solo Toque / Soporta Hasta 6 Monitores Principales, module connection with RS-485, IP65")</f>
        <v>Módulo de Botones Para Videoportero Modular / Llamada de un solo Toque / Soporta Hasta 6 Monitores Principales, module connection with RS-485, IP65</v>
      </c>
      <c r="D852" s="4" t="str">
        <f>IFERROR(__xludf.DUMMYFUNCTION("""COMPUTED_VALUE"""),"HIKVISION")</f>
        <v>HIKVISION</v>
      </c>
      <c r="E852" s="4" t="str">
        <f>IFERROR(__xludf.DUMMYFUNCTION("""COMPUTED_VALUE"""),"DSKDKK")</f>
        <v>DSKDKK</v>
      </c>
      <c r="F852" s="4" t="str">
        <f>IFERROR(__xludf.DUMMYFUNCTION("""COMPUTED_VALUE"""),"PORTEROS / VIDEOPORTEROS &gt; VIDEO PORTEROS IP")</f>
        <v>PORTEROS / VIDEOPORTEROS &gt; VIDEO PORTEROS IP</v>
      </c>
      <c r="G852" s="5"/>
      <c r="H852" s="6">
        <f>IFERROR(__xludf.DUMMYFUNCTION("""COMPUTED_VALUE"""),59.4)</f>
        <v>59.4</v>
      </c>
      <c r="I852" s="7">
        <f>IFERROR(__xludf.DUMMYFUNCTION("""COMPUTED_VALUE"""),21.0)</f>
        <v>21</v>
      </c>
      <c r="J852" s="6">
        <f>IFERROR(__xludf.DUMMYFUNCTION("""COMPUTED_VALUE"""),71.28)</f>
        <v>71.28</v>
      </c>
      <c r="K852" s="6">
        <f>IFERROR(__xludf.DUMMYFUNCTION("""COMPUTED_VALUE"""),83.16)</f>
        <v>83.16</v>
      </c>
      <c r="L852" s="3"/>
      <c r="M852" s="3"/>
    </row>
    <row r="853" ht="48.0" customHeight="1">
      <c r="A853" s="3" t="str">
        <f>IFERROR(__xludf.DUMMYFUNCTION("""COMPUTED_VALUE"""),"DSKDKP")</f>
        <v>DSKDKP</v>
      </c>
      <c r="B853" s="4" t="str">
        <f>IFERROR(__xludf.DUMMYFUNCTION("""COMPUTED_VALUE"""),"MÓDULO DE TECLADO PARA FRENTE DE CALLE MODULAR /")</f>
        <v>MÓDULO DE TECLADO PARA FRENTE DE CALLE MODULAR /</v>
      </c>
      <c r="C853" s="4" t="str">
        <f>IFERROR(__xludf.DUMMYFUNCTION("""COMPUTED_VALUE"""),"Módulo de Teclado para Frente de Calle Modular / Desbloqueo de Puerta Mediante Código / Llamada a monitorconnection with RS-485 , IP65, needs mouting bracket, Backlight,Flush mounting, Surface mounting, 98.21mmx100.21 mm x33.7mm, input pin code to open do"&amp;"or, call indoor station via inputing room number, powered by other module (Power input: 12VDC, Power output: 12VDC)")</f>
        <v>Módulo de Teclado para Frente de Calle Modular / Desbloqueo de Puerta Mediante Código / Llamada a monitorconnection with RS-485 , IP65, needs mouting bracket, Backlight,Flush mounting, Surface mounting, 98.21mmx100.21 mm x33.7mm, input pin code to open door, call indoor station via inputing room number, powered by other module (Power input: 12VDC, Power output: 12VDC)</v>
      </c>
      <c r="D853" s="4" t="str">
        <f>IFERROR(__xludf.DUMMYFUNCTION("""COMPUTED_VALUE"""),"HIKVISION")</f>
        <v>HIKVISION</v>
      </c>
      <c r="E853" s="4" t="str">
        <f>IFERROR(__xludf.DUMMYFUNCTION("""COMPUTED_VALUE"""),"DSKDKP")</f>
        <v>DSKDKP</v>
      </c>
      <c r="F853" s="4" t="str">
        <f>IFERROR(__xludf.DUMMYFUNCTION("""COMPUTED_VALUE"""),"PORTEROS / VIDEOPORTEROS &gt; VIDEO PORTEROS IP")</f>
        <v>PORTEROS / VIDEOPORTEROS &gt; VIDEO PORTEROS IP</v>
      </c>
      <c r="G853" s="5"/>
      <c r="H853" s="6">
        <f>IFERROR(__xludf.DUMMYFUNCTION("""COMPUTED_VALUE"""),128.7)</f>
        <v>128.7</v>
      </c>
      <c r="I853" s="7">
        <f>IFERROR(__xludf.DUMMYFUNCTION("""COMPUTED_VALUE"""),21.0)</f>
        <v>21</v>
      </c>
      <c r="J853" s="6">
        <f>IFERROR(__xludf.DUMMYFUNCTION("""COMPUTED_VALUE"""),154.44)</f>
        <v>154.44</v>
      </c>
      <c r="K853" s="6">
        <f>IFERROR(__xludf.DUMMYFUNCTION("""COMPUTED_VALUE"""),180.18)</f>
        <v>180.18</v>
      </c>
      <c r="L853" s="3"/>
      <c r="M853" s="3"/>
    </row>
    <row r="854" ht="48.0" customHeight="1">
      <c r="A854" s="3" t="str">
        <f>IFERROR(__xludf.DUMMYFUNCTION("""COMPUTED_VALUE"""),"DSKDIN")</f>
        <v>DSKDIN</v>
      </c>
      <c r="B854" s="4" t="str">
        <f>IFERROR(__xludf.DUMMYFUNCTION("""COMPUTED_VALUE"""),"MODULO PARA INDICAR RECEPCIÓN DE LLAMADA / APERTURA DE")</f>
        <v>MODULO PARA INDICAR RECEPCIÓN DE LLAMADA / APERTURA DE</v>
      </c>
      <c r="C854" s="4" t="str">
        <f>IFERROR(__xludf.DUMMYFUNCTION("""COMPUTED_VALUE"""),"Modulo para Indicar Recepción de Llamada / Apertura de Puerta o Audio Bidireccional en Videoportero IP Modular, module connection with RS-485 , needs mouting bracket, IP65,Backlight, Flush mounting, Surface mounting, 98.21mmx100.21 mm x33.7mm, powered by "&amp;"other module (Power input: 12VDC, Power output: 12VDC)")</f>
        <v>Modulo para Indicar Recepción de Llamada / Apertura de Puerta o Audio Bidireccional en Videoportero IP Modular, module connection with RS-485 , needs mouting bracket, IP65,Backlight, Flush mounting, Surface mounting, 98.21mmx100.21 mm x33.7mm, powered by other module (Power input: 12VDC, Power output: 12VDC)</v>
      </c>
      <c r="D854" s="4" t="str">
        <f>IFERROR(__xludf.DUMMYFUNCTION("""COMPUTED_VALUE"""),"HIKVISION")</f>
        <v>HIKVISION</v>
      </c>
      <c r="E854" s="4" t="str">
        <f>IFERROR(__xludf.DUMMYFUNCTION("""COMPUTED_VALUE"""),"DSKDIN")</f>
        <v>DSKDIN</v>
      </c>
      <c r="F854" s="4" t="str">
        <f>IFERROR(__xludf.DUMMYFUNCTION("""COMPUTED_VALUE"""),"PORTEROS / VIDEOPORTEROS &gt; VIDEO PORTEROS IP")</f>
        <v>PORTEROS / VIDEOPORTEROS &gt; VIDEO PORTEROS IP</v>
      </c>
      <c r="G854" s="5"/>
      <c r="H854" s="6">
        <f>IFERROR(__xludf.DUMMYFUNCTION("""COMPUTED_VALUE"""),49.5)</f>
        <v>49.5</v>
      </c>
      <c r="I854" s="7">
        <f>IFERROR(__xludf.DUMMYFUNCTION("""COMPUTED_VALUE"""),21.0)</f>
        <v>21</v>
      </c>
      <c r="J854" s="6">
        <f>IFERROR(__xludf.DUMMYFUNCTION("""COMPUTED_VALUE"""),59.4)</f>
        <v>59.4</v>
      </c>
      <c r="K854" s="6">
        <f>IFERROR(__xludf.DUMMYFUNCTION("""COMPUTED_VALUE"""),69.3)</f>
        <v>69.3</v>
      </c>
      <c r="L854" s="3"/>
      <c r="M854" s="3"/>
    </row>
    <row r="855" ht="48.0" customHeight="1">
      <c r="A855" s="3" t="str">
        <f>IFERROR(__xludf.DUMMYFUNCTION("""COMPUTED_VALUE"""),"DSKDDIS")</f>
        <v>DSKDDIS</v>
      </c>
      <c r="B855" s="4" t="str">
        <f>IFERROR(__xludf.DUMMYFUNCTION("""COMPUTED_VALUE"""),"MODULO DISPLAY DE 3")</f>
        <v>MODULO DISPLAY DE 3</v>
      </c>
      <c r="C855" s="4" t="str">
        <f>IFERROR(__xludf.DUMMYFUNCTION("""COMPUTED_VALUE"""),"Modulo Display de 3.5 pulgadas LCD screen with resolution: 320 x 480p. 4 physical buttons with backlight Up to 500 contacts can be added to the device Dials number and calls indoor station with keypad module Unlocks door by PIN code with keypad module Mul"&amp;"tiple languages")</f>
        <v>Modulo Display de 3.5 pulgadas LCD screen with resolution: 320 x 480p. 4 physical buttons with backlight Up to 500 contacts can be added to the device Dials number and calls indoor station with keypad module Unlocks door by PIN code with keypad module Multiple languages</v>
      </c>
      <c r="D855" s="4" t="str">
        <f>IFERROR(__xludf.DUMMYFUNCTION("""COMPUTED_VALUE"""),"HIKVISION")</f>
        <v>HIKVISION</v>
      </c>
      <c r="E855" s="4" t="str">
        <f>IFERROR(__xludf.DUMMYFUNCTION("""COMPUTED_VALUE"""),"DSKDDIS")</f>
        <v>DSKDDIS</v>
      </c>
      <c r="F855" s="4" t="str">
        <f>IFERROR(__xludf.DUMMYFUNCTION("""COMPUTED_VALUE"""),"PORTEROS / VIDEOPORTEROS &gt; VIDEO PORTEROS IP")</f>
        <v>PORTEROS / VIDEOPORTEROS &gt; VIDEO PORTEROS IP</v>
      </c>
      <c r="G855" s="5"/>
      <c r="H855" s="6">
        <f>IFERROR(__xludf.DUMMYFUNCTION("""COMPUTED_VALUE"""),114.4)</f>
        <v>114.4</v>
      </c>
      <c r="I855" s="7">
        <f>IFERROR(__xludf.DUMMYFUNCTION("""COMPUTED_VALUE"""),21.0)</f>
        <v>21</v>
      </c>
      <c r="J855" s="6">
        <f>IFERROR(__xludf.DUMMYFUNCTION("""COMPUTED_VALUE"""),137.28)</f>
        <v>137.28</v>
      </c>
      <c r="K855" s="6">
        <f>IFERROR(__xludf.DUMMYFUNCTION("""COMPUTED_VALUE"""),160.16)</f>
        <v>160.16</v>
      </c>
      <c r="L855" s="3"/>
      <c r="M855" s="3"/>
    </row>
    <row r="856" ht="48.0" customHeight="1">
      <c r="A856" s="3" t="str">
        <f>IFERROR(__xludf.DUMMYFUNCTION("""COMPUTED_VALUE"""),"DSKDM")</f>
        <v>DSKDM</v>
      </c>
      <c r="B856" s="4" t="str">
        <f>IFERROR(__xludf.DUMMYFUNCTION("""COMPUTED_VALUE"""),"MODULO CON LECTOR DE TARJETAS MIFARE PARA FRENTE DE")</f>
        <v>MODULO CON LECTOR DE TARJETAS MIFARE PARA FRENTE DE</v>
      </c>
      <c r="C856" s="4" t="str">
        <f>IFERROR(__xludf.DUMMYFUNCTION("""COMPUTED_VALUE"""),"Modulo con Lector de Tarjetas Mifare para Frente de Calle IP, module connection with RS-485 , IP65, Backlight, needs mouting bracket, Flush mounting, Surface mounting, 98.21mm x 100.21 mm x 33.7mm, unlock door via swiping card, powered by other module (Po"&amp;"wer input: 12VDC, Power output: 12VDC)")</f>
        <v>Modulo con Lector de Tarjetas Mifare para Frente de Calle IP, module connection with RS-485 , IP65, Backlight, needs mouting bracket, Flush mounting, Surface mounting, 98.21mm x 100.21 mm x 33.7mm, unlock door via swiping card, powered by other module (Power input: 12VDC, Power output: 12VDC)</v>
      </c>
      <c r="D856" s="4" t="str">
        <f>IFERROR(__xludf.DUMMYFUNCTION("""COMPUTED_VALUE"""),"HIKVISION")</f>
        <v>HIKVISION</v>
      </c>
      <c r="E856" s="4" t="str">
        <f>IFERROR(__xludf.DUMMYFUNCTION("""COMPUTED_VALUE"""),"DSKDM")</f>
        <v>DSKDM</v>
      </c>
      <c r="F856" s="4" t="str">
        <f>IFERROR(__xludf.DUMMYFUNCTION("""COMPUTED_VALUE"""),"PORTEROS / VIDEOPORTEROS &gt; VIDEO PORTEROS IP")</f>
        <v>PORTEROS / VIDEOPORTEROS &gt; VIDEO PORTEROS IP</v>
      </c>
      <c r="G856" s="5"/>
      <c r="H856" s="6">
        <f>IFERROR(__xludf.DUMMYFUNCTION("""COMPUTED_VALUE"""),79.2)</f>
        <v>79.2</v>
      </c>
      <c r="I856" s="7">
        <f>IFERROR(__xludf.DUMMYFUNCTION("""COMPUTED_VALUE"""),21.0)</f>
        <v>21</v>
      </c>
      <c r="J856" s="6">
        <f>IFERROR(__xludf.DUMMYFUNCTION("""COMPUTED_VALUE"""),95.04)</f>
        <v>95.04</v>
      </c>
      <c r="K856" s="6">
        <f>IFERROR(__xludf.DUMMYFUNCTION("""COMPUTED_VALUE"""),110.88)</f>
        <v>110.88</v>
      </c>
      <c r="L856" s="3"/>
      <c r="M856" s="3"/>
    </row>
    <row r="857" ht="48.0" customHeight="1">
      <c r="A857" s="3" t="str">
        <f>IFERROR(__xludf.DUMMYFUNCTION("""COMPUTED_VALUE"""),"DSKDBK")</f>
        <v>DSKDBK</v>
      </c>
      <c r="B857" s="4" t="str">
        <f>IFERROR(__xludf.DUMMYFUNCTION("""COMPUTED_VALUE"""),"MÓDULO EN BLANCO, DISEÑADO PARA LLENAR ESPACIOS VACÍOS DE")</f>
        <v>MÓDULO EN BLANCO, DISEÑADO PARA LLENAR ESPACIOS VACÍOS DE</v>
      </c>
      <c r="C857" s="4" t="str">
        <f>IFERROR(__xludf.DUMMYFUNCTION("""COMPUTED_VALUE"""),"Módulo en blanco, diseñado para llenar espacios vacíos de la carcasa de montaje al momento de la instalación. Se puede reemplazar con otros módulos, según necesidad, en caso de ampliaciones futuras.")</f>
        <v>Módulo en blanco, diseñado para llenar espacios vacíos de la carcasa de montaje al momento de la instalación. Se puede reemplazar con otros módulos, según necesidad, en caso de ampliaciones futuras.</v>
      </c>
      <c r="D857" s="4" t="str">
        <f>IFERROR(__xludf.DUMMYFUNCTION("""COMPUTED_VALUE"""),"HIKVISION")</f>
        <v>HIKVISION</v>
      </c>
      <c r="E857" s="4" t="str">
        <f>IFERROR(__xludf.DUMMYFUNCTION("""COMPUTED_VALUE"""),"DSKDBK")</f>
        <v>DSKDBK</v>
      </c>
      <c r="F857" s="4" t="str">
        <f>IFERROR(__xludf.DUMMYFUNCTION("""COMPUTED_VALUE"""),"PORTEROS / VIDEOPORTEROS &gt; VIDEO PORTEROS IP")</f>
        <v>PORTEROS / VIDEOPORTEROS &gt; VIDEO PORTEROS IP</v>
      </c>
      <c r="G857" s="5"/>
      <c r="H857" s="6">
        <f>IFERROR(__xludf.DUMMYFUNCTION("""COMPUTED_VALUE"""),29.59)</f>
        <v>29.59</v>
      </c>
      <c r="I857" s="7">
        <f>IFERROR(__xludf.DUMMYFUNCTION("""COMPUTED_VALUE"""),21.0)</f>
        <v>21</v>
      </c>
      <c r="J857" s="6">
        <f>IFERROR(__xludf.DUMMYFUNCTION("""COMPUTED_VALUE"""),35.51)</f>
        <v>35.51</v>
      </c>
      <c r="K857" s="6">
        <f>IFERROR(__xludf.DUMMYFUNCTION("""COMPUTED_VALUE"""),41.43)</f>
        <v>41.43</v>
      </c>
      <c r="L857" s="3"/>
      <c r="M857" s="3"/>
    </row>
    <row r="858" ht="48.0" customHeight="1">
      <c r="A858" s="3" t="str">
        <f>IFERROR(__xludf.DUMMYFUNCTION("""COMPUTED_VALUE"""),"DSKDACW1S")</f>
        <v>DSKDACW1S</v>
      </c>
      <c r="B858" s="4" t="str">
        <f>IFERROR(__xludf.DUMMYFUNCTION("""COMPUTED_VALUE"""),"DS-KD-ACW1/S ACCESORIO DE MONTAJE DE ACERO INOXIDABLE")</f>
        <v>DS-KD-ACW1/S ACCESORIO DE MONTAJE DE ACERO INOXIDABLE</v>
      </c>
      <c r="C858" s="4" t="str">
        <f>IFERROR(__xludf.DUMMYFUNCTION("""COMPUTED_VALUE"""),"DS-KD-ACW1/S Accesorio de montaje de acero inoxidable. 1 Espacio para montaje de superficie de Módulos de Videoporteros Hikvision")</f>
        <v>DS-KD-ACW1/S Accesorio de montaje de acero inoxidable. 1 Espacio para montaje de superficie de Módulos de Videoporteros Hikvision</v>
      </c>
      <c r="D858" s="4" t="str">
        <f>IFERROR(__xludf.DUMMYFUNCTION("""COMPUTED_VALUE"""),"HIKVISION")</f>
        <v>HIKVISION</v>
      </c>
      <c r="E858" s="4" t="str">
        <f>IFERROR(__xludf.DUMMYFUNCTION("""COMPUTED_VALUE"""),"DSKDACW1S")</f>
        <v>DSKDACW1S</v>
      </c>
      <c r="F858" s="4" t="str">
        <f>IFERROR(__xludf.DUMMYFUNCTION("""COMPUTED_VALUE"""),"PORTEROS / VIDEOPORTEROS &gt; VIDEO PORTEROS IP")</f>
        <v>PORTEROS / VIDEOPORTEROS &gt; VIDEO PORTEROS IP</v>
      </c>
      <c r="G858" s="5"/>
      <c r="H858" s="6">
        <f>IFERROR(__xludf.DUMMYFUNCTION("""COMPUTED_VALUE"""),84.7)</f>
        <v>84.7</v>
      </c>
      <c r="I858" s="7">
        <f>IFERROR(__xludf.DUMMYFUNCTION("""COMPUTED_VALUE"""),21.0)</f>
        <v>21</v>
      </c>
      <c r="J858" s="6">
        <f>IFERROR(__xludf.DUMMYFUNCTION("""COMPUTED_VALUE"""),101.64)</f>
        <v>101.64</v>
      </c>
      <c r="K858" s="6">
        <f>IFERROR(__xludf.DUMMYFUNCTION("""COMPUTED_VALUE"""),118.58)</f>
        <v>118.58</v>
      </c>
      <c r="L858" s="3"/>
      <c r="M858" s="3"/>
    </row>
    <row r="859" ht="48.0" customHeight="1">
      <c r="A859" s="3" t="str">
        <f>IFERROR(__xludf.DUMMYFUNCTION("""COMPUTED_VALUE"""),"DSKDACF1PLASTIC")</f>
        <v>DSKDACF1PLASTIC</v>
      </c>
      <c r="B859" s="4" t="str">
        <f>IFERROR(__xludf.DUMMYFUNCTION("""COMPUTED_VALUE"""),"ACCESORIO DE MONTAJE DE 1 ESPACIO PARA EMPOTRAR MÓDULOS")</f>
        <v>ACCESORIO DE MONTAJE DE 1 ESPACIO PARA EMPOTRAR MÓDULOS</v>
      </c>
      <c r="C859" s="4" t="str">
        <f>IFERROR(__xludf.DUMMYFUNCTION("""COMPUTED_VALUE"""),"Accesorio de montaje de 1 Espacio para EMPOTRAR Módulos de Videoporteros Hikvision")</f>
        <v>Accesorio de montaje de 1 Espacio para EMPOTRAR Módulos de Videoporteros Hikvision</v>
      </c>
      <c r="D859" s="4" t="str">
        <f>IFERROR(__xludf.DUMMYFUNCTION("""COMPUTED_VALUE"""),"HIKVISION")</f>
        <v>HIKVISION</v>
      </c>
      <c r="E859" s="4" t="str">
        <f>IFERROR(__xludf.DUMMYFUNCTION("""COMPUTED_VALUE"""),"DSKDACF1PLASTIC")</f>
        <v>DSKDACF1PLASTIC</v>
      </c>
      <c r="F859" s="4" t="str">
        <f>IFERROR(__xludf.DUMMYFUNCTION("""COMPUTED_VALUE"""),"PORTEROS / VIDEOPORTEROS &gt; VIDEO PORTEROS IP")</f>
        <v>PORTEROS / VIDEOPORTEROS &gt; VIDEO PORTEROS IP</v>
      </c>
      <c r="G859" s="5"/>
      <c r="H859" s="6">
        <f>IFERROR(__xludf.DUMMYFUNCTION("""COMPUTED_VALUE"""),37.4)</f>
        <v>37.4</v>
      </c>
      <c r="I859" s="7">
        <f>IFERROR(__xludf.DUMMYFUNCTION("""COMPUTED_VALUE"""),21.0)</f>
        <v>21</v>
      </c>
      <c r="J859" s="6">
        <f>IFERROR(__xludf.DUMMYFUNCTION("""COMPUTED_VALUE"""),44.88)</f>
        <v>44.88</v>
      </c>
      <c r="K859" s="6">
        <f>IFERROR(__xludf.DUMMYFUNCTION("""COMPUTED_VALUE"""),52.36)</f>
        <v>52.36</v>
      </c>
      <c r="L859" s="3"/>
      <c r="M859" s="3"/>
    </row>
    <row r="860" ht="48.0" customHeight="1">
      <c r="A860" s="3" t="str">
        <f>IFERROR(__xludf.DUMMYFUNCTION("""COMPUTED_VALUE"""),"DSKDACF2PLASTIC")</f>
        <v>DSKDACF2PLASTIC</v>
      </c>
      <c r="B860" s="4" t="str">
        <f>IFERROR(__xludf.DUMMYFUNCTION("""COMPUTED_VALUE"""),"ACCESORIO DE MONTAJE DE 2 ESPACIOS PARA EMPOTRAR MÓDULOS")</f>
        <v>ACCESORIO DE MONTAJE DE 2 ESPACIOS PARA EMPOTRAR MÓDULOS</v>
      </c>
      <c r="C860" s="4" t="str">
        <f>IFERROR(__xludf.DUMMYFUNCTION("""COMPUTED_VALUE"""),"Accesorio de montaje de 2 Espacios para EMPOTRAR Módulos de Videoporteros Hikvision")</f>
        <v>Accesorio de montaje de 2 Espacios para EMPOTRAR Módulos de Videoporteros Hikvision</v>
      </c>
      <c r="D860" s="4" t="str">
        <f>IFERROR(__xludf.DUMMYFUNCTION("""COMPUTED_VALUE"""),"HIKVISION")</f>
        <v>HIKVISION</v>
      </c>
      <c r="E860" s="4" t="str">
        <f>IFERROR(__xludf.DUMMYFUNCTION("""COMPUTED_VALUE"""),"DSKDACF2PLASTIC")</f>
        <v>DSKDACF2PLASTIC</v>
      </c>
      <c r="F860" s="4" t="str">
        <f>IFERROR(__xludf.DUMMYFUNCTION("""COMPUTED_VALUE"""),"PORTEROS / VIDEOPORTEROS &gt; VIDEO PORTEROS IP")</f>
        <v>PORTEROS / VIDEOPORTEROS &gt; VIDEO PORTEROS IP</v>
      </c>
      <c r="G860" s="5"/>
      <c r="H860" s="6">
        <f>IFERROR(__xludf.DUMMYFUNCTION("""COMPUTED_VALUE"""),50.6)</f>
        <v>50.6</v>
      </c>
      <c r="I860" s="7">
        <f>IFERROR(__xludf.DUMMYFUNCTION("""COMPUTED_VALUE"""),21.0)</f>
        <v>21</v>
      </c>
      <c r="J860" s="6">
        <f>IFERROR(__xludf.DUMMYFUNCTION("""COMPUTED_VALUE"""),60.72)</f>
        <v>60.72</v>
      </c>
      <c r="K860" s="6">
        <f>IFERROR(__xludf.DUMMYFUNCTION("""COMPUTED_VALUE"""),70.84)</f>
        <v>70.84</v>
      </c>
      <c r="L860" s="3"/>
      <c r="M860" s="3"/>
    </row>
    <row r="861" ht="48.0" customHeight="1">
      <c r="A861" s="3" t="str">
        <f>IFERROR(__xludf.DUMMYFUNCTION("""COMPUTED_VALUE"""),"DSKDACF3PLASTIC")</f>
        <v>DSKDACF3PLASTIC</v>
      </c>
      <c r="B861" s="4" t="str">
        <f>IFERROR(__xludf.DUMMYFUNCTION("""COMPUTED_VALUE"""),"ACCESORIO DE MONTAJE DE 3 ESPACIOS PARA EMPOTRAR MÓDULOS")</f>
        <v>ACCESORIO DE MONTAJE DE 3 ESPACIOS PARA EMPOTRAR MÓDULOS</v>
      </c>
      <c r="C861" s="4" t="str">
        <f>IFERROR(__xludf.DUMMYFUNCTION("""COMPUTED_VALUE"""),"Accesorio de montaje de 3 Espacios para EMPOTRAR Módulos de Videoporteros Hikvision")</f>
        <v>Accesorio de montaje de 3 Espacios para EMPOTRAR Módulos de Videoporteros Hikvision</v>
      </c>
      <c r="D861" s="4" t="str">
        <f>IFERROR(__xludf.DUMMYFUNCTION("""COMPUTED_VALUE"""),"HIKVISION")</f>
        <v>HIKVISION</v>
      </c>
      <c r="E861" s="4" t="str">
        <f>IFERROR(__xludf.DUMMYFUNCTION("""COMPUTED_VALUE"""),"DSKDACF3PLASTIC")</f>
        <v>DSKDACF3PLASTIC</v>
      </c>
      <c r="F861" s="4" t="str">
        <f>IFERROR(__xludf.DUMMYFUNCTION("""COMPUTED_VALUE"""),"PORTEROS / VIDEOPORTEROS &gt; VIDEO PORTEROS IP")</f>
        <v>PORTEROS / VIDEOPORTEROS &gt; VIDEO PORTEROS IP</v>
      </c>
      <c r="G861" s="5"/>
      <c r="H861" s="6">
        <f>IFERROR(__xludf.DUMMYFUNCTION("""COMPUTED_VALUE"""),62.7)</f>
        <v>62.7</v>
      </c>
      <c r="I861" s="7">
        <f>IFERROR(__xludf.DUMMYFUNCTION("""COMPUTED_VALUE"""),21.0)</f>
        <v>21</v>
      </c>
      <c r="J861" s="6">
        <f>IFERROR(__xludf.DUMMYFUNCTION("""COMPUTED_VALUE"""),75.24)</f>
        <v>75.24</v>
      </c>
      <c r="K861" s="6">
        <f>IFERROR(__xludf.DUMMYFUNCTION("""COMPUTED_VALUE"""),87.78)</f>
        <v>87.78</v>
      </c>
      <c r="L861" s="3"/>
      <c r="M861" s="3"/>
    </row>
    <row r="862" ht="48.0" customHeight="1">
      <c r="A862" s="3" t="str">
        <f>IFERROR(__xludf.DUMMYFUNCTION("""COMPUTED_VALUE"""),"DSKDACW1METALICO")</f>
        <v>DSKDACW1METALICO</v>
      </c>
      <c r="B862" s="4" t="str">
        <f>IFERROR(__xludf.DUMMYFUNCTION("""COMPUTED_VALUE"""),"ACCESORIO DE MONTAJE DE 1 MÓDULO, PARA MONTAJE EN SUPERFICIE")</f>
        <v>ACCESORIO DE MONTAJE DE 1 MÓDULO, PARA MONTAJE EN SUPERFICIE</v>
      </c>
      <c r="C862" s="4" t="str">
        <f>IFERROR(__xludf.DUMMYFUNCTION("""COMPUTED_VALUE"""),"Accesorio de montaje de 1 módulo, para montaje en superficie.")</f>
        <v>Accesorio de montaje de 1 módulo, para montaje en superficie.</v>
      </c>
      <c r="D862" s="4" t="str">
        <f>IFERROR(__xludf.DUMMYFUNCTION("""COMPUTED_VALUE"""),"HIKVISION")</f>
        <v>HIKVISION</v>
      </c>
      <c r="E862" s="4" t="str">
        <f>IFERROR(__xludf.DUMMYFUNCTION("""COMPUTED_VALUE"""),"DSKDACW1METALICO")</f>
        <v>DSKDACW1METALICO</v>
      </c>
      <c r="F862" s="4" t="str">
        <f>IFERROR(__xludf.DUMMYFUNCTION("""COMPUTED_VALUE"""),"PORTEROS / VIDEOPORTEROS &gt; VIDEO PORTEROS IP")</f>
        <v>PORTEROS / VIDEOPORTEROS &gt; VIDEO PORTEROS IP</v>
      </c>
      <c r="G862" s="5"/>
      <c r="H862" s="6">
        <f>IFERROR(__xludf.DUMMYFUNCTION("""COMPUTED_VALUE"""),56.1)</f>
        <v>56.1</v>
      </c>
      <c r="I862" s="7">
        <f>IFERROR(__xludf.DUMMYFUNCTION("""COMPUTED_VALUE"""),21.0)</f>
        <v>21</v>
      </c>
      <c r="J862" s="6">
        <f>IFERROR(__xludf.DUMMYFUNCTION("""COMPUTED_VALUE"""),67.32)</f>
        <v>67.32</v>
      </c>
      <c r="K862" s="6">
        <f>IFERROR(__xludf.DUMMYFUNCTION("""COMPUTED_VALUE"""),78.54)</f>
        <v>78.54</v>
      </c>
      <c r="L862" s="3"/>
      <c r="M862" s="3"/>
    </row>
    <row r="863" ht="48.0" customHeight="1">
      <c r="A863" s="3" t="str">
        <f>IFERROR(__xludf.DUMMYFUNCTION("""COMPUTED_VALUE"""),"DSKDACW2METALICO")</f>
        <v>DSKDACW2METALICO</v>
      </c>
      <c r="B863" s="4" t="str">
        <f>IFERROR(__xludf.DUMMYFUNCTION("""COMPUTED_VALUE"""),"ACCESORIO DE MONTAJE DE 2 MÓDULOS, PARA MONTAJE EN SUPERFICIE")</f>
        <v>ACCESORIO DE MONTAJE DE 2 MÓDULOS, PARA MONTAJE EN SUPERFICIE</v>
      </c>
      <c r="C863" s="4" t="str">
        <f>IFERROR(__xludf.DUMMYFUNCTION("""COMPUTED_VALUE"""),"Accesorio de montaje de 2 módulos, para montaje en superficie.")</f>
        <v>Accesorio de montaje de 2 módulos, para montaje en superficie.</v>
      </c>
      <c r="D863" s="4" t="str">
        <f>IFERROR(__xludf.DUMMYFUNCTION("""COMPUTED_VALUE"""),"HIKVISION")</f>
        <v>HIKVISION</v>
      </c>
      <c r="E863" s="4" t="str">
        <f>IFERROR(__xludf.DUMMYFUNCTION("""COMPUTED_VALUE"""),"DSKDACW2METALICO")</f>
        <v>DSKDACW2METALICO</v>
      </c>
      <c r="F863" s="4" t="str">
        <f>IFERROR(__xludf.DUMMYFUNCTION("""COMPUTED_VALUE"""),"PORTEROS / VIDEOPORTEROS &gt; VIDEO PORTEROS IP")</f>
        <v>PORTEROS / VIDEOPORTEROS &gt; VIDEO PORTEROS IP</v>
      </c>
      <c r="G863" s="5"/>
      <c r="H863" s="6">
        <f>IFERROR(__xludf.DUMMYFUNCTION("""COMPUTED_VALUE"""),78.1)</f>
        <v>78.1</v>
      </c>
      <c r="I863" s="7">
        <f>IFERROR(__xludf.DUMMYFUNCTION("""COMPUTED_VALUE"""),21.0)</f>
        <v>21</v>
      </c>
      <c r="J863" s="6">
        <f>IFERROR(__xludf.DUMMYFUNCTION("""COMPUTED_VALUE"""),93.72)</f>
        <v>93.72</v>
      </c>
      <c r="K863" s="6">
        <f>IFERROR(__xludf.DUMMYFUNCTION("""COMPUTED_VALUE"""),109.34)</f>
        <v>109.34</v>
      </c>
      <c r="L863" s="3"/>
      <c r="M863" s="3"/>
    </row>
    <row r="864" ht="48.0" customHeight="1">
      <c r="A864" s="3" t="str">
        <f>IFERROR(__xludf.DUMMYFUNCTION("""COMPUTED_VALUE"""),"DSKDACW3METALICO")</f>
        <v>DSKDACW3METALICO</v>
      </c>
      <c r="B864" s="4" t="str">
        <f>IFERROR(__xludf.DUMMYFUNCTION("""COMPUTED_VALUE"""),"ACCESORIO DE MONTAJE DE 3 MÓDULOS, PARA MONTAJE EN SUPERFICIE")</f>
        <v>ACCESORIO DE MONTAJE DE 3 MÓDULOS, PARA MONTAJE EN SUPERFICIE</v>
      </c>
      <c r="C864" s="4" t="str">
        <f>IFERROR(__xludf.DUMMYFUNCTION("""COMPUTED_VALUE"""),"Accesorio de montaje de 3 módulos, para montaje en superficie.")</f>
        <v>Accesorio de montaje de 3 módulos, para montaje en superficie.</v>
      </c>
      <c r="D864" s="4" t="str">
        <f>IFERROR(__xludf.DUMMYFUNCTION("""COMPUTED_VALUE"""),"HIKVISION")</f>
        <v>HIKVISION</v>
      </c>
      <c r="E864" s="4" t="str">
        <f>IFERROR(__xludf.DUMMYFUNCTION("""COMPUTED_VALUE"""),"DSKDACW3METALICO")</f>
        <v>DSKDACW3METALICO</v>
      </c>
      <c r="F864" s="4" t="str">
        <f>IFERROR(__xludf.DUMMYFUNCTION("""COMPUTED_VALUE"""),"PORTEROS / VIDEOPORTEROS &gt; VIDEO PORTEROS IP")</f>
        <v>PORTEROS / VIDEOPORTEROS &gt; VIDEO PORTEROS IP</v>
      </c>
      <c r="G864" s="5"/>
      <c r="H864" s="6">
        <f>IFERROR(__xludf.DUMMYFUNCTION("""COMPUTED_VALUE"""),133.1)</f>
        <v>133.1</v>
      </c>
      <c r="I864" s="7">
        <f>IFERROR(__xludf.DUMMYFUNCTION("""COMPUTED_VALUE"""),21.0)</f>
        <v>21</v>
      </c>
      <c r="J864" s="6">
        <f>IFERROR(__xludf.DUMMYFUNCTION("""COMPUTED_VALUE"""),159.72)</f>
        <v>159.72</v>
      </c>
      <c r="K864" s="6">
        <f>IFERROR(__xludf.DUMMYFUNCTION("""COMPUTED_VALUE"""),186.34)</f>
        <v>186.34</v>
      </c>
      <c r="L864" s="3"/>
      <c r="M864" s="3"/>
    </row>
    <row r="865" ht="48.0" customHeight="1">
      <c r="A865" s="3" t="str">
        <f>IFERROR(__xludf.DUMMYFUNCTION("""COMPUTED_VALUE"""),"DSKAB03V")</f>
        <v>DSKAB03V</v>
      </c>
      <c r="B865" s="4" t="str">
        <f>IFERROR(__xludf.DUMMYFUNCTION("""COMPUTED_VALUE"""),"SOPORTE DE ACERO INOXIDABLE PARA MONTAJE DE EQUIPOS (DS-KV8102-IP/VP)")</f>
        <v>SOPORTE DE ACERO INOXIDABLE PARA MONTAJE DE EQUIPOS (DS-KV8102-IP/VP)</v>
      </c>
      <c r="C865" s="4" t="str">
        <f>IFERROR(__xludf.DUMMYFUNCTION("""COMPUTED_VALUE"""),"Soporte de acero inoxidable para montaje de equipos (DS-KV8102-IP/VP)")</f>
        <v>Soporte de acero inoxidable para montaje de equipos (DS-KV8102-IP/VP)</v>
      </c>
      <c r="D865" s="4" t="str">
        <f>IFERROR(__xludf.DUMMYFUNCTION("""COMPUTED_VALUE"""),"HIKVISION")</f>
        <v>HIKVISION</v>
      </c>
      <c r="E865" s="4" t="str">
        <f>IFERROR(__xludf.DUMMYFUNCTION("""COMPUTED_VALUE"""),"DSKAB03V")</f>
        <v>DSKAB03V</v>
      </c>
      <c r="F865" s="4" t="str">
        <f>IFERROR(__xludf.DUMMYFUNCTION("""COMPUTED_VALUE"""),"PORTEROS / VIDEOPORTEROS &gt; VIDEO PORTEROS IP")</f>
        <v>PORTEROS / VIDEOPORTEROS &gt; VIDEO PORTEROS IP</v>
      </c>
      <c r="G865" s="5"/>
      <c r="H865" s="6">
        <f>IFERROR(__xludf.DUMMYFUNCTION("""COMPUTED_VALUE"""),91.3)</f>
        <v>91.3</v>
      </c>
      <c r="I865" s="7">
        <f>IFERROR(__xludf.DUMMYFUNCTION("""COMPUTED_VALUE"""),21.0)</f>
        <v>21</v>
      </c>
      <c r="J865" s="6">
        <f>IFERROR(__xludf.DUMMYFUNCTION("""COMPUTED_VALUE"""),109.56)</f>
        <v>109.56</v>
      </c>
      <c r="K865" s="6">
        <f>IFERROR(__xludf.DUMMYFUNCTION("""COMPUTED_VALUE"""),127.82)</f>
        <v>127.82</v>
      </c>
      <c r="L865" s="3"/>
      <c r="M865" s="3"/>
    </row>
    <row r="866" ht="48.0" customHeight="1">
      <c r="A866" s="3" t="str">
        <f>IFERROR(__xludf.DUMMYFUNCTION("""COMPUTED_VALUE"""),"DS-KAB8103-IMEX")</f>
        <v>DS-KAB8103-IMEX</v>
      </c>
      <c r="B866" s="4" t="str">
        <f>IFERROR(__xludf.DUMMYFUNCTION("""COMPUTED_VALUE"""),"PROTECTOR DE VIDEOPORTERO PARA DS-KV8103-IMPE2 O DS-KIS703-P VIDEOPORT")</f>
        <v>PROTECTOR DE VIDEOPORTERO PARA DS-KV8103-IMPE2 O DS-KIS703-P VIDEOPORT</v>
      </c>
      <c r="C866" s="4" t="str">
        <f>IFERROR(__xludf.DUMMYFUNCTION("""COMPUTED_VALUE"""),"Protector de videoportero para DS-KV8103-IMPE2 o DS-KIS703-P videoportero de 2 hilos, acero galvanizado.")</f>
        <v>Protector de videoportero para DS-KV8103-IMPE2 o DS-KIS703-P videoportero de 2 hilos, acero galvanizado.</v>
      </c>
      <c r="D866" s="4" t="str">
        <f>IFERROR(__xludf.DUMMYFUNCTION("""COMPUTED_VALUE"""),"HIKVISION")</f>
        <v>HIKVISION</v>
      </c>
      <c r="E866" s="4" t="str">
        <f>IFERROR(__xludf.DUMMYFUNCTION("""COMPUTED_VALUE"""),"DS-KAB8103-IMEX")</f>
        <v>DS-KAB8103-IMEX</v>
      </c>
      <c r="F866" s="4" t="str">
        <f>IFERROR(__xludf.DUMMYFUNCTION("""COMPUTED_VALUE"""),"PORTEROS / VIDEOPORTEROS &gt; VIDEO PORTEROS IP")</f>
        <v>PORTEROS / VIDEOPORTEROS &gt; VIDEO PORTEROS IP</v>
      </c>
      <c r="G866" s="5"/>
      <c r="H866" s="6">
        <f>IFERROR(__xludf.DUMMYFUNCTION("""COMPUTED_VALUE"""),37.4)</f>
        <v>37.4</v>
      </c>
      <c r="I866" s="7">
        <f>IFERROR(__xludf.DUMMYFUNCTION("""COMPUTED_VALUE"""),21.0)</f>
        <v>21</v>
      </c>
      <c r="J866" s="6">
        <f>IFERROR(__xludf.DUMMYFUNCTION("""COMPUTED_VALUE"""),44.88)</f>
        <v>44.88</v>
      </c>
      <c r="K866" s="6">
        <f>IFERROR(__xludf.DUMMYFUNCTION("""COMPUTED_VALUE"""),52.36)</f>
        <v>52.36</v>
      </c>
      <c r="L866" s="3"/>
      <c r="M866" s="3"/>
    </row>
    <row r="867" ht="48.0" customHeight="1">
      <c r="A867" s="3" t="str">
        <f>IFERROR(__xludf.DUMMYFUNCTION("""COMPUTED_VALUE"""),"DS-KD9203-E6")</f>
        <v>DS-KD9203-E6</v>
      </c>
      <c r="B867" s="4" t="str">
        <f>IFERROR(__xludf.DUMMYFUNCTION("""COMPUTED_VALUE"""),"VIDEOPORTERO IP")</f>
        <v>VIDEOPORTERO IP</v>
      </c>
      <c r="C867" s="4" t="str">
        <f>IFERROR(__xludf.DUMMYFUNCTION("""COMPUTED_VALUE"""),"Videoportero IP. Frente de edificios con reconocimiento facial. Apertura por rostro, tarjeta o App HikConnect (llamada a App a través del uso de pantallas de interior). Cámara 1080p con WDR y 120° de apertura, amplio campo de visión. Reconocimiento Facial"&amp;" con Inteligencia Artificial Deep Learning. Interfaz Web. Nivel de Protección IP65. Pantalla de 4.3"". TCP/IP. Audio bidireccional. Capacidad de 5,000 rostros y 25,000 tarjetas. Hasta 500 departamentos. Control de 2 puertas (2 salidas de relay). Reconocim"&amp;"iento Facial a una distancia de hasta 2 metros y en 0,5 segundos. Alimentación 12 Vcd (No incluida).")</f>
        <v>Videoportero IP. Frente de edificios con reconocimiento facial. Apertura por rostro, tarjeta o App HikConnect (llamada a App a través del uso de pantallas de interior). Cámara 1080p con WDR y 120° de apertura, amplio campo de visión. Reconocimiento Facial con Inteligencia Artificial Deep Learning. Interfaz Web. Nivel de Protección IP65. Pantalla de 4.3". TCP/IP. Audio bidireccional. Capacidad de 5,000 rostros y 25,000 tarjetas. Hasta 500 departamentos. Control de 2 puertas (2 salidas de relay). Reconocimiento Facial a una distancia de hasta 2 metros y en 0,5 segundos. Alimentación 12 Vcd (No incluida).</v>
      </c>
      <c r="D867" s="4" t="str">
        <f>IFERROR(__xludf.DUMMYFUNCTION("""COMPUTED_VALUE"""),"HIKVISION")</f>
        <v>HIKVISION</v>
      </c>
      <c r="E867" s="4" t="str">
        <f>IFERROR(__xludf.DUMMYFUNCTION("""COMPUTED_VALUE"""),"DS-KD9203-E6")</f>
        <v>DS-KD9203-E6</v>
      </c>
      <c r="F867" s="4" t="str">
        <f>IFERROR(__xludf.DUMMYFUNCTION("""COMPUTED_VALUE"""),"PORTEROS / VIDEOPORTEROS &gt; VIDEO PORTEROS IP")</f>
        <v>PORTEROS / VIDEOPORTEROS &gt; VIDEO PORTEROS IP</v>
      </c>
      <c r="G867" s="5"/>
      <c r="H867" s="6">
        <f>IFERROR(__xludf.DUMMYFUNCTION("""COMPUTED_VALUE"""),662.2)</f>
        <v>662.2</v>
      </c>
      <c r="I867" s="7">
        <f>IFERROR(__xludf.DUMMYFUNCTION("""COMPUTED_VALUE"""),21.0)</f>
        <v>21</v>
      </c>
      <c r="J867" s="6">
        <f>IFERROR(__xludf.DUMMYFUNCTION("""COMPUTED_VALUE"""),794.64)</f>
        <v>794.64</v>
      </c>
      <c r="K867" s="6">
        <f>IFERROR(__xludf.DUMMYFUNCTION("""COMPUTED_VALUE"""),927.08)</f>
        <v>927.08</v>
      </c>
      <c r="L867" s="3"/>
      <c r="M867" s="3"/>
    </row>
    <row r="868" ht="48.0" customHeight="1">
      <c r="A868" s="3" t="str">
        <f>IFERROR(__xludf.DUMMYFUNCTION("""COMPUTED_VALUE"""),"DS-KD9203-FE6")</f>
        <v>DS-KD9203-FE6</v>
      </c>
      <c r="B868" s="4" t="str">
        <f>IFERROR(__xludf.DUMMYFUNCTION("""COMPUTED_VALUE"""),"VIDEOPORTERO IP")</f>
        <v>VIDEOPORTERO IP</v>
      </c>
      <c r="C868" s="4" t="str">
        <f>IFERROR(__xludf.DUMMYFUNCTION("""COMPUTED_VALUE"""),"Videoportero IP. Frente de edificios con reconocimiento facial y huellas Apertura por rostro, tarjeta o App HikConnect (llamada a App a través del uso de pantallas de interior). Cámara 1080p con WDR y 120° de apertura, amplio campo de visión. Reconocimien"&amp;"to Facial con Inteligencia Artificial Deep Learning. Interfaz Web. Nivel de Protección IP65. Pantalla de 4.3"". TCP/IP. Audio bidireccional. Capacidad de 5,000 rostros y 25,000 tarjetas. Hasta 500 departamentos. Control de 2 puertas (2 salidas de relay). "&amp;"Reconocimiento Facial a una distancia de hasta 2 metros y en 0,5 segundos. Alimentación 12 Vcd (No incluida).")</f>
        <v>Videoportero IP. Frente de edificios con reconocimiento facial y huellas Apertura por rostro, tarjeta o App HikConnect (llamada a App a través del uso de pantallas de interior). Cámara 1080p con WDR y 120° de apertura, amplio campo de visión. Reconocimiento Facial con Inteligencia Artificial Deep Learning. Interfaz Web. Nivel de Protección IP65. Pantalla de 4.3". TCP/IP. Audio bidireccional. Capacidad de 5,000 rostros y 25,000 tarjetas. Hasta 500 departamentos. Control de 2 puertas (2 salidas de relay). Reconocimiento Facial a una distancia de hasta 2 metros y en 0,5 segundos. Alimentación 12 Vcd (No incluida).</v>
      </c>
      <c r="D868" s="4" t="str">
        <f>IFERROR(__xludf.DUMMYFUNCTION("""COMPUTED_VALUE"""),"HIKVISION")</f>
        <v>HIKVISION</v>
      </c>
      <c r="E868" s="4" t="str">
        <f>IFERROR(__xludf.DUMMYFUNCTION("""COMPUTED_VALUE"""),"DS-KD9203-FE6")</f>
        <v>DS-KD9203-FE6</v>
      </c>
      <c r="F868" s="4" t="str">
        <f>IFERROR(__xludf.DUMMYFUNCTION("""COMPUTED_VALUE"""),"PORTEROS / VIDEOPORTEROS &gt; VIDEO PORTEROS IP")</f>
        <v>PORTEROS / VIDEOPORTEROS &gt; VIDEO PORTEROS IP</v>
      </c>
      <c r="G868" s="5"/>
      <c r="H868" s="6">
        <f>IFERROR(__xludf.DUMMYFUNCTION("""COMPUTED_VALUE"""),751.3)</f>
        <v>751.3</v>
      </c>
      <c r="I868" s="7">
        <f>IFERROR(__xludf.DUMMYFUNCTION("""COMPUTED_VALUE"""),21.0)</f>
        <v>21</v>
      </c>
      <c r="J868" s="6">
        <f>IFERROR(__xludf.DUMMYFUNCTION("""COMPUTED_VALUE"""),901.56)</f>
        <v>901.56</v>
      </c>
      <c r="K868" s="6">
        <f>IFERROR(__xludf.DUMMYFUNCTION("""COMPUTED_VALUE"""),1051.82)</f>
        <v>1051.82</v>
      </c>
      <c r="L868" s="3"/>
      <c r="M868" s="3"/>
    </row>
    <row r="869" ht="48.0" customHeight="1">
      <c r="A869" s="3" t="str">
        <f>IFERROR(__xludf.DUMMYFUNCTION("""COMPUTED_VALUE"""),"DS-KD9403-E6")</f>
        <v>DS-KD9403-E6</v>
      </c>
      <c r="B869" s="4" t="str">
        <f>IFERROR(__xludf.DUMMYFUNCTION("""COMPUTED_VALUE"""),"FACIAL RECOGNITION DOOR STATION INTUITIVE OPERATION FOR A BETTER")</f>
        <v>FACIAL RECOGNITION DOOR STATION INTUITIVE OPERATION FOR A BETTER</v>
      </c>
      <c r="C869" s="4" t="str">
        <f>IFERROR(__xludf.DUMMYFUNCTION("""COMPUTED_VALUE"""),"Facial Recognition Door station Intuitive operation for a better user experience 8-inch colorful LCD screen with 1280 × 880 resolution Built-in Android system Touch screen UI, WEB Great image quality even in darkness See clearly with the 2MP camera Multip"&amp;"le intelligent authentications: Card, PIN code, QR code, fingerprint &amp; face recognition High level of protection: IP65")</f>
        <v>Facial Recognition Door station Intuitive operation for a better user experience 8-inch colorful LCD screen with 1280 × 880 resolution Built-in Android system Touch screen UI, WEB Great image quality even in darkness See clearly with the 2MP camera Multiple intelligent authentications: Card, PIN code, QR code, fingerprint &amp; face recognition High level of protection: IP65</v>
      </c>
      <c r="D869" s="4" t="str">
        <f>IFERROR(__xludf.DUMMYFUNCTION("""COMPUTED_VALUE"""),"HIKVISION")</f>
        <v>HIKVISION</v>
      </c>
      <c r="E869" s="4" t="str">
        <f>IFERROR(__xludf.DUMMYFUNCTION("""COMPUTED_VALUE"""),"DS-KD9403-E6")</f>
        <v>DS-KD9403-E6</v>
      </c>
      <c r="F869" s="4" t="str">
        <f>IFERROR(__xludf.DUMMYFUNCTION("""COMPUTED_VALUE"""),"PORTEROS / VIDEOPORTEROS &gt; VIDEO PORTEROS IP")</f>
        <v>PORTEROS / VIDEOPORTEROS &gt; VIDEO PORTEROS IP</v>
      </c>
      <c r="G869" s="5"/>
      <c r="H869" s="6">
        <f>IFERROR(__xludf.DUMMYFUNCTION("""COMPUTED_VALUE"""),1211.1)</f>
        <v>1211.1</v>
      </c>
      <c r="I869" s="7">
        <f>IFERROR(__xludf.DUMMYFUNCTION("""COMPUTED_VALUE"""),21.0)</f>
        <v>21</v>
      </c>
      <c r="J869" s="6">
        <f>IFERROR(__xludf.DUMMYFUNCTION("""COMPUTED_VALUE"""),1453.32)</f>
        <v>1453.32</v>
      </c>
      <c r="K869" s="6">
        <f>IFERROR(__xludf.DUMMYFUNCTION("""COMPUTED_VALUE"""),1695.54)</f>
        <v>1695.54</v>
      </c>
      <c r="L869" s="3"/>
      <c r="M869" s="3"/>
    </row>
    <row r="870" ht="48.0" customHeight="1">
      <c r="A870" s="3" t="str">
        <f>IFERROR(__xludf.DUMMYFUNCTION("""COMPUTED_VALUE"""),"DS-KDM9403-KP")</f>
        <v>DS-KDM9403-KP</v>
      </c>
      <c r="B870" s="4" t="str">
        <f>IFERROR(__xludf.DUMMYFUNCTION("""COMPUTED_VALUE"""),"KEYPAD MODULE OF KD9403 KEYPAD MODULE FOR KD9403 SERIES")</f>
        <v>KEYPAD MODULE OF KD9403 KEYPAD MODULE FOR KD9403 SERIES</v>
      </c>
      <c r="C870" s="4" t="str">
        <f>IFERROR(__xludf.DUMMYFUNCTION("""COMPUTED_VALUE"""),"Keypad module of KD9403 Keypad module for KD9403 series door station Backlight compensation behind the keypad IP65 protection level Easy to use and extend")</f>
        <v>Keypad module of KD9403 Keypad module for KD9403 series door station Backlight compensation behind the keypad IP65 protection level Easy to use and extend</v>
      </c>
      <c r="D870" s="4" t="str">
        <f>IFERROR(__xludf.DUMMYFUNCTION("""COMPUTED_VALUE"""),"HIKVISION")</f>
        <v>HIKVISION</v>
      </c>
      <c r="E870" s="4" t="str">
        <f>IFERROR(__xludf.DUMMYFUNCTION("""COMPUTED_VALUE"""),"DS-KDM9403-KP")</f>
        <v>DS-KDM9403-KP</v>
      </c>
      <c r="F870" s="4" t="str">
        <f>IFERROR(__xludf.DUMMYFUNCTION("""COMPUTED_VALUE"""),"PORTEROS / VIDEOPORTEROS &gt; VIDEO PORTEROS IP")</f>
        <v>PORTEROS / VIDEOPORTEROS &gt; VIDEO PORTEROS IP</v>
      </c>
      <c r="G870" s="5"/>
      <c r="H870" s="6">
        <f>IFERROR(__xludf.DUMMYFUNCTION("""COMPUTED_VALUE"""),150.7)</f>
        <v>150.7</v>
      </c>
      <c r="I870" s="7">
        <f>IFERROR(__xludf.DUMMYFUNCTION("""COMPUTED_VALUE"""),21.0)</f>
        <v>21</v>
      </c>
      <c r="J870" s="6">
        <f>IFERROR(__xludf.DUMMYFUNCTION("""COMPUTED_VALUE"""),180.84)</f>
        <v>180.84</v>
      </c>
      <c r="K870" s="6">
        <f>IFERROR(__xludf.DUMMYFUNCTION("""COMPUTED_VALUE"""),210.98)</f>
        <v>210.98</v>
      </c>
      <c r="L870" s="3"/>
      <c r="M870" s="3"/>
    </row>
    <row r="871" ht="48.0" customHeight="1">
      <c r="A871" s="3" t="str">
        <f>IFERROR(__xludf.DUMMYFUNCTION("""COMPUTED_VALUE"""),"DS-KV9503-WBE1")</f>
        <v>DS-KV9503-WBE1</v>
      </c>
      <c r="B871" s="4" t="str">
        <f>IFERROR(__xludf.DUMMYFUNCTION("""COMPUTED_VALUE"""),"ESTACIÓN DE PUERTA DE VILLA IP")</f>
        <v>ESTACIÓN DE PUERTA DE VILLA IP</v>
      </c>
      <c r="C871" s="4" t="str">
        <f>IFERROR(__xludf.DUMMYFUNCTION("""COMPUTED_VALUE"""),"Estación de Puerta de Villa IP. Reconocimiento Facial. Pantalla LCD Colorida de 4,3 Pulgadas. Nivel deProtección Superior IK08 e IP65 Múltiples Métodos de Autenticación: Rostro, Código PIN, Tarjeta, Código QR. Resolución de 800 × 480 Conexiom directa con "&amp;"Hik-Connect APP")</f>
        <v>Estación de Puerta de Villa IP. Reconocimiento Facial. Pantalla LCD Colorida de 4,3 Pulgadas. Nivel deProtección Superior IK08 e IP65 Múltiples Métodos de Autenticación: Rostro, Código PIN, Tarjeta, Código QR. Resolución de 800 × 480 Conexiom directa con Hik-Connect APP</v>
      </c>
      <c r="D871" s="4" t="str">
        <f>IFERROR(__xludf.DUMMYFUNCTION("""COMPUTED_VALUE"""),"HIKVISION")</f>
        <v>HIKVISION</v>
      </c>
      <c r="E871" s="4" t="str">
        <f>IFERROR(__xludf.DUMMYFUNCTION("""COMPUTED_VALUE"""),"DS-KV9503-WBE1")</f>
        <v>DS-KV9503-WBE1</v>
      </c>
      <c r="F871" s="4" t="str">
        <f>IFERROR(__xludf.DUMMYFUNCTION("""COMPUTED_VALUE"""),"PORTEROS / VIDEOPORTEROS &gt; VIDEO PORTEROS IP")</f>
        <v>PORTEROS / VIDEOPORTEROS &gt; VIDEO PORTEROS IP</v>
      </c>
      <c r="G871" s="5"/>
      <c r="H871" s="6">
        <f>IFERROR(__xludf.DUMMYFUNCTION("""COMPUTED_VALUE"""),423.5)</f>
        <v>423.5</v>
      </c>
      <c r="I871" s="7">
        <f>IFERROR(__xludf.DUMMYFUNCTION("""COMPUTED_VALUE"""),21.0)</f>
        <v>21</v>
      </c>
      <c r="J871" s="6">
        <f>IFERROR(__xludf.DUMMYFUNCTION("""COMPUTED_VALUE"""),508.2)</f>
        <v>508.2</v>
      </c>
      <c r="K871" s="6">
        <f>IFERROR(__xludf.DUMMYFUNCTION("""COMPUTED_VALUE"""),592.9)</f>
        <v>592.9</v>
      </c>
      <c r="L871" s="3"/>
      <c r="M871" s="3"/>
    </row>
    <row r="872" ht="48.0" customHeight="1">
      <c r="A872" s="3" t="str">
        <f>IFERROR(__xludf.DUMMYFUNCTION("""COMPUTED_VALUE"""),"DS-KH6000-E1")</f>
        <v>DS-KH6000-E1</v>
      </c>
      <c r="B872" s="4" t="str">
        <f>IFERROR(__xludf.DUMMYFUNCTION("""COMPUTED_VALUE"""),"KH6 SERIES IP")</f>
        <v>KH6 SERIES IP</v>
      </c>
      <c r="C872" s="4" t="str">
        <f>IFERROR(__xludf.DUMMYFUNCTION("""COMPUTED_VALUE"""),"KH6 Series IP. Estación interior IP sin pantalla, solo audio. Alimentación PoE estándar sin adaptador de corriente adicional posee 4 botones táctiles personalizados. No posee llamada a Hik-Connect")</f>
        <v>KH6 Series IP. Estación interior IP sin pantalla, solo audio. Alimentación PoE estándar sin adaptador de corriente adicional posee 4 botones táctiles personalizados. No posee llamada a Hik-Connect</v>
      </c>
      <c r="D872" s="4" t="str">
        <f>IFERROR(__xludf.DUMMYFUNCTION("""COMPUTED_VALUE"""),"HIKVISION")</f>
        <v>HIKVISION</v>
      </c>
      <c r="E872" s="4" t="str">
        <f>IFERROR(__xludf.DUMMYFUNCTION("""COMPUTED_VALUE"""),"DS-KH6000-E1")</f>
        <v>DS-KH6000-E1</v>
      </c>
      <c r="F872" s="4" t="str">
        <f>IFERROR(__xludf.DUMMYFUNCTION("""COMPUTED_VALUE"""),"PORTEROS / VIDEOPORTEROS &gt; VIDEO PORTEROS IP")</f>
        <v>PORTEROS / VIDEOPORTEROS &gt; VIDEO PORTEROS IP</v>
      </c>
      <c r="G872" s="5"/>
      <c r="H872" s="6">
        <f>IFERROR(__xludf.DUMMYFUNCTION("""COMPUTED_VALUE"""),74.8)</f>
        <v>74.8</v>
      </c>
      <c r="I872" s="7">
        <f>IFERROR(__xludf.DUMMYFUNCTION("""COMPUTED_VALUE"""),21.0)</f>
        <v>21</v>
      </c>
      <c r="J872" s="6">
        <f>IFERROR(__xludf.DUMMYFUNCTION("""COMPUTED_VALUE"""),89.76)</f>
        <v>89.76</v>
      </c>
      <c r="K872" s="6">
        <f>IFERROR(__xludf.DUMMYFUNCTION("""COMPUTED_VALUE"""),104.72)</f>
        <v>104.72</v>
      </c>
      <c r="L872" s="3"/>
      <c r="M872" s="3"/>
    </row>
    <row r="873" ht="48.0" customHeight="1">
      <c r="A873" s="3" t="str">
        <f>IFERROR(__xludf.DUMMYFUNCTION("""COMPUTED_VALUE"""),"DS-KH6110-WE1")</f>
        <v>DS-KH6110-WE1</v>
      </c>
      <c r="B873" s="4" t="str">
        <f>IFERROR(__xludf.DUMMYFUNCTION("""COMPUTED_VALUE"""),"KH6 SERIES IP ESTACIÓN INTERIOR BASADA EN IP")</f>
        <v>KH6 SERIES IP ESTACIÓN INTERIOR BASADA EN IP</v>
      </c>
      <c r="C873" s="4" t="str">
        <f>IFERROR(__xludf.DUMMYFUNCTION("""COMPUTED_VALUE"""),"KH6 Series IP Estación interior basada en IP. Pantalla táctil a color de 4,3 pulgadas con resolución de 480 × 272. Fuente de alimentación PoE estándar sin adaptador de corriente adicional. Posee conexion a Hik-Connect Visualiza videos en vivo de estacione"&amp;"s de puerta y cámaras vinculadas. Posee 4 botones táctiles personalizados Diseño conveniente disponible para el montaje en superficie de la estación de puerta de 2 cables DS-KV8103-IMPE2 o DS-KIS703-P")</f>
        <v>KH6 Series IP Estación interior basada en IP. Pantalla táctil a color de 4,3 pulgadas con resolución de 480 × 272. Fuente de alimentación PoE estándar sin adaptador de corriente adicional. Posee conexion a Hik-Connect Visualiza videos en vivo de estaciones de puerta y cámaras vinculadas. Posee 4 botones táctiles personalizados Diseño conveniente disponible para el montaje en superficie de la estación de puerta de 2 cables DS-KV8103-IMPE2 o DS-KIS703-P</v>
      </c>
      <c r="D873" s="4" t="str">
        <f>IFERROR(__xludf.DUMMYFUNCTION("""COMPUTED_VALUE"""),"HIKVISION")</f>
        <v>HIKVISION</v>
      </c>
      <c r="E873" s="4" t="str">
        <f>IFERROR(__xludf.DUMMYFUNCTION("""COMPUTED_VALUE"""),"DS-KH6110-WE1")</f>
        <v>DS-KH6110-WE1</v>
      </c>
      <c r="F873" s="4" t="str">
        <f>IFERROR(__xludf.DUMMYFUNCTION("""COMPUTED_VALUE"""),"PORTEROS / VIDEOPORTEROS &gt; VIDEO PORTEROS IP")</f>
        <v>PORTEROS / VIDEOPORTEROS &gt; VIDEO PORTEROS IP</v>
      </c>
      <c r="G873" s="5"/>
      <c r="H873" s="6">
        <f>IFERROR(__xludf.DUMMYFUNCTION("""COMPUTED_VALUE"""),139.7)</f>
        <v>139.7</v>
      </c>
      <c r="I873" s="7">
        <f>IFERROR(__xludf.DUMMYFUNCTION("""COMPUTED_VALUE"""),21.0)</f>
        <v>21</v>
      </c>
      <c r="J873" s="6">
        <f>IFERROR(__xludf.DUMMYFUNCTION("""COMPUTED_VALUE"""),167.64)</f>
        <v>167.64</v>
      </c>
      <c r="K873" s="6">
        <f>IFERROR(__xludf.DUMMYFUNCTION("""COMPUTED_VALUE"""),195.58)</f>
        <v>195.58</v>
      </c>
      <c r="L873" s="3"/>
      <c r="M873" s="3"/>
    </row>
    <row r="874" ht="48.0" customHeight="1">
      <c r="A874" s="3" t="str">
        <f>IFERROR(__xludf.DUMMYFUNCTION("""COMPUTED_VALUE"""),"DSKH6220LE1")</f>
        <v>DSKH6220LE1</v>
      </c>
      <c r="B874" s="4" t="str">
        <f>IFERROR(__xludf.DUMMYFUNCTION("""COMPUTED_VALUE"""),"MONITOR 7 PULGADAS IP LITE (NO TOUCH) PARA VIDEOPORTERO")</f>
        <v>MONITOR 7 PULGADAS IP LITE (NO TOUCH) PARA VIDEOPORTERO</v>
      </c>
      <c r="C874" s="4" t="str">
        <f>IFERROR(__xludf.DUMMYFUNCTION("""COMPUTED_VALUE"""),"Monitor 7 pulgadas IP Lite (No touch) para Videoportero IP / Apertura Remota y Video en Vivo / PoE Estándar / Principal o Esclavo No posee llamada a Hik-Connect")</f>
        <v>Monitor 7 pulgadas IP Lite (No touch) para Videoportero IP / Apertura Remota y Video en Vivo / PoE Estándar / Principal o Esclavo No posee llamada a Hik-Connect</v>
      </c>
      <c r="D874" s="4" t="str">
        <f>IFERROR(__xludf.DUMMYFUNCTION("""COMPUTED_VALUE"""),"HIKVISION")</f>
        <v>HIKVISION</v>
      </c>
      <c r="E874" s="4" t="str">
        <f>IFERROR(__xludf.DUMMYFUNCTION("""COMPUTED_VALUE"""),"DSKH6220LE1")</f>
        <v>DSKH6220LE1</v>
      </c>
      <c r="F874" s="4" t="str">
        <f>IFERROR(__xludf.DUMMYFUNCTION("""COMPUTED_VALUE"""),"PORTEROS / VIDEOPORTEROS &gt; VIDEO PORTEROS IP")</f>
        <v>PORTEROS / VIDEOPORTEROS &gt; VIDEO PORTEROS IP</v>
      </c>
      <c r="G874" s="5"/>
      <c r="H874" s="6">
        <f>IFERROR(__xludf.DUMMYFUNCTION("""COMPUTED_VALUE"""),123.2)</f>
        <v>123.2</v>
      </c>
      <c r="I874" s="7">
        <f>IFERROR(__xludf.DUMMYFUNCTION("""COMPUTED_VALUE"""),21.0)</f>
        <v>21</v>
      </c>
      <c r="J874" s="6">
        <f>IFERROR(__xludf.DUMMYFUNCTION("""COMPUTED_VALUE"""),147.84)</f>
        <v>147.84</v>
      </c>
      <c r="K874" s="6">
        <f>IFERROR(__xludf.DUMMYFUNCTION("""COMPUTED_VALUE"""),172.48)</f>
        <v>172.48</v>
      </c>
      <c r="L874" s="3"/>
      <c r="M874" s="3"/>
    </row>
    <row r="875" ht="48.0" customHeight="1">
      <c r="A875" s="3" t="str">
        <f>IFERROR(__xludf.DUMMYFUNCTION("""COMPUTED_VALUE"""),"DS-KH6320-LE1(B)")</f>
        <v>DS-KH6320-LE1(B)</v>
      </c>
      <c r="B875" s="4" t="str">
        <f>IFERROR(__xludf.DUMMYFUNCTION("""COMPUTED_VALUE"""),"KH6 SERIES IP-BASED INDOOR STATION USER FRIENDLY DESIGN 7-INCH")</f>
        <v>KH6 SERIES IP-BASED INDOOR STATION USER FRIENDLY DESIGN 7-INCH</v>
      </c>
      <c r="C875" s="4" t="str">
        <f>IFERROR(__xludf.DUMMYFUNCTION("""COMPUTED_VALUE"""),"KH6 Series IP-Based Indoor Station User friendly design 7-inch colorful touch screen with resolution 1024 × 600 Standard PoE Views live video of door stations and linked cameras. No posee llamada a Hik-Connect")</f>
        <v>KH6 Series IP-Based Indoor Station User friendly design 7-inch colorful touch screen with resolution 1024 × 600 Standard PoE Views live video of door stations and linked cameras. No posee llamada a Hik-Connect</v>
      </c>
      <c r="D875" s="4" t="str">
        <f>IFERROR(__xludf.DUMMYFUNCTION("""COMPUTED_VALUE"""),"HIKVISION")</f>
        <v>HIKVISION</v>
      </c>
      <c r="E875" s="4" t="str">
        <f>IFERROR(__xludf.DUMMYFUNCTION("""COMPUTED_VALUE"""),"DS-KH6320-LE1(B)")</f>
        <v>DS-KH6320-LE1(B)</v>
      </c>
      <c r="F875" s="4" t="str">
        <f>IFERROR(__xludf.DUMMYFUNCTION("""COMPUTED_VALUE"""),"PORTEROS / VIDEOPORTEROS &gt; VIDEO PORTEROS IP")</f>
        <v>PORTEROS / VIDEOPORTEROS &gt; VIDEO PORTEROS IP</v>
      </c>
      <c r="G875" s="5"/>
      <c r="H875" s="6">
        <f>IFERROR(__xludf.DUMMYFUNCTION("""COMPUTED_VALUE"""),121.0)</f>
        <v>121</v>
      </c>
      <c r="I875" s="7">
        <f>IFERROR(__xludf.DUMMYFUNCTION("""COMPUTED_VALUE"""),21.0)</f>
        <v>21</v>
      </c>
      <c r="J875" s="6">
        <f>IFERROR(__xludf.DUMMYFUNCTION("""COMPUTED_VALUE"""),145.2)</f>
        <v>145.2</v>
      </c>
      <c r="K875" s="6">
        <f>IFERROR(__xludf.DUMMYFUNCTION("""COMPUTED_VALUE"""),169.4)</f>
        <v>169.4</v>
      </c>
      <c r="L875" s="3"/>
      <c r="M875" s="3"/>
    </row>
    <row r="876" ht="48.0" customHeight="1">
      <c r="A876" s="3" t="str">
        <f>IFERROR(__xludf.DUMMYFUNCTION("""COMPUTED_VALUE"""),"DS-KH6320-TE1")</f>
        <v>DS-KH6320-TE1</v>
      </c>
      <c r="B876" s="4" t="str">
        <f>IFERROR(__xludf.DUMMYFUNCTION("""COMPUTED_VALUE"""),"MONITOR IP TOUCH SCREEN 7 PULGADAS PARA VIDEOPORTERO IP")</f>
        <v>MONITOR IP TOUCH SCREEN 7 PULGADAS PARA VIDEOPORTERO IP</v>
      </c>
      <c r="C876" s="4" t="str">
        <f>IFERROR(__xludf.DUMMYFUNCTION("""COMPUTED_VALUE"""),"Monitor IP Touch Screen 7 pulgadas para Videoportero IP Modular / Vídeo en Vivo / PoE Estándar / Apertura Remota / Llamada Entre Monitores / Audio de dos vías / Policarbonato / 10/100Mbps Ethernet PoE/ 12 VDC. TF card, max 32G 8-ch alarm input")</f>
        <v>Monitor IP Touch Screen 7 pulgadas para Videoportero IP Modular / Vídeo en Vivo / PoE Estándar / Apertura Remota / Llamada Entre Monitores / Audio de dos vías / Policarbonato / 10/100Mbps Ethernet PoE/ 12 VDC. TF card, max 32G 8-ch alarm input</v>
      </c>
      <c r="D876" s="4" t="str">
        <f>IFERROR(__xludf.DUMMYFUNCTION("""COMPUTED_VALUE"""),"HIKVISION")</f>
        <v>HIKVISION</v>
      </c>
      <c r="E876" s="4" t="str">
        <f>IFERROR(__xludf.DUMMYFUNCTION("""COMPUTED_VALUE"""),"DS-KH6320-TE1")</f>
        <v>DS-KH6320-TE1</v>
      </c>
      <c r="F876" s="4" t="str">
        <f>IFERROR(__xludf.DUMMYFUNCTION("""COMPUTED_VALUE"""),"PORTEROS / VIDEOPORTEROS &gt; VIDEO PORTEROS IP")</f>
        <v>PORTEROS / VIDEOPORTEROS &gt; VIDEO PORTEROS IP</v>
      </c>
      <c r="G876" s="5"/>
      <c r="H876" s="6">
        <f>IFERROR(__xludf.DUMMYFUNCTION("""COMPUTED_VALUE"""),189.2)</f>
        <v>189.2</v>
      </c>
      <c r="I876" s="7">
        <f>IFERROR(__xludf.DUMMYFUNCTION("""COMPUTED_VALUE"""),21.0)</f>
        <v>21</v>
      </c>
      <c r="J876" s="6">
        <f>IFERROR(__xludf.DUMMYFUNCTION("""COMPUTED_VALUE"""),227.04)</f>
        <v>227.04</v>
      </c>
      <c r="K876" s="6">
        <f>IFERROR(__xludf.DUMMYFUNCTION("""COMPUTED_VALUE"""),264.88)</f>
        <v>264.88</v>
      </c>
      <c r="L876" s="3"/>
      <c r="M876" s="3"/>
    </row>
    <row r="877" ht="48.0" customHeight="1">
      <c r="A877" s="3" t="str">
        <f>IFERROR(__xludf.DUMMYFUNCTION("""COMPUTED_VALUE"""),"DS-KH6320-WTE1")</f>
        <v>DS-KH6320-WTE1</v>
      </c>
      <c r="B877" s="4" t="str">
        <f>IFERROR(__xludf.DUMMYFUNCTION("""COMPUTED_VALUE"""),"MONITOR IP WIFI TOUCH SCREEN 7"" PARA VIDEOPORTERO IP")</f>
        <v>MONITOR IP WIFI TOUCH SCREEN 7" PARA VIDEOPORTERO IP</v>
      </c>
      <c r="C877" s="4" t="str">
        <f>IFERROR(__xludf.DUMMYFUNCTION("""COMPUTED_VALUE"""),"Monitor IP WiFi Touch Screen 7"" para Videoportero IP / Vídeo en Vivo / PoE Estándar / Apertura Remota / Llamada Entre Monitores / Audio de dos vías")</f>
        <v>Monitor IP WiFi Touch Screen 7" para Videoportero IP / Vídeo en Vivo / PoE Estándar / Apertura Remota / Llamada Entre Monitores / Audio de dos vías</v>
      </c>
      <c r="D877" s="4" t="str">
        <f>IFERROR(__xludf.DUMMYFUNCTION("""COMPUTED_VALUE"""),"HIKVISION")</f>
        <v>HIKVISION</v>
      </c>
      <c r="E877" s="4" t="str">
        <f>IFERROR(__xludf.DUMMYFUNCTION("""COMPUTED_VALUE"""),"DS-KH6320-WTE1")</f>
        <v>DS-KH6320-WTE1</v>
      </c>
      <c r="F877" s="4" t="str">
        <f>IFERROR(__xludf.DUMMYFUNCTION("""COMPUTED_VALUE"""),"PORTEROS / VIDEOPORTEROS &gt; VIDEO PORTEROS IP")</f>
        <v>PORTEROS / VIDEOPORTEROS &gt; VIDEO PORTEROS IP</v>
      </c>
      <c r="G877" s="5"/>
      <c r="H877" s="6">
        <f>IFERROR(__xludf.DUMMYFUNCTION("""COMPUTED_VALUE"""),201.3)</f>
        <v>201.3</v>
      </c>
      <c r="I877" s="7">
        <f>IFERROR(__xludf.DUMMYFUNCTION("""COMPUTED_VALUE"""),21.0)</f>
        <v>21</v>
      </c>
      <c r="J877" s="6">
        <f>IFERROR(__xludf.DUMMYFUNCTION("""COMPUTED_VALUE"""),241.56)</f>
        <v>241.56</v>
      </c>
      <c r="K877" s="6">
        <f>IFERROR(__xludf.DUMMYFUNCTION("""COMPUTED_VALUE"""),281.82)</f>
        <v>281.82</v>
      </c>
      <c r="L877" s="3"/>
      <c r="M877" s="3"/>
    </row>
    <row r="878" ht="48.0" customHeight="1">
      <c r="A878" s="3" t="str">
        <f>IFERROR(__xludf.DUMMYFUNCTION("""COMPUTED_VALUE"""),"DS-KH6320-WTDE1")</f>
        <v>DS-KH6320-WTDE1</v>
      </c>
      <c r="B878" s="4" t="str">
        <f>IFERROR(__xludf.DUMMYFUNCTION("""COMPUTED_VALUE"""),"KH6 SERIES IP-BASED INDOOR STATION 7-INCH TFT TOUCH SCREEN")</f>
        <v>KH6 SERIES IP-BASED INDOOR STATION 7-INCH TFT TOUCH SCREEN</v>
      </c>
      <c r="C878" s="4" t="str">
        <f>IFERROR(__xludf.DUMMYFUNCTION("""COMPUTED_VALUE"""),"KH6 Series IP-Based Indoor Station 7-inch TFT touch screen with 1024 × 600 resolution. Wi-Fi Convenient Hik-Connect APP Mobile Control Receive calls, open the door and live view remotely Easy to use without PC Easy wizard for quick set up Configure the wh"&amp;"ole system on one touch screen Live view of the door station and cameras in public areas Support voice messages when no response from the indoor station Receive alarms by linkage with a alarm system and notify the center to handle in time Elevator access "&amp;"control")</f>
        <v>KH6 Series IP-Based Indoor Station 7-inch TFT touch screen with 1024 × 600 resolution. Wi-Fi Convenient Hik-Connect APP Mobile Control Receive calls, open the door and live view remotely Easy to use without PC Easy wizard for quick set up Configure the whole system on one touch screen Live view of the door station and cameras in public areas Support voice messages when no response from the indoor station Receive alarms by linkage with a alarm system and notify the center to handle in time Elevator access control</v>
      </c>
      <c r="D878" s="4" t="str">
        <f>IFERROR(__xludf.DUMMYFUNCTION("""COMPUTED_VALUE"""),"HIKVISION")</f>
        <v>HIKVISION</v>
      </c>
      <c r="E878" s="4" t="str">
        <f>IFERROR(__xludf.DUMMYFUNCTION("""COMPUTED_VALUE"""),"DS-KH6320-WTDE1")</f>
        <v>DS-KH6320-WTDE1</v>
      </c>
      <c r="F878" s="4" t="str">
        <f>IFERROR(__xludf.DUMMYFUNCTION("""COMPUTED_VALUE"""),"PORTEROS / VIDEOPORTEROS &gt; VIDEO PORTEROS IP")</f>
        <v>PORTEROS / VIDEOPORTEROS &gt; VIDEO PORTEROS IP</v>
      </c>
      <c r="G878" s="5"/>
      <c r="H878" s="6">
        <f>IFERROR(__xludf.DUMMYFUNCTION("""COMPUTED_VALUE"""),201.3)</f>
        <v>201.3</v>
      </c>
      <c r="I878" s="7">
        <f>IFERROR(__xludf.DUMMYFUNCTION("""COMPUTED_VALUE"""),21.0)</f>
        <v>21</v>
      </c>
      <c r="J878" s="6">
        <f>IFERROR(__xludf.DUMMYFUNCTION("""COMPUTED_VALUE"""),241.56)</f>
        <v>241.56</v>
      </c>
      <c r="K878" s="6">
        <f>IFERROR(__xludf.DUMMYFUNCTION("""COMPUTED_VALUE"""),281.82)</f>
        <v>281.82</v>
      </c>
      <c r="L878" s="3"/>
      <c r="M878" s="3"/>
    </row>
    <row r="879" ht="48.0" customHeight="1">
      <c r="A879" s="3" t="str">
        <f>IFERROR(__xludf.DUMMYFUNCTION("""COMPUTED_VALUE"""),"DSKH9310WTE1")</f>
        <v>DSKH9310WTE1</v>
      </c>
      <c r="B879" s="4" t="str">
        <f>IFERROR(__xludf.DUMMYFUNCTION("""COMPUTED_VALUE"""),"PANTALLA ANDROID INDOOR STATION 7 PULGADAS COLORFUL TOUCH SCREEN")</f>
        <v>PANTALLA ANDROID INDOOR STATION 7 PULGADAS COLORFUL TOUCH SCREEN</v>
      </c>
      <c r="C879" s="4" t="str">
        <f>IFERROR(__xludf.DUMMYFUNCTION("""COMPUTED_VALUE"""),"Pantalla Android Indoor Station 7 pulgadas colorful touch screen with resolution 1024 × 600 Supports Wi-Fi Android app installation Open platform for the third-party software integration. Video intercom &amp; live view on mobile phone all-day. Built-in Hik-Co"&amp;"nnect for all-in-one management. Wireless intrusion panel for on-site management Receives 7 seconds of video verification from alarm systems")</f>
        <v>Pantalla Android Indoor Station 7 pulgadas colorful touch screen with resolution 1024 × 600 Supports Wi-Fi Android app installation Open platform for the third-party software integration. Video intercom &amp; live view on mobile phone all-day. Built-in Hik-Connect for all-in-one management. Wireless intrusion panel for on-site management Receives 7 seconds of video verification from alarm systems</v>
      </c>
      <c r="D879" s="4" t="str">
        <f>IFERROR(__xludf.DUMMYFUNCTION("""COMPUTED_VALUE"""),"HIKVISION")</f>
        <v>HIKVISION</v>
      </c>
      <c r="E879" s="4" t="str">
        <f>IFERROR(__xludf.DUMMYFUNCTION("""COMPUTED_VALUE"""),"DSKH9310WTE1")</f>
        <v>DSKH9310WTE1</v>
      </c>
      <c r="F879" s="4" t="str">
        <f>IFERROR(__xludf.DUMMYFUNCTION("""COMPUTED_VALUE"""),"PORTEROS / VIDEOPORTEROS &gt; VIDEO PORTEROS IP")</f>
        <v>PORTEROS / VIDEOPORTEROS &gt; VIDEO PORTEROS IP</v>
      </c>
      <c r="G879" s="5"/>
      <c r="H879" s="6">
        <f>IFERROR(__xludf.DUMMYFUNCTION("""COMPUTED_VALUE"""),433.4)</f>
        <v>433.4</v>
      </c>
      <c r="I879" s="7">
        <f>IFERROR(__xludf.DUMMYFUNCTION("""COMPUTED_VALUE"""),21.0)</f>
        <v>21</v>
      </c>
      <c r="J879" s="6">
        <f>IFERROR(__xludf.DUMMYFUNCTION("""COMPUTED_VALUE"""),520.08)</f>
        <v>520.08</v>
      </c>
      <c r="K879" s="6">
        <f>IFERROR(__xludf.DUMMYFUNCTION("""COMPUTED_VALUE"""),606.76)</f>
        <v>606.76</v>
      </c>
      <c r="L879" s="3"/>
      <c r="M879" s="3"/>
    </row>
    <row r="880" ht="48.0" customHeight="1">
      <c r="A880" s="3" t="str">
        <f>IFERROR(__xludf.DUMMYFUNCTION("""COMPUTED_VALUE"""),"DS-KH9310-WTE1(B)")</f>
        <v>DS-KH9310-WTE1(B)</v>
      </c>
      <c r="B880" s="4" t="str">
        <f>IFERROR(__xludf.DUMMYFUNCTION("""COMPUTED_VALUE"""),"PANTALLA ANDROID MONTAJE INTERIOR 7-INCH COLORFUL TOUCH SCREEN WITH")</f>
        <v>PANTALLA ANDROID MONTAJE INTERIOR 7-INCH COLORFUL TOUCH SCREEN WITH</v>
      </c>
      <c r="C880" s="4" t="str">
        <f>IFERROR(__xludf.DUMMYFUNCTION("""COMPUTED_VALUE"""),"Pantalla Android montaje interior 7-inch colorful touch screen with 1024 × 600 resolution. Wi-Fi Built-in Android System Supports Android APP installation Support for three-party software integration Built-in Hik-Connect APP For all-in-one management of H"&amp;"ikvision’s devices on tablet.")</f>
        <v>Pantalla Android montaje interior 7-inch colorful touch screen with 1024 × 600 resolution. Wi-Fi Built-in Android System Supports Android APP installation Support for three-party software integration Built-in Hik-Connect APP For all-in-one management of Hikvision’s devices on tablet.</v>
      </c>
      <c r="D880" s="4" t="str">
        <f>IFERROR(__xludf.DUMMYFUNCTION("""COMPUTED_VALUE"""),"HIKVISION")</f>
        <v>HIKVISION</v>
      </c>
      <c r="E880" s="4" t="str">
        <f>IFERROR(__xludf.DUMMYFUNCTION("""COMPUTED_VALUE"""),"DS-KH9310-WTE1(B)")</f>
        <v>DS-KH9310-WTE1(B)</v>
      </c>
      <c r="F880" s="4" t="str">
        <f>IFERROR(__xludf.DUMMYFUNCTION("""COMPUTED_VALUE"""),"PORTEROS / VIDEOPORTEROS &gt; VIDEO PORTEROS IP")</f>
        <v>PORTEROS / VIDEOPORTEROS &gt; VIDEO PORTEROS IP</v>
      </c>
      <c r="G880" s="5"/>
      <c r="H880" s="6">
        <f>IFERROR(__xludf.DUMMYFUNCTION("""COMPUTED_VALUE"""),433.4)</f>
        <v>433.4</v>
      </c>
      <c r="I880" s="7">
        <f>IFERROR(__xludf.DUMMYFUNCTION("""COMPUTED_VALUE"""),21.0)</f>
        <v>21</v>
      </c>
      <c r="J880" s="6">
        <f>IFERROR(__xludf.DUMMYFUNCTION("""COMPUTED_VALUE"""),520.08)</f>
        <v>520.08</v>
      </c>
      <c r="K880" s="6">
        <f>IFERROR(__xludf.DUMMYFUNCTION("""COMPUTED_VALUE"""),606.76)</f>
        <v>606.76</v>
      </c>
      <c r="L880" s="3"/>
      <c r="M880" s="3"/>
    </row>
    <row r="881" ht="48.0" customHeight="1">
      <c r="A881" s="3" t="str">
        <f>IFERROR(__xludf.DUMMYFUNCTION("""COMPUTED_VALUE"""),"DS-KH9510-WTE1(B)")</f>
        <v>DS-KH9510-WTE1(B)</v>
      </c>
      <c r="B881" s="4" t="str">
        <f>IFERROR(__xludf.DUMMYFUNCTION("""COMPUTED_VALUE"""),"PANTALLA ANDROID INDOOR STATION 10")</f>
        <v>PANTALLA ANDROID INDOOR STATION 10</v>
      </c>
      <c r="C881" s="4" t="str">
        <f>IFERROR(__xludf.DUMMYFUNCTION("""COMPUTED_VALUE"""),"Pantalla Android Indoor Station 10.1 pulgadas colorful touch screen with resolution 1024 × 600 Wi-Fi Supports Android app installation Open platform for the third-party software integration Video intercom &amp; live view on mobile phone all-day Built-in Hik-C"&amp;"onnect for all-in-one management")</f>
        <v>Pantalla Android Indoor Station 10.1 pulgadas colorful touch screen with resolution 1024 × 600 Wi-Fi Supports Android app installation Open platform for the third-party software integration Video intercom &amp; live view on mobile phone all-day Built-in Hik-Connect for all-in-one management</v>
      </c>
      <c r="D881" s="4" t="str">
        <f>IFERROR(__xludf.DUMMYFUNCTION("""COMPUTED_VALUE"""),"HIKVISION")</f>
        <v>HIKVISION</v>
      </c>
      <c r="E881" s="4" t="str">
        <f>IFERROR(__xludf.DUMMYFUNCTION("""COMPUTED_VALUE"""),"DS-KH9510-WTE1(B)")</f>
        <v>DS-KH9510-WTE1(B)</v>
      </c>
      <c r="F881" s="4" t="str">
        <f>IFERROR(__xludf.DUMMYFUNCTION("""COMPUTED_VALUE"""),"PORTEROS / VIDEOPORTEROS &gt; VIDEO PORTEROS IP")</f>
        <v>PORTEROS / VIDEOPORTEROS &gt; VIDEO PORTEROS IP</v>
      </c>
      <c r="G881" s="5"/>
      <c r="H881" s="6">
        <f>IFERROR(__xludf.DUMMYFUNCTION("""COMPUTED_VALUE"""),528.0)</f>
        <v>528</v>
      </c>
      <c r="I881" s="7">
        <f>IFERROR(__xludf.DUMMYFUNCTION("""COMPUTED_VALUE"""),21.0)</f>
        <v>21</v>
      </c>
      <c r="J881" s="6">
        <f>IFERROR(__xludf.DUMMYFUNCTION("""COMPUTED_VALUE"""),633.6)</f>
        <v>633.6</v>
      </c>
      <c r="K881" s="6">
        <f>IFERROR(__xludf.DUMMYFUNCTION("""COMPUTED_VALUE"""),739.2)</f>
        <v>739.2</v>
      </c>
      <c r="L881" s="3"/>
      <c r="M881" s="3"/>
    </row>
    <row r="882" ht="48.0" customHeight="1">
      <c r="A882" s="3" t="str">
        <f>IFERROR(__xludf.DUMMYFUNCTION("""COMPUTED_VALUE"""),"DS-KP8200-HE1")</f>
        <v>DS-KP8200-HE1</v>
      </c>
      <c r="B882" s="4" t="str">
        <f>IFERROR(__xludf.DUMMYFUNCTION("""COMPUTED_VALUE"""),"SIP PHONE HD AUDIO ON SPEAKERPHONE AND HANDSET 10 DSS KEYS ON THE 4")</f>
        <v>SIP PHONE HD AUDIO ON SPEAKERPHONE AND HANDSET 10 DSS KEYS ON THE 4</v>
      </c>
      <c r="C882" s="4" t="str">
        <f>IFERROR(__xludf.DUMMYFUNCTION("""COMPUTED_VALUE"""),"SIP Phone HD audio on speakerphone and handset 10 DSS keys on the 4.3-inch colorful display screen Hardware Video decoding (H.264, 1080P) Dual gigabit ethernet ports, standard PoE power supply Compatible with major platforms: Asterisk, Broadsoft, 3CX, Met"&amp;"aswitch, Elastix, Avaya etc.")</f>
        <v>SIP Phone HD audio on speakerphone and handset 10 DSS keys on the 4.3-inch colorful display screen Hardware Video decoding (H.264, 1080P) Dual gigabit ethernet ports, standard PoE power supply Compatible with major platforms: Asterisk, Broadsoft, 3CX, Metaswitch, Elastix, Avaya etc.</v>
      </c>
      <c r="D882" s="4" t="str">
        <f>IFERROR(__xludf.DUMMYFUNCTION("""COMPUTED_VALUE"""),"HIKVISION")</f>
        <v>HIKVISION</v>
      </c>
      <c r="E882" s="4" t="str">
        <f>IFERROR(__xludf.DUMMYFUNCTION("""COMPUTED_VALUE"""),"DS-KP8200-HE1")</f>
        <v>DS-KP8200-HE1</v>
      </c>
      <c r="F882" s="4" t="str">
        <f>IFERROR(__xludf.DUMMYFUNCTION("""COMPUTED_VALUE"""),"CONECTIVIDAD &gt; SWITCH POE")</f>
        <v>CONECTIVIDAD &gt; SWITCH POE</v>
      </c>
      <c r="G882" s="5"/>
      <c r="H882" s="6">
        <f>IFERROR(__xludf.DUMMYFUNCTION("""COMPUTED_VALUE"""),378.4)</f>
        <v>378.4</v>
      </c>
      <c r="I882" s="7">
        <f>IFERROR(__xludf.DUMMYFUNCTION("""COMPUTED_VALUE"""),21.0)</f>
        <v>21</v>
      </c>
      <c r="J882" s="6">
        <f>IFERROR(__xludf.DUMMYFUNCTION("""COMPUTED_VALUE"""),454.08)</f>
        <v>454.08</v>
      </c>
      <c r="K882" s="6">
        <f>IFERROR(__xludf.DUMMYFUNCTION("""COMPUTED_VALUE"""),529.76)</f>
        <v>529.76</v>
      </c>
      <c r="L882" s="3"/>
      <c r="M882" s="3"/>
    </row>
    <row r="883" ht="48.0" customHeight="1">
      <c r="A883" s="3" t="str">
        <f>IFERROR(__xludf.DUMMYFUNCTION("""COMPUTED_VALUE"""),"DS-KP8000-HE1")</f>
        <v>DS-KP8000-HE1</v>
      </c>
      <c r="B883" s="4" t="str">
        <f>IFERROR(__xludf.DUMMYFUNCTION("""COMPUTED_VALUE"""),"SIP PHONE HD AUDIO ON SPEAKERPHONE AND HANDSET 3 DSS KEYS ON THE 2")</f>
        <v>SIP PHONE HD AUDIO ON SPEAKERPHONE AND HANDSET 3 DSS KEYS ON THE 2</v>
      </c>
      <c r="C883" s="4" t="str">
        <f>IFERROR(__xludf.DUMMYFUNCTION("""COMPUTED_VALUE"""),"SIP Phone HD audio on speakerphone and handset 3 DSS keys on the 2.8”colorful display screen Hardware video decoding (H.264, 1080P) Dual 10M/100M Ethernet ports, standard PoE power supply Compatible with major platforms: Asterisk, Broadsoft, 3CX, Metaswit"&amp;"ch, Elastix, Avaya etc.")</f>
        <v>SIP Phone HD audio on speakerphone and handset 3 DSS keys on the 2.8”colorful display screen Hardware video decoding (H.264, 1080P) Dual 10M/100M Ethernet ports, standard PoE power supply Compatible with major platforms: Asterisk, Broadsoft, 3CX, Metaswitch, Elastix, Avaya etc.</v>
      </c>
      <c r="D883" s="4" t="str">
        <f>IFERROR(__xludf.DUMMYFUNCTION("""COMPUTED_VALUE"""),"HIKVISION")</f>
        <v>HIKVISION</v>
      </c>
      <c r="E883" s="4" t="str">
        <f>IFERROR(__xludf.DUMMYFUNCTION("""COMPUTED_VALUE"""),"DS-KP8000-HE1")</f>
        <v>DS-KP8000-HE1</v>
      </c>
      <c r="F883" s="4" t="str">
        <f>IFERROR(__xludf.DUMMYFUNCTION("""COMPUTED_VALUE"""),"CONECTIVIDAD &gt; SWITCH POE")</f>
        <v>CONECTIVIDAD &gt; SWITCH POE</v>
      </c>
      <c r="G883" s="5"/>
      <c r="H883" s="6">
        <f>IFERROR(__xludf.DUMMYFUNCTION("""COMPUTED_VALUE"""),189.2)</f>
        <v>189.2</v>
      </c>
      <c r="I883" s="7">
        <f>IFERROR(__xludf.DUMMYFUNCTION("""COMPUTED_VALUE"""),21.0)</f>
        <v>21</v>
      </c>
      <c r="J883" s="6">
        <f>IFERROR(__xludf.DUMMYFUNCTION("""COMPUTED_VALUE"""),227.04)</f>
        <v>227.04</v>
      </c>
      <c r="K883" s="6">
        <f>IFERROR(__xludf.DUMMYFUNCTION("""COMPUTED_VALUE"""),264.88)</f>
        <v>264.88</v>
      </c>
      <c r="L883" s="3"/>
      <c r="M883" s="3"/>
    </row>
    <row r="884" ht="48.0" customHeight="1">
      <c r="A884" s="3" t="str">
        <f>IFERROR(__xludf.DUMMYFUNCTION("""COMPUTED_VALUE"""),"DS-KM9503")</f>
        <v>DS-KM9503</v>
      </c>
      <c r="B884" s="4" t="str">
        <f>IFERROR(__xludf.DUMMYFUNCTION("""COMPUTED_VALUE"""),"ESTACIÓN MAESTRA PARA MULTI-APARTAMENTOS IP10 INCH TOUCH ANDROID IP")</f>
        <v>ESTACIÓN MAESTRA PARA MULTI-APARTAMENTOS IP10 INCH TOUCH ANDROID IP</v>
      </c>
      <c r="C884" s="4" t="str">
        <f>IFERROR(__xludf.DUMMYFUNCTION("""COMPUTED_VALUE"""),"Estación Maestra para Multi-Apartamentos IP10 inch Touch Android IP Main Station 10.1-inch IPS touch screen with 1280 × 800 resolution Built-in SIP private server, up to 10,000 video intercom devices accessesUp to 128 network cameras can be added to the d"&amp;"evice Supports more than 2 speakers and microphones: Connects to external earphone (3.5 mm), external goose neck microphone Displays operation pages via HDMI Supports standard PoE &amp; 12 VDC power supply Video intercom and access control functions: Call wai"&amp;"ting, call priority configuration, call across buildings, call forwarding (call forward when no answer, call forward when busy, call forwarding schedule, one-touch call forwarding), IPC fowarding，Multi-party intercom")</f>
        <v>Estación Maestra para Multi-Apartamentos IP10 inch Touch Android IP Main Station 10.1-inch IPS touch screen with 1280 × 800 resolution Built-in SIP private server, up to 10,000 video intercom devices accessesUp to 128 network cameras can be added to the device Supports more than 2 speakers and microphones: Connects to external earphone (3.5 mm), external goose neck microphone Displays operation pages via HDMI Supports standard PoE &amp; 12 VDC power supply Video intercom and access control functions: Call waiting, call priority configuration, call across buildings, call forwarding (call forward when no answer, call forward when busy, call forwarding schedule, one-touch call forwarding), IPC fowarding，Multi-party intercom</v>
      </c>
      <c r="D884" s="4" t="str">
        <f>IFERROR(__xludf.DUMMYFUNCTION("""COMPUTED_VALUE"""),"HIKVISION")</f>
        <v>HIKVISION</v>
      </c>
      <c r="E884" s="4" t="str">
        <f>IFERROR(__xludf.DUMMYFUNCTION("""COMPUTED_VALUE"""),"DS-KM9503")</f>
        <v>DS-KM9503</v>
      </c>
      <c r="F884" s="4" t="str">
        <f>IFERROR(__xludf.DUMMYFUNCTION("""COMPUTED_VALUE"""),"PORTEROS / VIDEOPORTEROS &gt; VIDEO PORTEROS IP")</f>
        <v>PORTEROS / VIDEOPORTEROS &gt; VIDEO PORTEROS IP</v>
      </c>
      <c r="G884" s="5"/>
      <c r="H884" s="6">
        <f>IFERROR(__xludf.DUMMYFUNCTION("""COMPUTED_VALUE"""),1553.2)</f>
        <v>1553.2</v>
      </c>
      <c r="I884" s="7">
        <f>IFERROR(__xludf.DUMMYFUNCTION("""COMPUTED_VALUE"""),21.0)</f>
        <v>21</v>
      </c>
      <c r="J884" s="6">
        <f>IFERROR(__xludf.DUMMYFUNCTION("""COMPUTED_VALUE"""),1863.84)</f>
        <v>1863.84</v>
      </c>
      <c r="K884" s="6">
        <f>IFERROR(__xludf.DUMMYFUNCTION("""COMPUTED_VALUE"""),2174.48)</f>
        <v>2174.48</v>
      </c>
      <c r="L884" s="3"/>
      <c r="M884" s="3"/>
    </row>
    <row r="885" ht="48.0" customHeight="1">
      <c r="A885" s="3" t="str">
        <f>IFERROR(__xludf.DUMMYFUNCTION("""COMPUTED_VALUE"""),"DSKM8301")</f>
        <v>DSKM8301</v>
      </c>
      <c r="B885" s="4" t="str">
        <f>IFERROR(__xludf.DUMMYFUNCTION("""COMPUTED_VALUE"""),"ESTACIÓN MAESTRA PARA MULTI-APARTAMENTOS IP / PANTALLA TÁCTIL /")</f>
        <v>ESTACIÓN MAESTRA PARA MULTI-APARTAMENTOS IP / PANTALLA TÁCTIL /</v>
      </c>
      <c r="C885" s="4" t="str">
        <f>IFERROR(__xludf.DUMMYFUNCTION("""COMPUTED_VALUE"""),"Estación Maestra para Multi-Apartamentos IP / Pantalla Táctil / Apertura Remota de Puertas / Envía las Llamadas a los Monitores IP CMOS 0.3 MP, 7 pulgadas Colorful TFT LCD, capacitive Touch Screen and display resolution 1024 × 600, Touch Key, Physical But"&amp;"ton, 1 RJ-45 10/100/1000 Mbps Self-Adaptive Ethernet Interface, 2 RS-485 Half-Duplex Port, 1 USB Interface for Inserting U-Disk, 2 On-Off Output, 2 Relay Output, 4 On-Off Input, 12 VDC")</f>
        <v>Estación Maestra para Multi-Apartamentos IP / Pantalla Táctil / Apertura Remota de Puertas / Envía las Llamadas a los Monitores IP CMOS 0.3 MP, 7 pulgadas Colorful TFT LCD, capacitive Touch Screen and display resolution 1024 × 600, Touch Key, Physical Button, 1 RJ-45 10/100/1000 Mbps Self-Adaptive Ethernet Interface, 2 RS-485 Half-Duplex Port, 1 USB Interface for Inserting U-Disk, 2 On-Off Output, 2 Relay Output, 4 On-Off Input, 12 VDC</v>
      </c>
      <c r="D885" s="4" t="str">
        <f>IFERROR(__xludf.DUMMYFUNCTION("""COMPUTED_VALUE"""),"HIKVISION")</f>
        <v>HIKVISION</v>
      </c>
      <c r="E885" s="4" t="str">
        <f>IFERROR(__xludf.DUMMYFUNCTION("""COMPUTED_VALUE"""),"DSKM8301")</f>
        <v>DSKM8301</v>
      </c>
      <c r="F885" s="4" t="str">
        <f>IFERROR(__xludf.DUMMYFUNCTION("""COMPUTED_VALUE"""),"PORTEROS / VIDEOPORTEROS &gt; VIDEO PORTEROS IP")</f>
        <v>PORTEROS / VIDEOPORTEROS &gt; VIDEO PORTEROS IP</v>
      </c>
      <c r="G885" s="5"/>
      <c r="H885" s="6">
        <f>IFERROR(__xludf.DUMMYFUNCTION("""COMPUTED_VALUE"""),1202.3)</f>
        <v>1202.3</v>
      </c>
      <c r="I885" s="7">
        <f>IFERROR(__xludf.DUMMYFUNCTION("""COMPUTED_VALUE"""),21.0)</f>
        <v>21</v>
      </c>
      <c r="J885" s="6">
        <f>IFERROR(__xludf.DUMMYFUNCTION("""COMPUTED_VALUE"""),1442.76)</f>
        <v>1442.76</v>
      </c>
      <c r="K885" s="6">
        <f>IFERROR(__xludf.DUMMYFUNCTION("""COMPUTED_VALUE"""),1683.22)</f>
        <v>1683.22</v>
      </c>
      <c r="L885" s="3"/>
      <c r="M885" s="3"/>
    </row>
    <row r="886" ht="48.0" customHeight="1">
      <c r="A886" s="3" t="str">
        <f>IFERROR(__xludf.DUMMYFUNCTION("""COMPUTED_VALUE"""),"DS-KABH6320-T")</f>
        <v>DS-KABH6320-T</v>
      </c>
      <c r="B886" s="4" t="str">
        <f>IFERROR(__xludf.DUMMYFUNCTION("""COMPUTED_VALUE"""),"SOPORTE DE PANTALLA PARA SERIES KH6320/8520")</f>
        <v>SOPORTE DE PANTALLA PARA SERIES KH6320/8520</v>
      </c>
      <c r="C886" s="4" t="str">
        <f>IFERROR(__xludf.DUMMYFUNCTION("""COMPUTED_VALUE"""),"Soporte de pantalla para series KH6320/8520")</f>
        <v>Soporte de pantalla para series KH6320/8520</v>
      </c>
      <c r="D886" s="4" t="str">
        <f>IFERROR(__xludf.DUMMYFUNCTION("""COMPUTED_VALUE"""),"HIKVISION")</f>
        <v>HIKVISION</v>
      </c>
      <c r="E886" s="4" t="str">
        <f>IFERROR(__xludf.DUMMYFUNCTION("""COMPUTED_VALUE"""),"DS-KABH6320-T")</f>
        <v>DS-KABH6320-T</v>
      </c>
      <c r="F886" s="4" t="str">
        <f>IFERROR(__xludf.DUMMYFUNCTION("""COMPUTED_VALUE"""),"PORTEROS / VIDEOPORTEROS &gt; VIDEO PORTEROS IP")</f>
        <v>PORTEROS / VIDEOPORTEROS &gt; VIDEO PORTEROS IP</v>
      </c>
      <c r="G886" s="5"/>
      <c r="H886" s="6">
        <f>IFERROR(__xludf.DUMMYFUNCTION("""COMPUTED_VALUE"""),28.27)</f>
        <v>28.27</v>
      </c>
      <c r="I886" s="7">
        <f>IFERROR(__xludf.DUMMYFUNCTION("""COMPUTED_VALUE"""),21.0)</f>
        <v>21</v>
      </c>
      <c r="J886" s="6">
        <f>IFERROR(__xludf.DUMMYFUNCTION("""COMPUTED_VALUE"""),33.92)</f>
        <v>33.92</v>
      </c>
      <c r="K886" s="6">
        <f>IFERROR(__xludf.DUMMYFUNCTION("""COMPUTED_VALUE"""),39.58)</f>
        <v>39.58</v>
      </c>
      <c r="L886" s="3"/>
      <c r="M886" s="3"/>
    </row>
    <row r="887" ht="48.0" customHeight="1">
      <c r="A887" s="3" t="str">
        <f>IFERROR(__xludf.DUMMYFUNCTION("""COMPUTED_VALUE"""),"DS-KABH9510-T")</f>
        <v>DS-KABH9510-T</v>
      </c>
      <c r="B887" s="4" t="str">
        <f>IFERROR(__xludf.DUMMYFUNCTION("""COMPUTED_VALUE"""),"SOPORTE DE PANTALLA PARA SERIES KH9310/9510")</f>
        <v>SOPORTE DE PANTALLA PARA SERIES KH9310/9510</v>
      </c>
      <c r="C887" s="4" t="str">
        <f>IFERROR(__xludf.DUMMYFUNCTION("""COMPUTED_VALUE"""),"Soporte de pantalla para series KH9310/9510")</f>
        <v>Soporte de pantalla para series KH9310/9510</v>
      </c>
      <c r="D887" s="4" t="str">
        <f>IFERROR(__xludf.DUMMYFUNCTION("""COMPUTED_VALUE"""),"HIKVISION")</f>
        <v>HIKVISION</v>
      </c>
      <c r="E887" s="4" t="str">
        <f>IFERROR(__xludf.DUMMYFUNCTION("""COMPUTED_VALUE"""),"DS-KABH9510-T")</f>
        <v>DS-KABH9510-T</v>
      </c>
      <c r="F887" s="4" t="str">
        <f>IFERROR(__xludf.DUMMYFUNCTION("""COMPUTED_VALUE"""),"PORTEROS / VIDEOPORTEROS &gt; VIDEO PORTEROS IP")</f>
        <v>PORTEROS / VIDEOPORTEROS &gt; VIDEO PORTEROS IP</v>
      </c>
      <c r="G887" s="5"/>
      <c r="H887" s="6">
        <f>IFERROR(__xludf.DUMMYFUNCTION("""COMPUTED_VALUE"""),28.27)</f>
        <v>28.27</v>
      </c>
      <c r="I887" s="7">
        <f>IFERROR(__xludf.DUMMYFUNCTION("""COMPUTED_VALUE"""),21.0)</f>
        <v>21</v>
      </c>
      <c r="J887" s="6">
        <f>IFERROR(__xludf.DUMMYFUNCTION("""COMPUTED_VALUE"""),33.92)</f>
        <v>33.92</v>
      </c>
      <c r="K887" s="6">
        <f>IFERROR(__xludf.DUMMYFUNCTION("""COMPUTED_VALUE"""),39.58)</f>
        <v>39.58</v>
      </c>
      <c r="L887" s="3"/>
      <c r="M887" s="3"/>
    </row>
    <row r="888" ht="48.0" customHeight="1">
      <c r="A888" s="3" t="str">
        <f>IFERROR(__xludf.DUMMYFUNCTION("""COMPUTED_VALUE"""),"DS-KA01-ZX-15")</f>
        <v>DS-KA01-ZX-15</v>
      </c>
      <c r="B888" s="4" t="str">
        <f>IFERROR(__xludf.DUMMYFUNCTION("""COMPUTED_VALUE"""),"KIT DE DEMOSTRACIÓN VIDEOPORTERO IP")</f>
        <v>KIT DE DEMOSTRACIÓN VIDEOPORTERO IP</v>
      </c>
      <c r="C888" s="4" t="str">
        <f>IFERROR(__xludf.DUMMYFUNCTION("""COMPUTED_VALUE"""),"Kit de demostración videoportero IP")</f>
        <v>Kit de demostración videoportero IP</v>
      </c>
      <c r="D888" s="4" t="str">
        <f>IFERROR(__xludf.DUMMYFUNCTION("""COMPUTED_VALUE"""),"HIKVISION")</f>
        <v>HIKVISION</v>
      </c>
      <c r="E888" s="4" t="str">
        <f>IFERROR(__xludf.DUMMYFUNCTION("""COMPUTED_VALUE"""),"DS-KA01-ZX-15")</f>
        <v>DS-KA01-ZX-15</v>
      </c>
      <c r="F888" s="4" t="str">
        <f>IFERROR(__xludf.DUMMYFUNCTION("""COMPUTED_VALUE"""),"PORTEROS / VIDEOPORTEROS &gt; VIDEO PORTEROS IP")</f>
        <v>PORTEROS / VIDEOPORTEROS &gt; VIDEO PORTEROS IP</v>
      </c>
      <c r="G888" s="5"/>
      <c r="H888" s="6">
        <f>IFERROR(__xludf.DUMMYFUNCTION("""COMPUTED_VALUE"""),3180.1)</f>
        <v>3180.1</v>
      </c>
      <c r="I888" s="7">
        <f>IFERROR(__xludf.DUMMYFUNCTION("""COMPUTED_VALUE"""),21.0)</f>
        <v>21</v>
      </c>
      <c r="J888" s="6">
        <f>IFERROR(__xludf.DUMMYFUNCTION("""COMPUTED_VALUE"""),3816.12)</f>
        <v>3816.12</v>
      </c>
      <c r="K888" s="6">
        <f>IFERROR(__xludf.DUMMYFUNCTION("""COMPUTED_VALUE"""),4452.14)</f>
        <v>4452.14</v>
      </c>
      <c r="L888" s="3"/>
      <c r="M888" s="3"/>
    </row>
    <row r="889" ht="48.0" customHeight="1">
      <c r="A889" s="3" t="str">
        <f>IFERROR(__xludf.DUMMYFUNCTION("""COMPUTED_VALUE"""),"DS-KA01-ZX-16")</f>
        <v>DS-KA01-ZX-16</v>
      </c>
      <c r="B889" s="4" t="str">
        <f>IFERROR(__xludf.DUMMYFUNCTION("""COMPUTED_VALUE"""),"KIT DE DEMOSTRACIÓN VIDEOPORTERO IP")</f>
        <v>KIT DE DEMOSTRACIÓN VIDEOPORTERO IP</v>
      </c>
      <c r="C889" s="4" t="str">
        <f>IFERROR(__xludf.DUMMYFUNCTION("""COMPUTED_VALUE"""),"Kit de demostración videoportero IP")</f>
        <v>Kit de demostración videoportero IP</v>
      </c>
      <c r="D889" s="4" t="str">
        <f>IFERROR(__xludf.DUMMYFUNCTION("""COMPUTED_VALUE"""),"HIKVISION")</f>
        <v>HIKVISION</v>
      </c>
      <c r="E889" s="4" t="str">
        <f>IFERROR(__xludf.DUMMYFUNCTION("""COMPUTED_VALUE"""),"DS-KA01-ZX-16")</f>
        <v>DS-KA01-ZX-16</v>
      </c>
      <c r="F889" s="4" t="str">
        <f>IFERROR(__xludf.DUMMYFUNCTION("""COMPUTED_VALUE"""),"PORTEROS / VIDEOPORTEROS &gt; VIDEO PORTEROS IP")</f>
        <v>PORTEROS / VIDEOPORTEROS &gt; VIDEO PORTEROS IP</v>
      </c>
      <c r="G889" s="5"/>
      <c r="H889" s="6">
        <f>IFERROR(__xludf.DUMMYFUNCTION("""COMPUTED_VALUE"""),908.6)</f>
        <v>908.6</v>
      </c>
      <c r="I889" s="7">
        <f>IFERROR(__xludf.DUMMYFUNCTION("""COMPUTED_VALUE"""),21.0)</f>
        <v>21</v>
      </c>
      <c r="J889" s="6">
        <f>IFERROR(__xludf.DUMMYFUNCTION("""COMPUTED_VALUE"""),1090.32)</f>
        <v>1090.32</v>
      </c>
      <c r="K889" s="6">
        <f>IFERROR(__xludf.DUMMYFUNCTION("""COMPUTED_VALUE"""),1272.04)</f>
        <v>1272.04</v>
      </c>
      <c r="L889" s="3"/>
      <c r="M889" s="3"/>
    </row>
    <row r="890" ht="48.0" customHeight="1">
      <c r="A890" s="3" t="str">
        <f>IFERROR(__xludf.DUMMYFUNCTION("""COMPUTED_VALUE"""),"DSKD8003IME2")</f>
        <v>DSKD8003IME2</v>
      </c>
      <c r="B890" s="4" t="str">
        <f>IFERROR(__xludf.DUMMYFUNCTION("""COMPUTED_VALUE"""),"TWO-WIRE VERSION: CMOS 2MP HD COLORFUL CAMERA, FISH EYE")</f>
        <v>TWO-WIRE VERSION: CMOS 2MP HD COLORFUL CAMERA, FISH EYE</v>
      </c>
      <c r="C890" s="4" t="str">
        <f>IFERROR(__xludf.DUMMYFUNCTION("""COMPUTED_VALUE"""),"Two-wire version: CMOS 2MP HD Colorful Camera, Fish eye (Horizontal: 180°, Vertical:96° ), 1 Call Button, 2-ch Indoor station access IR Supplement , 10M/100M Self-adaptive Ethernet, module connection with RS-485, 4-ch alarm input IP65, Two -wire interface"&amp;", 98mm x99.8 mm x 43.9mm Mouting accessories and other modules are same as IP version of modular door station.")</f>
        <v>Two-wire version: CMOS 2MP HD Colorful Camera, Fish eye (Horizontal: 180°, Vertical:96° ), 1 Call Button, 2-ch Indoor station access IR Supplement , 10M/100M Self-adaptive Ethernet, module connection with RS-485, 4-ch alarm input IP65, Two -wire interface, 98mm x99.8 mm x 43.9mm Mouting accessories and other modules are same as IP version of modular door station.</v>
      </c>
      <c r="D890" s="4" t="str">
        <f>IFERROR(__xludf.DUMMYFUNCTION("""COMPUTED_VALUE"""),"HIKVISION")</f>
        <v>HIKVISION</v>
      </c>
      <c r="E890" s="4" t="str">
        <f>IFERROR(__xludf.DUMMYFUNCTION("""COMPUTED_VALUE"""),"DSKD8003IME2")</f>
        <v>DSKD8003IME2</v>
      </c>
      <c r="F890" s="4" t="str">
        <f>IFERROR(__xludf.DUMMYFUNCTION("""COMPUTED_VALUE"""),"PORTEROS / VIDEOPORTEROS &gt; VIDEO PORTEROS IP 2 HILOS")</f>
        <v>PORTEROS / VIDEOPORTEROS &gt; VIDEO PORTEROS IP 2 HILOS</v>
      </c>
      <c r="G890" s="5"/>
      <c r="H890" s="6">
        <f>IFERROR(__xludf.DUMMYFUNCTION("""COMPUTED_VALUE"""),192.5)</f>
        <v>192.5</v>
      </c>
      <c r="I890" s="7">
        <f>IFERROR(__xludf.DUMMYFUNCTION("""COMPUTED_VALUE"""),21.0)</f>
        <v>21</v>
      </c>
      <c r="J890" s="6">
        <f>IFERROR(__xludf.DUMMYFUNCTION("""COMPUTED_VALUE"""),231.0)</f>
        <v>231</v>
      </c>
      <c r="K890" s="6">
        <f>IFERROR(__xludf.DUMMYFUNCTION("""COMPUTED_VALUE"""),269.5)</f>
        <v>269.5</v>
      </c>
      <c r="L890" s="3"/>
      <c r="M890" s="3"/>
    </row>
    <row r="891" ht="48.0" customHeight="1">
      <c r="A891" s="3" t="str">
        <f>IFERROR(__xludf.DUMMYFUNCTION("""COMPUTED_VALUE"""),"DSKH6320WTE2")</f>
        <v>DSKH6320WTE2</v>
      </c>
      <c r="B891" s="4" t="str">
        <f>IFERROR(__xludf.DUMMYFUNCTION("""COMPUTED_VALUE"""),"MONITOR TWO-WIRE VERSION: 7 PULGADAS TOUCH-SCREEN INDOOR STATION, 7-IN")</f>
        <v>MONITOR TWO-WIRE VERSION: 7 PULGADAS TOUCH-SCREEN INDOOR STATION, 7-IN</v>
      </c>
      <c r="C891" s="4" t="str">
        <f>IFERROR(__xludf.DUMMYFUNCTION("""COMPUTED_VALUE"""),"Monitor Two-wire version: 7 pulgadas Touch-Screen Indoor Station, 7-inch Colorful TFT LCD, display resolution: 1024 * 600; 10/100Mbps Ethernet, Wi-Fi 802.11b/g/n; Two -wire interface. TF card, max 32G 8-ch alarm input, 2xalarm output, 1x485")</f>
        <v>Monitor Two-wire version: 7 pulgadas Touch-Screen Indoor Station, 7-inch Colorful TFT LCD, display resolution: 1024 * 600; 10/100Mbps Ethernet, Wi-Fi 802.11b/g/n; Two -wire interface. TF card, max 32G 8-ch alarm input, 2xalarm output, 1x485</v>
      </c>
      <c r="D891" s="4" t="str">
        <f>IFERROR(__xludf.DUMMYFUNCTION("""COMPUTED_VALUE"""),"HIKVISION")</f>
        <v>HIKVISION</v>
      </c>
      <c r="E891" s="4" t="str">
        <f>IFERROR(__xludf.DUMMYFUNCTION("""COMPUTED_VALUE"""),"DSKH6320WTE2")</f>
        <v>DSKH6320WTE2</v>
      </c>
      <c r="F891" s="4" t="str">
        <f>IFERROR(__xludf.DUMMYFUNCTION("""COMPUTED_VALUE"""),"PORTEROS / VIDEOPORTEROS &gt; VIDEO PORTEROS IP 2 HILOS")</f>
        <v>PORTEROS / VIDEOPORTEROS &gt; VIDEO PORTEROS IP 2 HILOS</v>
      </c>
      <c r="G891" s="5"/>
      <c r="H891" s="6">
        <f>IFERROR(__xludf.DUMMYFUNCTION("""COMPUTED_VALUE"""),201.3)</f>
        <v>201.3</v>
      </c>
      <c r="I891" s="7">
        <f>IFERROR(__xludf.DUMMYFUNCTION("""COMPUTED_VALUE"""),21.0)</f>
        <v>21</v>
      </c>
      <c r="J891" s="6">
        <f>IFERROR(__xludf.DUMMYFUNCTION("""COMPUTED_VALUE"""),241.56)</f>
        <v>241.56</v>
      </c>
      <c r="K891" s="6">
        <f>IFERROR(__xludf.DUMMYFUNCTION("""COMPUTED_VALUE"""),281.82)</f>
        <v>281.82</v>
      </c>
      <c r="L891" s="3"/>
      <c r="M891" s="3"/>
    </row>
    <row r="892" ht="48.0" customHeight="1">
      <c r="A892" s="3" t="str">
        <f>IFERROR(__xludf.DUMMYFUNCTION("""COMPUTED_VALUE"""),"DS-KAD706Y")</f>
        <v>DS-KAD706Y</v>
      </c>
      <c r="B892" s="4" t="str">
        <f>IFERROR(__xludf.DUMMYFUNCTION("""COMPUTED_VALUE"""),"SWICH INTERFACE TWO WIRE DISTRIBUTOR 2-WIRE IP DISTRIBUTOR 6-PORT")</f>
        <v>SWICH INTERFACE TWO WIRE DISTRIBUTOR 2-WIRE IP DISTRIBUTOR 6-PORT</v>
      </c>
      <c r="C892" s="4" t="str">
        <f>IFERROR(__xludf.DUMMYFUNCTION("""COMPUTED_VALUE"""),"Swich Interface Two Wire Distributor 2-wire IP distributor 6-port 2-wire cascade interfaces without device power supply 2 cascade interfaces for DS-KAD704Y, DS-KAD706Y &amp; DS-KAD706Y-S series 8 interface indicators, 1 RJ-45 Interface, 1 Reset button Din rai"&amp;"l mounting, 24 VDC input power supply")</f>
        <v>Swich Interface Two Wire Distributor 2-wire IP distributor 6-port 2-wire cascade interfaces without device power supply 2 cascade interfaces for DS-KAD704Y, DS-KAD706Y &amp; DS-KAD706Y-S series 8 interface indicators, 1 RJ-45 Interface, 1 Reset button Din rail mounting, 24 VDC input power supply</v>
      </c>
      <c r="D892" s="4" t="str">
        <f>IFERROR(__xludf.DUMMYFUNCTION("""COMPUTED_VALUE"""),"HIKVISION")</f>
        <v>HIKVISION</v>
      </c>
      <c r="E892" s="4" t="str">
        <f>IFERROR(__xludf.DUMMYFUNCTION("""COMPUTED_VALUE"""),"DS-KAD706Y")</f>
        <v>DS-KAD706Y</v>
      </c>
      <c r="F892" s="4" t="str">
        <f>IFERROR(__xludf.DUMMYFUNCTION("""COMPUTED_VALUE"""),"PORTEROS / VIDEOPORTEROS &gt; VIDEO PORTEROS IP 2 HILOS")</f>
        <v>PORTEROS / VIDEOPORTEROS &gt; VIDEO PORTEROS IP 2 HILOS</v>
      </c>
      <c r="G892" s="5"/>
      <c r="H892" s="6">
        <f>IFERROR(__xludf.DUMMYFUNCTION("""COMPUTED_VALUE"""),145.2)</f>
        <v>145.2</v>
      </c>
      <c r="I892" s="7">
        <f>IFERROR(__xludf.DUMMYFUNCTION("""COMPUTED_VALUE"""),21.0)</f>
        <v>21</v>
      </c>
      <c r="J892" s="6">
        <f>IFERROR(__xludf.DUMMYFUNCTION("""COMPUTED_VALUE"""),174.24)</f>
        <v>174.24</v>
      </c>
      <c r="K892" s="6">
        <f>IFERROR(__xludf.DUMMYFUNCTION("""COMPUTED_VALUE"""),203.28)</f>
        <v>203.28</v>
      </c>
      <c r="L892" s="3"/>
      <c r="M892" s="3"/>
    </row>
    <row r="893" ht="48.0" customHeight="1">
      <c r="A893" s="3" t="str">
        <f>IFERROR(__xludf.DUMMYFUNCTION("""COMPUTED_VALUE"""),"HCKTW02")</f>
        <v>HCKTW02</v>
      </c>
      <c r="B893" s="4" t="str">
        <f>IFERROR(__xludf.DUMMYFUNCTION("""COMPUTED_VALUE"""),"KIT DE PORTERO IP WIFI ESTACIÓN EXTERIOR DHI-VTO2311R-WP IP65")</f>
        <v>KIT DE PORTERO IP WIFI ESTACIÓN EXTERIOR DHI-VTO2311R-WP IP65</v>
      </c>
      <c r="C893" s="4" t="str">
        <f>IFERROR(__xludf.DUMMYFUNCTION("""COMPUTED_VALUE"""),"Kit de portero IP WiFi Estación exterior DHI-VTO2311R-WP IP65 WiFi Apertura con tarjeta y app y monitor interior · Audio bidireccional Lector de tarjeta Alimentacion PoE · Monior interior DHI-VTH2621G-WP Pantalla táctil 7” TFT, 1024x600 · Vigilancia con c"&amp;"ámaras IP ·Admite red inalámbrica · Graba y almacena fotos (se precisa tarjeta SD)")</f>
        <v>Kit de portero IP WiFi Estación exterior DHI-VTO2311R-WP IP65 WiFi Apertura con tarjeta y app y monitor interior · Audio bidireccional Lector de tarjeta Alimentacion PoE · Monior interior DHI-VTH2621G-WP Pantalla táctil 7” TFT, 1024x600 · Vigilancia con cámaras IP ·Admite red inalámbrica · Graba y almacena fotos (se precisa tarjeta SD)</v>
      </c>
      <c r="D893" s="4" t="str">
        <f>IFERROR(__xludf.DUMMYFUNCTION("""COMPUTED_VALUE"""),"DAHUA")</f>
        <v>DAHUA</v>
      </c>
      <c r="E893" s="4" t="str">
        <f>IFERROR(__xludf.DUMMYFUNCTION("""COMPUTED_VALUE"""),"HCKTW02")</f>
        <v>HCKTW02</v>
      </c>
      <c r="F893" s="4" t="str">
        <f>IFERROR(__xludf.DUMMYFUNCTION("""COMPUTED_VALUE"""),"PORTEROS / VIDEOPORTEROS &gt; VIDEO PORTEROS IP DAHUA")</f>
        <v>PORTEROS / VIDEOPORTEROS &gt; VIDEO PORTEROS IP DAHUA</v>
      </c>
      <c r="G893" s="5"/>
      <c r="H893" s="6">
        <f>IFERROR(__xludf.DUMMYFUNCTION("""COMPUTED_VALUE"""),397.1)</f>
        <v>397.1</v>
      </c>
      <c r="I893" s="7">
        <f>IFERROR(__xludf.DUMMYFUNCTION("""COMPUTED_VALUE"""),21.0)</f>
        <v>21</v>
      </c>
      <c r="J893" s="6">
        <f>IFERROR(__xludf.DUMMYFUNCTION("""COMPUTED_VALUE"""),476.52)</f>
        <v>476.52</v>
      </c>
      <c r="K893" s="6">
        <f>IFERROR(__xludf.DUMMYFUNCTION("""COMPUTED_VALUE"""),555.94)</f>
        <v>555.94</v>
      </c>
      <c r="L893" s="3"/>
      <c r="M893" s="3"/>
    </row>
    <row r="894" ht="48.0" customHeight="1">
      <c r="A894" s="3" t="str">
        <f>IFERROR(__xludf.DUMMYFUNCTION("""COMPUTED_VALUE"""),"HCVTH2421FWP")</f>
        <v>HCVTH2421FWP</v>
      </c>
      <c r="B894" s="4" t="str">
        <f>IFERROR(__xludf.DUMMYFUNCTION("""COMPUTED_VALUE"""),"PANTALLA TÁCTIL CAPACITIVA TFT DE 7""")</f>
        <v>PANTALLA TÁCTIL CAPACITIVA TFT DE 7"</v>
      </c>
      <c r="C894" s="4" t="str">
        <f>IFERROR(__xludf.DUMMYFUNCTION("""COMPUTED_VALUE"""),"Pantalla táctil capacitiva TFT de 7""; Resolución 1024 x 600; Compresión H.264; Vigilancia IPC; Integración de alarmas; Ranura para tarjeta Micro SD; Admite comunicación bidireccional.")</f>
        <v>Pantalla táctil capacitiva TFT de 7"; Resolución 1024 x 600; Compresión H.264; Vigilancia IPC; Integración de alarmas; Ranura para tarjeta Micro SD; Admite comunicación bidireccional.</v>
      </c>
      <c r="D894" s="4" t="str">
        <f>IFERROR(__xludf.DUMMYFUNCTION("""COMPUTED_VALUE"""),"DAHUA")</f>
        <v>DAHUA</v>
      </c>
      <c r="E894" s="4" t="str">
        <f>IFERROR(__xludf.DUMMYFUNCTION("""COMPUTED_VALUE"""),"HCVTH2421FWP")</f>
        <v>HCVTH2421FWP</v>
      </c>
      <c r="F894" s="4" t="str">
        <f>IFERROR(__xludf.DUMMYFUNCTION("""COMPUTED_VALUE"""),"PORTEROS / VIDEOPORTEROS &gt; VIDEO PORTEROS IP DAHUA")</f>
        <v>PORTEROS / VIDEOPORTEROS &gt; VIDEO PORTEROS IP DAHUA</v>
      </c>
      <c r="G894" s="5"/>
      <c r="H894" s="6">
        <f>IFERROR(__xludf.DUMMYFUNCTION("""COMPUTED_VALUE"""),154.21)</f>
        <v>154.21</v>
      </c>
      <c r="I894" s="7">
        <f>IFERROR(__xludf.DUMMYFUNCTION("""COMPUTED_VALUE"""),21.0)</f>
        <v>21</v>
      </c>
      <c r="J894" s="6">
        <f>IFERROR(__xludf.DUMMYFUNCTION("""COMPUTED_VALUE"""),185.05)</f>
        <v>185.05</v>
      </c>
      <c r="K894" s="6">
        <f>IFERROR(__xludf.DUMMYFUNCTION("""COMPUTED_VALUE"""),215.89)</f>
        <v>215.89</v>
      </c>
      <c r="L894" s="3"/>
      <c r="M894" s="3"/>
    </row>
    <row r="895" ht="48.0" customHeight="1">
      <c r="A895" s="3" t="str">
        <f>IFERROR(__xludf.DUMMYFUNCTION("""COMPUTED_VALUE"""),"HCVTH1660CH")</f>
        <v>HCVTH1660CH</v>
      </c>
      <c r="B895" s="4" t="str">
        <f>IFERROR(__xludf.DUMMYFUNCTION("""COMPUTED_VALUE"""),"LCD 10")</f>
        <v>LCD 10</v>
      </c>
      <c r="C895" s="4" t="str">
        <f>IFERROR(__xludf.DUMMYFUNCTION("""COMPUTED_VALUE"""),"LCD 10 - Portero Visor Interior alarmas 6 in / 1 out marca Dahua")</f>
        <v>LCD 10 - Portero Visor Interior alarmas 6 in / 1 out marca Dahua</v>
      </c>
      <c r="D895" s="4" t="str">
        <f>IFERROR(__xludf.DUMMYFUNCTION("""COMPUTED_VALUE"""),"DAHUA")</f>
        <v>DAHUA</v>
      </c>
      <c r="E895" s="4" t="str">
        <f>IFERROR(__xludf.DUMMYFUNCTION("""COMPUTED_VALUE"""),"HCVTH1660CH")</f>
        <v>HCVTH1660CH</v>
      </c>
      <c r="F895" s="4" t="str">
        <f>IFERROR(__xludf.DUMMYFUNCTION("""COMPUTED_VALUE"""),"PORTEROS / VIDEOPORTEROS &gt; VIDEO PORTEROS IP DAHUA")</f>
        <v>PORTEROS / VIDEOPORTEROS &gt; VIDEO PORTEROS IP DAHUA</v>
      </c>
      <c r="G895" s="5"/>
      <c r="H895" s="6">
        <f>IFERROR(__xludf.DUMMYFUNCTION("""COMPUTED_VALUE"""),275.0)</f>
        <v>275</v>
      </c>
      <c r="I895" s="7">
        <f>IFERROR(__xludf.DUMMYFUNCTION("""COMPUTED_VALUE"""),21.0)</f>
        <v>21</v>
      </c>
      <c r="J895" s="6">
        <f>IFERROR(__xludf.DUMMYFUNCTION("""COMPUTED_VALUE"""),330.0)</f>
        <v>330</v>
      </c>
      <c r="K895" s="6">
        <f>IFERROR(__xludf.DUMMYFUNCTION("""COMPUTED_VALUE"""),385.0)</f>
        <v>385</v>
      </c>
      <c r="L895" s="3"/>
      <c r="M895" s="3"/>
    </row>
    <row r="896" ht="48.0" customHeight="1">
      <c r="A896" s="3" t="str">
        <f>IFERROR(__xludf.DUMMYFUNCTION("""COMPUTED_VALUE"""),"HCVTNS1060A")</f>
        <v>HCVTNS1060A</v>
      </c>
      <c r="B896" s="4" t="str">
        <f>IFERROR(__xludf.DUMMYFUNCTION("""COMPUTED_VALUE"""),"SWITCH POE 24V PARA 6 PANELES INTERIOR, PARA HACER")</f>
        <v>SWITCH POE 24V PARA 6 PANELES INTERIOR, PARA HACER</v>
      </c>
      <c r="C896" s="4" t="str">
        <f>IFERROR(__xludf.DUMMYFUNCTION("""COMPUTED_VALUE"""),"Switch POE 24V para 6 paneles interior, para hacer cascada hacia otros equipos, No incluye Fuente, requiere fuente de 24V 1A")</f>
        <v>Switch POE 24V para 6 paneles interior, para hacer cascada hacia otros equipos, No incluye Fuente, requiere fuente de 24V 1A</v>
      </c>
      <c r="D896" s="4" t="str">
        <f>IFERROR(__xludf.DUMMYFUNCTION("""COMPUTED_VALUE"""),"DAHUA")</f>
        <v>DAHUA</v>
      </c>
      <c r="E896" s="4" t="str">
        <f>IFERROR(__xludf.DUMMYFUNCTION("""COMPUTED_VALUE"""),"HCVTNS1060A")</f>
        <v>HCVTNS1060A</v>
      </c>
      <c r="F896" s="4" t="str">
        <f>IFERROR(__xludf.DUMMYFUNCTION("""COMPUTED_VALUE"""),"CONECTIVIDAD &gt; SWITCH POE")</f>
        <v>CONECTIVIDAD &gt; SWITCH POE</v>
      </c>
      <c r="G896" s="5"/>
      <c r="H896" s="6">
        <f>IFERROR(__xludf.DUMMYFUNCTION("""COMPUTED_VALUE"""),34.83)</f>
        <v>34.83</v>
      </c>
      <c r="I896" s="7">
        <f>IFERROR(__xludf.DUMMYFUNCTION("""COMPUTED_VALUE"""),21.0)</f>
        <v>21</v>
      </c>
      <c r="J896" s="6">
        <f>IFERROR(__xludf.DUMMYFUNCTION("""COMPUTED_VALUE"""),41.8)</f>
        <v>41.8</v>
      </c>
      <c r="K896" s="6">
        <f>IFERROR(__xludf.DUMMYFUNCTION("""COMPUTED_VALUE"""),48.76)</f>
        <v>48.76</v>
      </c>
      <c r="L896" s="3"/>
      <c r="M896" s="3"/>
    </row>
    <row r="897" ht="48.0" customHeight="1">
      <c r="A897" s="3" t="str">
        <f>IFERROR(__xludf.DUMMYFUNCTION("""COMPUTED_VALUE"""),"HCVTO2211GWP")</f>
        <v>HCVTO2211GWP</v>
      </c>
      <c r="B897" s="4" t="str">
        <f>IFERROR(__xludf.DUMMYFUNCTION("""COMPUTED_VALUE"""),"ESTACIÓN EXTERIOR PARA CASAS DE 2 MP WI-FI ·")</f>
        <v>ESTACIÓN EXTERIOR PARA CASAS DE 2 MP WI-FI ·</v>
      </c>
      <c r="C897" s="4" t="str">
        <f>IFERROR(__xludf.DUMMYFUNCTION("""COMPUTED_VALUE"""),"Estación exterior para casas de 2 Mp Wi-Fi · Diseño delgado y liviano · Temperatura de trabajo 30 °C a +60 °C (-22 °F a +140 °F) · IP65 (se necesita sello de silicona. Ver la guía rápida)· Iluminador IR y visión nocturna· Desbloqueo de tarjeta, desbloqueo"&amp;" de App y desbloqueo por monitor de interiores· Audio bidireccional y llamador de voz a través de una App· Capacidad de tarjeta: 10.000· Alarma antisabotaje· PoE· Control de doble bloqueo· Admite redes inalámbricas")</f>
        <v>Estación exterior para casas de 2 Mp Wi-Fi · Diseño delgado y liviano · Temperatura de trabajo 30 °C a +60 °C (-22 °F a +140 °F) · IP65 (se necesita sello de silicona. Ver la guía rápida)· Iluminador IR y visión nocturna· Desbloqueo de tarjeta, desbloqueo de App y desbloqueo por monitor de interiores· Audio bidireccional y llamador de voz a través de una App· Capacidad de tarjeta: 10.000· Alarma antisabotaje· PoE· Control de doble bloqueo· Admite redes inalámbricas</v>
      </c>
      <c r="D897" s="4" t="str">
        <f>IFERROR(__xludf.DUMMYFUNCTION("""COMPUTED_VALUE"""),"DAHUA")</f>
        <v>DAHUA</v>
      </c>
      <c r="E897" s="4" t="str">
        <f>IFERROR(__xludf.DUMMYFUNCTION("""COMPUTED_VALUE"""),"HCVTO2211GWP")</f>
        <v>HCVTO2211GWP</v>
      </c>
      <c r="F897" s="4" t="str">
        <f>IFERROR(__xludf.DUMMYFUNCTION("""COMPUTED_VALUE"""),"PORTEROS / VIDEOPORTEROS &gt; VIDEO PORTEROS IP DAHUA")</f>
        <v>PORTEROS / VIDEOPORTEROS &gt; VIDEO PORTEROS IP DAHUA</v>
      </c>
      <c r="G897" s="5"/>
      <c r="H897" s="6">
        <f>IFERROR(__xludf.DUMMYFUNCTION("""COMPUTED_VALUE"""),170.5)</f>
        <v>170.5</v>
      </c>
      <c r="I897" s="7">
        <f>IFERROR(__xludf.DUMMYFUNCTION("""COMPUTED_VALUE"""),21.0)</f>
        <v>21</v>
      </c>
      <c r="J897" s="6">
        <f>IFERROR(__xludf.DUMMYFUNCTION("""COMPUTED_VALUE"""),204.6)</f>
        <v>204.6</v>
      </c>
      <c r="K897" s="6">
        <f>IFERROR(__xludf.DUMMYFUNCTION("""COMPUTED_VALUE"""),238.7)</f>
        <v>238.7</v>
      </c>
      <c r="L897" s="3"/>
      <c r="M897" s="3"/>
    </row>
    <row r="898" ht="48.0" customHeight="1">
      <c r="A898" s="3" t="str">
        <f>IFERROR(__xludf.DUMMYFUNCTION("""COMPUTED_VALUE"""),"HCVTO6100C")</f>
        <v>HCVTO6100C</v>
      </c>
      <c r="B898" s="4" t="str">
        <f>IFERROR(__xludf.DUMMYFUNCTION("""COMPUTED_VALUE"""),"PORTERO UNIDAD EXTERIOR PLÁSTICO PARA VIVIENDA C/LECTOR DE TARJETAS")</f>
        <v>PORTERO UNIDAD EXTERIOR PLÁSTICO PARA VIVIENDA C/LECTOR DE TARJETAS</v>
      </c>
      <c r="C898" s="4" t="str">
        <f>IFERROR(__xludf.DUMMYFUNCTION("""COMPUTED_VALUE"""),"Portero Unidad Exterior plástico para vivienda c/lector de tarjetas 13.56 MHz marca Dahua")</f>
        <v>Portero Unidad Exterior plástico para vivienda c/lector de tarjetas 13.56 MHz marca Dahua</v>
      </c>
      <c r="D898" s="4" t="str">
        <f>IFERROR(__xludf.DUMMYFUNCTION("""COMPUTED_VALUE"""),"DAHUA")</f>
        <v>DAHUA</v>
      </c>
      <c r="E898" s="4" t="str">
        <f>IFERROR(__xludf.DUMMYFUNCTION("""COMPUTED_VALUE"""),"HCVTO6100C")</f>
        <v>HCVTO6100C</v>
      </c>
      <c r="F898" s="4" t="str">
        <f>IFERROR(__xludf.DUMMYFUNCTION("""COMPUTED_VALUE"""),"PORTEROS / VIDEOPORTEROS &gt; VIDEO PORTEROS IP DAHUA")</f>
        <v>PORTEROS / VIDEOPORTEROS &gt; VIDEO PORTEROS IP DAHUA</v>
      </c>
      <c r="G898" s="5"/>
      <c r="H898" s="6">
        <f>IFERROR(__xludf.DUMMYFUNCTION("""COMPUTED_VALUE"""),88.0)</f>
        <v>88</v>
      </c>
      <c r="I898" s="7">
        <f>IFERROR(__xludf.DUMMYFUNCTION("""COMPUTED_VALUE"""),21.0)</f>
        <v>21</v>
      </c>
      <c r="J898" s="6">
        <f>IFERROR(__xludf.DUMMYFUNCTION("""COMPUTED_VALUE"""),105.6)</f>
        <v>105.6</v>
      </c>
      <c r="K898" s="6">
        <f>IFERROR(__xludf.DUMMYFUNCTION("""COMPUTED_VALUE"""),123.2)</f>
        <v>123.2</v>
      </c>
      <c r="L898" s="3"/>
      <c r="M898" s="3"/>
    </row>
    <row r="899" ht="48.0" customHeight="1">
      <c r="A899" s="3" t="str">
        <f>IFERROR(__xludf.DUMMYFUNCTION("""COMPUTED_VALUE"""),"HCVTO6210BW")</f>
        <v>HCVTO6210BW</v>
      </c>
      <c r="B899" s="4" t="str">
        <f>IFERROR(__xludf.DUMMYFUNCTION("""COMPUTED_VALUE"""),"PORTERO UNIDAD EXTERIOR PARA VIVIENDA NEGRO IP65 C/LECTOR DE")</f>
        <v>PORTERO UNIDAD EXTERIOR PARA VIVIENDA NEGRO IP65 C/LECTOR DE</v>
      </c>
      <c r="C899" s="4" t="str">
        <f>IFERROR(__xludf.DUMMYFUNCTION("""COMPUTED_VALUE"""),"Portero Unidad Exterior para vivienda negro IP65 c/lector de tarjetas 13.56 MHz marca Dahua")</f>
        <v>Portero Unidad Exterior para vivienda negro IP65 c/lector de tarjetas 13.56 MHz marca Dahua</v>
      </c>
      <c r="D899" s="4" t="str">
        <f>IFERROR(__xludf.DUMMYFUNCTION("""COMPUTED_VALUE"""),"DAHUA")</f>
        <v>DAHUA</v>
      </c>
      <c r="E899" s="4" t="str">
        <f>IFERROR(__xludf.DUMMYFUNCTION("""COMPUTED_VALUE"""),"HCVTO6210BW")</f>
        <v>HCVTO6210BW</v>
      </c>
      <c r="F899" s="4" t="str">
        <f>IFERROR(__xludf.DUMMYFUNCTION("""COMPUTED_VALUE"""),"PORTEROS / VIDEOPORTEROS &gt; VIDEO PORTEROS IP DAHUA")</f>
        <v>PORTEROS / VIDEOPORTEROS &gt; VIDEO PORTEROS IP DAHUA</v>
      </c>
      <c r="G899" s="5"/>
      <c r="H899" s="6">
        <f>IFERROR(__xludf.DUMMYFUNCTION("""COMPUTED_VALUE"""),143.0)</f>
        <v>143</v>
      </c>
      <c r="I899" s="7">
        <f>IFERROR(__xludf.DUMMYFUNCTION("""COMPUTED_VALUE"""),21.0)</f>
        <v>21</v>
      </c>
      <c r="J899" s="6">
        <f>IFERROR(__xludf.DUMMYFUNCTION("""COMPUTED_VALUE"""),171.6)</f>
        <v>171.6</v>
      </c>
      <c r="K899" s="6">
        <f>IFERROR(__xludf.DUMMYFUNCTION("""COMPUTED_VALUE"""),200.2)</f>
        <v>200.2</v>
      </c>
      <c r="L899" s="3"/>
      <c r="M899" s="3"/>
    </row>
    <row r="900" ht="48.0" customHeight="1">
      <c r="A900" s="3" t="str">
        <f>IFERROR(__xludf.DUMMYFUNCTION("""COMPUTED_VALUE"""),"DHVTO2101EPS1")</f>
        <v>DHVTO2101EPS1</v>
      </c>
      <c r="B900" s="4" t="str">
        <f>IFERROR(__xludf.DUMMYFUNCTION("""COMPUTED_VALUE"""),"PORTERO UNIDAD EXTERIOR CON CÁMARA IP PARA CASAS PARA")</f>
        <v>PORTERO UNIDAD EXTERIOR CON CÁMARA IP PARA CASAS PARA</v>
      </c>
      <c r="C900" s="4" t="str">
        <f>IFERROR(__xludf.DUMMYFUNCTION("""COMPUTED_VALUE"""),"Portero Unidad Exterior con cámara IP para casas Para exteriores· Cámara CMOS HD · Panel de aleación de zinc, IP65, IK10 Visión nocturna ICR y indicación por voz Mensajes de Video y Audio· TCP / IP, SIP · Montaje superficial")</f>
        <v>Portero Unidad Exterior con cámara IP para casas Para exteriores· Cámara CMOS HD · Panel de aleación de zinc, IP65, IK10 Visión nocturna ICR y indicación por voz Mensajes de Video y Audio· TCP / IP, SIP · Montaje superficial</v>
      </c>
      <c r="D900" s="4" t="str">
        <f>IFERROR(__xludf.DUMMYFUNCTION("""COMPUTED_VALUE"""),"DAHUA")</f>
        <v>DAHUA</v>
      </c>
      <c r="E900" s="4" t="str">
        <f>IFERROR(__xludf.DUMMYFUNCTION("""COMPUTED_VALUE"""),"DHVTO2101EPS1")</f>
        <v>DHVTO2101EPS1</v>
      </c>
      <c r="F900" s="4" t="str">
        <f>IFERROR(__xludf.DUMMYFUNCTION("""COMPUTED_VALUE"""),"PORTEROS / VIDEOPORTEROS &gt; VIDEO PORTEROS IP DAHUA")</f>
        <v>PORTEROS / VIDEOPORTEROS &gt; VIDEO PORTEROS IP DAHUA</v>
      </c>
      <c r="G900" s="5"/>
      <c r="H900" s="6">
        <f>IFERROR(__xludf.DUMMYFUNCTION("""COMPUTED_VALUE"""),183.7)</f>
        <v>183.7</v>
      </c>
      <c r="I900" s="7">
        <f>IFERROR(__xludf.DUMMYFUNCTION("""COMPUTED_VALUE"""),21.0)</f>
        <v>21</v>
      </c>
      <c r="J900" s="6">
        <f>IFERROR(__xludf.DUMMYFUNCTION("""COMPUTED_VALUE"""),220.44)</f>
        <v>220.44</v>
      </c>
      <c r="K900" s="6">
        <f>IFERROR(__xludf.DUMMYFUNCTION("""COMPUTED_VALUE"""),257.18)</f>
        <v>257.18</v>
      </c>
      <c r="L900" s="3"/>
      <c r="M900" s="3"/>
    </row>
    <row r="901" ht="48.0" customHeight="1">
      <c r="A901" s="3" t="str">
        <f>IFERROR(__xludf.DUMMYFUNCTION("""COMPUTED_VALUE"""),"HCVTOB103")</f>
        <v>HCVTOB103</v>
      </c>
      <c r="B901" s="4" t="str">
        <f>IFERROR(__xludf.DUMMYFUNCTION("""COMPUTED_VALUE"""),"CAJA PLÁSTICA DE EMBUTIR PARA PORTERO VTO1210C")</f>
        <v>CAJA PLÁSTICA DE EMBUTIR PARA PORTERO VTO1210C</v>
      </c>
      <c r="C901" s="4" t="str">
        <f>IFERROR(__xludf.DUMMYFUNCTION("""COMPUTED_VALUE"""),"Caja plástica de embutir para portero VTO1210C")</f>
        <v>Caja plástica de embutir para portero VTO1210C</v>
      </c>
      <c r="D901" s="4" t="str">
        <f>IFERROR(__xludf.DUMMYFUNCTION("""COMPUTED_VALUE"""),"DAHUA")</f>
        <v>DAHUA</v>
      </c>
      <c r="E901" s="4" t="str">
        <f>IFERROR(__xludf.DUMMYFUNCTION("""COMPUTED_VALUE"""),"HCVTOB103")</f>
        <v>HCVTOB103</v>
      </c>
      <c r="F901" s="4" t="str">
        <f>IFERROR(__xludf.DUMMYFUNCTION("""COMPUTED_VALUE"""),"PORTEROS / VIDEOPORTEROS &gt; VIDEO PORTEROS IP DAHUA")</f>
        <v>PORTEROS / VIDEOPORTEROS &gt; VIDEO PORTEROS IP DAHUA</v>
      </c>
      <c r="G901" s="5"/>
      <c r="H901" s="6">
        <f>IFERROR(__xludf.DUMMYFUNCTION("""COMPUTED_VALUE"""),24.61)</f>
        <v>24.61</v>
      </c>
      <c r="I901" s="7">
        <f>IFERROR(__xludf.DUMMYFUNCTION("""COMPUTED_VALUE"""),21.0)</f>
        <v>21</v>
      </c>
      <c r="J901" s="6">
        <f>IFERROR(__xludf.DUMMYFUNCTION("""COMPUTED_VALUE"""),29.53)</f>
        <v>29.53</v>
      </c>
      <c r="K901" s="6">
        <f>IFERROR(__xludf.DUMMYFUNCTION("""COMPUTED_VALUE"""),34.45)</f>
        <v>34.45</v>
      </c>
      <c r="L901" s="3"/>
      <c r="M901" s="3"/>
    </row>
    <row r="902" ht="48.0" customHeight="1">
      <c r="A902" s="3" t="str">
        <f>IFERROR(__xludf.DUMMYFUNCTION("""COMPUTED_VALUE"""),"HCVTOB108")</f>
        <v>HCVTOB108</v>
      </c>
      <c r="B902" s="4" t="str">
        <f>IFERROR(__xludf.DUMMYFUNCTION("""COMPUTED_VALUE"""),"CAJA DE MONTAJE EXTERIOR PARA VTO2000")</f>
        <v>CAJA DE MONTAJE EXTERIOR PARA VTO2000</v>
      </c>
      <c r="C902" s="4" t="str">
        <f>IFERROR(__xludf.DUMMYFUNCTION("""COMPUTED_VALUE"""),"Caja de montaje exterior para VTO2000")</f>
        <v>Caja de montaje exterior para VTO2000</v>
      </c>
      <c r="D902" s="4" t="str">
        <f>IFERROR(__xludf.DUMMYFUNCTION("""COMPUTED_VALUE"""),"DAHUA")</f>
        <v>DAHUA</v>
      </c>
      <c r="E902" s="4" t="str">
        <f>IFERROR(__xludf.DUMMYFUNCTION("""COMPUTED_VALUE"""),"HCVTOB108")</f>
        <v>HCVTOB108</v>
      </c>
      <c r="F902" s="4" t="str">
        <f>IFERROR(__xludf.DUMMYFUNCTION("""COMPUTED_VALUE"""),"PORTEROS / VIDEOPORTEROS &gt; VIDEO PORTEROS IP DAHUA")</f>
        <v>PORTEROS / VIDEOPORTEROS &gt; VIDEO PORTEROS IP DAHUA</v>
      </c>
      <c r="G902" s="5"/>
      <c r="H902" s="6">
        <f>IFERROR(__xludf.DUMMYFUNCTION("""COMPUTED_VALUE"""),18.7)</f>
        <v>18.7</v>
      </c>
      <c r="I902" s="7">
        <f>IFERROR(__xludf.DUMMYFUNCTION("""COMPUTED_VALUE"""),21.0)</f>
        <v>21</v>
      </c>
      <c r="J902" s="6">
        <f>IFERROR(__xludf.DUMMYFUNCTION("""COMPUTED_VALUE"""),22.44)</f>
        <v>22.44</v>
      </c>
      <c r="K902" s="6">
        <f>IFERROR(__xludf.DUMMYFUNCTION("""COMPUTED_VALUE"""),26.18)</f>
        <v>26.18</v>
      </c>
      <c r="L902" s="3"/>
      <c r="M902" s="3"/>
    </row>
    <row r="903" ht="48.0" customHeight="1">
      <c r="A903" s="3" t="str">
        <f>IFERROR(__xludf.DUMMYFUNCTION("""COMPUTED_VALUE"""),"HCVTS5240")</f>
        <v>HCVTS5240</v>
      </c>
      <c r="B903" s="4" t="str">
        <f>IFERROR(__xludf.DUMMYFUNCTION("""COMPUTED_VALUE"""),"SERVIDOR ESTACIÓN MAESTRA DE VIDEOPORTERÍA MARCA DAHUA")</f>
        <v>SERVIDOR ESTACIÓN MAESTRA DE VIDEOPORTERÍA MARCA DAHUA</v>
      </c>
      <c r="C903" s="4" t="str">
        <f>IFERROR(__xludf.DUMMYFUNCTION("""COMPUTED_VALUE"""),"Servidor estación maestra de videoportería marca Dahua")</f>
        <v>Servidor estación maestra de videoportería marca Dahua</v>
      </c>
      <c r="D903" s="4" t="str">
        <f>IFERROR(__xludf.DUMMYFUNCTION("""COMPUTED_VALUE"""),"DAHUA")</f>
        <v>DAHUA</v>
      </c>
      <c r="E903" s="4" t="str">
        <f>IFERROR(__xludf.DUMMYFUNCTION("""COMPUTED_VALUE"""),"HCVTS5240")</f>
        <v>HCVTS5240</v>
      </c>
      <c r="F903" s="4" t="str">
        <f>IFERROR(__xludf.DUMMYFUNCTION("""COMPUTED_VALUE"""),"PORTEROS / VIDEOPORTEROS &gt; VIDEO PORTEROS IP DAHUA")</f>
        <v>PORTEROS / VIDEOPORTEROS &gt; VIDEO PORTEROS IP DAHUA</v>
      </c>
      <c r="G903" s="5"/>
      <c r="H903" s="6">
        <f>IFERROR(__xludf.DUMMYFUNCTION("""COMPUTED_VALUE"""),220.0)</f>
        <v>220</v>
      </c>
      <c r="I903" s="7">
        <f>IFERROR(__xludf.DUMMYFUNCTION("""COMPUTED_VALUE"""),21.0)</f>
        <v>21</v>
      </c>
      <c r="J903" s="6">
        <f>IFERROR(__xludf.DUMMYFUNCTION("""COMPUTED_VALUE"""),264.0)</f>
        <v>264</v>
      </c>
      <c r="K903" s="6">
        <f>IFERROR(__xludf.DUMMYFUNCTION("""COMPUTED_VALUE"""),308.0)</f>
        <v>308</v>
      </c>
      <c r="L903" s="3"/>
      <c r="M903" s="3"/>
    </row>
    <row r="904" ht="48.0" customHeight="1">
      <c r="A904" s="3" t="str">
        <f>IFERROR(__xludf.DUMMYFUNCTION("""COMPUTED_VALUE"""),"DHIDEE1010B")</f>
        <v>DHIDEE1010B</v>
      </c>
      <c r="B904" s="4" t="str">
        <f>IFERROR(__xludf.DUMMYFUNCTION("""COMPUTED_VALUE"""),"MÓDULO DE EXTENSIÓN DE VIDEO PORTERO Y CONTROL DE ACCESO")</f>
        <v>MÓDULO DE EXTENSIÓN DE VIDEO PORTERO Y CONTROL DE ACCESO</v>
      </c>
      <c r="C904" s="4" t="str">
        <f>IFERROR(__xludf.DUMMYFUNCTION("""COMPUTED_VALUE"""),"Módulo de extensión de video portero y control de acceso")</f>
        <v>Módulo de extensión de video portero y control de acceso</v>
      </c>
      <c r="D904" s="4" t="str">
        <f>IFERROR(__xludf.DUMMYFUNCTION("""COMPUTED_VALUE"""),"DAHUA")</f>
        <v>DAHUA</v>
      </c>
      <c r="E904" s="4" t="str">
        <f>IFERROR(__xludf.DUMMYFUNCTION("""COMPUTED_VALUE"""),"DHIDEE1010B")</f>
        <v>DHIDEE1010B</v>
      </c>
      <c r="F904" s="4" t="str">
        <f>IFERROR(__xludf.DUMMYFUNCTION("""COMPUTED_VALUE"""),"PORTEROS / VIDEOPORTEROS &gt; VIDEO PORTEROS IP DAHUA")</f>
        <v>PORTEROS / VIDEOPORTEROS &gt; VIDEO PORTEROS IP DAHUA</v>
      </c>
      <c r="G904" s="5"/>
      <c r="H904" s="6">
        <f>IFERROR(__xludf.DUMMYFUNCTION("""COMPUTED_VALUE"""),55.0)</f>
        <v>55</v>
      </c>
      <c r="I904" s="7">
        <f>IFERROR(__xludf.DUMMYFUNCTION("""COMPUTED_VALUE"""),21.0)</f>
        <v>21</v>
      </c>
      <c r="J904" s="6">
        <f>IFERROR(__xludf.DUMMYFUNCTION("""COMPUTED_VALUE"""),66.0)</f>
        <v>66</v>
      </c>
      <c r="K904" s="6">
        <f>IFERROR(__xludf.DUMMYFUNCTION("""COMPUTED_VALUE"""),77.0)</f>
        <v>77</v>
      </c>
      <c r="L904" s="3"/>
      <c r="M904" s="3"/>
    </row>
    <row r="905" ht="48.0" customHeight="1">
      <c r="A905" s="3" t="str">
        <f>IFERROR(__xludf.DUMMYFUNCTION("""COMPUTED_VALUE"""),"CXDP201LADR201H")</f>
        <v>CXDP201LADR201H</v>
      </c>
      <c r="B905" s="4" t="str">
        <f>IFERROR(__xludf.DUMMYFUNCTION("""COMPUTED_VALUE"""),"KIT PORTERO ELÉCTRICO, INCLUYE TELÉFONO DP201LA Y FRENTE DR201H")</f>
        <v>KIT PORTERO ELÉCTRICO, INCLUYE TELÉFONO DP201LA Y FRENTE DR201H</v>
      </c>
      <c r="C905" s="4" t="str">
        <f>IFERROR(__xludf.DUMMYFUNCTION("""COMPUTED_VALUE"""),"Kit portero eléctrico, incluye teléfono DP201LA y frente DR201H de portero para embutir. Salida directa a cerradura AC 220V.Cableado: 2 conductores + 2 cerraduras")</f>
        <v>Kit portero eléctrico, incluye teléfono DP201LA y frente DR201H de portero para embutir. Salida directa a cerradura AC 220V.Cableado: 2 conductores + 2 cerraduras</v>
      </c>
      <c r="D905" s="4" t="str">
        <f>IFERROR(__xludf.DUMMYFUNCTION("""COMPUTED_VALUE"""),"COMMAX")</f>
        <v>COMMAX</v>
      </c>
      <c r="E905" s="4" t="str">
        <f>IFERROR(__xludf.DUMMYFUNCTION("""COMPUTED_VALUE"""),"CXDP201LADR201H")</f>
        <v>CXDP201LADR201H</v>
      </c>
      <c r="F905" s="4" t="str">
        <f>IFERROR(__xludf.DUMMYFUNCTION("""COMPUTED_VALUE"""),"PORTEROS / VIDEOPORTEROS &gt; PORTEROS UNIFAMILIARES SOLO AUDIO")</f>
        <v>PORTEROS / VIDEOPORTEROS &gt; PORTEROS UNIFAMILIARES SOLO AUDIO</v>
      </c>
      <c r="G905" s="5"/>
      <c r="H905" s="6">
        <f>IFERROR(__xludf.DUMMYFUNCTION("""COMPUTED_VALUE"""),77.0)</f>
        <v>77</v>
      </c>
      <c r="I905" s="7">
        <f>IFERROR(__xludf.DUMMYFUNCTION("""COMPUTED_VALUE"""),21.0)</f>
        <v>21</v>
      </c>
      <c r="J905" s="6">
        <f>IFERROR(__xludf.DUMMYFUNCTION("""COMPUTED_VALUE"""),92.4)</f>
        <v>92.4</v>
      </c>
      <c r="K905" s="6">
        <f>IFERROR(__xludf.DUMMYFUNCTION("""COMPUTED_VALUE"""),107.8)</f>
        <v>107.8</v>
      </c>
      <c r="L905" s="3"/>
      <c r="M905" s="3"/>
    </row>
    <row r="906" ht="48.0" customHeight="1">
      <c r="A906" s="3" t="str">
        <f>IFERROR(__xludf.DUMMYFUNCTION("""COMPUTED_VALUE"""),"CXDP201LADR201D")</f>
        <v>CXDP201LADR201D</v>
      </c>
      <c r="B906" s="4" t="str">
        <f>IFERROR(__xludf.DUMMYFUNCTION("""COMPUTED_VALUE"""),"KIT PORTERO ELÉCTRICO, INCLUYE TELÉFONO DP201LA Y FRENTE DR201D")</f>
        <v>KIT PORTERO ELÉCTRICO, INCLUYE TELÉFONO DP201LA Y FRENTE DR201D</v>
      </c>
      <c r="C906" s="4" t="str">
        <f>IFERROR(__xludf.DUMMYFUNCTION("""COMPUTED_VALUE"""),"Kit portero eléctrico, incluye teléfono DP201LA y frente DR201D de portero para montaje de superficie. Salida directa a cerradura AC 220V. Cableado: 2 conductores + 2 cerraduras")</f>
        <v>Kit portero eléctrico, incluye teléfono DP201LA y frente DR201D de portero para montaje de superficie. Salida directa a cerradura AC 220V. Cableado: 2 conductores + 2 cerraduras</v>
      </c>
      <c r="D906" s="4" t="str">
        <f>IFERROR(__xludf.DUMMYFUNCTION("""COMPUTED_VALUE"""),"COMMAX")</f>
        <v>COMMAX</v>
      </c>
      <c r="E906" s="4" t="str">
        <f>IFERROR(__xludf.DUMMYFUNCTION("""COMPUTED_VALUE"""),"CXDP201LADR201D")</f>
        <v>CXDP201LADR201D</v>
      </c>
      <c r="F906" s="4" t="str">
        <f>IFERROR(__xludf.DUMMYFUNCTION("""COMPUTED_VALUE"""),"PORTEROS / VIDEOPORTEROS &gt; PORTEROS UNIFAMILIARES SOLO AUDIO")</f>
        <v>PORTEROS / VIDEOPORTEROS &gt; PORTEROS UNIFAMILIARES SOLO AUDIO</v>
      </c>
      <c r="G906" s="5"/>
      <c r="H906" s="6">
        <f>IFERROR(__xludf.DUMMYFUNCTION("""COMPUTED_VALUE"""),77.0)</f>
        <v>77</v>
      </c>
      <c r="I906" s="7">
        <f>IFERROR(__xludf.DUMMYFUNCTION("""COMPUTED_VALUE"""),21.0)</f>
        <v>21</v>
      </c>
      <c r="J906" s="6">
        <f>IFERROR(__xludf.DUMMYFUNCTION("""COMPUTED_VALUE"""),92.4)</f>
        <v>92.4</v>
      </c>
      <c r="K906" s="6">
        <f>IFERROR(__xludf.DUMMYFUNCTION("""COMPUTED_VALUE"""),107.8)</f>
        <v>107.8</v>
      </c>
      <c r="L906" s="3"/>
      <c r="M906" s="3"/>
    </row>
    <row r="907" ht="48.0" customHeight="1">
      <c r="A907" s="3" t="str">
        <f>IFERROR(__xludf.DUMMYFUNCTION("""COMPUTED_VALUE"""),"CXDP2SDR201H")</f>
        <v>CXDP2SDR201H</v>
      </c>
      <c r="B907" s="4" t="str">
        <f>IFERROR(__xludf.DUMMYFUNCTION("""COMPUTED_VALUE"""),"KIT PORTERO ELÉCTRICO, INCLUYE TELÉFONO DP2S Y FRENTE DR201H")</f>
        <v>KIT PORTERO ELÉCTRICO, INCLUYE TELÉFONO DP2S Y FRENTE DR201H</v>
      </c>
      <c r="C907" s="4" t="str">
        <f>IFERROR(__xludf.DUMMYFUNCTION("""COMPUTED_VALUE"""),"Kit portero eléctrico, incluye teléfono DP2S y frente DR201H de portero para embutir. Salida sin trafo a cerradura AC 220V. Instalación con 2 hilos Soporte para colgar teléfono en la pared Timbre Ding - Dong. Posibilidad de apertura de pestillo eléctrico "&amp;"( agregando transformador correspondiente no incluido )")</f>
        <v>Kit portero eléctrico, incluye teléfono DP2S y frente DR201H de portero para embutir. Salida sin trafo a cerradura AC 220V. Instalación con 2 hilos Soporte para colgar teléfono en la pared Timbre Ding - Dong. Posibilidad de apertura de pestillo eléctrico ( agregando transformador correspondiente no incluido )</v>
      </c>
      <c r="D907" s="4" t="str">
        <f>IFERROR(__xludf.DUMMYFUNCTION("""COMPUTED_VALUE"""),"COMMAX")</f>
        <v>COMMAX</v>
      </c>
      <c r="E907" s="4" t="str">
        <f>IFERROR(__xludf.DUMMYFUNCTION("""COMPUTED_VALUE"""),"CXDP2SDR201H")</f>
        <v>CXDP2SDR201H</v>
      </c>
      <c r="F907" s="4" t="str">
        <f>IFERROR(__xludf.DUMMYFUNCTION("""COMPUTED_VALUE"""),"PORTEROS / VIDEOPORTEROS &gt; PORTEROS UNIFAMILIARES SOLO AUDIO")</f>
        <v>PORTEROS / VIDEOPORTEROS &gt; PORTEROS UNIFAMILIARES SOLO AUDIO</v>
      </c>
      <c r="G907" s="5"/>
      <c r="H907" s="6">
        <f>IFERROR(__xludf.DUMMYFUNCTION("""COMPUTED_VALUE"""),68.75)</f>
        <v>68.75</v>
      </c>
      <c r="I907" s="7">
        <f>IFERROR(__xludf.DUMMYFUNCTION("""COMPUTED_VALUE"""),21.0)</f>
        <v>21</v>
      </c>
      <c r="J907" s="6">
        <f>IFERROR(__xludf.DUMMYFUNCTION("""COMPUTED_VALUE"""),82.5)</f>
        <v>82.5</v>
      </c>
      <c r="K907" s="6">
        <f>IFERROR(__xludf.DUMMYFUNCTION("""COMPUTED_VALUE"""),96.25)</f>
        <v>96.25</v>
      </c>
      <c r="L907" s="3"/>
      <c r="M907" s="3"/>
    </row>
    <row r="908" ht="48.0" customHeight="1">
      <c r="A908" s="3" t="str">
        <f>IFERROR(__xludf.DUMMYFUNCTION("""COMPUTED_VALUE"""),"CXDP2SDR201D")</f>
        <v>CXDP2SDR201D</v>
      </c>
      <c r="B908" s="4" t="str">
        <f>IFERROR(__xludf.DUMMYFUNCTION("""COMPUTED_VALUE"""),"KIT PORTERO ELÉCTRICO, INCLUYE TELÉFONO DP2S Y FRENTE DR201D")</f>
        <v>KIT PORTERO ELÉCTRICO, INCLUYE TELÉFONO DP2S Y FRENTE DR201D</v>
      </c>
      <c r="C908" s="4" t="str">
        <f>IFERROR(__xludf.DUMMYFUNCTION("""COMPUTED_VALUE"""),"Kit portero eléctrico, incluye teléfono DP2S y frente DR201D de portero para montaje de superficie. Salida sin trafo a cerradura AC 220V. Instalación con 2 hilos Soporte para colgar teléfono en la pared Timbre Ding - Dong. Posibilidad de apertura de pesti"&amp;"llo eléctrico ( agregando transformador correspondiente no incluido )")</f>
        <v>Kit portero eléctrico, incluye teléfono DP2S y frente DR201D de portero para montaje de superficie. Salida sin trafo a cerradura AC 220V. Instalación con 2 hilos Soporte para colgar teléfono en la pared Timbre Ding - Dong. Posibilidad de apertura de pestillo eléctrico ( agregando transformador correspondiente no incluido )</v>
      </c>
      <c r="D908" s="4" t="str">
        <f>IFERROR(__xludf.DUMMYFUNCTION("""COMPUTED_VALUE"""),"COMMAX")</f>
        <v>COMMAX</v>
      </c>
      <c r="E908" s="4" t="str">
        <f>IFERROR(__xludf.DUMMYFUNCTION("""COMPUTED_VALUE"""),"CXDP2SDR201D")</f>
        <v>CXDP2SDR201D</v>
      </c>
      <c r="F908" s="4" t="str">
        <f>IFERROR(__xludf.DUMMYFUNCTION("""COMPUTED_VALUE"""),"PORTEROS / VIDEOPORTEROS &gt; PORTEROS UNIFAMILIARES SOLO AUDIO")</f>
        <v>PORTEROS / VIDEOPORTEROS &gt; PORTEROS UNIFAMILIARES SOLO AUDIO</v>
      </c>
      <c r="G908" s="5"/>
      <c r="H908" s="6">
        <f>IFERROR(__xludf.DUMMYFUNCTION("""COMPUTED_VALUE"""),68.75)</f>
        <v>68.75</v>
      </c>
      <c r="I908" s="7">
        <f>IFERROR(__xludf.DUMMYFUNCTION("""COMPUTED_VALUE"""),21.0)</f>
        <v>21</v>
      </c>
      <c r="J908" s="6">
        <f>IFERROR(__xludf.DUMMYFUNCTION("""COMPUTED_VALUE"""),82.5)</f>
        <v>82.5</v>
      </c>
      <c r="K908" s="6">
        <f>IFERROR(__xludf.DUMMYFUNCTION("""COMPUTED_VALUE"""),96.25)</f>
        <v>96.25</v>
      </c>
      <c r="L908" s="3"/>
      <c r="M908" s="3"/>
    </row>
    <row r="909" ht="48.0" customHeight="1">
      <c r="A909" s="3" t="str">
        <f>IFERROR(__xludf.DUMMYFUNCTION("""COMPUTED_VALUE"""),"CXDPLA101DR201H")</f>
        <v>CXDPLA101DR201H</v>
      </c>
      <c r="B909" s="4" t="str">
        <f>IFERROR(__xludf.DUMMYFUNCTION("""COMPUTED_VALUE"""),"KIT PORTERO ELÉCTRICO, INCLUYE DOS TELÉFONOS DP201LA CON INTERCOMUNICA")</f>
        <v>KIT PORTERO ELÉCTRICO, INCLUYE DOS TELÉFONOS DP201LA CON INTERCOMUNICA</v>
      </c>
      <c r="C909" s="4" t="str">
        <f>IFERROR(__xludf.DUMMYFUNCTION("""COMPUTED_VALUE"""),"Kit portero eléctrico, incluye dos teléfonos DP201LA con intercomunicación y frente DR201H de portero para embutir. Salida directa a cerradura AC 220V")</f>
        <v>Kit portero eléctrico, incluye dos teléfonos DP201LA con intercomunicación y frente DR201H de portero para embutir. Salida directa a cerradura AC 220V</v>
      </c>
      <c r="D909" s="4" t="str">
        <f>IFERROR(__xludf.DUMMYFUNCTION("""COMPUTED_VALUE"""),"COMMAX")</f>
        <v>COMMAX</v>
      </c>
      <c r="E909" s="4" t="str">
        <f>IFERROR(__xludf.DUMMYFUNCTION("""COMPUTED_VALUE"""),"CXDPLA101DR201H")</f>
        <v>CXDPLA101DR201H</v>
      </c>
      <c r="F909" s="4" t="str">
        <f>IFERROR(__xludf.DUMMYFUNCTION("""COMPUTED_VALUE"""),"PORTEROS / VIDEOPORTEROS &gt; PORTEROS UNIFAMILIARES SOLO AUDIO")</f>
        <v>PORTEROS / VIDEOPORTEROS &gt; PORTEROS UNIFAMILIARES SOLO AUDIO</v>
      </c>
      <c r="G909" s="5"/>
      <c r="H909" s="6">
        <f>IFERROR(__xludf.DUMMYFUNCTION("""COMPUTED_VALUE"""),119.63)</f>
        <v>119.63</v>
      </c>
      <c r="I909" s="7">
        <f>IFERROR(__xludf.DUMMYFUNCTION("""COMPUTED_VALUE"""),21.0)</f>
        <v>21</v>
      </c>
      <c r="J909" s="6">
        <f>IFERROR(__xludf.DUMMYFUNCTION("""COMPUTED_VALUE"""),143.56)</f>
        <v>143.56</v>
      </c>
      <c r="K909" s="6">
        <f>IFERROR(__xludf.DUMMYFUNCTION("""COMPUTED_VALUE"""),167.48)</f>
        <v>167.48</v>
      </c>
      <c r="L909" s="3"/>
      <c r="M909" s="3"/>
    </row>
    <row r="910" ht="48.0" customHeight="1">
      <c r="A910" s="3" t="str">
        <f>IFERROR(__xludf.DUMMYFUNCTION("""COMPUTED_VALUE"""),"CXDPLA101DR201D")</f>
        <v>CXDPLA101DR201D</v>
      </c>
      <c r="B910" s="4" t="str">
        <f>IFERROR(__xludf.DUMMYFUNCTION("""COMPUTED_VALUE"""),"KIT PORTERO ELÉCTRICO, INCLUYE DOS TELÉFONOS DP201LA CON INTERCOMUNICA")</f>
        <v>KIT PORTERO ELÉCTRICO, INCLUYE DOS TELÉFONOS DP201LA CON INTERCOMUNICA</v>
      </c>
      <c r="C910" s="4" t="str">
        <f>IFERROR(__xludf.DUMMYFUNCTION("""COMPUTED_VALUE"""),"Kit portero eléctrico, incluye dos teléfonos DP201LA con intercomunicación y frente DR201D de portero para montaje de superficie. Salida directa a cerradura AC 220V")</f>
        <v>Kit portero eléctrico, incluye dos teléfonos DP201LA con intercomunicación y frente DR201D de portero para montaje de superficie. Salida directa a cerradura AC 220V</v>
      </c>
      <c r="D910" s="4" t="str">
        <f>IFERROR(__xludf.DUMMYFUNCTION("""COMPUTED_VALUE"""),"COMMAX")</f>
        <v>COMMAX</v>
      </c>
      <c r="E910" s="4" t="str">
        <f>IFERROR(__xludf.DUMMYFUNCTION("""COMPUTED_VALUE"""),"CXDPLA101DR201D")</f>
        <v>CXDPLA101DR201D</v>
      </c>
      <c r="F910" s="4" t="str">
        <f>IFERROR(__xludf.DUMMYFUNCTION("""COMPUTED_VALUE"""),"PORTEROS / VIDEOPORTEROS &gt; PORTEROS UNIFAMILIARES SOLO AUDIO")</f>
        <v>PORTEROS / VIDEOPORTEROS &gt; PORTEROS UNIFAMILIARES SOLO AUDIO</v>
      </c>
      <c r="G910" s="5"/>
      <c r="H910" s="6">
        <f>IFERROR(__xludf.DUMMYFUNCTION("""COMPUTED_VALUE"""),119.63)</f>
        <v>119.63</v>
      </c>
      <c r="I910" s="7">
        <f>IFERROR(__xludf.DUMMYFUNCTION("""COMPUTED_VALUE"""),21.0)</f>
        <v>21</v>
      </c>
      <c r="J910" s="6">
        <f>IFERROR(__xludf.DUMMYFUNCTION("""COMPUTED_VALUE"""),143.56)</f>
        <v>143.56</v>
      </c>
      <c r="K910" s="6">
        <f>IFERROR(__xludf.DUMMYFUNCTION("""COMPUTED_VALUE"""),167.48)</f>
        <v>167.48</v>
      </c>
      <c r="L910" s="3"/>
      <c r="M910" s="3"/>
    </row>
    <row r="911" ht="48.0" customHeight="1">
      <c r="A911" s="3" t="str">
        <f>IFERROR(__xludf.DUMMYFUNCTION("""COMPUTED_VALUE"""),"CXDR2UM")</f>
        <v>CXDR2UM</v>
      </c>
      <c r="B911" s="4" t="str">
        <f>IFERROR(__xludf.DUMMYFUNCTION("""COMPUTED_VALUE"""),"FRENTE MASTER 2 PULSADORES")</f>
        <v>FRENTE MASTER 2 PULSADORES</v>
      </c>
      <c r="C911" s="4" t="str">
        <f>IFERROR(__xludf.DUMMYFUNCTION("""COMPUTED_VALUE"""),"Frente master 2 pulsadores. Alt.tapa 25 cm DC12V 1A")</f>
        <v>Frente master 2 pulsadores. Alt.tapa 25 cm DC12V 1A</v>
      </c>
      <c r="D911" s="4" t="str">
        <f>IFERROR(__xludf.DUMMYFUNCTION("""COMPUTED_VALUE"""),"COMMAX")</f>
        <v>COMMAX</v>
      </c>
      <c r="E911" s="4" t="str">
        <f>IFERROR(__xludf.DUMMYFUNCTION("""COMPUTED_VALUE"""),"CXDR2UM")</f>
        <v>CXDR2UM</v>
      </c>
      <c r="F911" s="4" t="str">
        <f>IFERROR(__xludf.DUMMYFUNCTION("""COMPUTED_VALUE"""),"PORTEROS / VIDEOPORTEROS &gt; PORTEROS MULTIFAMILIARES SOLO AUDIO")</f>
        <v>PORTEROS / VIDEOPORTEROS &gt; PORTEROS MULTIFAMILIARES SOLO AUDIO</v>
      </c>
      <c r="G911" s="5"/>
      <c r="H911" s="6">
        <f>IFERROR(__xludf.DUMMYFUNCTION("""COMPUTED_VALUE"""),93.5)</f>
        <v>93.5</v>
      </c>
      <c r="I911" s="7">
        <f>IFERROR(__xludf.DUMMYFUNCTION("""COMPUTED_VALUE"""),21.0)</f>
        <v>21</v>
      </c>
      <c r="J911" s="6">
        <f>IFERROR(__xludf.DUMMYFUNCTION("""COMPUTED_VALUE"""),112.2)</f>
        <v>112.2</v>
      </c>
      <c r="K911" s="6">
        <f>IFERROR(__xludf.DUMMYFUNCTION("""COMPUTED_VALUE"""),130.9)</f>
        <v>130.9</v>
      </c>
      <c r="L911" s="3"/>
      <c r="M911" s="3"/>
    </row>
    <row r="912" ht="48.0" customHeight="1">
      <c r="A912" s="3" t="str">
        <f>IFERROR(__xludf.DUMMYFUNCTION("""COMPUTED_VALUE"""),"CXDR4UM")</f>
        <v>CXDR4UM</v>
      </c>
      <c r="B912" s="4" t="str">
        <f>IFERROR(__xludf.DUMMYFUNCTION("""COMPUTED_VALUE"""),"FRENTE MASTER 4 PULSADORES")</f>
        <v>FRENTE MASTER 4 PULSADORES</v>
      </c>
      <c r="C912" s="4" t="str">
        <f>IFERROR(__xludf.DUMMYFUNCTION("""COMPUTED_VALUE"""),"Frente master 4 pulsadores. Alt.tapa 25 cm DC12V 1A")</f>
        <v>Frente master 4 pulsadores. Alt.tapa 25 cm DC12V 1A</v>
      </c>
      <c r="D912" s="4" t="str">
        <f>IFERROR(__xludf.DUMMYFUNCTION("""COMPUTED_VALUE"""),"COMMAX")</f>
        <v>COMMAX</v>
      </c>
      <c r="E912" s="4" t="str">
        <f>IFERROR(__xludf.DUMMYFUNCTION("""COMPUTED_VALUE"""),"CXDR4UM")</f>
        <v>CXDR4UM</v>
      </c>
      <c r="F912" s="4" t="str">
        <f>IFERROR(__xludf.DUMMYFUNCTION("""COMPUTED_VALUE"""),"PORTEROS / VIDEOPORTEROS &gt; PORTEROS MULTIFAMILIARES SOLO AUDIO")</f>
        <v>PORTEROS / VIDEOPORTEROS &gt; PORTEROS MULTIFAMILIARES SOLO AUDIO</v>
      </c>
      <c r="G912" s="5"/>
      <c r="H912" s="6">
        <f>IFERROR(__xludf.DUMMYFUNCTION("""COMPUTED_VALUE"""),107.25)</f>
        <v>107.25</v>
      </c>
      <c r="I912" s="7">
        <f>IFERROR(__xludf.DUMMYFUNCTION("""COMPUTED_VALUE"""),21.0)</f>
        <v>21</v>
      </c>
      <c r="J912" s="6">
        <f>IFERROR(__xludf.DUMMYFUNCTION("""COMPUTED_VALUE"""),128.7)</f>
        <v>128.7</v>
      </c>
      <c r="K912" s="6">
        <f>IFERROR(__xludf.DUMMYFUNCTION("""COMPUTED_VALUE"""),150.15)</f>
        <v>150.15</v>
      </c>
      <c r="L912" s="3"/>
      <c r="M912" s="3"/>
    </row>
    <row r="913" ht="48.0" customHeight="1">
      <c r="A913" s="3" t="str">
        <f>IFERROR(__xludf.DUMMYFUNCTION("""COMPUTED_VALUE"""),"CXDR6UM")</f>
        <v>CXDR6UM</v>
      </c>
      <c r="B913" s="4" t="str">
        <f>IFERROR(__xludf.DUMMYFUNCTION("""COMPUTED_VALUE"""),"FRENTE MASTER 6 PULSADORES")</f>
        <v>FRENTE MASTER 6 PULSADORES</v>
      </c>
      <c r="C913" s="4" t="str">
        <f>IFERROR(__xludf.DUMMYFUNCTION("""COMPUTED_VALUE"""),"Frente master 6 pulsadores. Alt.tapa 25 cm DC12V 1A")</f>
        <v>Frente master 6 pulsadores. Alt.tapa 25 cm DC12V 1A</v>
      </c>
      <c r="D913" s="4" t="str">
        <f>IFERROR(__xludf.DUMMYFUNCTION("""COMPUTED_VALUE"""),"COMMAX")</f>
        <v>COMMAX</v>
      </c>
      <c r="E913" s="4" t="str">
        <f>IFERROR(__xludf.DUMMYFUNCTION("""COMPUTED_VALUE"""),"CXDR6UM")</f>
        <v>CXDR6UM</v>
      </c>
      <c r="F913" s="4" t="str">
        <f>IFERROR(__xludf.DUMMYFUNCTION("""COMPUTED_VALUE"""),"PORTEROS / VIDEOPORTEROS &gt; PORTEROS MULTIFAMILIARES SOLO AUDIO")</f>
        <v>PORTEROS / VIDEOPORTEROS &gt; PORTEROS MULTIFAMILIARES SOLO AUDIO</v>
      </c>
      <c r="G913" s="5"/>
      <c r="H913" s="6">
        <f>IFERROR(__xludf.DUMMYFUNCTION("""COMPUTED_VALUE"""),119.63)</f>
        <v>119.63</v>
      </c>
      <c r="I913" s="7">
        <f>IFERROR(__xludf.DUMMYFUNCTION("""COMPUTED_VALUE"""),21.0)</f>
        <v>21</v>
      </c>
      <c r="J913" s="6">
        <f>IFERROR(__xludf.DUMMYFUNCTION("""COMPUTED_VALUE"""),143.56)</f>
        <v>143.56</v>
      </c>
      <c r="K913" s="6">
        <f>IFERROR(__xludf.DUMMYFUNCTION("""COMPUTED_VALUE"""),167.48)</f>
        <v>167.48</v>
      </c>
      <c r="L913" s="3"/>
      <c r="M913" s="3"/>
    </row>
    <row r="914" ht="48.0" customHeight="1">
      <c r="A914" s="3" t="str">
        <f>IFERROR(__xludf.DUMMYFUNCTION("""COMPUTED_VALUE"""),"CXDR8UM")</f>
        <v>CXDR8UM</v>
      </c>
      <c r="B914" s="4" t="str">
        <f>IFERROR(__xludf.DUMMYFUNCTION("""COMPUTED_VALUE"""),"FRENTE MASTER 8 PULSADORES")</f>
        <v>FRENTE MASTER 8 PULSADORES</v>
      </c>
      <c r="C914" s="4" t="str">
        <f>IFERROR(__xludf.DUMMYFUNCTION("""COMPUTED_VALUE"""),"Frente master 8 pulsadores. Alt.tapa 31,5 cm DC12V 1A")</f>
        <v>Frente master 8 pulsadores. Alt.tapa 31,5 cm DC12V 1A</v>
      </c>
      <c r="D914" s="4" t="str">
        <f>IFERROR(__xludf.DUMMYFUNCTION("""COMPUTED_VALUE"""),"COMMAX")</f>
        <v>COMMAX</v>
      </c>
      <c r="E914" s="4" t="str">
        <f>IFERROR(__xludf.DUMMYFUNCTION("""COMPUTED_VALUE"""),"CXDR8UM")</f>
        <v>CXDR8UM</v>
      </c>
      <c r="F914" s="4" t="str">
        <f>IFERROR(__xludf.DUMMYFUNCTION("""COMPUTED_VALUE"""),"PORTEROS / VIDEOPORTEROS &gt; PORTEROS MULTIFAMILIARES SOLO AUDIO")</f>
        <v>PORTEROS / VIDEOPORTEROS &gt; PORTEROS MULTIFAMILIARES SOLO AUDIO</v>
      </c>
      <c r="G914" s="5"/>
      <c r="H914" s="6">
        <f>IFERROR(__xludf.DUMMYFUNCTION("""COMPUTED_VALUE"""),132.0)</f>
        <v>132</v>
      </c>
      <c r="I914" s="7">
        <f>IFERROR(__xludf.DUMMYFUNCTION("""COMPUTED_VALUE"""),21.0)</f>
        <v>21</v>
      </c>
      <c r="J914" s="6">
        <f>IFERROR(__xludf.DUMMYFUNCTION("""COMPUTED_VALUE"""),158.4)</f>
        <v>158.4</v>
      </c>
      <c r="K914" s="6">
        <f>IFERROR(__xludf.DUMMYFUNCTION("""COMPUTED_VALUE"""),184.8)</f>
        <v>184.8</v>
      </c>
      <c r="L914" s="3"/>
      <c r="M914" s="3"/>
    </row>
    <row r="915" ht="48.0" customHeight="1">
      <c r="A915" s="3" t="str">
        <f>IFERROR(__xludf.DUMMYFUNCTION("""COMPUTED_VALUE"""),"CXDR4US")</f>
        <v>CXDR4US</v>
      </c>
      <c r="B915" s="4" t="str">
        <f>IFERROR(__xludf.DUMMYFUNCTION("""COMPUTED_VALUE"""),"FRENTE EXPANSOR 4 PULSADORES")</f>
        <v>FRENTE EXPANSOR 4 PULSADORES</v>
      </c>
      <c r="C915" s="4" t="str">
        <f>IFERROR(__xludf.DUMMYFUNCTION("""COMPUTED_VALUE"""),"Frente expansor 4 pulsadores. Alt.tapa 31,5 cm DC12V 1A")</f>
        <v>Frente expansor 4 pulsadores. Alt.tapa 31,5 cm DC12V 1A</v>
      </c>
      <c r="D915" s="4" t="str">
        <f>IFERROR(__xludf.DUMMYFUNCTION("""COMPUTED_VALUE"""),"COMMAX")</f>
        <v>COMMAX</v>
      </c>
      <c r="E915" s="4" t="str">
        <f>IFERROR(__xludf.DUMMYFUNCTION("""COMPUTED_VALUE"""),"CXDR4US")</f>
        <v>CXDR4US</v>
      </c>
      <c r="F915" s="4" t="str">
        <f>IFERROR(__xludf.DUMMYFUNCTION("""COMPUTED_VALUE"""),"PORTEROS / VIDEOPORTEROS &gt; PORTEROS MULTIFAMILIARES SOLO AUDIO")</f>
        <v>PORTEROS / VIDEOPORTEROS &gt; PORTEROS MULTIFAMILIARES SOLO AUDIO</v>
      </c>
      <c r="G915" s="5"/>
      <c r="H915" s="6">
        <f>IFERROR(__xludf.DUMMYFUNCTION("""COMPUTED_VALUE"""),89.38)</f>
        <v>89.38</v>
      </c>
      <c r="I915" s="7">
        <f>IFERROR(__xludf.DUMMYFUNCTION("""COMPUTED_VALUE"""),21.0)</f>
        <v>21</v>
      </c>
      <c r="J915" s="6">
        <f>IFERROR(__xludf.DUMMYFUNCTION("""COMPUTED_VALUE"""),107.26)</f>
        <v>107.26</v>
      </c>
      <c r="K915" s="6">
        <f>IFERROR(__xludf.DUMMYFUNCTION("""COMPUTED_VALUE"""),125.13)</f>
        <v>125.13</v>
      </c>
      <c r="L915" s="3"/>
      <c r="M915" s="3"/>
    </row>
    <row r="916" ht="48.0" customHeight="1">
      <c r="A916" s="3" t="str">
        <f>IFERROR(__xludf.DUMMYFUNCTION("""COMPUTED_VALUE"""),"CXDR6US")</f>
        <v>CXDR6US</v>
      </c>
      <c r="B916" s="4" t="str">
        <f>IFERROR(__xludf.DUMMYFUNCTION("""COMPUTED_VALUE"""),"FRENTE EXPANSOR 6 PULSADORES")</f>
        <v>FRENTE EXPANSOR 6 PULSADORES</v>
      </c>
      <c r="C916" s="4" t="str">
        <f>IFERROR(__xludf.DUMMYFUNCTION("""COMPUTED_VALUE"""),"Frente expansor 6 pulsadores. Alt.tapa 31,5 cm DC12V 1A")</f>
        <v>Frente expansor 6 pulsadores. Alt.tapa 31,5 cm DC12V 1A</v>
      </c>
      <c r="D916" s="4" t="str">
        <f>IFERROR(__xludf.DUMMYFUNCTION("""COMPUTED_VALUE"""),"COMMAX")</f>
        <v>COMMAX</v>
      </c>
      <c r="E916" s="4" t="str">
        <f>IFERROR(__xludf.DUMMYFUNCTION("""COMPUTED_VALUE"""),"CXDR6US")</f>
        <v>CXDR6US</v>
      </c>
      <c r="F916" s="4" t="str">
        <f>IFERROR(__xludf.DUMMYFUNCTION("""COMPUTED_VALUE"""),"PORTEROS / VIDEOPORTEROS &gt; PORTEROS MULTIFAMILIARES SOLO AUDIO")</f>
        <v>PORTEROS / VIDEOPORTEROS &gt; PORTEROS MULTIFAMILIARES SOLO AUDIO</v>
      </c>
      <c r="G916" s="5"/>
      <c r="H916" s="6">
        <f>IFERROR(__xludf.DUMMYFUNCTION("""COMPUTED_VALUE"""),94.88)</f>
        <v>94.88</v>
      </c>
      <c r="I916" s="7">
        <f>IFERROR(__xludf.DUMMYFUNCTION("""COMPUTED_VALUE"""),21.0)</f>
        <v>21</v>
      </c>
      <c r="J916" s="6">
        <f>IFERROR(__xludf.DUMMYFUNCTION("""COMPUTED_VALUE"""),113.86)</f>
        <v>113.86</v>
      </c>
      <c r="K916" s="6">
        <f>IFERROR(__xludf.DUMMYFUNCTION("""COMPUTED_VALUE"""),132.83)</f>
        <v>132.83</v>
      </c>
      <c r="L916" s="3"/>
      <c r="M916" s="3"/>
    </row>
    <row r="917" ht="48.0" customHeight="1">
      <c r="A917" s="3" t="str">
        <f>IFERROR(__xludf.DUMMYFUNCTION("""COMPUTED_VALUE"""),"CXDR8US")</f>
        <v>CXDR8US</v>
      </c>
      <c r="B917" s="4" t="str">
        <f>IFERROR(__xludf.DUMMYFUNCTION("""COMPUTED_VALUE"""),"FRENTE EXPANSOR 8 PULSADORES")</f>
        <v>FRENTE EXPANSOR 8 PULSADORES</v>
      </c>
      <c r="C917" s="4" t="str">
        <f>IFERROR(__xludf.DUMMYFUNCTION("""COMPUTED_VALUE"""),"Frente expansor 8 pulsadores. Alt.tapa 31,5 cm DC12V 1A")</f>
        <v>Frente expansor 8 pulsadores. Alt.tapa 31,5 cm DC12V 1A</v>
      </c>
      <c r="D917" s="4" t="str">
        <f>IFERROR(__xludf.DUMMYFUNCTION("""COMPUTED_VALUE"""),"COMMAX")</f>
        <v>COMMAX</v>
      </c>
      <c r="E917" s="4" t="str">
        <f>IFERROR(__xludf.DUMMYFUNCTION("""COMPUTED_VALUE"""),"CXDR8US")</f>
        <v>CXDR8US</v>
      </c>
      <c r="F917" s="4" t="str">
        <f>IFERROR(__xludf.DUMMYFUNCTION("""COMPUTED_VALUE"""),"PORTEROS / VIDEOPORTEROS &gt; PORTEROS MULTIFAMILIARES SOLO AUDIO")</f>
        <v>PORTEROS / VIDEOPORTEROS &gt; PORTEROS MULTIFAMILIARES SOLO AUDIO</v>
      </c>
      <c r="G917" s="5"/>
      <c r="H917" s="6">
        <f>IFERROR(__xludf.DUMMYFUNCTION("""COMPUTED_VALUE"""),107.25)</f>
        <v>107.25</v>
      </c>
      <c r="I917" s="7">
        <f>IFERROR(__xludf.DUMMYFUNCTION("""COMPUTED_VALUE"""),21.0)</f>
        <v>21</v>
      </c>
      <c r="J917" s="6">
        <f>IFERROR(__xludf.DUMMYFUNCTION("""COMPUTED_VALUE"""),128.7)</f>
        <v>128.7</v>
      </c>
      <c r="K917" s="6">
        <f>IFERROR(__xludf.DUMMYFUNCTION("""COMPUTED_VALUE"""),150.15)</f>
        <v>150.15</v>
      </c>
      <c r="L917" s="3"/>
      <c r="M917" s="3"/>
    </row>
    <row r="918" ht="48.0" customHeight="1">
      <c r="A918" s="3" t="str">
        <f>IFERROR(__xludf.DUMMYFUNCTION("""COMPUTED_VALUE"""),"CXDR10US")</f>
        <v>CXDR10US</v>
      </c>
      <c r="B918" s="4" t="str">
        <f>IFERROR(__xludf.DUMMYFUNCTION("""COMPUTED_VALUE"""),"FRENTE EXPANSOR 10 PULSADORES")</f>
        <v>FRENTE EXPANSOR 10 PULSADORES</v>
      </c>
      <c r="C918" s="4" t="str">
        <f>IFERROR(__xludf.DUMMYFUNCTION("""COMPUTED_VALUE"""),"Frente expansor 10 pulsadores. Alt.tapa 31,5 cm DC12V 1A")</f>
        <v>Frente expansor 10 pulsadores. Alt.tapa 31,5 cm DC12V 1A</v>
      </c>
      <c r="D918" s="4" t="str">
        <f>IFERROR(__xludf.DUMMYFUNCTION("""COMPUTED_VALUE"""),"COMMAX")</f>
        <v>COMMAX</v>
      </c>
      <c r="E918" s="4" t="str">
        <f>IFERROR(__xludf.DUMMYFUNCTION("""COMPUTED_VALUE"""),"CXDR10US")</f>
        <v>CXDR10US</v>
      </c>
      <c r="F918" s="4" t="str">
        <f>IFERROR(__xludf.DUMMYFUNCTION("""COMPUTED_VALUE"""),"PORTEROS / VIDEOPORTEROS &gt; PORTEROS MULTIFAMILIARES SOLO AUDIO")</f>
        <v>PORTEROS / VIDEOPORTEROS &gt; PORTEROS MULTIFAMILIARES SOLO AUDIO</v>
      </c>
      <c r="G918" s="5"/>
      <c r="H918" s="6">
        <f>IFERROR(__xludf.DUMMYFUNCTION("""COMPUTED_VALUE"""),118.25)</f>
        <v>118.25</v>
      </c>
      <c r="I918" s="7">
        <f>IFERROR(__xludf.DUMMYFUNCTION("""COMPUTED_VALUE"""),21.0)</f>
        <v>21</v>
      </c>
      <c r="J918" s="6">
        <f>IFERROR(__xludf.DUMMYFUNCTION("""COMPUTED_VALUE"""),141.9)</f>
        <v>141.9</v>
      </c>
      <c r="K918" s="6">
        <f>IFERROR(__xludf.DUMMYFUNCTION("""COMPUTED_VALUE"""),165.55)</f>
        <v>165.55</v>
      </c>
      <c r="L918" s="3"/>
      <c r="M918" s="3"/>
    </row>
    <row r="919" ht="48.0" customHeight="1">
      <c r="A919" s="3" t="str">
        <f>IFERROR(__xludf.DUMMYFUNCTION("""COMPUTED_VALUE"""),"CXDR12US")</f>
        <v>CXDR12US</v>
      </c>
      <c r="B919" s="4" t="str">
        <f>IFERROR(__xludf.DUMMYFUNCTION("""COMPUTED_VALUE"""),"FRENTE EXPANSOR 12 PULSADORES")</f>
        <v>FRENTE EXPANSOR 12 PULSADORES</v>
      </c>
      <c r="C919" s="4" t="str">
        <f>IFERROR(__xludf.DUMMYFUNCTION("""COMPUTED_VALUE"""),"Frente expansor 12 pulsadores. Alt.tapa 31,5 cm DC12V 1A")</f>
        <v>Frente expansor 12 pulsadores. Alt.tapa 31,5 cm DC12V 1A</v>
      </c>
      <c r="D919" s="4" t="str">
        <f>IFERROR(__xludf.DUMMYFUNCTION("""COMPUTED_VALUE"""),"COMMAX")</f>
        <v>COMMAX</v>
      </c>
      <c r="E919" s="4" t="str">
        <f>IFERROR(__xludf.DUMMYFUNCTION("""COMPUTED_VALUE"""),"CXDR12US")</f>
        <v>CXDR12US</v>
      </c>
      <c r="F919" s="4" t="str">
        <f>IFERROR(__xludf.DUMMYFUNCTION("""COMPUTED_VALUE"""),"PORTEROS / VIDEOPORTEROS &gt; PORTEROS MULTIFAMILIARES SOLO AUDIO")</f>
        <v>PORTEROS / VIDEOPORTEROS &gt; PORTEROS MULTIFAMILIARES SOLO AUDIO</v>
      </c>
      <c r="G919" s="5"/>
      <c r="H919" s="6">
        <f>IFERROR(__xludf.DUMMYFUNCTION("""COMPUTED_VALUE"""),130.63)</f>
        <v>130.63</v>
      </c>
      <c r="I919" s="7">
        <f>IFERROR(__xludf.DUMMYFUNCTION("""COMPUTED_VALUE"""),21.0)</f>
        <v>21</v>
      </c>
      <c r="J919" s="6">
        <f>IFERROR(__xludf.DUMMYFUNCTION("""COMPUTED_VALUE"""),156.76)</f>
        <v>156.76</v>
      </c>
      <c r="K919" s="6">
        <f>IFERROR(__xludf.DUMMYFUNCTION("""COMPUTED_VALUE"""),182.88)</f>
        <v>182.88</v>
      </c>
      <c r="L919" s="3"/>
      <c r="M919" s="3"/>
    </row>
    <row r="920" ht="48.0" customHeight="1">
      <c r="A920" s="3" t="str">
        <f>IFERROR(__xludf.DUMMYFUNCTION("""COMPUTED_VALUE"""),"CXDPSS")</f>
        <v>CXDPSS</v>
      </c>
      <c r="B920" s="4" t="str">
        <f>IFERROR(__xludf.DUMMYFUNCTION("""COMPUTED_VALUE"""),"TELÉFONO PARA LÍNEA DR-UM / DR-AM DIMENSIONES DEL TELEFONO:")</f>
        <v>TELÉFONO PARA LÍNEA DR-UM / DR-AM DIMENSIONES DEL TELEFONO:</v>
      </c>
      <c r="C920" s="4" t="str">
        <f>IFERROR(__xludf.DUMMYFUNCTION("""COMPUTED_VALUE"""),"Teléfono para línea DR-UM / DR-AM DIMENSIONES DEL TELEFONO: 72 x 215 x 38 (mm) CABLEADO: 4 HILOS DC 12v")</f>
        <v>Teléfono para línea DR-UM / DR-AM DIMENSIONES DEL TELEFONO: 72 x 215 x 38 (mm) CABLEADO: 4 HILOS DC 12v</v>
      </c>
      <c r="D920" s="4" t="str">
        <f>IFERROR(__xludf.DUMMYFUNCTION("""COMPUTED_VALUE"""),"COMMAX")</f>
        <v>COMMAX</v>
      </c>
      <c r="E920" s="4" t="str">
        <f>IFERROR(__xludf.DUMMYFUNCTION("""COMPUTED_VALUE"""),"CXDPSS")</f>
        <v>CXDPSS</v>
      </c>
      <c r="F920" s="4" t="str">
        <f>IFERROR(__xludf.DUMMYFUNCTION("""COMPUTED_VALUE"""),"PORTEROS / VIDEOPORTEROS &gt; PORTEROS MULTIFAMILIARES SOLO AUDIO")</f>
        <v>PORTEROS / VIDEOPORTEROS &gt; PORTEROS MULTIFAMILIARES SOLO AUDIO</v>
      </c>
      <c r="G920" s="5"/>
      <c r="H920" s="6">
        <f>IFERROR(__xludf.DUMMYFUNCTION("""COMPUTED_VALUE"""),24.75)</f>
        <v>24.75</v>
      </c>
      <c r="I920" s="7">
        <f>IFERROR(__xludf.DUMMYFUNCTION("""COMPUTED_VALUE"""),21.0)</f>
        <v>21</v>
      </c>
      <c r="J920" s="6">
        <f>IFERROR(__xludf.DUMMYFUNCTION("""COMPUTED_VALUE"""),29.7)</f>
        <v>29.7</v>
      </c>
      <c r="K920" s="6">
        <f>IFERROR(__xludf.DUMMYFUNCTION("""COMPUTED_VALUE"""),34.65)</f>
        <v>34.65</v>
      </c>
      <c r="L920" s="3"/>
      <c r="M920" s="3"/>
    </row>
    <row r="921" ht="48.0" customHeight="1">
      <c r="A921" s="3" t="str">
        <f>IFERROR(__xludf.DUMMYFUNCTION("""COMPUTED_VALUE"""),"CFCLVR02EXT")</f>
        <v>CFCLVR02EXT</v>
      </c>
      <c r="B921" s="4" t="str">
        <f>IFERROR(__xludf.DUMMYFUNCTION("""COMPUTED_VALUE"""),"PANEL DE CONTROL DE INCENDIO CLVR CONVENCIONAL DE 2")</f>
        <v>PANEL DE CONTROL DE INCENDIO CLVR CONVENCIONAL DE 2</v>
      </c>
      <c r="C921" s="4" t="str">
        <f>IFERROR(__xludf.DUMMYFUNCTION("""COMPUTED_VALUE"""),"Panel de control de incendio CLVR Convencional de 2 zonas con función de extinción")</f>
        <v>Panel de control de incendio CLVR Convencional de 2 zonas con función de extinción</v>
      </c>
      <c r="D921" s="4" t="str">
        <f>IFERROR(__xludf.DUMMYFUNCTION("""COMPUTED_VALUE"""),"COFEM")</f>
        <v>COFEM</v>
      </c>
      <c r="E921" s="4" t="str">
        <f>IFERROR(__xludf.DUMMYFUNCTION("""COMPUTED_VALUE"""),"CFCLVR02EXT")</f>
        <v>CFCLVR02EXT</v>
      </c>
      <c r="F921" s="4" t="str">
        <f>IFERROR(__xludf.DUMMYFUNCTION("""COMPUTED_VALUE"""),"INCENDIO &gt; PANELES CONVENSIONALES")</f>
        <v>INCENDIO &gt; PANELES CONVENSIONALES</v>
      </c>
      <c r="G921" s="5"/>
      <c r="H921" s="6">
        <f>IFERROR(__xludf.DUMMYFUNCTION("""COMPUTED_VALUE"""),409.05)</f>
        <v>409.05</v>
      </c>
      <c r="I921" s="7">
        <f>IFERROR(__xludf.DUMMYFUNCTION("""COMPUTED_VALUE"""),21.0)</f>
        <v>21</v>
      </c>
      <c r="J921" s="6">
        <f>IFERROR(__xludf.DUMMYFUNCTION("""COMPUTED_VALUE"""),490.86)</f>
        <v>490.86</v>
      </c>
      <c r="K921" s="6">
        <f>IFERROR(__xludf.DUMMYFUNCTION("""COMPUTED_VALUE"""),572.67)</f>
        <v>572.67</v>
      </c>
      <c r="L921" s="3"/>
      <c r="M921" s="3"/>
    </row>
    <row r="922" ht="48.0" customHeight="1">
      <c r="A922" s="3" t="str">
        <f>IFERROR(__xludf.DUMMYFUNCTION("""COMPUTED_VALUE"""),"CFIRON04ROJ")</f>
        <v>CFIRON04ROJ</v>
      </c>
      <c r="B922" s="4" t="str">
        <f>IFERROR(__xludf.DUMMYFUNCTION("""COMPUTED_VALUE"""),"PANEL DE CONTROL DE INCENDIO IRON CONVENCIONAL DE 4 ZONAS")</f>
        <v>PANEL DE CONTROL DE INCENDIO IRON CONVENCIONAL DE 4 ZONAS</v>
      </c>
      <c r="C922" s="4" t="str">
        <f>IFERROR(__xludf.DUMMYFUNCTION("""COMPUTED_VALUE"""),"Panel de control de incendio IRON Convencional de 4 zonas")</f>
        <v>Panel de control de incendio IRON Convencional de 4 zonas</v>
      </c>
      <c r="D922" s="4" t="str">
        <f>IFERROR(__xludf.DUMMYFUNCTION("""COMPUTED_VALUE"""),"COFEM")</f>
        <v>COFEM</v>
      </c>
      <c r="E922" s="4" t="str">
        <f>IFERROR(__xludf.DUMMYFUNCTION("""COMPUTED_VALUE"""),"CFIRON04ROJ")</f>
        <v>CFIRON04ROJ</v>
      </c>
      <c r="F922" s="4" t="str">
        <f>IFERROR(__xludf.DUMMYFUNCTION("""COMPUTED_VALUE"""),"INCENDIO &gt; PANELES CONVENSIONALES")</f>
        <v>INCENDIO &gt; PANELES CONVENSIONALES</v>
      </c>
      <c r="G922" s="5"/>
      <c r="H922" s="6">
        <f>IFERROR(__xludf.DUMMYFUNCTION("""COMPUTED_VALUE"""),179.52)</f>
        <v>179.52</v>
      </c>
      <c r="I922" s="7">
        <f>IFERROR(__xludf.DUMMYFUNCTION("""COMPUTED_VALUE"""),21.0)</f>
        <v>21</v>
      </c>
      <c r="J922" s="6">
        <f>IFERROR(__xludf.DUMMYFUNCTION("""COMPUTED_VALUE"""),215.42)</f>
        <v>215.42</v>
      </c>
      <c r="K922" s="6">
        <f>IFERROR(__xludf.DUMMYFUNCTION("""COMPUTED_VALUE"""),251.33)</f>
        <v>251.33</v>
      </c>
      <c r="L922" s="3"/>
      <c r="M922" s="3"/>
    </row>
    <row r="923" ht="48.0" customHeight="1">
      <c r="A923" s="3" t="str">
        <f>IFERROR(__xludf.DUMMYFUNCTION("""COMPUTED_VALUE"""),"CFCLVR08")</f>
        <v>CFCLVR08</v>
      </c>
      <c r="B923" s="4" t="str">
        <f>IFERROR(__xludf.DUMMYFUNCTION("""COMPUTED_VALUE"""),"PANEL DE CONTROL DE INCENDIO CLVR CONVENCIONAL DE 8 ZONAS")</f>
        <v>PANEL DE CONTROL DE INCENDIO CLVR CONVENCIONAL DE 8 ZONAS</v>
      </c>
      <c r="C923" s="4" t="str">
        <f>IFERROR(__xludf.DUMMYFUNCTION("""COMPUTED_VALUE"""),"Panel de control de incendio CLVR Convencional de 8 zonas")</f>
        <v>Panel de control de incendio CLVR Convencional de 8 zonas</v>
      </c>
      <c r="D923" s="4" t="str">
        <f>IFERROR(__xludf.DUMMYFUNCTION("""COMPUTED_VALUE"""),"COFEM")</f>
        <v>COFEM</v>
      </c>
      <c r="E923" s="4" t="str">
        <f>IFERROR(__xludf.DUMMYFUNCTION("""COMPUTED_VALUE"""),"CFCLVR08")</f>
        <v>CFCLVR08</v>
      </c>
      <c r="F923" s="4" t="str">
        <f>IFERROR(__xludf.DUMMYFUNCTION("""COMPUTED_VALUE"""),"INCENDIO &gt; PANELES CONVENSIONALES")</f>
        <v>INCENDIO &gt; PANELES CONVENSIONALES</v>
      </c>
      <c r="G923" s="5"/>
      <c r="H923" s="6">
        <f>IFERROR(__xludf.DUMMYFUNCTION("""COMPUTED_VALUE"""),412.5)</f>
        <v>412.5</v>
      </c>
      <c r="I923" s="7">
        <f>IFERROR(__xludf.DUMMYFUNCTION("""COMPUTED_VALUE"""),21.0)</f>
        <v>21</v>
      </c>
      <c r="J923" s="6">
        <f>IFERROR(__xludf.DUMMYFUNCTION("""COMPUTED_VALUE"""),495.0)</f>
        <v>495</v>
      </c>
      <c r="K923" s="6">
        <f>IFERROR(__xludf.DUMMYFUNCTION("""COMPUTED_VALUE"""),577.5)</f>
        <v>577.5</v>
      </c>
      <c r="L923" s="3"/>
      <c r="M923" s="3"/>
    </row>
    <row r="924" ht="48.0" customHeight="1">
      <c r="A924" s="3" t="str">
        <f>IFERROR(__xludf.DUMMYFUNCTION("""COMPUTED_VALUE"""),"CFCLVR12")</f>
        <v>CFCLVR12</v>
      </c>
      <c r="B924" s="4" t="str">
        <f>IFERROR(__xludf.DUMMYFUNCTION("""COMPUTED_VALUE"""),"PANEL DE CONTROL DE INCENDIO CLVR CONVENCIONAL DE 12 ZONAS")</f>
        <v>PANEL DE CONTROL DE INCENDIO CLVR CONVENCIONAL DE 12 ZONAS</v>
      </c>
      <c r="C924" s="4" t="str">
        <f>IFERROR(__xludf.DUMMYFUNCTION("""COMPUTED_VALUE"""),"Panel de control de incendio CLVR Convencional de 12 zonas")</f>
        <v>Panel de control de incendio CLVR Convencional de 12 zonas</v>
      </c>
      <c r="D924" s="4" t="str">
        <f>IFERROR(__xludf.DUMMYFUNCTION("""COMPUTED_VALUE"""),"COFEM")</f>
        <v>COFEM</v>
      </c>
      <c r="E924" s="4" t="str">
        <f>IFERROR(__xludf.DUMMYFUNCTION("""COMPUTED_VALUE"""),"CFCLVR12")</f>
        <v>CFCLVR12</v>
      </c>
      <c r="F924" s="4" t="str">
        <f>IFERROR(__xludf.DUMMYFUNCTION("""COMPUTED_VALUE"""),"INCENDIO &gt; PANELES CONVENSIONALES")</f>
        <v>INCENDIO &gt; PANELES CONVENSIONALES</v>
      </c>
      <c r="G924" s="5"/>
      <c r="H924" s="6">
        <f>IFERROR(__xludf.DUMMYFUNCTION("""COMPUTED_VALUE"""),328.63)</f>
        <v>328.63</v>
      </c>
      <c r="I924" s="7">
        <f>IFERROR(__xludf.DUMMYFUNCTION("""COMPUTED_VALUE"""),21.0)</f>
        <v>21</v>
      </c>
      <c r="J924" s="6">
        <f>IFERROR(__xludf.DUMMYFUNCTION("""COMPUTED_VALUE"""),394.36)</f>
        <v>394.36</v>
      </c>
      <c r="K924" s="6">
        <f>IFERROR(__xludf.DUMMYFUNCTION("""COMPUTED_VALUE"""),460.08)</f>
        <v>460.08</v>
      </c>
      <c r="L924" s="3"/>
      <c r="M924" s="3"/>
    </row>
    <row r="925" ht="48.0" customHeight="1">
      <c r="A925" s="3" t="str">
        <f>IFERROR(__xludf.DUMMYFUNCTION("""COMPUTED_VALUE"""),"CFCLVR12MDB")</f>
        <v>CFCLVR12MDB</v>
      </c>
      <c r="B925" s="4" t="str">
        <f>IFERROR(__xludf.DUMMYFUNCTION("""COMPUTED_VALUE"""),"PANEL DE CONTROL DE INCENDIO CLVR CONVENCIONALDE 12 ZONAS CON MODBUS")</f>
        <v>PANEL DE CONTROL DE INCENDIO CLVR CONVENCIONALDE 12 ZONAS CON MODBUS</v>
      </c>
      <c r="C925" s="4" t="str">
        <f>IFERROR(__xludf.DUMMYFUNCTION("""COMPUTED_VALUE"""),"Panel de control de incendio CLVR Convencionalde 12 zonas con MODBUS")</f>
        <v>Panel de control de incendio CLVR Convencionalde 12 zonas con MODBUS</v>
      </c>
      <c r="D925" s="4" t="str">
        <f>IFERROR(__xludf.DUMMYFUNCTION("""COMPUTED_VALUE"""),"COFEM")</f>
        <v>COFEM</v>
      </c>
      <c r="E925" s="4" t="str">
        <f>IFERROR(__xludf.DUMMYFUNCTION("""COMPUTED_VALUE"""),"CFCLVR12MDB")</f>
        <v>CFCLVR12MDB</v>
      </c>
      <c r="F925" s="4" t="str">
        <f>IFERROR(__xludf.DUMMYFUNCTION("""COMPUTED_VALUE"""),"INCENDIO &gt; PANELES CONVENSIONALES")</f>
        <v>INCENDIO &gt; PANELES CONVENSIONALES</v>
      </c>
      <c r="G925" s="5"/>
      <c r="H925" s="6">
        <f>IFERROR(__xludf.DUMMYFUNCTION("""COMPUTED_VALUE"""),386.61)</f>
        <v>386.61</v>
      </c>
      <c r="I925" s="7">
        <f>IFERROR(__xludf.DUMMYFUNCTION("""COMPUTED_VALUE"""),21.0)</f>
        <v>21</v>
      </c>
      <c r="J925" s="6">
        <f>IFERROR(__xludf.DUMMYFUNCTION("""COMPUTED_VALUE"""),463.93)</f>
        <v>463.93</v>
      </c>
      <c r="K925" s="6">
        <f>IFERROR(__xludf.DUMMYFUNCTION("""COMPUTED_VALUE"""),541.25)</f>
        <v>541.25</v>
      </c>
      <c r="L925" s="3"/>
      <c r="M925" s="3"/>
    </row>
    <row r="926" ht="48.0" customHeight="1">
      <c r="A926" s="3" t="str">
        <f>IFERROR(__xludf.DUMMYFUNCTION("""COMPUTED_VALUE"""),"CFSILVER12")</f>
        <v>CFSILVER12</v>
      </c>
      <c r="B926" s="4" t="str">
        <f>IFERROR(__xludf.DUMMYFUNCTION("""COMPUTED_VALUE"""),"CENTRAL SILVER CONVENCIONAL DE 12 ZONAS")</f>
        <v>CENTRAL SILVER CONVENCIONAL DE 12 ZONAS</v>
      </c>
      <c r="C926" s="4" t="str">
        <f>IFERROR(__xludf.DUMMYFUNCTION("""COMPUTED_VALUE"""),"Central SILVER convencional de 12 zonas. Posee 2 salidas de sirena general independientes retardables entre 0 y 10 minutos. 1 salidas de alarma de contacto seco. 1 salidas de avería de contacto seco retardable entre 0 y 10 minutos. Display LCD retroilumin"&amp;"ado de 2 líneas y 16 caracteres. Historial de 3000 eventos. Permite funcionalidad Remote (opcional). Permite funcionalidad CRI (opcional). Permite funcionalidad Modbus (opcional). Capacidad de expansión de hasta 2 tarjetas de 4 ó 8 relés cada una. Certifi"&amp;"cado CE con las normas EN 54-2 y EN 54-4")</f>
        <v>Central SILVER convencional de 12 zonas. Posee 2 salidas de sirena general independientes retardables entre 0 y 10 minutos. 1 salidas de alarma de contacto seco. 1 salidas de avería de contacto seco retardable entre 0 y 10 minutos. Display LCD retroiluminado de 2 líneas y 16 caracteres. Historial de 3000 eventos. Permite funcionalidad Remote (opcional). Permite funcionalidad CRI (opcional). Permite funcionalidad Modbus (opcional). Capacidad de expansión de hasta 2 tarjetas de 4 ó 8 relés cada una. Certificado CE con las normas EN 54-2 y EN 54-4</v>
      </c>
      <c r="D926" s="4" t="str">
        <f>IFERROR(__xludf.DUMMYFUNCTION("""COMPUTED_VALUE"""),"COFEM")</f>
        <v>COFEM</v>
      </c>
      <c r="E926" s="4" t="str">
        <f>IFERROR(__xludf.DUMMYFUNCTION("""COMPUTED_VALUE"""),"CFSILVER12")</f>
        <v>CFSILVER12</v>
      </c>
      <c r="F926" s="4" t="str">
        <f>IFERROR(__xludf.DUMMYFUNCTION("""COMPUTED_VALUE"""),"INCENDIO &gt; PANELES CONVENSIONALES")</f>
        <v>INCENDIO &gt; PANELES CONVENSIONALES</v>
      </c>
      <c r="G926" s="5"/>
      <c r="H926" s="6">
        <f>IFERROR(__xludf.DUMMYFUNCTION("""COMPUTED_VALUE"""),349.27)</f>
        <v>349.27</v>
      </c>
      <c r="I926" s="7">
        <f>IFERROR(__xludf.DUMMYFUNCTION("""COMPUTED_VALUE"""),21.0)</f>
        <v>21</v>
      </c>
      <c r="J926" s="6">
        <f>IFERROR(__xludf.DUMMYFUNCTION("""COMPUTED_VALUE"""),419.12)</f>
        <v>419.12</v>
      </c>
      <c r="K926" s="6">
        <f>IFERROR(__xludf.DUMMYFUNCTION("""COMPUTED_VALUE"""),488.98)</f>
        <v>488.98</v>
      </c>
      <c r="L926" s="3"/>
      <c r="M926" s="3"/>
    </row>
    <row r="927" ht="48.0" customHeight="1">
      <c r="A927" s="3" t="str">
        <f>IFERROR(__xludf.DUMMYFUNCTION("""COMPUTED_VALUE"""),"CFSILVER16")</f>
        <v>CFSILVER16</v>
      </c>
      <c r="B927" s="4" t="str">
        <f>IFERROR(__xludf.DUMMYFUNCTION("""COMPUTED_VALUE"""),"CENTRAL SILVER CONVENCIONAL DE 16 ZONAS")</f>
        <v>CENTRAL SILVER CONVENCIONAL DE 16 ZONAS</v>
      </c>
      <c r="C927" s="4" t="str">
        <f>IFERROR(__xludf.DUMMYFUNCTION("""COMPUTED_VALUE"""),"Central SILVER convencional de 16 zonas. Posee 2 salidas de sirena general independientes retardables entre 0 y 10 minutos. 1 salidas de alarma de contacto seco. 1 salidas de avería de contacto seco retardable entre 0 y 10 minutos. Display LCD retroilumin"&amp;"ado de 2 líneas y 16 caracteres. Historial de 3000 eventos. Permite funcionalidad Remote (opcional). Permite funcionalidad CRI (opcional). Permite funcionalidad Modbus (opcional). Capacidad de expansión de hasta 2 tarjetas de 4 ó 8 relés cada una. Certifi"&amp;"cado CE con las normas EN 54-2 y EN 54-4")</f>
        <v>Central SILVER convencional de 16 zonas. Posee 2 salidas de sirena general independientes retardables entre 0 y 10 minutos. 1 salidas de alarma de contacto seco. 1 salidas de avería de contacto seco retardable entre 0 y 10 minutos. Display LCD retroiluminado de 2 líneas y 16 caracteres. Historial de 3000 eventos. Permite funcionalidad Remote (opcional). Permite funcionalidad CRI (opcional). Permite funcionalidad Modbus (opcional). Capacidad de expansión de hasta 2 tarjetas de 4 ó 8 relés cada una. Certificado CE con las normas EN 54-2 y EN 54-4</v>
      </c>
      <c r="D927" s="4" t="str">
        <f>IFERROR(__xludf.DUMMYFUNCTION("""COMPUTED_VALUE"""),"COFEM")</f>
        <v>COFEM</v>
      </c>
      <c r="E927" s="4" t="str">
        <f>IFERROR(__xludf.DUMMYFUNCTION("""COMPUTED_VALUE"""),"CFSILVER16")</f>
        <v>CFSILVER16</v>
      </c>
      <c r="F927" s="4" t="str">
        <f>IFERROR(__xludf.DUMMYFUNCTION("""COMPUTED_VALUE"""),"INCENDIO &gt; PANELES CONVENSIONALES")</f>
        <v>INCENDIO &gt; PANELES CONVENSIONALES</v>
      </c>
      <c r="G927" s="5"/>
      <c r="H927" s="6">
        <f>IFERROR(__xludf.DUMMYFUNCTION("""COMPUTED_VALUE"""),386.1)</f>
        <v>386.1</v>
      </c>
      <c r="I927" s="7">
        <f>IFERROR(__xludf.DUMMYFUNCTION("""COMPUTED_VALUE"""),21.0)</f>
        <v>21</v>
      </c>
      <c r="J927" s="6">
        <f>IFERROR(__xludf.DUMMYFUNCTION("""COMPUTED_VALUE"""),463.32)</f>
        <v>463.32</v>
      </c>
      <c r="K927" s="6">
        <f>IFERROR(__xludf.DUMMYFUNCTION("""COMPUTED_VALUE"""),540.54)</f>
        <v>540.54</v>
      </c>
      <c r="L927" s="3"/>
      <c r="M927" s="3"/>
    </row>
    <row r="928" ht="48.0" customHeight="1">
      <c r="A928" s="3" t="str">
        <f>IFERROR(__xludf.DUMMYFUNCTION("""COMPUTED_VALUE"""),"CFSVS4")</f>
        <v>CFSVS4</v>
      </c>
      <c r="B928" s="4" t="str">
        <f>IFERROR(__xludf.DUMMYFUNCTION("""COMPUTED_VALUE"""),"MÓDULO DE 4 RELÉS SUPERVISADOS PARA CENTRAL SILVER")</f>
        <v>MÓDULO DE 4 RELÉS SUPERVISADOS PARA CENTRAL SILVER</v>
      </c>
      <c r="C928" s="4" t="str">
        <f>IFERROR(__xludf.DUMMYFUNCTION("""COMPUTED_VALUE"""),"Módulo de 4 relés supervisados para central Silver")</f>
        <v>Módulo de 4 relés supervisados para central Silver</v>
      </c>
      <c r="D928" s="4" t="str">
        <f>IFERROR(__xludf.DUMMYFUNCTION("""COMPUTED_VALUE"""),"COFEM")</f>
        <v>COFEM</v>
      </c>
      <c r="E928" s="4" t="str">
        <f>IFERROR(__xludf.DUMMYFUNCTION("""COMPUTED_VALUE"""),"CFSVS4")</f>
        <v>CFSVS4</v>
      </c>
      <c r="F928" s="4" t="str">
        <f>IFERROR(__xludf.DUMMYFUNCTION("""COMPUTED_VALUE"""),"INCENDIO &gt; PANELES CONVENSIONALES")</f>
        <v>INCENDIO &gt; PANELES CONVENSIONALES</v>
      </c>
      <c r="G928" s="5"/>
      <c r="H928" s="6">
        <f>IFERROR(__xludf.DUMMYFUNCTION("""COMPUTED_VALUE"""),70.28)</f>
        <v>70.28</v>
      </c>
      <c r="I928" s="7">
        <f>IFERROR(__xludf.DUMMYFUNCTION("""COMPUTED_VALUE"""),21.0)</f>
        <v>21</v>
      </c>
      <c r="J928" s="6">
        <f>IFERROR(__xludf.DUMMYFUNCTION("""COMPUTED_VALUE"""),84.34)</f>
        <v>84.34</v>
      </c>
      <c r="K928" s="6">
        <f>IFERROR(__xludf.DUMMYFUNCTION("""COMPUTED_VALUE"""),98.39)</f>
        <v>98.39</v>
      </c>
      <c r="L928" s="3"/>
      <c r="M928" s="3"/>
    </row>
    <row r="929" ht="48.0" customHeight="1">
      <c r="A929" s="3" t="str">
        <f>IFERROR(__xludf.DUMMYFUNCTION("""COMPUTED_VALUE"""),"CFSVS8")</f>
        <v>CFSVS8</v>
      </c>
      <c r="B929" s="4" t="str">
        <f>IFERROR(__xludf.DUMMYFUNCTION("""COMPUTED_VALUE"""),"MÓDULO DE 8 RELÉS SUPERVISADOS PARA CENTRAL SILVER")</f>
        <v>MÓDULO DE 8 RELÉS SUPERVISADOS PARA CENTRAL SILVER</v>
      </c>
      <c r="C929" s="4" t="str">
        <f>IFERROR(__xludf.DUMMYFUNCTION("""COMPUTED_VALUE"""),"Módulo de 8 relés supervisados para central Silver")</f>
        <v>Módulo de 8 relés supervisados para central Silver</v>
      </c>
      <c r="D929" s="4" t="str">
        <f>IFERROR(__xludf.DUMMYFUNCTION("""COMPUTED_VALUE"""),"COFEM")</f>
        <v>COFEM</v>
      </c>
      <c r="E929" s="4" t="str">
        <f>IFERROR(__xludf.DUMMYFUNCTION("""COMPUTED_VALUE"""),"CFSVS8")</f>
        <v>CFSVS8</v>
      </c>
      <c r="F929" s="4" t="str">
        <f>IFERROR(__xludf.DUMMYFUNCTION("""COMPUTED_VALUE"""),"INCENDIO &gt; PANELES CONVENSIONALES")</f>
        <v>INCENDIO &gt; PANELES CONVENSIONALES</v>
      </c>
      <c r="G929" s="5"/>
      <c r="H929" s="6">
        <f>IFERROR(__xludf.DUMMYFUNCTION("""COMPUTED_VALUE"""),84.01)</f>
        <v>84.01</v>
      </c>
      <c r="I929" s="7">
        <f>IFERROR(__xludf.DUMMYFUNCTION("""COMPUTED_VALUE"""),21.0)</f>
        <v>21</v>
      </c>
      <c r="J929" s="6">
        <f>IFERROR(__xludf.DUMMYFUNCTION("""COMPUTED_VALUE"""),100.81)</f>
        <v>100.81</v>
      </c>
      <c r="K929" s="6">
        <f>IFERROR(__xludf.DUMMYFUNCTION("""COMPUTED_VALUE"""),117.61)</f>
        <v>117.61</v>
      </c>
      <c r="L929" s="3"/>
      <c r="M929" s="3"/>
    </row>
    <row r="930" ht="48.0" customHeight="1">
      <c r="A930" s="3" t="str">
        <f>IFERROR(__xludf.DUMMYFUNCTION("""COMPUTED_VALUE"""),"CFSVRM")</f>
        <v>CFSVRM</v>
      </c>
      <c r="B930" s="4" t="str">
        <f>IFERROR(__xludf.DUMMYFUNCTION("""COMPUTED_VALUE"""),"MÓDULO DE CONEXIÓN TARJETA REMOTE PARA CENTRAL SILVER")</f>
        <v>MÓDULO DE CONEXIÓN TARJETA REMOTE PARA CENTRAL SILVER</v>
      </c>
      <c r="C930" s="4" t="str">
        <f>IFERROR(__xludf.DUMMYFUNCTION("""COMPUTED_VALUE"""),"Módulo de conexión tarjeta remote para central Silver")</f>
        <v>Módulo de conexión tarjeta remote para central Silver</v>
      </c>
      <c r="D930" s="4" t="str">
        <f>IFERROR(__xludf.DUMMYFUNCTION("""COMPUTED_VALUE"""),"COFEM")</f>
        <v>COFEM</v>
      </c>
      <c r="E930" s="4" t="str">
        <f>IFERROR(__xludf.DUMMYFUNCTION("""COMPUTED_VALUE"""),"CFSVRM")</f>
        <v>CFSVRM</v>
      </c>
      <c r="F930" s="4" t="str">
        <f>IFERROR(__xludf.DUMMYFUNCTION("""COMPUTED_VALUE"""),"INCENDIO &gt; PANELES CONVENSIONALES")</f>
        <v>INCENDIO &gt; PANELES CONVENSIONALES</v>
      </c>
      <c r="G930" s="5"/>
      <c r="H930" s="6">
        <f>IFERROR(__xludf.DUMMYFUNCTION("""COMPUTED_VALUE"""),190.03)</f>
        <v>190.03</v>
      </c>
      <c r="I930" s="7">
        <f>IFERROR(__xludf.DUMMYFUNCTION("""COMPUTED_VALUE"""),21.0)</f>
        <v>21</v>
      </c>
      <c r="J930" s="6">
        <f>IFERROR(__xludf.DUMMYFUNCTION("""COMPUTED_VALUE"""),228.04)</f>
        <v>228.04</v>
      </c>
      <c r="K930" s="6">
        <f>IFERROR(__xludf.DUMMYFUNCTION("""COMPUTED_VALUE"""),266.04)</f>
        <v>266.04</v>
      </c>
      <c r="L930" s="3"/>
      <c r="M930" s="3"/>
    </row>
    <row r="931" ht="48.0" customHeight="1">
      <c r="A931" s="3" t="str">
        <f>IFERROR(__xludf.DUMMYFUNCTION("""COMPUTED_VALUE"""),"CFMDCRM360")</f>
        <v>CFMDCRM360</v>
      </c>
      <c r="B931" s="4" t="str">
        <f>IFERROR(__xludf.DUMMYFUNCTION("""COMPUTED_VALUE"""),"MÓDULO DE CONEXIÓN TARJETA REMOTE PARA SERVICIO APP COFEM")</f>
        <v>MÓDULO DE CONEXIÓN TARJETA REMOTE PARA SERVICIO APP COFEM</v>
      </c>
      <c r="C931" s="4" t="str">
        <f>IFERROR(__xludf.DUMMYFUNCTION("""COMPUTED_VALUE"""),"Módulo de conexión tarjeta remote para servicio App Cofem 360, compatible con centrales algorítmico-direccionables Onix, Quartz y Rubí, y central convencional Silver.")</f>
        <v>Módulo de conexión tarjeta remote para servicio App Cofem 360, compatible con centrales algorítmico-direccionables Onix, Quartz y Rubí, y central convencional Silver.</v>
      </c>
      <c r="D931" s="4" t="str">
        <f>IFERROR(__xludf.DUMMYFUNCTION("""COMPUTED_VALUE"""),"COFEM")</f>
        <v>COFEM</v>
      </c>
      <c r="E931" s="4" t="str">
        <f>IFERROR(__xludf.DUMMYFUNCTION("""COMPUTED_VALUE"""),"CFMDCRM360")</f>
        <v>CFMDCRM360</v>
      </c>
      <c r="F931" s="4" t="str">
        <f>IFERROR(__xludf.DUMMYFUNCTION("""COMPUTED_VALUE"""),"INCENDIO &gt; PANELES CONVENSIONALES")</f>
        <v>INCENDIO &gt; PANELES CONVENSIONALES</v>
      </c>
      <c r="G931" s="5"/>
      <c r="H931" s="6">
        <f>IFERROR(__xludf.DUMMYFUNCTION("""COMPUTED_VALUE"""),190.03)</f>
        <v>190.03</v>
      </c>
      <c r="I931" s="7">
        <f>IFERROR(__xludf.DUMMYFUNCTION("""COMPUTED_VALUE"""),21.0)</f>
        <v>21</v>
      </c>
      <c r="J931" s="6">
        <f>IFERROR(__xludf.DUMMYFUNCTION("""COMPUTED_VALUE"""),228.04)</f>
        <v>228.04</v>
      </c>
      <c r="K931" s="6">
        <f>IFERROR(__xludf.DUMMYFUNCTION("""COMPUTED_VALUE"""),266.04)</f>
        <v>266.04</v>
      </c>
      <c r="L931" s="3"/>
      <c r="M931" s="3"/>
    </row>
    <row r="932" ht="48.0" customHeight="1">
      <c r="A932" s="3" t="str">
        <f>IFERROR(__xludf.DUMMYFUNCTION("""COMPUTED_VALUE"""),"SFC102R")</f>
        <v>SFC102R</v>
      </c>
      <c r="B932" s="4" t="str">
        <f>IFERROR(__xludf.DUMMYFUNCTION("""COMPUTED_VALUE"""),"PANEL DE CONTROL DE INCENDIO MICROPROCESADO DE 2 ZONAS")</f>
        <v>PANEL DE CONTROL DE INCENDIO MICROPROCESADO DE 2 ZONAS</v>
      </c>
      <c r="C932" s="4" t="str">
        <f>IFERROR(__xludf.DUMMYFUNCTION("""COMPUTED_VALUE"""),"Panel de control de incendio Microprocesado de 2 zonas estilo B (clase B), dos circuitos de indicación (1,5A) estilo Y (clase B) o uno estilo Z (clase A). Caja negra con puerta roja")</f>
        <v>Panel de control de incendio Microprocesado de 2 zonas estilo B (clase B), dos circuitos de indicación (1,5A) estilo Y (clase B) o uno estilo Z (clase A). Caja negra con puerta roja</v>
      </c>
      <c r="D932" s="4" t="str">
        <f>IFERROR(__xludf.DUMMYFUNCTION("""COMPUTED_VALUE"""),"SUMMIT")</f>
        <v>SUMMIT</v>
      </c>
      <c r="E932" s="4" t="str">
        <f>IFERROR(__xludf.DUMMYFUNCTION("""COMPUTED_VALUE"""),"SFC102R")</f>
        <v>SFC102R</v>
      </c>
      <c r="F932" s="4" t="str">
        <f>IFERROR(__xludf.DUMMYFUNCTION("""COMPUTED_VALUE"""),"INCENDIO &gt; PANELES CONVENSIONALES")</f>
        <v>INCENDIO &gt; PANELES CONVENSIONALES</v>
      </c>
      <c r="G932" s="5"/>
      <c r="H932" s="6">
        <f>IFERROR(__xludf.DUMMYFUNCTION("""COMPUTED_VALUE"""),220.0)</f>
        <v>220</v>
      </c>
      <c r="I932" s="7">
        <f>IFERROR(__xludf.DUMMYFUNCTION("""COMPUTED_VALUE"""),21.0)</f>
        <v>21</v>
      </c>
      <c r="J932" s="6">
        <f>IFERROR(__xludf.DUMMYFUNCTION("""COMPUTED_VALUE"""),264.0)</f>
        <v>264</v>
      </c>
      <c r="K932" s="6">
        <f>IFERROR(__xludf.DUMMYFUNCTION("""COMPUTED_VALUE"""),308.0)</f>
        <v>308</v>
      </c>
      <c r="L932" s="3"/>
      <c r="M932" s="3"/>
    </row>
    <row r="933" ht="48.0" customHeight="1">
      <c r="A933" s="3" t="str">
        <f>IFERROR(__xludf.DUMMYFUNCTION("""COMPUTED_VALUE"""),"FLCAC4")</f>
        <v>FLCAC4</v>
      </c>
      <c r="B933" s="4" t="str">
        <f>IFERROR(__xludf.DUMMYFUNCTION("""COMPUTED_VALUE"""),"MÓDULO CONVERTIDOR PARA DISPOSITIVOS DE INICIALIZACIÓN IDC Y CIRCUITOS")</f>
        <v>MÓDULO CONVERTIDOR PARA DISPOSITIVOS DE INICIALIZACIÓN IDC Y CIRCUITOS</v>
      </c>
      <c r="C933" s="4" t="str">
        <f>IFERROR(__xludf.DUMMYFUNCTION("""COMPUTED_VALUE"""),"Módulo convertidor para dispositivos de inicialización IDC y circuitos de notificación NAC")</f>
        <v>Módulo convertidor para dispositivos de inicialización IDC y circuitos de notificación NAC</v>
      </c>
      <c r="D933" s="4" t="str">
        <f>IFERROR(__xludf.DUMMYFUNCTION("""COMPUTED_VALUE"""),"FIRELITE")</f>
        <v>FIRELITE</v>
      </c>
      <c r="E933" s="4" t="str">
        <f>IFERROR(__xludf.DUMMYFUNCTION("""COMPUTED_VALUE"""),"FLCAC4")</f>
        <v>FLCAC4</v>
      </c>
      <c r="F933" s="4" t="str">
        <f>IFERROR(__xludf.DUMMYFUNCTION("""COMPUTED_VALUE"""),"INCENDIO &gt; ACCESORIOS PARA PANELES")</f>
        <v>INCENDIO &gt; ACCESORIOS PARA PANELES</v>
      </c>
      <c r="G933" s="5"/>
      <c r="H933" s="6">
        <f>IFERROR(__xludf.DUMMYFUNCTION("""COMPUTED_VALUE"""),717.92)</f>
        <v>717.92</v>
      </c>
      <c r="I933" s="7">
        <f>IFERROR(__xludf.DUMMYFUNCTION("""COMPUTED_VALUE"""),21.0)</f>
        <v>21</v>
      </c>
      <c r="J933" s="6">
        <f>IFERROR(__xludf.DUMMYFUNCTION("""COMPUTED_VALUE"""),861.5)</f>
        <v>861.5</v>
      </c>
      <c r="K933" s="6">
        <f>IFERROR(__xludf.DUMMYFUNCTION("""COMPUTED_VALUE"""),1005.09)</f>
        <v>1005.09</v>
      </c>
      <c r="L933" s="3"/>
      <c r="M933" s="3"/>
    </row>
    <row r="934" ht="48.0" customHeight="1">
      <c r="A934" s="3" t="str">
        <f>IFERROR(__xludf.DUMMYFUNCTION("""COMPUTED_VALUE"""),"FLCAC5X")</f>
        <v>FLCAC5X</v>
      </c>
      <c r="B934" s="4" t="str">
        <f>IFERROR(__xludf.DUMMYFUNCTION("""COMPUTED_VALUE"""),"MÓDULO CONVERTIDOR CLASE A PARA PANELES DE SUPRESIÓN Y FLMS5")</f>
        <v>MÓDULO CONVERTIDOR CLASE A PARA PANELES DE SUPRESIÓN Y FLMS5</v>
      </c>
      <c r="C934" s="4" t="str">
        <f>IFERROR(__xludf.DUMMYFUNCTION("""COMPUTED_VALUE"""),"Módulo convertidor Clase A para paneles de supresión y FLMS5")</f>
        <v>Módulo convertidor Clase A para paneles de supresión y FLMS5</v>
      </c>
      <c r="D934" s="4" t="str">
        <f>IFERROR(__xludf.DUMMYFUNCTION("""COMPUTED_VALUE"""),"FIRELITE")</f>
        <v>FIRELITE</v>
      </c>
      <c r="E934" s="4" t="str">
        <f>IFERROR(__xludf.DUMMYFUNCTION("""COMPUTED_VALUE"""),"FLCAC5X")</f>
        <v>FLCAC5X</v>
      </c>
      <c r="F934" s="4" t="str">
        <f>IFERROR(__xludf.DUMMYFUNCTION("""COMPUTED_VALUE"""),"INCENDIO &gt; ACCESORIOS PARA PANELES")</f>
        <v>INCENDIO &gt; ACCESORIOS PARA PANELES</v>
      </c>
      <c r="G934" s="5"/>
      <c r="H934" s="6">
        <f>IFERROR(__xludf.DUMMYFUNCTION("""COMPUTED_VALUE"""),486.62)</f>
        <v>486.62</v>
      </c>
      <c r="I934" s="7">
        <f>IFERROR(__xludf.DUMMYFUNCTION("""COMPUTED_VALUE"""),21.0)</f>
        <v>21</v>
      </c>
      <c r="J934" s="6">
        <f>IFERROR(__xludf.DUMMYFUNCTION("""COMPUTED_VALUE"""),583.94)</f>
        <v>583.94</v>
      </c>
      <c r="K934" s="6">
        <f>IFERROR(__xludf.DUMMYFUNCTION("""COMPUTED_VALUE"""),681.27)</f>
        <v>681.27</v>
      </c>
      <c r="L934" s="3"/>
      <c r="M934" s="3"/>
    </row>
    <row r="935" ht="48.0" customHeight="1">
      <c r="A935" s="3" t="str">
        <f>IFERROR(__xludf.DUMMYFUNCTION("""COMPUTED_VALUE"""),"56X9CC")</f>
        <v>56X9CC</v>
      </c>
      <c r="B935" s="4" t="str">
        <f>IFERROR(__xludf.DUMMYFUNCTION("""COMPUTED_VALUE"""),"DETECTOR DE HUMO FOTOELÉCTRICO AUTÓNOMO CON BUZZER ALIMENTACIÓN 1")</f>
        <v>DETECTOR DE HUMO FOTOELÉCTRICO AUTÓNOMO CON BUZZER ALIMENTACIÓN 1</v>
      </c>
      <c r="C935" s="4" t="str">
        <f>IFERROR(__xludf.DUMMYFUNCTION("""COMPUTED_VALUE"""),"Detector de humo fotoeléctrico autónomo con buzzer alimentación 1 baterías de 9V no incluídas.")</f>
        <v>Detector de humo fotoeléctrico autónomo con buzzer alimentación 1 baterías de 9V no incluídas.</v>
      </c>
      <c r="D935" s="4" t="str">
        <f>IFERROR(__xludf.DUMMYFUNCTION("""COMPUTED_VALUE"""),"OWL FIRE")</f>
        <v>OWL FIRE</v>
      </c>
      <c r="E935" s="4" t="str">
        <f>IFERROR(__xludf.DUMMYFUNCTION("""COMPUTED_VALUE"""),"56X9CC")</f>
        <v>56X9CC</v>
      </c>
      <c r="F935" s="4" t="str">
        <f>IFERROR(__xludf.DUMMYFUNCTION("""COMPUTED_VALUE"""),"INCENDIO &gt; DETECTORES DE INCENDIO CONVENCIONALES")</f>
        <v>INCENDIO &gt; DETECTORES DE INCENDIO CONVENCIONALES</v>
      </c>
      <c r="G935" s="5"/>
      <c r="H935" s="6">
        <f>IFERROR(__xludf.DUMMYFUNCTION("""COMPUTED_VALUE"""),18.59)</f>
        <v>18.59</v>
      </c>
      <c r="I935" s="7">
        <f>IFERROR(__xludf.DUMMYFUNCTION("""COMPUTED_VALUE"""),21.0)</f>
        <v>21</v>
      </c>
      <c r="J935" s="6">
        <f>IFERROR(__xludf.DUMMYFUNCTION("""COMPUTED_VALUE"""),22.31)</f>
        <v>22.31</v>
      </c>
      <c r="K935" s="6">
        <f>IFERROR(__xludf.DUMMYFUNCTION("""COMPUTED_VALUE"""),26.03)</f>
        <v>26.03</v>
      </c>
      <c r="L935" s="3"/>
      <c r="M935" s="3"/>
    </row>
    <row r="936" ht="48.0" customHeight="1">
      <c r="A936" s="3" t="str">
        <f>IFERROR(__xludf.DUMMYFUNCTION("""COMPUTED_VALUE"""),"OW602PC4")</f>
        <v>OW602PC4</v>
      </c>
      <c r="B936" s="4" t="str">
        <f>IFERROR(__xludf.DUMMYFUNCTION("""COMPUTED_VALUE"""),"DETECTOR FOTOELÉCTRICO CONVENCIONAL CON BASE DE 12V-24V CONEXIÓN 4")</f>
        <v>DETECTOR FOTOELÉCTRICO CONVENCIONAL CON BASE DE 12V-24V CONEXIÓN 4</v>
      </c>
      <c r="C936" s="4" t="str">
        <f>IFERROR(__xludf.DUMMYFUNCTION("""COMPUTED_VALUE"""),"Detector fotoeléctrico convencional con base de 12V-24V conexión 4 hilos NA/NC, incluye base")</f>
        <v>Detector fotoeléctrico convencional con base de 12V-24V conexión 4 hilos NA/NC, incluye base</v>
      </c>
      <c r="D936" s="4" t="str">
        <f>IFERROR(__xludf.DUMMYFUNCTION("""COMPUTED_VALUE"""),"OWL")</f>
        <v>OWL</v>
      </c>
      <c r="E936" s="4" t="str">
        <f>IFERROR(__xludf.DUMMYFUNCTION("""COMPUTED_VALUE"""),"OW602PC4")</f>
        <v>OW602PC4</v>
      </c>
      <c r="F936" s="4" t="str">
        <f>IFERROR(__xludf.DUMMYFUNCTION("""COMPUTED_VALUE"""),"INCENDIO &gt; DETECTORES DE INCENDIO CONVENCIONALES")</f>
        <v>INCENDIO &gt; DETECTORES DE INCENDIO CONVENCIONALES</v>
      </c>
      <c r="G936" s="5"/>
      <c r="H936" s="6">
        <f>IFERROR(__xludf.DUMMYFUNCTION("""COMPUTED_VALUE"""),9.9)</f>
        <v>9.9</v>
      </c>
      <c r="I936" s="7">
        <f>IFERROR(__xludf.DUMMYFUNCTION("""COMPUTED_VALUE"""),21.0)</f>
        <v>21</v>
      </c>
      <c r="J936" s="6">
        <f>IFERROR(__xludf.DUMMYFUNCTION("""COMPUTED_VALUE"""),11.88)</f>
        <v>11.88</v>
      </c>
      <c r="K936" s="6">
        <f>IFERROR(__xludf.DUMMYFUNCTION("""COMPUTED_VALUE"""),13.86)</f>
        <v>13.86</v>
      </c>
      <c r="L936" s="3"/>
      <c r="M936" s="3"/>
    </row>
    <row r="937" ht="48.0" customHeight="1">
      <c r="A937" s="3" t="str">
        <f>IFERROR(__xludf.DUMMYFUNCTION("""COMPUTED_VALUE"""),"DSPDSMK4")</f>
        <v>DSPDSMK4</v>
      </c>
      <c r="B937" s="4" t="str">
        <f>IFERROR(__xludf.DUMMYFUNCTION("""COMPUTED_VALUE"""),"DETECTOR FOTOELÉCTRICO CONVENCIONAL CON BASE DE 12V CONEXIÓN 4")</f>
        <v>DETECTOR FOTOELÉCTRICO CONVENCIONAL CON BASE DE 12V CONEXIÓN 4</v>
      </c>
      <c r="C937" s="4" t="str">
        <f>IFERROR(__xludf.DUMMYFUNCTION("""COMPUTED_VALUE"""),"Detector fotoeléctrico convencional con base de 12V conexión 4 hilos NA/NC, incluye base")</f>
        <v>Detector fotoeléctrico convencional con base de 12V conexión 4 hilos NA/NC, incluye base</v>
      </c>
      <c r="D937" s="4" t="str">
        <f>IFERROR(__xludf.DUMMYFUNCTION("""COMPUTED_VALUE"""),"HIKVISION")</f>
        <v>HIKVISION</v>
      </c>
      <c r="E937" s="4" t="str">
        <f>IFERROR(__xludf.DUMMYFUNCTION("""COMPUTED_VALUE"""),"DSPDSMK4")</f>
        <v>DSPDSMK4</v>
      </c>
      <c r="F937" s="4" t="str">
        <f>IFERROR(__xludf.DUMMYFUNCTION("""COMPUTED_VALUE"""),"INCENDIO &gt; DETECTORES DE INCENDIO CONVENCIONALES")</f>
        <v>INCENDIO &gt; DETECTORES DE INCENDIO CONVENCIONALES</v>
      </c>
      <c r="G937" s="5"/>
      <c r="H937" s="6">
        <f>IFERROR(__xludf.DUMMYFUNCTION("""COMPUTED_VALUE"""),14.96)</f>
        <v>14.96</v>
      </c>
      <c r="I937" s="7">
        <f>IFERROR(__xludf.DUMMYFUNCTION("""COMPUTED_VALUE"""),21.0)</f>
        <v>21</v>
      </c>
      <c r="J937" s="6">
        <f>IFERROR(__xludf.DUMMYFUNCTION("""COMPUTED_VALUE"""),17.95)</f>
        <v>17.95</v>
      </c>
      <c r="K937" s="6">
        <f>IFERROR(__xludf.DUMMYFUNCTION("""COMPUTED_VALUE"""),20.94)</f>
        <v>20.94</v>
      </c>
      <c r="L937" s="3"/>
      <c r="M937" s="3"/>
    </row>
    <row r="938" ht="48.0" customHeight="1">
      <c r="A938" s="3" t="str">
        <f>IFERROR(__xludf.DUMMYFUNCTION("""COMPUTED_VALUE"""),"DS-PDSMK-4BAR")</f>
        <v>DS-PDSMK-4BAR</v>
      </c>
      <c r="B938" s="4" t="str">
        <f>IFERROR(__xludf.DUMMYFUNCTION("""COMPUTED_VALUE"""),"DETECTOR FOTOELÉCTRICO CONVENCIONAL CON SONADOR INTERNO CON BASE DE")</f>
        <v>DETECTOR FOTOELÉCTRICO CONVENCIONAL CON SONADOR INTERNO CON BASE DE</v>
      </c>
      <c r="C938" s="4" t="str">
        <f>IFERROR(__xludf.DUMMYFUNCTION("""COMPUTED_VALUE"""),"Detector fotoeléctrico convencional con sonador interno con base de 12V conexión 4 hilos NA/NC, incluye base")</f>
        <v>Detector fotoeléctrico convencional con sonador interno con base de 12V conexión 4 hilos NA/NC, incluye base</v>
      </c>
      <c r="D938" s="4" t="str">
        <f>IFERROR(__xludf.DUMMYFUNCTION("""COMPUTED_VALUE"""),"HIKVISION")</f>
        <v>HIKVISION</v>
      </c>
      <c r="E938" s="4" t="str">
        <f>IFERROR(__xludf.DUMMYFUNCTION("""COMPUTED_VALUE"""),"DS-PDSMK-4BAR")</f>
        <v>DS-PDSMK-4BAR</v>
      </c>
      <c r="F938" s="4" t="str">
        <f>IFERROR(__xludf.DUMMYFUNCTION("""COMPUTED_VALUE"""),"INCENDIO &gt; DETECTORES DE INCENDIO CONVENCIONALES")</f>
        <v>INCENDIO &gt; DETECTORES DE INCENDIO CONVENCIONALES</v>
      </c>
      <c r="G938" s="5"/>
      <c r="H938" s="6">
        <f>IFERROR(__xludf.DUMMYFUNCTION("""COMPUTED_VALUE"""),23.87)</f>
        <v>23.87</v>
      </c>
      <c r="I938" s="7">
        <f>IFERROR(__xludf.DUMMYFUNCTION("""COMPUTED_VALUE"""),21.0)</f>
        <v>21</v>
      </c>
      <c r="J938" s="6">
        <f>IFERROR(__xludf.DUMMYFUNCTION("""COMPUTED_VALUE"""),28.64)</f>
        <v>28.64</v>
      </c>
      <c r="K938" s="6">
        <f>IFERROR(__xludf.DUMMYFUNCTION("""COMPUTED_VALUE"""),33.42)</f>
        <v>33.42</v>
      </c>
      <c r="L938" s="3"/>
      <c r="M938" s="3"/>
    </row>
    <row r="939" ht="48.0" customHeight="1">
      <c r="A939" s="3" t="str">
        <f>IFERROR(__xludf.DUMMYFUNCTION("""COMPUTED_VALUE"""),"CFA35BST")</f>
        <v>CFA35BST</v>
      </c>
      <c r="B939" s="4" t="str">
        <f>IFERROR(__xludf.DUMMYFUNCTION("""COMPUTED_VALUE"""),"DETECTOR FOTOELÉCTRICO CON ELEMENTO TÉRMICO CONVENCIONAL (SIN BASE) 12")</f>
        <v>DETECTOR FOTOELÉCTRICO CON ELEMENTO TÉRMICO CONVENCIONAL (SIN BASE) 12</v>
      </c>
      <c r="C939" s="4" t="str">
        <f>IFERROR(__xludf.DUMMYFUNCTION("""COMPUTED_VALUE"""),"Detector fotoeléctrico con elemento térmico convencional (sin base) 12/24V según base")</f>
        <v>Detector fotoeléctrico con elemento térmico convencional (sin base) 12/24V según base</v>
      </c>
      <c r="D939" s="4" t="str">
        <f>IFERROR(__xludf.DUMMYFUNCTION("""COMPUTED_VALUE"""),"COFEM")</f>
        <v>COFEM</v>
      </c>
      <c r="E939" s="4" t="str">
        <f>IFERROR(__xludf.DUMMYFUNCTION("""COMPUTED_VALUE"""),"CFA35BST")</f>
        <v>CFA35BST</v>
      </c>
      <c r="F939" s="4" t="str">
        <f>IFERROR(__xludf.DUMMYFUNCTION("""COMPUTED_VALUE"""),"INCENDIO &gt; DETECTORES DE INCENDIO CONVENCIONALES")</f>
        <v>INCENDIO &gt; DETECTORES DE INCENDIO CONVENCIONALES</v>
      </c>
      <c r="G939" s="5"/>
      <c r="H939" s="6">
        <f>IFERROR(__xludf.DUMMYFUNCTION("""COMPUTED_VALUE"""),21.45)</f>
        <v>21.45</v>
      </c>
      <c r="I939" s="7">
        <f>IFERROR(__xludf.DUMMYFUNCTION("""COMPUTED_VALUE"""),21.0)</f>
        <v>21</v>
      </c>
      <c r="J939" s="6">
        <f>IFERROR(__xludf.DUMMYFUNCTION("""COMPUTED_VALUE"""),25.74)</f>
        <v>25.74</v>
      </c>
      <c r="K939" s="6">
        <f>IFERROR(__xludf.DUMMYFUNCTION("""COMPUTED_VALUE"""),30.03)</f>
        <v>30.03</v>
      </c>
      <c r="L939" s="3"/>
      <c r="M939" s="3"/>
    </row>
    <row r="940" ht="48.0" customHeight="1">
      <c r="A940" s="3" t="str">
        <f>IFERROR(__xludf.DUMMYFUNCTION("""COMPUTED_VALUE"""),"CFKITA35BSTBASE")</f>
        <v>CFKITA35BSTBASE</v>
      </c>
      <c r="B940" s="4" t="str">
        <f>IFERROR(__xludf.DUMMYFUNCTION("""COMPUTED_VALUE"""),"DETECTOR FOTOELÉCTRICO CON ELEMENTO TÉRMICO CONVENCIONAL CON BASE CFA3")</f>
        <v>DETECTOR FOTOELÉCTRICO CON ELEMENTO TÉRMICO CONVENCIONAL CON BASE CFA3</v>
      </c>
      <c r="C940" s="4" t="str">
        <f>IFERROR(__xludf.DUMMYFUNCTION("""COMPUTED_VALUE"""),"Detector fotoeléctrico con elemento térmico convencional CON BASE CFA30XZR 12V 4 Hilos")</f>
        <v>Detector fotoeléctrico con elemento térmico convencional CON BASE CFA30XZR 12V 4 Hilos</v>
      </c>
      <c r="D940" s="4" t="str">
        <f>IFERROR(__xludf.DUMMYFUNCTION("""COMPUTED_VALUE"""),"COFEM")</f>
        <v>COFEM</v>
      </c>
      <c r="E940" s="4" t="str">
        <f>IFERROR(__xludf.DUMMYFUNCTION("""COMPUTED_VALUE"""),"CFKITA35BSTBASE")</f>
        <v>CFKITA35BSTBASE</v>
      </c>
      <c r="F940" s="4" t="str">
        <f>IFERROR(__xludf.DUMMYFUNCTION("""COMPUTED_VALUE"""),"INCENDIO &gt; DETECTORES DE INCENDIO CONVENCIONALES")</f>
        <v>INCENDIO &gt; DETECTORES DE INCENDIO CONVENCIONALES</v>
      </c>
      <c r="G940" s="5"/>
      <c r="H940" s="6">
        <f>IFERROR(__xludf.DUMMYFUNCTION("""COMPUTED_VALUE"""),28.49)</f>
        <v>28.49</v>
      </c>
      <c r="I940" s="7">
        <f>IFERROR(__xludf.DUMMYFUNCTION("""COMPUTED_VALUE"""),21.0)</f>
        <v>21</v>
      </c>
      <c r="J940" s="6">
        <f>IFERROR(__xludf.DUMMYFUNCTION("""COMPUTED_VALUE"""),34.19)</f>
        <v>34.19</v>
      </c>
      <c r="K940" s="6">
        <f>IFERROR(__xludf.DUMMYFUNCTION("""COMPUTED_VALUE"""),39.89)</f>
        <v>39.89</v>
      </c>
      <c r="L940" s="3"/>
      <c r="M940" s="3"/>
    </row>
    <row r="941" ht="48.0" customHeight="1">
      <c r="A941" s="3" t="str">
        <f>IFERROR(__xludf.DUMMYFUNCTION("""COMPUTED_VALUE"""),"CFA30XZR")</f>
        <v>CFA30XZR</v>
      </c>
      <c r="B941" s="4" t="str">
        <f>IFERROR(__xludf.DUMMYFUNCTION("""COMPUTED_VALUE"""),"BASE DE PERFIL ALTO CON RELÉ LIBRE DE TENSIÓN PARA 12V 4 HILOS")</f>
        <v>BASE DE PERFIL ALTO CON RELÉ LIBRE DE TENSIÓN PARA 12V 4 HILOS</v>
      </c>
      <c r="C941" s="4" t="str">
        <f>IFERROR(__xludf.DUMMYFUNCTION("""COMPUTED_VALUE"""),"Base de perfil alto con relé libre de tensión para 12V 4 hilos")</f>
        <v>Base de perfil alto con relé libre de tensión para 12V 4 hilos</v>
      </c>
      <c r="D941" s="4" t="str">
        <f>IFERROR(__xludf.DUMMYFUNCTION("""COMPUTED_VALUE"""),"COFEM")</f>
        <v>COFEM</v>
      </c>
      <c r="E941" s="4" t="str">
        <f>IFERROR(__xludf.DUMMYFUNCTION("""COMPUTED_VALUE"""),"CFA30XZR")</f>
        <v>CFA30XZR</v>
      </c>
      <c r="F941" s="4" t="str">
        <f>IFERROR(__xludf.DUMMYFUNCTION("""COMPUTED_VALUE"""),"INCENDIO &gt; DETECTORES DE INCENDIO CONVENCIONALES")</f>
        <v>INCENDIO &gt; DETECTORES DE INCENDIO CONVENCIONALES</v>
      </c>
      <c r="G941" s="5"/>
      <c r="H941" s="6">
        <f>IFERROR(__xludf.DUMMYFUNCTION("""COMPUTED_VALUE"""),16.5)</f>
        <v>16.5</v>
      </c>
      <c r="I941" s="7">
        <f>IFERROR(__xludf.DUMMYFUNCTION("""COMPUTED_VALUE"""),21.0)</f>
        <v>21</v>
      </c>
      <c r="J941" s="6">
        <f>IFERROR(__xludf.DUMMYFUNCTION("""COMPUTED_VALUE"""),19.8)</f>
        <v>19.8</v>
      </c>
      <c r="K941" s="6">
        <f>IFERROR(__xludf.DUMMYFUNCTION("""COMPUTED_VALUE"""),23.1)</f>
        <v>23.1</v>
      </c>
      <c r="L941" s="3"/>
      <c r="M941" s="3"/>
    </row>
    <row r="942" ht="48.0" customHeight="1">
      <c r="A942" s="3" t="str">
        <f>IFERROR(__xludf.DUMMYFUNCTION("""COMPUTED_VALUE"""),"CFC50S")</f>
        <v>CFC50S</v>
      </c>
      <c r="B942" s="4" t="str">
        <f>IFERROR(__xludf.DUMMYFUNCTION("""COMPUTED_VALUE"""),"DETECTOR FOTOELÉCTRICO CONVENCIONAL (SIN BASE) 12/24V SEGÚN BASE")</f>
        <v>DETECTOR FOTOELÉCTRICO CONVENCIONAL (SIN BASE) 12/24V SEGÚN BASE</v>
      </c>
      <c r="C942" s="4" t="str">
        <f>IFERROR(__xludf.DUMMYFUNCTION("""COMPUTED_VALUE"""),"Detector fotoeléctrico convencional (sin base) 12/24V según base. Bajo perfil, altura total menor de 42 mm (incluyendo el zócalo). Posibilidad de conexión a un indicador de acción remoto. Fácil conexionado, sin polaridad. LED rojo fijo para indicar su est"&amp;"ado de alarma. Señalización de estado de reposo mediante parpadeo simple del led cada 10 segundos. Señalización de estado de suciedad elevada mediante doble parpadeo del led cada 10 segundos. Certificado por AENOR según la Norma EN 54-7 con marcado CE seg"&amp;"ún el Reglamento Europeo de Productos de la Construcción (UE) Nº 305/2011.")</f>
        <v>Detector fotoeléctrico convencional (sin base) 12/24V según base. Bajo perfil, altura total menor de 42 mm (incluyendo el zócalo). Posibilidad de conexión a un indicador de acción remoto. Fácil conexionado, sin polaridad. LED rojo fijo para indicar su estado de alarma. Señalización de estado de reposo mediante parpadeo simple del led cada 10 segundos. Señalización de estado de suciedad elevada mediante doble parpadeo del led cada 10 segundos. Certificado por AENOR según la Norma EN 54-7 con marcado CE según el Reglamento Europeo de Productos de la Construcción (UE) Nº 305/2011.</v>
      </c>
      <c r="D942" s="4" t="str">
        <f>IFERROR(__xludf.DUMMYFUNCTION("""COMPUTED_VALUE"""),"COFEM")</f>
        <v>COFEM</v>
      </c>
      <c r="E942" s="4" t="str">
        <f>IFERROR(__xludf.DUMMYFUNCTION("""COMPUTED_VALUE"""),"CFC50S")</f>
        <v>CFC50S</v>
      </c>
      <c r="F942" s="4" t="str">
        <f>IFERROR(__xludf.DUMMYFUNCTION("""COMPUTED_VALUE"""),"INCENDIO &gt; DETECTORES DE INCENDIO CONVENCIONALES")</f>
        <v>INCENDIO &gt; DETECTORES DE INCENDIO CONVENCIONALES</v>
      </c>
      <c r="G942" s="5"/>
      <c r="H942" s="6">
        <f>IFERROR(__xludf.DUMMYFUNCTION("""COMPUTED_VALUE"""),23.71)</f>
        <v>23.71</v>
      </c>
      <c r="I942" s="7">
        <f>IFERROR(__xludf.DUMMYFUNCTION("""COMPUTED_VALUE"""),21.0)</f>
        <v>21</v>
      </c>
      <c r="J942" s="6">
        <f>IFERROR(__xludf.DUMMYFUNCTION("""COMPUTED_VALUE"""),28.45)</f>
        <v>28.45</v>
      </c>
      <c r="K942" s="6">
        <f>IFERROR(__xludf.DUMMYFUNCTION("""COMPUTED_VALUE"""),33.19)</f>
        <v>33.19</v>
      </c>
      <c r="L942" s="3"/>
      <c r="M942" s="3"/>
    </row>
    <row r="943" ht="48.0" customHeight="1">
      <c r="A943" s="3" t="str">
        <f>IFERROR(__xludf.DUMMYFUNCTION("""COMPUTED_VALUE"""),"CFC50TB")</f>
        <v>CFC50TB</v>
      </c>
      <c r="B943" s="4" t="str">
        <f>IFERROR(__xludf.DUMMYFUNCTION("""COMPUTED_VALUE"""),"DETECTOR TÉRMICO 70 ºC")</f>
        <v>DETECTOR TÉRMICO 70 ºC</v>
      </c>
      <c r="C943" s="4" t="str">
        <f>IFERROR(__xludf.DUMMYFUNCTION("""COMPUTED_VALUE"""),"Detector Térmico 70 ºC. convencional (sin base) 12/24V según base. Bajo perfil, altura total menor de 42 mm (incluyendo el zócalo). Certificado por AENOR según la Norma EN 54-7 con marcado CE según el Reglamento Europeo de Productos de la Construcción (UE"&amp;") Nº 305/2011.")</f>
        <v>Detector Térmico 70 ºC. convencional (sin base) 12/24V según base. Bajo perfil, altura total menor de 42 mm (incluyendo el zócalo). Certificado por AENOR según la Norma EN 54-7 con marcado CE según el Reglamento Europeo de Productos de la Construcción (UE) Nº 305/2011.</v>
      </c>
      <c r="D943" s="4" t="str">
        <f>IFERROR(__xludf.DUMMYFUNCTION("""COMPUTED_VALUE"""),"COFEM")</f>
        <v>COFEM</v>
      </c>
      <c r="E943" s="4" t="str">
        <f>IFERROR(__xludf.DUMMYFUNCTION("""COMPUTED_VALUE"""),"CFC50TB")</f>
        <v>CFC50TB</v>
      </c>
      <c r="F943" s="4" t="str">
        <f>IFERROR(__xludf.DUMMYFUNCTION("""COMPUTED_VALUE"""),"INCENDIO &gt; DETECTORES DE INCENDIO CONVENCIONALES")</f>
        <v>INCENDIO &gt; DETECTORES DE INCENDIO CONVENCIONALES</v>
      </c>
      <c r="G943" s="5"/>
      <c r="H943" s="6">
        <f>IFERROR(__xludf.DUMMYFUNCTION("""COMPUTED_VALUE"""),23.71)</f>
        <v>23.71</v>
      </c>
      <c r="I943" s="7">
        <f>IFERROR(__xludf.DUMMYFUNCTION("""COMPUTED_VALUE"""),21.0)</f>
        <v>21</v>
      </c>
      <c r="J943" s="6">
        <f>IFERROR(__xludf.DUMMYFUNCTION("""COMPUTED_VALUE"""),28.45)</f>
        <v>28.45</v>
      </c>
      <c r="K943" s="6">
        <f>IFERROR(__xludf.DUMMYFUNCTION("""COMPUTED_VALUE"""),33.19)</f>
        <v>33.19</v>
      </c>
      <c r="L943" s="3"/>
      <c r="M943" s="3"/>
    </row>
    <row r="944" ht="48.0" customHeight="1">
      <c r="A944" s="3" t="str">
        <f>IFERROR(__xludf.DUMMYFUNCTION("""COMPUTED_VALUE"""),"CFC50SH")</f>
        <v>CFC50SH</v>
      </c>
      <c r="B944" s="4" t="str">
        <f>IFERROR(__xludf.DUMMYFUNCTION("""COMPUTED_VALUE"""),"DETECTOR FOTOELÉCTRICO Y TÉRMICO CONVENCIONAL (SIN BASE) 12/24V SEGÚN")</f>
        <v>DETECTOR FOTOELÉCTRICO Y TÉRMICO CONVENCIONAL (SIN BASE) 12/24V SEGÚN</v>
      </c>
      <c r="C944" s="4" t="str">
        <f>IFERROR(__xludf.DUMMYFUNCTION("""COMPUTED_VALUE"""),"Detector fotoeléctrico y térmico convencional (sin base) 12/24V según base. Bajo perfil, altura total menor de 42 mm (incluyendo el zócalo). Posibilidad de conexión a un indicador de acción remoto. Fácil conexionado, sin polaridad. LED rojo fijo para indi"&amp;"car su estado de alarma. Señalización de estado de reposo mediante parpadeo simple del led cada 10 segundos. Señalización de estado de suciedad elevada mediante doble parpadeo del led cada 10 segundos. Certificado por AENOR según la Norma EN 54-7 con marc"&amp;"ado CE según el Reglamento Europeo de Productos de la Construcción (UE) Nº 305/2011.")</f>
        <v>Detector fotoeléctrico y térmico convencional (sin base) 12/24V según base. Bajo perfil, altura total menor de 42 mm (incluyendo el zócalo). Posibilidad de conexión a un indicador de acción remoto. Fácil conexionado, sin polaridad. LED rojo fijo para indicar su estado de alarma. Señalización de estado de reposo mediante parpadeo simple del led cada 10 segundos. Señalización de estado de suciedad elevada mediante doble parpadeo del led cada 10 segundos. Certificado por AENOR según la Norma EN 54-7 con marcado CE según el Reglamento Europeo de Productos de la Construcción (UE) Nº 305/2011.</v>
      </c>
      <c r="D944" s="4" t="str">
        <f>IFERROR(__xludf.DUMMYFUNCTION("""COMPUTED_VALUE"""),"COFEM")</f>
        <v>COFEM</v>
      </c>
      <c r="E944" s="4" t="str">
        <f>IFERROR(__xludf.DUMMYFUNCTION("""COMPUTED_VALUE"""),"CFC50SH")</f>
        <v>CFC50SH</v>
      </c>
      <c r="F944" s="4" t="str">
        <f>IFERROR(__xludf.DUMMYFUNCTION("""COMPUTED_VALUE"""),"INCENDIO &gt; DETECTORES DE INCENDIO CONVENCIONALES")</f>
        <v>INCENDIO &gt; DETECTORES DE INCENDIO CONVENCIONALES</v>
      </c>
      <c r="G944" s="5"/>
      <c r="H944" s="6">
        <f>IFERROR(__xludf.DUMMYFUNCTION("""COMPUTED_VALUE"""),33.68)</f>
        <v>33.68</v>
      </c>
      <c r="I944" s="7">
        <f>IFERROR(__xludf.DUMMYFUNCTION("""COMPUTED_VALUE"""),21.0)</f>
        <v>21</v>
      </c>
      <c r="J944" s="6">
        <f>IFERROR(__xludf.DUMMYFUNCTION("""COMPUTED_VALUE"""),40.42)</f>
        <v>40.42</v>
      </c>
      <c r="K944" s="6">
        <f>IFERROR(__xludf.DUMMYFUNCTION("""COMPUTED_VALUE"""),47.15)</f>
        <v>47.15</v>
      </c>
      <c r="L944" s="3"/>
      <c r="M944" s="3"/>
    </row>
    <row r="945" ht="48.0" customHeight="1">
      <c r="A945" s="3" t="str">
        <f>IFERROR(__xludf.DUMMYFUNCTION("""COMPUTED_VALUE"""),"CFD50ZO")</f>
        <v>CFD50ZO</v>
      </c>
      <c r="B945" s="4" t="str">
        <f>IFERROR(__xludf.DUMMYFUNCTION("""COMPUTED_VALUE"""),"BASE DE PERFIL BAJO PARA DETECTORES CFC50S 24VOLT 2 HILOS")</f>
        <v>BASE DE PERFIL BAJO PARA DETECTORES CFC50S 24VOLT 2 HILOS</v>
      </c>
      <c r="C945" s="4" t="str">
        <f>IFERROR(__xludf.DUMMYFUNCTION("""COMPUTED_VALUE"""),"Base de perfil bajo para detectores CFC50S 24Volt 2 hilos")</f>
        <v>Base de perfil bajo para detectores CFC50S 24Volt 2 hilos</v>
      </c>
      <c r="D945" s="4" t="str">
        <f>IFERROR(__xludf.DUMMYFUNCTION("""COMPUTED_VALUE"""),"COFEM")</f>
        <v>COFEM</v>
      </c>
      <c r="E945" s="4" t="str">
        <f>IFERROR(__xludf.DUMMYFUNCTION("""COMPUTED_VALUE"""),"CFD50ZO")</f>
        <v>CFD50ZO</v>
      </c>
      <c r="F945" s="4" t="str">
        <f>IFERROR(__xludf.DUMMYFUNCTION("""COMPUTED_VALUE"""),"INCENDIO &gt; DETECTORES DE INCENDIO CONVENCIONALES")</f>
        <v>INCENDIO &gt; DETECTORES DE INCENDIO CONVENCIONALES</v>
      </c>
      <c r="G945" s="5"/>
      <c r="H945" s="6">
        <f>IFERROR(__xludf.DUMMYFUNCTION("""COMPUTED_VALUE"""),3.94)</f>
        <v>3.94</v>
      </c>
      <c r="I945" s="7">
        <f>IFERROR(__xludf.DUMMYFUNCTION("""COMPUTED_VALUE"""),21.0)</f>
        <v>21</v>
      </c>
      <c r="J945" s="6">
        <f>IFERROR(__xludf.DUMMYFUNCTION("""COMPUTED_VALUE"""),4.73)</f>
        <v>4.73</v>
      </c>
      <c r="K945" s="6">
        <f>IFERROR(__xludf.DUMMYFUNCTION("""COMPUTED_VALUE"""),5.52)</f>
        <v>5.52</v>
      </c>
      <c r="L945" s="3"/>
      <c r="M945" s="3"/>
    </row>
    <row r="946" ht="48.0" customHeight="1">
      <c r="A946" s="3" t="str">
        <f>IFERROR(__xludf.DUMMYFUNCTION("""COMPUTED_VALUE"""),"CFC50ZR")</f>
        <v>CFC50ZR</v>
      </c>
      <c r="B946" s="4" t="str">
        <f>IFERROR(__xludf.DUMMYFUNCTION("""COMPUTED_VALUE"""),"BASE DE PERFIL ALTO CON RELÉ LIBRE DE TENSIÓN")</f>
        <v>BASE DE PERFIL ALTO CON RELÉ LIBRE DE TENSIÓN</v>
      </c>
      <c r="C946" s="4" t="str">
        <f>IFERROR(__xludf.DUMMYFUNCTION("""COMPUTED_VALUE"""),"Base de perfil alto con relé libre de tensión para 12V 4 hilos para detectores CFC50S")</f>
        <v>Base de perfil alto con relé libre de tensión para 12V 4 hilos para detectores CFC50S</v>
      </c>
      <c r="D946" s="4" t="str">
        <f>IFERROR(__xludf.DUMMYFUNCTION("""COMPUTED_VALUE"""),"COFEM")</f>
        <v>COFEM</v>
      </c>
      <c r="E946" s="4" t="str">
        <f>IFERROR(__xludf.DUMMYFUNCTION("""COMPUTED_VALUE"""),"CFC50ZR")</f>
        <v>CFC50ZR</v>
      </c>
      <c r="F946" s="4" t="str">
        <f>IFERROR(__xludf.DUMMYFUNCTION("""COMPUTED_VALUE"""),"INCENDIO &gt; DETECTORES DE INCENDIO CONVENCIONALES")</f>
        <v>INCENDIO &gt; DETECTORES DE INCENDIO CONVENCIONALES</v>
      </c>
      <c r="G946" s="5"/>
      <c r="H946" s="6">
        <f>IFERROR(__xludf.DUMMYFUNCTION("""COMPUTED_VALUE"""),14.26)</f>
        <v>14.26</v>
      </c>
      <c r="I946" s="7">
        <f>IFERROR(__xludf.DUMMYFUNCTION("""COMPUTED_VALUE"""),21.0)</f>
        <v>21</v>
      </c>
      <c r="J946" s="6">
        <f>IFERROR(__xludf.DUMMYFUNCTION("""COMPUTED_VALUE"""),17.11)</f>
        <v>17.11</v>
      </c>
      <c r="K946" s="6">
        <f>IFERROR(__xludf.DUMMYFUNCTION("""COMPUTED_VALUE"""),19.96)</f>
        <v>19.96</v>
      </c>
      <c r="L946" s="3"/>
      <c r="M946" s="3"/>
    </row>
    <row r="947" ht="48.0" customHeight="1">
      <c r="A947" s="3" t="str">
        <f>IFERROR(__xludf.DUMMYFUNCTION("""COMPUTED_VALUE"""),"SSECO1003")</f>
        <v>SSECO1003</v>
      </c>
      <c r="B947" s="4" t="str">
        <f>IFERROR(__xludf.DUMMYFUNCTION("""COMPUTED_VALUE"""),"DETECTOR ÓPTICO CONVENCIONAL")</f>
        <v>DETECTOR ÓPTICO CONVENCIONAL</v>
      </c>
      <c r="C947" s="4" t="str">
        <f>IFERROR(__xludf.DUMMYFUNCTION("""COMPUTED_VALUE"""),"Detector óptico convencional. (sin base) 12/24V según base")</f>
        <v>Detector óptico convencional. (sin base) 12/24V según base</v>
      </c>
      <c r="D947" s="4" t="str">
        <f>IFERROR(__xludf.DUMMYFUNCTION("""COMPUTED_VALUE"""),"SYSTEM SENSOR")</f>
        <v>SYSTEM SENSOR</v>
      </c>
      <c r="E947" s="4" t="str">
        <f>IFERROR(__xludf.DUMMYFUNCTION("""COMPUTED_VALUE"""),"SSECO1003")</f>
        <v>SSECO1003</v>
      </c>
      <c r="F947" s="4" t="str">
        <f>IFERROR(__xludf.DUMMYFUNCTION("""COMPUTED_VALUE"""),"INCENDIO &gt; DETECTORES DE INCENDIO CONVENCIONALES")</f>
        <v>INCENDIO &gt; DETECTORES DE INCENDIO CONVENCIONALES</v>
      </c>
      <c r="G947" s="5"/>
      <c r="H947" s="6">
        <f>IFERROR(__xludf.DUMMYFUNCTION("""COMPUTED_VALUE"""),33.54)</f>
        <v>33.54</v>
      </c>
      <c r="I947" s="7">
        <f>IFERROR(__xludf.DUMMYFUNCTION("""COMPUTED_VALUE"""),21.0)</f>
        <v>21</v>
      </c>
      <c r="J947" s="6">
        <f>IFERROR(__xludf.DUMMYFUNCTION("""COMPUTED_VALUE"""),40.25)</f>
        <v>40.25</v>
      </c>
      <c r="K947" s="6">
        <f>IFERROR(__xludf.DUMMYFUNCTION("""COMPUTED_VALUE"""),46.96)</f>
        <v>46.96</v>
      </c>
      <c r="L947" s="3"/>
      <c r="M947" s="3"/>
    </row>
    <row r="948" ht="48.0" customHeight="1">
      <c r="A948" s="3" t="str">
        <f>IFERROR(__xludf.DUMMYFUNCTION("""COMPUTED_VALUE"""),"SSECO1002")</f>
        <v>SSECO1002</v>
      </c>
      <c r="B948" s="4" t="str">
        <f>IFERROR(__xludf.DUMMYFUNCTION("""COMPUTED_VALUE"""),"DETECTOR MULTICRITERIA ÓPTICO + TERMOVELOCIMÉTRICO CONVENCIONAL")</f>
        <v>DETECTOR MULTICRITERIA ÓPTICO + TERMOVELOCIMÉTRICO CONVENCIONAL</v>
      </c>
      <c r="C948" s="4" t="str">
        <f>IFERROR(__xludf.DUMMYFUNCTION("""COMPUTED_VALUE"""),"Detector multicriteria óptico + termovelocimétrico convencional. (sin base) 12/24V según base")</f>
        <v>Detector multicriteria óptico + termovelocimétrico convencional. (sin base) 12/24V según base</v>
      </c>
      <c r="D948" s="4" t="str">
        <f>IFERROR(__xludf.DUMMYFUNCTION("""COMPUTED_VALUE"""),"SYSTEM SENSOR")</f>
        <v>SYSTEM SENSOR</v>
      </c>
      <c r="E948" s="4" t="str">
        <f>IFERROR(__xludf.DUMMYFUNCTION("""COMPUTED_VALUE"""),"SSECO1002")</f>
        <v>SSECO1002</v>
      </c>
      <c r="F948" s="4" t="str">
        <f>IFERROR(__xludf.DUMMYFUNCTION("""COMPUTED_VALUE"""),"INCENDIO &gt; DETECTORES DE INCENDIO CONVENCIONALES")</f>
        <v>INCENDIO &gt; DETECTORES DE INCENDIO CONVENCIONALES</v>
      </c>
      <c r="G948" s="5"/>
      <c r="H948" s="6">
        <f>IFERROR(__xludf.DUMMYFUNCTION("""COMPUTED_VALUE"""),44.62)</f>
        <v>44.62</v>
      </c>
      <c r="I948" s="7">
        <f>IFERROR(__xludf.DUMMYFUNCTION("""COMPUTED_VALUE"""),21.0)</f>
        <v>21</v>
      </c>
      <c r="J948" s="6">
        <f>IFERROR(__xludf.DUMMYFUNCTION("""COMPUTED_VALUE"""),53.54)</f>
        <v>53.54</v>
      </c>
      <c r="K948" s="6">
        <f>IFERROR(__xludf.DUMMYFUNCTION("""COMPUTED_VALUE"""),62.47)</f>
        <v>62.47</v>
      </c>
      <c r="L948" s="3"/>
      <c r="M948" s="3"/>
    </row>
    <row r="949" ht="48.0" customHeight="1">
      <c r="A949" s="3" t="str">
        <f>IFERROR(__xludf.DUMMYFUNCTION("""COMPUTED_VALUE"""),"SSECOKIT1003")</f>
        <v>SSECOKIT1003</v>
      </c>
      <c r="B949" s="4" t="str">
        <f>IFERROR(__xludf.DUMMYFUNCTION("""COMPUTED_VALUE"""),"DETECTOR ÓPTICO CONVENCIONAL SSECO1003 + BASE SSECO1000B DE 24V 2H")</f>
        <v>DETECTOR ÓPTICO CONVENCIONAL SSECO1003 + BASE SSECO1000B DE 24V 2H</v>
      </c>
      <c r="C949" s="4" t="str">
        <f>IFERROR(__xludf.DUMMYFUNCTION("""COMPUTED_VALUE"""),"Detector óptico convencional SSECO1003 + BASE SSECO1000B de 24V 2H")</f>
        <v>Detector óptico convencional SSECO1003 + BASE SSECO1000B de 24V 2H</v>
      </c>
      <c r="D949" s="4" t="str">
        <f>IFERROR(__xludf.DUMMYFUNCTION("""COMPUTED_VALUE"""),"SYSTEM SENSOR")</f>
        <v>SYSTEM SENSOR</v>
      </c>
      <c r="E949" s="4" t="str">
        <f>IFERROR(__xludf.DUMMYFUNCTION("""COMPUTED_VALUE"""),"SSECOKIT1003")</f>
        <v>SSECOKIT1003</v>
      </c>
      <c r="F949" s="4" t="str">
        <f>IFERROR(__xludf.DUMMYFUNCTION("""COMPUTED_VALUE"""),"INCENDIO &gt; DETECTORES DE INCENDIO CONVENCIONALES")</f>
        <v>INCENDIO &gt; DETECTORES DE INCENDIO CONVENCIONALES</v>
      </c>
      <c r="G949" s="5"/>
      <c r="H949" s="6">
        <f>IFERROR(__xludf.DUMMYFUNCTION("""COMPUTED_VALUE"""),41.8)</f>
        <v>41.8</v>
      </c>
      <c r="I949" s="7">
        <f>IFERROR(__xludf.DUMMYFUNCTION("""COMPUTED_VALUE"""),21.0)</f>
        <v>21</v>
      </c>
      <c r="J949" s="6">
        <f>IFERROR(__xludf.DUMMYFUNCTION("""COMPUTED_VALUE"""),50.16)</f>
        <v>50.16</v>
      </c>
      <c r="K949" s="6">
        <f>IFERROR(__xludf.DUMMYFUNCTION("""COMPUTED_VALUE"""),58.52)</f>
        <v>58.52</v>
      </c>
      <c r="L949" s="3"/>
      <c r="M949" s="3"/>
    </row>
    <row r="950" ht="48.0" customHeight="1">
      <c r="A950" s="3" t="str">
        <f>IFERROR(__xludf.DUMMYFUNCTION("""COMPUTED_VALUE"""),"SSECOKIT1002")</f>
        <v>SSECOKIT1002</v>
      </c>
      <c r="B950" s="4" t="str">
        <f>IFERROR(__xludf.DUMMYFUNCTION("""COMPUTED_VALUE"""),"DETECTOR MULTICRITERIA ÓPTICO + TERMOVELOCIMÉTRICO CONVENCIONAL")</f>
        <v>DETECTOR MULTICRITERIA ÓPTICO + TERMOVELOCIMÉTRICO CONVENCIONAL</v>
      </c>
      <c r="C950" s="4" t="str">
        <f>IFERROR(__xludf.DUMMYFUNCTION("""COMPUTED_VALUE"""),"Detector multicriteria óptico + termovelocimétrico convencional. SSECO1002 + BASE SSECO1000B de 24V 2H")</f>
        <v>Detector multicriteria óptico + termovelocimétrico convencional. SSECO1002 + BASE SSECO1000B de 24V 2H</v>
      </c>
      <c r="D950" s="4" t="str">
        <f>IFERROR(__xludf.DUMMYFUNCTION("""COMPUTED_VALUE"""),"SYSTEM SENSOR")</f>
        <v>SYSTEM SENSOR</v>
      </c>
      <c r="E950" s="4" t="str">
        <f>IFERROR(__xludf.DUMMYFUNCTION("""COMPUTED_VALUE"""),"SSECOKIT1002")</f>
        <v>SSECOKIT1002</v>
      </c>
      <c r="F950" s="4" t="str">
        <f>IFERROR(__xludf.DUMMYFUNCTION("""COMPUTED_VALUE"""),"INCENDIO &gt; DETECTORES DE INCENDIO CONVENCIONALES")</f>
        <v>INCENDIO &gt; DETECTORES DE INCENDIO CONVENCIONALES</v>
      </c>
      <c r="G950" s="5"/>
      <c r="H950" s="6">
        <f>IFERROR(__xludf.DUMMYFUNCTION("""COMPUTED_VALUE"""),51.7)</f>
        <v>51.7</v>
      </c>
      <c r="I950" s="7">
        <f>IFERROR(__xludf.DUMMYFUNCTION("""COMPUTED_VALUE"""),21.0)</f>
        <v>21</v>
      </c>
      <c r="J950" s="6">
        <f>IFERROR(__xludf.DUMMYFUNCTION("""COMPUTED_VALUE"""),62.04)</f>
        <v>62.04</v>
      </c>
      <c r="K950" s="6">
        <f>IFERROR(__xludf.DUMMYFUNCTION("""COMPUTED_VALUE"""),72.38)</f>
        <v>72.38</v>
      </c>
      <c r="L950" s="3"/>
      <c r="M950" s="3"/>
    </row>
    <row r="951" ht="48.0" customHeight="1">
      <c r="A951" s="3" t="str">
        <f>IFERROR(__xludf.DUMMYFUNCTION("""COMPUTED_VALUE"""),"SSECO1000B")</f>
        <v>SSECO1000B</v>
      </c>
      <c r="B951" s="4" t="str">
        <f>IFERROR(__xludf.DUMMYFUNCTION("""COMPUTED_VALUE"""),"BASE 24V 2 HILOS")</f>
        <v>BASE 24V 2 HILOS</v>
      </c>
      <c r="C951" s="4" t="str">
        <f>IFERROR(__xludf.DUMMYFUNCTION("""COMPUTED_VALUE"""),"Base 24V 2 Hilos. (SOLO VENTA CON DETECTORES ECO1002-ECO1003)")</f>
        <v>Base 24V 2 Hilos. (SOLO VENTA CON DETECTORES ECO1002-ECO1003)</v>
      </c>
      <c r="D951" s="4" t="str">
        <f>IFERROR(__xludf.DUMMYFUNCTION("""COMPUTED_VALUE"""),"SYSTEM SENSOR")</f>
        <v>SYSTEM SENSOR</v>
      </c>
      <c r="E951" s="4" t="str">
        <f>IFERROR(__xludf.DUMMYFUNCTION("""COMPUTED_VALUE"""),"SSECO1000B")</f>
        <v>SSECO1000B</v>
      </c>
      <c r="F951" s="4" t="str">
        <f>IFERROR(__xludf.DUMMYFUNCTION("""COMPUTED_VALUE"""),"INCENDIO &gt; DETECTORES DE INCENDIO CONVENCIONALES")</f>
        <v>INCENDIO &gt; DETECTORES DE INCENDIO CONVENCIONALES</v>
      </c>
      <c r="G951" s="5"/>
      <c r="H951" s="6">
        <f>IFERROR(__xludf.DUMMYFUNCTION("""COMPUTED_VALUE"""),0.0)</f>
        <v>0</v>
      </c>
      <c r="I951" s="7">
        <f>IFERROR(__xludf.DUMMYFUNCTION("""COMPUTED_VALUE"""),21.0)</f>
        <v>21</v>
      </c>
      <c r="J951" s="6">
        <f>IFERROR(__xludf.DUMMYFUNCTION("""COMPUTED_VALUE"""),0.0)</f>
        <v>0</v>
      </c>
      <c r="K951" s="6">
        <f>IFERROR(__xludf.DUMMYFUNCTION("""COMPUTED_VALUE"""),0.0)</f>
        <v>0</v>
      </c>
      <c r="L951" s="3"/>
      <c r="M951" s="3"/>
    </row>
    <row r="952" ht="48.0" customHeight="1">
      <c r="A952" s="3" t="str">
        <f>IFERROR(__xludf.DUMMYFUNCTION("""COMPUTED_VALUE"""),"SSECO1000RTU")</f>
        <v>SSECO1000RTU</v>
      </c>
      <c r="B952" s="4" t="str">
        <f>IFERROR(__xludf.DUMMYFUNCTION("""COMPUTED_VALUE"""),"TESTER LASER PARA PRUEBAS REMOTAS DE DETECTORES ECO")</f>
        <v>TESTER LASER PARA PRUEBAS REMOTAS DE DETECTORES ECO</v>
      </c>
      <c r="C952" s="4" t="str">
        <f>IFERROR(__xludf.DUMMYFUNCTION("""COMPUTED_VALUE"""),"Tester laser para pruebas remotas de detectores ECO")</f>
        <v>Tester laser para pruebas remotas de detectores ECO</v>
      </c>
      <c r="D952" s="4" t="str">
        <f>IFERROR(__xludf.DUMMYFUNCTION("""COMPUTED_VALUE"""),"SYSTEM SENSOR")</f>
        <v>SYSTEM SENSOR</v>
      </c>
      <c r="E952" s="4" t="str">
        <f>IFERROR(__xludf.DUMMYFUNCTION("""COMPUTED_VALUE"""),"SSECO1000RTU")</f>
        <v>SSECO1000RTU</v>
      </c>
      <c r="F952" s="4" t="str">
        <f>IFERROR(__xludf.DUMMYFUNCTION("""COMPUTED_VALUE"""),"INCENDIO &gt; DETECTORES DE INCENDIO CONVENCIONALES")</f>
        <v>INCENDIO &gt; DETECTORES DE INCENDIO CONVENCIONALES</v>
      </c>
      <c r="G952" s="5"/>
      <c r="H952" s="6">
        <f>IFERROR(__xludf.DUMMYFUNCTION("""COMPUTED_VALUE"""),97.87)</f>
        <v>97.87</v>
      </c>
      <c r="I952" s="7">
        <f>IFERROR(__xludf.DUMMYFUNCTION("""COMPUTED_VALUE"""),21.0)</f>
        <v>21</v>
      </c>
      <c r="J952" s="6">
        <f>IFERROR(__xludf.DUMMYFUNCTION("""COMPUTED_VALUE"""),117.44)</f>
        <v>117.44</v>
      </c>
      <c r="K952" s="6">
        <f>IFERROR(__xludf.DUMMYFUNCTION("""COMPUTED_VALUE"""),137.02)</f>
        <v>137.02</v>
      </c>
      <c r="L952" s="3"/>
      <c r="M952" s="3"/>
    </row>
    <row r="953" ht="48.0" customHeight="1">
      <c r="A953" s="3" t="str">
        <f>IFERROR(__xludf.DUMMYFUNCTION("""COMPUTED_VALUE"""),"SSECO1000DRT")</f>
        <v>SSECO1000DRT</v>
      </c>
      <c r="B953" s="4" t="str">
        <f>IFERROR(__xludf.DUMMYFUNCTION("""COMPUTED_VALUE"""),"CABEZAL PARA DESMONTAR DETECTORES ECO")</f>
        <v>CABEZAL PARA DESMONTAR DETECTORES ECO</v>
      </c>
      <c r="C953" s="4" t="str">
        <f>IFERROR(__xludf.DUMMYFUNCTION("""COMPUTED_VALUE"""),"Cabezal para desmontar detectores ECO")</f>
        <v>Cabezal para desmontar detectores ECO</v>
      </c>
      <c r="D953" s="4" t="str">
        <f>IFERROR(__xludf.DUMMYFUNCTION("""COMPUTED_VALUE"""),"SYSTEM SENSOR")</f>
        <v>SYSTEM SENSOR</v>
      </c>
      <c r="E953" s="4" t="str">
        <f>IFERROR(__xludf.DUMMYFUNCTION("""COMPUTED_VALUE"""),"SSECO1000DRT")</f>
        <v>SSECO1000DRT</v>
      </c>
      <c r="F953" s="4" t="str">
        <f>IFERROR(__xludf.DUMMYFUNCTION("""COMPUTED_VALUE"""),"INCENDIO &gt; DETECTORES DE INCENDIO CONVENCIONALES")</f>
        <v>INCENDIO &gt; DETECTORES DE INCENDIO CONVENCIONALES</v>
      </c>
      <c r="G953" s="5"/>
      <c r="H953" s="6">
        <f>IFERROR(__xludf.DUMMYFUNCTION("""COMPUTED_VALUE"""),82.92)</f>
        <v>82.92</v>
      </c>
      <c r="I953" s="7">
        <f>IFERROR(__xludf.DUMMYFUNCTION("""COMPUTED_VALUE"""),21.0)</f>
        <v>21</v>
      </c>
      <c r="J953" s="6">
        <f>IFERROR(__xludf.DUMMYFUNCTION("""COMPUTED_VALUE"""),99.5)</f>
        <v>99.5</v>
      </c>
      <c r="K953" s="6">
        <f>IFERROR(__xludf.DUMMYFUNCTION("""COMPUTED_VALUE"""),116.09)</f>
        <v>116.09</v>
      </c>
      <c r="L953" s="3"/>
      <c r="M953" s="3"/>
    </row>
    <row r="954" ht="48.0" customHeight="1">
      <c r="A954" s="3" t="str">
        <f>IFERROR(__xludf.DUMMYFUNCTION("""COMPUTED_VALUE"""),"SSEOLR1")</f>
        <v>SSEOLR1</v>
      </c>
      <c r="B954" s="4" t="str">
        <f>IFERROR(__xludf.DUMMYFUNCTION("""COMPUTED_VALUE"""),"RELÉ DE FIN DE LÍNEA")</f>
        <v>RELÉ DE FIN DE LÍNEA</v>
      </c>
      <c r="C954" s="4" t="str">
        <f>IFERROR(__xludf.DUMMYFUNCTION("""COMPUTED_VALUE"""),"Relé de fin de línea")</f>
        <v>Relé de fin de línea</v>
      </c>
      <c r="D954" s="4" t="str">
        <f>IFERROR(__xludf.DUMMYFUNCTION("""COMPUTED_VALUE"""),"SYSTEM SENSOR")</f>
        <v>SYSTEM SENSOR</v>
      </c>
      <c r="E954" s="4" t="str">
        <f>IFERROR(__xludf.DUMMYFUNCTION("""COMPUTED_VALUE"""),"SSEOLR1")</f>
        <v>SSEOLR1</v>
      </c>
      <c r="F954" s="4" t="str">
        <f>IFERROR(__xludf.DUMMYFUNCTION("""COMPUTED_VALUE"""),"INCENDIO &gt; DETECTORES DE INCENDIO CONVENCIONALES")</f>
        <v>INCENDIO &gt; DETECTORES DE INCENDIO CONVENCIONALES</v>
      </c>
      <c r="G954" s="5"/>
      <c r="H954" s="6">
        <f>IFERROR(__xludf.DUMMYFUNCTION("""COMPUTED_VALUE"""),43.64)</f>
        <v>43.64</v>
      </c>
      <c r="I954" s="7">
        <f>IFERROR(__xludf.DUMMYFUNCTION("""COMPUTED_VALUE"""),21.0)</f>
        <v>21</v>
      </c>
      <c r="J954" s="6">
        <f>IFERROR(__xludf.DUMMYFUNCTION("""COMPUTED_VALUE"""),52.37)</f>
        <v>52.37</v>
      </c>
      <c r="K954" s="6">
        <f>IFERROR(__xludf.DUMMYFUNCTION("""COMPUTED_VALUE"""),61.1)</f>
        <v>61.1</v>
      </c>
      <c r="L954" s="3"/>
      <c r="M954" s="3"/>
    </row>
    <row r="955" ht="48.0" customHeight="1">
      <c r="A955" s="3" t="str">
        <f>IFERROR(__xludf.DUMMYFUNCTION("""COMPUTED_VALUE"""),"SS2351TEM")</f>
        <v>SS2351TEM</v>
      </c>
      <c r="B955" s="4" t="str">
        <f>IFERROR(__xludf.DUMMYFUNCTION("""COMPUTED_VALUE"""),"DETECTOR MULTICRITERIA ÓPTICO TERMOVELOCIMÉTRICO CONVENCIONAL")</f>
        <v>DETECTOR MULTICRITERIA ÓPTICO TERMOVELOCIMÉTRICO CONVENCIONAL</v>
      </c>
      <c r="C955" s="4" t="str">
        <f>IFERROR(__xludf.DUMMYFUNCTION("""COMPUTED_VALUE"""),"Detector multicriteria óptico termovelocimétrico convencional. Sin base Serie 300")</f>
        <v>Detector multicriteria óptico termovelocimétrico convencional. Sin base Serie 300</v>
      </c>
      <c r="D955" s="4" t="str">
        <f>IFERROR(__xludf.DUMMYFUNCTION("""COMPUTED_VALUE"""),"SYSTEM SENSOR")</f>
        <v>SYSTEM SENSOR</v>
      </c>
      <c r="E955" s="4" t="str">
        <f>IFERROR(__xludf.DUMMYFUNCTION("""COMPUTED_VALUE"""),"SS2351TEM")</f>
        <v>SS2351TEM</v>
      </c>
      <c r="F955" s="4" t="str">
        <f>IFERROR(__xludf.DUMMYFUNCTION("""COMPUTED_VALUE"""),"INCENDIO &gt; DETECTORES DE INCENDIO CONVENCIONALES")</f>
        <v>INCENDIO &gt; DETECTORES DE INCENDIO CONVENCIONALES</v>
      </c>
      <c r="G955" s="5"/>
      <c r="H955" s="6">
        <f>IFERROR(__xludf.DUMMYFUNCTION("""COMPUTED_VALUE"""),56.74)</f>
        <v>56.74</v>
      </c>
      <c r="I955" s="7">
        <f>IFERROR(__xludf.DUMMYFUNCTION("""COMPUTED_VALUE"""),21.0)</f>
        <v>21</v>
      </c>
      <c r="J955" s="6">
        <f>IFERROR(__xludf.DUMMYFUNCTION("""COMPUTED_VALUE"""),68.09)</f>
        <v>68.09</v>
      </c>
      <c r="K955" s="6">
        <f>IFERROR(__xludf.DUMMYFUNCTION("""COMPUTED_VALUE"""),79.44)</f>
        <v>79.44</v>
      </c>
      <c r="L955" s="3"/>
      <c r="M955" s="3"/>
    </row>
    <row r="956" ht="48.0" customHeight="1">
      <c r="A956" s="3" t="str">
        <f>IFERROR(__xludf.DUMMYFUNCTION("""COMPUTED_VALUE"""),"SS4351E")</f>
        <v>SS4351E</v>
      </c>
      <c r="B956" s="4" t="str">
        <f>IFERROR(__xludf.DUMMYFUNCTION("""COMPUTED_VALUE"""),"DETECTOR TERMICO")</f>
        <v>DETECTOR TERMICO</v>
      </c>
      <c r="C956" s="4" t="str">
        <f>IFERROR(__xludf.DUMMYFUNCTION("""COMPUTED_VALUE"""),"Detector termico")</f>
        <v>Detector termico</v>
      </c>
      <c r="D956" s="4" t="str">
        <f>IFERROR(__xludf.DUMMYFUNCTION("""COMPUTED_VALUE"""),"SYSTEM SENSOR")</f>
        <v>SYSTEM SENSOR</v>
      </c>
      <c r="E956" s="4" t="str">
        <f>IFERROR(__xludf.DUMMYFUNCTION("""COMPUTED_VALUE"""),"SS4351E")</f>
        <v>SS4351E</v>
      </c>
      <c r="F956" s="4" t="str">
        <f>IFERROR(__xludf.DUMMYFUNCTION("""COMPUTED_VALUE"""),"INCENDIO &gt; DETECTORES DE INCENDIO CONVENCIONALES")</f>
        <v>INCENDIO &gt; DETECTORES DE INCENDIO CONVENCIONALES</v>
      </c>
      <c r="G956" s="5"/>
      <c r="H956" s="6">
        <f>IFERROR(__xludf.DUMMYFUNCTION("""COMPUTED_VALUE"""),44.96)</f>
        <v>44.96</v>
      </c>
      <c r="I956" s="7">
        <f>IFERROR(__xludf.DUMMYFUNCTION("""COMPUTED_VALUE"""),21.0)</f>
        <v>21</v>
      </c>
      <c r="J956" s="6">
        <f>IFERROR(__xludf.DUMMYFUNCTION("""COMPUTED_VALUE"""),53.95)</f>
        <v>53.95</v>
      </c>
      <c r="K956" s="6">
        <f>IFERROR(__xludf.DUMMYFUNCTION("""COMPUTED_VALUE"""),62.94)</f>
        <v>62.94</v>
      </c>
      <c r="L956" s="3"/>
      <c r="M956" s="3"/>
    </row>
    <row r="957" ht="48.0" customHeight="1">
      <c r="A957" s="3" t="str">
        <f>IFERROR(__xludf.DUMMYFUNCTION("""COMPUTED_VALUE"""),"SSB401")</f>
        <v>SSB401</v>
      </c>
      <c r="B957" s="4" t="str">
        <f>IFERROR(__xludf.DUMMYFUNCTION("""COMPUTED_VALUE"""),"BASE PARA DETECTORES SERIE 300")</f>
        <v>BASE PARA DETECTORES SERIE 300</v>
      </c>
      <c r="C957" s="4" t="str">
        <f>IFERROR(__xludf.DUMMYFUNCTION("""COMPUTED_VALUE"""),"Base para detectores serie 300. SS2351TEM – SS4351E")</f>
        <v>Base para detectores serie 300. SS2351TEM – SS4351E</v>
      </c>
      <c r="D957" s="4" t="str">
        <f>IFERROR(__xludf.DUMMYFUNCTION("""COMPUTED_VALUE"""),"SYSTEM SENSOR")</f>
        <v>SYSTEM SENSOR</v>
      </c>
      <c r="E957" s="4" t="str">
        <f>IFERROR(__xludf.DUMMYFUNCTION("""COMPUTED_VALUE"""),"SSB401")</f>
        <v>SSB401</v>
      </c>
      <c r="F957" s="4" t="str">
        <f>IFERROR(__xludf.DUMMYFUNCTION("""COMPUTED_VALUE"""),"INCENDIO &gt; DETECTORES DE INCENDIO CONVENCIONALES")</f>
        <v>INCENDIO &gt; DETECTORES DE INCENDIO CONVENCIONALES</v>
      </c>
      <c r="G957" s="5"/>
      <c r="H957" s="6">
        <f>IFERROR(__xludf.DUMMYFUNCTION("""COMPUTED_VALUE"""),3.93)</f>
        <v>3.93</v>
      </c>
      <c r="I957" s="7">
        <f>IFERROR(__xludf.DUMMYFUNCTION("""COMPUTED_VALUE"""),21.0)</f>
        <v>21</v>
      </c>
      <c r="J957" s="6">
        <f>IFERROR(__xludf.DUMMYFUNCTION("""COMPUTED_VALUE"""),4.72)</f>
        <v>4.72</v>
      </c>
      <c r="K957" s="6">
        <f>IFERROR(__xludf.DUMMYFUNCTION("""COMPUTED_VALUE"""),5.5)</f>
        <v>5.5</v>
      </c>
      <c r="L957" s="3"/>
      <c r="M957" s="3"/>
    </row>
    <row r="958" ht="48.0" customHeight="1">
      <c r="A958" s="3" t="str">
        <f>IFERROR(__xludf.DUMMYFUNCTION("""COMPUTED_VALUE"""),"SSB401R")</f>
        <v>SSB401R</v>
      </c>
      <c r="B958" s="4" t="str">
        <f>IFERROR(__xludf.DUMMYFUNCTION("""COMPUTED_VALUE"""),"BASE CON RESISTENCIA 470 OHM PARA SERIE 300")</f>
        <v>BASE CON RESISTENCIA 470 OHM PARA SERIE 300</v>
      </c>
      <c r="C958" s="4" t="str">
        <f>IFERROR(__xludf.DUMMYFUNCTION("""COMPUTED_VALUE"""),"Base con resistencia 470 ohm para serie 300. SS2351TEM – SS4351E")</f>
        <v>Base con resistencia 470 ohm para serie 300. SS2351TEM – SS4351E</v>
      </c>
      <c r="D958" s="4" t="str">
        <f>IFERROR(__xludf.DUMMYFUNCTION("""COMPUTED_VALUE"""),"SYSTEM SENSOR")</f>
        <v>SYSTEM SENSOR</v>
      </c>
      <c r="E958" s="4" t="str">
        <f>IFERROR(__xludf.DUMMYFUNCTION("""COMPUTED_VALUE"""),"SSB401R")</f>
        <v>SSB401R</v>
      </c>
      <c r="F958" s="4" t="str">
        <f>IFERROR(__xludf.DUMMYFUNCTION("""COMPUTED_VALUE"""),"INCENDIO &gt; DETECTORES DE INCENDIO CONVENCIONALES")</f>
        <v>INCENDIO &gt; DETECTORES DE INCENDIO CONVENCIONALES</v>
      </c>
      <c r="G958" s="5"/>
      <c r="H958" s="6">
        <f>IFERROR(__xludf.DUMMYFUNCTION("""COMPUTED_VALUE"""),4.37)</f>
        <v>4.37</v>
      </c>
      <c r="I958" s="7">
        <f>IFERROR(__xludf.DUMMYFUNCTION("""COMPUTED_VALUE"""),21.0)</f>
        <v>21</v>
      </c>
      <c r="J958" s="6">
        <f>IFERROR(__xludf.DUMMYFUNCTION("""COMPUTED_VALUE"""),5.24)</f>
        <v>5.24</v>
      </c>
      <c r="K958" s="6">
        <f>IFERROR(__xludf.DUMMYFUNCTION("""COMPUTED_VALUE"""),6.12)</f>
        <v>6.12</v>
      </c>
      <c r="L958" s="3"/>
      <c r="M958" s="3"/>
    </row>
    <row r="959" ht="48.0" customHeight="1">
      <c r="A959" s="3" t="str">
        <f>IFERROR(__xludf.DUMMYFUNCTION("""COMPUTED_VALUE"""),"SS300ZDU")</f>
        <v>SS300ZDU</v>
      </c>
      <c r="B959" s="4" t="str">
        <f>IFERROR(__xludf.DUMMYFUNCTION("""COMPUTED_VALUE"""),"MÓDULO DE VISUALIZACIÓN DE DIRECCIÓN PARA SERIE 300")</f>
        <v>MÓDULO DE VISUALIZACIÓN DE DIRECCIÓN PARA SERIE 300</v>
      </c>
      <c r="C959" s="4" t="str">
        <f>IFERROR(__xludf.DUMMYFUNCTION("""COMPUTED_VALUE"""),"Módulo de Visualización de dirección para Serie 300")</f>
        <v>Módulo de Visualización de dirección para Serie 300</v>
      </c>
      <c r="D959" s="4" t="str">
        <f>IFERROR(__xludf.DUMMYFUNCTION("""COMPUTED_VALUE"""),"SYSTEM SENSOR")</f>
        <v>SYSTEM SENSOR</v>
      </c>
      <c r="E959" s="4" t="str">
        <f>IFERROR(__xludf.DUMMYFUNCTION("""COMPUTED_VALUE"""),"SS300ZDU")</f>
        <v>SS300ZDU</v>
      </c>
      <c r="F959" s="4" t="str">
        <f>IFERROR(__xludf.DUMMYFUNCTION("""COMPUTED_VALUE"""),"INCENDIO &gt; ACCESORIOS PARA DETECTORES")</f>
        <v>INCENDIO &gt; ACCESORIOS PARA DETECTORES</v>
      </c>
      <c r="G959" s="5"/>
      <c r="H959" s="6">
        <f>IFERROR(__xludf.DUMMYFUNCTION("""COMPUTED_VALUE"""),183.29)</f>
        <v>183.29</v>
      </c>
      <c r="I959" s="7">
        <f>IFERROR(__xludf.DUMMYFUNCTION("""COMPUTED_VALUE"""),21.0)</f>
        <v>21</v>
      </c>
      <c r="J959" s="6">
        <f>IFERROR(__xludf.DUMMYFUNCTION("""COMPUTED_VALUE"""),219.95)</f>
        <v>219.95</v>
      </c>
      <c r="K959" s="6">
        <f>IFERROR(__xludf.DUMMYFUNCTION("""COMPUTED_VALUE"""),256.61)</f>
        <v>256.61</v>
      </c>
      <c r="L959" s="3"/>
      <c r="M959" s="3"/>
    </row>
    <row r="960" ht="48.0" customHeight="1">
      <c r="A960" s="3" t="str">
        <f>IFERROR(__xludf.DUMMYFUNCTION("""COMPUTED_VALUE"""),"SS300RPTU")</f>
        <v>SS300RPTU</v>
      </c>
      <c r="B960" s="4" t="str">
        <f>IFERROR(__xludf.DUMMYFUNCTION("""COMPUTED_VALUE"""),"CONTROL REMOTO PARA FUNCIONES DE PROGRAMACIÓN Y PRUEBA PARA")</f>
        <v>CONTROL REMOTO PARA FUNCIONES DE PROGRAMACIÓN Y PRUEBA PARA</v>
      </c>
      <c r="C960" s="4" t="str">
        <f>IFERROR(__xludf.DUMMYFUNCTION("""COMPUTED_VALUE"""),"Control Remoto para funciones de programación y prueba para Serie 300. Permite la programación local de detectores a distancias de un cm.")</f>
        <v>Control Remoto para funciones de programación y prueba para Serie 300. Permite la programación local de detectores a distancias de un cm.</v>
      </c>
      <c r="D960" s="4" t="str">
        <f>IFERROR(__xludf.DUMMYFUNCTION("""COMPUTED_VALUE"""),"SYSTEM SENSOR")</f>
        <v>SYSTEM SENSOR</v>
      </c>
      <c r="E960" s="4" t="str">
        <f>IFERROR(__xludf.DUMMYFUNCTION("""COMPUTED_VALUE"""),"SS300RPTU")</f>
        <v>SS300RPTU</v>
      </c>
      <c r="F960" s="4" t="str">
        <f>IFERROR(__xludf.DUMMYFUNCTION("""COMPUTED_VALUE"""),"INCENDIO &gt; ACCESORIOS PARA DETECTORES")</f>
        <v>INCENDIO &gt; ACCESORIOS PARA DETECTORES</v>
      </c>
      <c r="G960" s="5"/>
      <c r="H960" s="6">
        <f>IFERROR(__xludf.DUMMYFUNCTION("""COMPUTED_VALUE"""),282.8)</f>
        <v>282.8</v>
      </c>
      <c r="I960" s="7">
        <f>IFERROR(__xludf.DUMMYFUNCTION("""COMPUTED_VALUE"""),21.0)</f>
        <v>21</v>
      </c>
      <c r="J960" s="6">
        <f>IFERROR(__xludf.DUMMYFUNCTION("""COMPUTED_VALUE"""),339.36)</f>
        <v>339.36</v>
      </c>
      <c r="K960" s="6">
        <f>IFERROR(__xludf.DUMMYFUNCTION("""COMPUTED_VALUE"""),395.92)</f>
        <v>395.92</v>
      </c>
      <c r="L960" s="3"/>
      <c r="M960" s="3"/>
    </row>
    <row r="961" ht="48.0" customHeight="1">
      <c r="A961" s="3" t="str">
        <f>IFERROR(__xludf.DUMMYFUNCTION("""COMPUTED_VALUE"""),"AEROSOL")</f>
        <v>AEROSOL</v>
      </c>
      <c r="B961" s="4" t="str">
        <f>IFERROR(__xludf.DUMMYFUNCTION("""COMPUTED_VALUE"""),"AEROSOL PARA PRUEBA DE DETECTORES DE HUMO")</f>
        <v>AEROSOL PARA PRUEBA DE DETECTORES DE HUMO</v>
      </c>
      <c r="C961" s="4" t="str">
        <f>IFERROR(__xludf.DUMMYFUNCTION("""COMPUTED_VALUE"""),"Aerosol para prueba de detectores de humo")</f>
        <v>Aerosol para prueba de detectores de humo</v>
      </c>
      <c r="D961" s="4" t="str">
        <f>IFERROR(__xludf.DUMMYFUNCTION("""COMPUTED_VALUE"""),"Generico")</f>
        <v>Generico</v>
      </c>
      <c r="E961" s="4" t="str">
        <f>IFERROR(__xludf.DUMMYFUNCTION("""COMPUTED_VALUE"""),"AEROSOL")</f>
        <v>AEROSOL</v>
      </c>
      <c r="F961" s="4" t="str">
        <f>IFERROR(__xludf.DUMMYFUNCTION("""COMPUTED_VALUE"""),"INCENDIO &gt; ACCESORIOS PARA DETECTORES")</f>
        <v>INCENDIO &gt; ACCESORIOS PARA DETECTORES</v>
      </c>
      <c r="G961" s="5"/>
      <c r="H961" s="6">
        <f>IFERROR(__xludf.DUMMYFUNCTION("""COMPUTED_VALUE"""),8.58)</f>
        <v>8.58</v>
      </c>
      <c r="I961" s="7">
        <f>IFERROR(__xludf.DUMMYFUNCTION("""COMPUTED_VALUE"""),21.0)</f>
        <v>21</v>
      </c>
      <c r="J961" s="6">
        <f>IFERROR(__xludf.DUMMYFUNCTION("""COMPUTED_VALUE"""),10.3)</f>
        <v>10.3</v>
      </c>
      <c r="K961" s="6">
        <f>IFERROR(__xludf.DUMMYFUNCTION("""COMPUTED_VALUE"""),12.01)</f>
        <v>12.01</v>
      </c>
      <c r="L961" s="3"/>
      <c r="M961" s="3"/>
    </row>
    <row r="962" ht="48.0" customHeight="1">
      <c r="A962" s="3" t="str">
        <f>IFERROR(__xludf.DUMMYFUNCTION("""COMPUTED_VALUE"""),"CFDLRC")</f>
        <v>CFDLRC</v>
      </c>
      <c r="B962" s="4" t="str">
        <f>IFERROR(__xludf.DUMMYFUNCTION("""COMPUTED_VALUE"""),"BARRERA LINEAL CONVENCIONAL ALCANCE 8 A 100 METROS")</f>
        <v>BARRERA LINEAL CONVENCIONAL ALCANCE 8 A 100 METROS</v>
      </c>
      <c r="C962" s="4" t="str">
        <f>IFERROR(__xludf.DUMMYFUNCTION("""COMPUTED_VALUE"""),"Barrera lineal convencional Alcance 8 a 100 metros. Alimentación desde central de incendios o fuente externa. Salida de alarma y avería conectada a zona. (Para instalarla en una central de robo de 12V, requiere 1 placa conversor DK1224).")</f>
        <v>Barrera lineal convencional Alcance 8 a 100 metros. Alimentación desde central de incendios o fuente externa. Salida de alarma y avería conectada a zona. (Para instalarla en una central de robo de 12V, requiere 1 placa conversor DK1224).</v>
      </c>
      <c r="D962" s="4" t="str">
        <f>IFERROR(__xludf.DUMMYFUNCTION("""COMPUTED_VALUE"""),"COFEM")</f>
        <v>COFEM</v>
      </c>
      <c r="E962" s="4" t="str">
        <f>IFERROR(__xludf.DUMMYFUNCTION("""COMPUTED_VALUE"""),"CFDLRC")</f>
        <v>CFDLRC</v>
      </c>
      <c r="F962" s="4" t="str">
        <f>IFERROR(__xludf.DUMMYFUNCTION("""COMPUTED_VALUE"""),"INCENDIO &gt; BARRERAS DE HUMO")</f>
        <v>INCENDIO &gt; BARRERAS DE HUMO</v>
      </c>
      <c r="G962" s="5"/>
      <c r="H962" s="6">
        <f>IFERROR(__xludf.DUMMYFUNCTION("""COMPUTED_VALUE"""),567.31)</f>
        <v>567.31</v>
      </c>
      <c r="I962" s="7">
        <f>IFERROR(__xludf.DUMMYFUNCTION("""COMPUTED_VALUE"""),10.5)</f>
        <v>10.5</v>
      </c>
      <c r="J962" s="6">
        <f>IFERROR(__xludf.DUMMYFUNCTION("""COMPUTED_VALUE"""),680.77)</f>
        <v>680.77</v>
      </c>
      <c r="K962" s="6">
        <f>IFERROR(__xludf.DUMMYFUNCTION("""COMPUTED_VALUE"""),794.23)</f>
        <v>794.23</v>
      </c>
      <c r="L962" s="3"/>
      <c r="M962" s="3"/>
    </row>
    <row r="963" ht="48.0" customHeight="1">
      <c r="A963" s="3" t="str">
        <f>IFERROR(__xludf.DUMMYFUNCTION("""COMPUTED_VALUE"""),"SSOSIRSS")</f>
        <v>SSOSIRSS</v>
      </c>
      <c r="B963" s="4" t="str">
        <f>IFERROR(__xludf.DUMMYFUNCTION("""COMPUTED_VALUE"""),"BARRERA DE HUMO REFLECTIVA")</f>
        <v>BARRERA DE HUMO REFLECTIVA</v>
      </c>
      <c r="C963" s="4" t="str">
        <f>IFERROR(__xludf.DUMMYFUNCTION("""COMPUTED_VALUE"""),"Barrera de humo reflectiva. 4 hilos. Alcance 5 a 100 metros")</f>
        <v>Barrera de humo reflectiva. 4 hilos. Alcance 5 a 100 metros</v>
      </c>
      <c r="D963" s="4" t="str">
        <f>IFERROR(__xludf.DUMMYFUNCTION("""COMPUTED_VALUE"""),"SYSTEM SENSOR")</f>
        <v>SYSTEM SENSOR</v>
      </c>
      <c r="E963" s="4" t="str">
        <f>IFERROR(__xludf.DUMMYFUNCTION("""COMPUTED_VALUE"""),"SSOSIRSS")</f>
        <v>SSOSIRSS</v>
      </c>
      <c r="F963" s="4" t="str">
        <f>IFERROR(__xludf.DUMMYFUNCTION("""COMPUTED_VALUE"""),"INCENDIO &gt; BARRERAS DE HUMO")</f>
        <v>INCENDIO &gt; BARRERAS DE HUMO</v>
      </c>
      <c r="G963" s="5"/>
      <c r="H963" s="6">
        <f>IFERROR(__xludf.DUMMYFUNCTION("""COMPUTED_VALUE"""),1168.75)</f>
        <v>1168.75</v>
      </c>
      <c r="I963" s="7">
        <f>IFERROR(__xludf.DUMMYFUNCTION("""COMPUTED_VALUE"""),10.5)</f>
        <v>10.5</v>
      </c>
      <c r="J963" s="6">
        <f>IFERROR(__xludf.DUMMYFUNCTION("""COMPUTED_VALUE"""),1402.5)</f>
        <v>1402.5</v>
      </c>
      <c r="K963" s="6">
        <f>IFERROR(__xludf.DUMMYFUNCTION("""COMPUTED_VALUE"""),1636.25)</f>
        <v>1636.25</v>
      </c>
      <c r="L963" s="3"/>
      <c r="M963" s="3"/>
    </row>
    <row r="964" ht="48.0" customHeight="1">
      <c r="A964" s="3" t="str">
        <f>IFERROR(__xludf.DUMMYFUNCTION("""COMPUTED_VALUE"""),"SSBEAMSMK")</f>
        <v>SSBEAMSMK</v>
      </c>
      <c r="B964" s="4" t="str">
        <f>IFERROR(__xludf.DUMMYFUNCTION("""COMPUTED_VALUE"""),"KIT DE MONTAJE EN SUPERFICIE")</f>
        <v>KIT DE MONTAJE EN SUPERFICIE</v>
      </c>
      <c r="C964" s="4" t="str">
        <f>IFERROR(__xludf.DUMMYFUNCTION("""COMPUTED_VALUE"""),"KIT de montaje en superficie")</f>
        <v>KIT de montaje en superficie</v>
      </c>
      <c r="D964" s="4" t="str">
        <f>IFERROR(__xludf.DUMMYFUNCTION("""COMPUTED_VALUE"""),"SYSTEM SENSOR")</f>
        <v>SYSTEM SENSOR</v>
      </c>
      <c r="E964" s="4" t="str">
        <f>IFERROR(__xludf.DUMMYFUNCTION("""COMPUTED_VALUE"""),"SSBEAMSMK")</f>
        <v>SSBEAMSMK</v>
      </c>
      <c r="F964" s="4" t="str">
        <f>IFERROR(__xludf.DUMMYFUNCTION("""COMPUTED_VALUE"""),"INCENDIO &gt; BARRERAS DE HUMO")</f>
        <v>INCENDIO &gt; BARRERAS DE HUMO</v>
      </c>
      <c r="G964" s="5"/>
      <c r="H964" s="6">
        <f>IFERROR(__xludf.DUMMYFUNCTION("""COMPUTED_VALUE"""),73.32)</f>
        <v>73.32</v>
      </c>
      <c r="I964" s="7">
        <f>IFERROR(__xludf.DUMMYFUNCTION("""COMPUTED_VALUE"""),21.0)</f>
        <v>21</v>
      </c>
      <c r="J964" s="6">
        <f>IFERROR(__xludf.DUMMYFUNCTION("""COMPUTED_VALUE"""),87.98)</f>
        <v>87.98</v>
      </c>
      <c r="K964" s="6">
        <f>IFERROR(__xludf.DUMMYFUNCTION("""COMPUTED_VALUE"""),102.65)</f>
        <v>102.65</v>
      </c>
      <c r="L964" s="3"/>
      <c r="M964" s="3"/>
    </row>
    <row r="965" ht="48.0" customHeight="1">
      <c r="A965" s="3" t="str">
        <f>IFERROR(__xludf.DUMMYFUNCTION("""COMPUTED_VALUE"""),"SSRTS151KEY")</f>
        <v>SSRTS151KEY</v>
      </c>
      <c r="B965" s="4" t="str">
        <f>IFERROR(__xludf.DUMMYFUNCTION("""COMPUTED_VALUE"""),"ESTACIÓN DE PRUEBA Y RESETEO")</f>
        <v>ESTACIÓN DE PRUEBA Y RESETEO</v>
      </c>
      <c r="C965" s="4" t="str">
        <f>IFERROR(__xludf.DUMMYFUNCTION("""COMPUTED_VALUE"""),"Estación de prueba y reseteo")</f>
        <v>Estación de prueba y reseteo</v>
      </c>
      <c r="D965" s="4" t="str">
        <f>IFERROR(__xludf.DUMMYFUNCTION("""COMPUTED_VALUE"""),"SYSTEM SENSOR")</f>
        <v>SYSTEM SENSOR</v>
      </c>
      <c r="E965" s="4" t="str">
        <f>IFERROR(__xludf.DUMMYFUNCTION("""COMPUTED_VALUE"""),"SSRTS151KEY")</f>
        <v>SSRTS151KEY</v>
      </c>
      <c r="F965" s="4" t="str">
        <f>IFERROR(__xludf.DUMMYFUNCTION("""COMPUTED_VALUE"""),"INCENDIO &gt; BARRERAS DE HUMO")</f>
        <v>INCENDIO &gt; BARRERAS DE HUMO</v>
      </c>
      <c r="G965" s="5"/>
      <c r="H965" s="6">
        <f>IFERROR(__xludf.DUMMYFUNCTION("""COMPUTED_VALUE"""),121.0)</f>
        <v>121</v>
      </c>
      <c r="I965" s="7">
        <f>IFERROR(__xludf.DUMMYFUNCTION("""COMPUTED_VALUE"""),21.0)</f>
        <v>21</v>
      </c>
      <c r="J965" s="6">
        <f>IFERROR(__xludf.DUMMYFUNCTION("""COMPUTED_VALUE"""),145.2)</f>
        <v>145.2</v>
      </c>
      <c r="K965" s="6">
        <f>IFERROR(__xludf.DUMMYFUNCTION("""COMPUTED_VALUE"""),169.4)</f>
        <v>169.4</v>
      </c>
      <c r="L965" s="3"/>
      <c r="M965" s="3"/>
    </row>
    <row r="966" ht="48.0" customHeight="1">
      <c r="A966" s="3" t="str">
        <f>IFERROR(__xludf.DUMMYFUNCTION("""COMPUTED_VALUE"""),"FIREBEAMBLUE")</f>
        <v>FIREBEAMBLUE</v>
      </c>
      <c r="B966" s="4" t="str">
        <f>IFERROR(__xludf.DUMMYFUNCTION("""COMPUTED_VALUE"""),"BARRERA DE HUMO REFLECTIVA")</f>
        <v>BARRERA DE HUMO REFLECTIVA</v>
      </c>
      <c r="C966" s="4" t="str">
        <f>IFERROR(__xludf.DUMMYFUNCTION("""COMPUTED_VALUE"""),"Barrera de humo reflectiva. 4 hilos. Alcance 7 a 70 metros, alimentación 12 V a 30 VDC Manejo APP")</f>
        <v>Barrera de humo reflectiva. 4 hilos. Alcance 7 a 70 metros, alimentación 12 V a 30 VDC Manejo APP</v>
      </c>
      <c r="D966" s="4" t="str">
        <f>IFERROR(__xludf.DUMMYFUNCTION("""COMPUTED_VALUE"""),"FIREBEAM")</f>
        <v>FIREBEAM</v>
      </c>
      <c r="E966" s="4" t="str">
        <f>IFERROR(__xludf.DUMMYFUNCTION("""COMPUTED_VALUE"""),"FIREBEAMBLUE")</f>
        <v>FIREBEAMBLUE</v>
      </c>
      <c r="F966" s="4" t="str">
        <f>IFERROR(__xludf.DUMMYFUNCTION("""COMPUTED_VALUE"""),"INCENDIO &gt; BARRERAS DE HUMO")</f>
        <v>INCENDIO &gt; BARRERAS DE HUMO</v>
      </c>
      <c r="G966" s="5"/>
      <c r="H966" s="6">
        <f>IFERROR(__xludf.DUMMYFUNCTION("""COMPUTED_VALUE"""),982.3)</f>
        <v>982.3</v>
      </c>
      <c r="I966" s="7">
        <f>IFERROR(__xludf.DUMMYFUNCTION("""COMPUTED_VALUE"""),10.5)</f>
        <v>10.5</v>
      </c>
      <c r="J966" s="6">
        <f>IFERROR(__xludf.DUMMYFUNCTION("""COMPUTED_VALUE"""),1178.76)</f>
        <v>1178.76</v>
      </c>
      <c r="K966" s="6">
        <f>IFERROR(__xludf.DUMMYFUNCTION("""COMPUTED_VALUE"""),1375.22)</f>
        <v>1375.22</v>
      </c>
      <c r="L966" s="3"/>
      <c r="M966" s="3"/>
    </row>
    <row r="967" ht="48.0" customHeight="1">
      <c r="A967" s="3" t="str">
        <f>IFERROR(__xludf.DUMMYFUNCTION("""COMPUTED_VALUE"""),"FIR70KIT140")</f>
        <v>FIR70KIT140</v>
      </c>
      <c r="B967" s="4" t="str">
        <f>IFERROR(__xludf.DUMMYFUNCTION("""COMPUTED_VALUE"""),"ACCESORIO DE LARGO ALCANCE PARA BARRERAS FIREBEAMBLUE HASTA 140")</f>
        <v>ACCESORIO DE LARGO ALCANCE PARA BARRERAS FIREBEAMBLUE HASTA 140</v>
      </c>
      <c r="C967" s="4" t="str">
        <f>IFERROR(__xludf.DUMMYFUNCTION("""COMPUTED_VALUE"""),"Accesorio de largo alcance para barreras FIREBEAMBLUE hasta 140 metros")</f>
        <v>Accesorio de largo alcance para barreras FIREBEAMBLUE hasta 140 metros</v>
      </c>
      <c r="D967" s="4" t="str">
        <f>IFERROR(__xludf.DUMMYFUNCTION("""COMPUTED_VALUE"""),"FIREBEAM")</f>
        <v>FIREBEAM</v>
      </c>
      <c r="E967" s="4" t="str">
        <f>IFERROR(__xludf.DUMMYFUNCTION("""COMPUTED_VALUE"""),"FIR70KIT140")</f>
        <v>FIR70KIT140</v>
      </c>
      <c r="F967" s="4" t="str">
        <f>IFERROR(__xludf.DUMMYFUNCTION("""COMPUTED_VALUE"""),"INCENDIO &gt; BARRERAS DE HUMO")</f>
        <v>INCENDIO &gt; BARRERAS DE HUMO</v>
      </c>
      <c r="G967" s="5"/>
      <c r="H967" s="6">
        <f>IFERROR(__xludf.DUMMYFUNCTION("""COMPUTED_VALUE"""),225.97)</f>
        <v>225.97</v>
      </c>
      <c r="I967" s="7">
        <f>IFERROR(__xludf.DUMMYFUNCTION("""COMPUTED_VALUE"""),10.5)</f>
        <v>10.5</v>
      </c>
      <c r="J967" s="6">
        <f>IFERROR(__xludf.DUMMYFUNCTION("""COMPUTED_VALUE"""),271.16)</f>
        <v>271.16</v>
      </c>
      <c r="K967" s="6">
        <f>IFERROR(__xludf.DUMMYFUNCTION("""COMPUTED_VALUE"""),316.36)</f>
        <v>316.36</v>
      </c>
      <c r="L967" s="3"/>
      <c r="M967" s="3"/>
    </row>
    <row r="968" ht="48.0" customHeight="1">
      <c r="A968" s="3" t="str">
        <f>IFERROR(__xludf.DUMMYFUNCTION("""COMPUTED_VALUE"""),"OWSD101")</f>
        <v>OWSD101</v>
      </c>
      <c r="B968" s="4" t="str">
        <f>IFERROR(__xludf.DUMMYFUNCTION("""COMPUTED_VALUE"""),"BARRERA DE HUMO REFLECTIVA")</f>
        <v>BARRERA DE HUMO REFLECTIVA</v>
      </c>
      <c r="C968" s="4" t="str">
        <f>IFERROR(__xludf.DUMMYFUNCTION("""COMPUTED_VALUE"""),"Barrera de humo reflectiva. 4 hilos. Alcance 5 a 100 metros, alimentación 20 V a 28 VDC, Expandible a 100 metros. (Para instalarla en una central de robo de 12V, requiere 1 placa conversor DK1224).")</f>
        <v>Barrera de humo reflectiva. 4 hilos. Alcance 5 a 100 metros, alimentación 20 V a 28 VDC, Expandible a 100 metros. (Para instalarla en una central de robo de 12V, requiere 1 placa conversor DK1224).</v>
      </c>
      <c r="D968" s="4" t="str">
        <f>IFERROR(__xludf.DUMMYFUNCTION("""COMPUTED_VALUE"""),"OWL")</f>
        <v>OWL</v>
      </c>
      <c r="E968" s="4" t="str">
        <f>IFERROR(__xludf.DUMMYFUNCTION("""COMPUTED_VALUE"""),"OWSD101")</f>
        <v>OWSD101</v>
      </c>
      <c r="F968" s="4" t="str">
        <f>IFERROR(__xludf.DUMMYFUNCTION("""COMPUTED_VALUE"""),"INCENDIO &gt; BARRERAS DE HUMO")</f>
        <v>INCENDIO &gt; BARRERAS DE HUMO</v>
      </c>
      <c r="G968" s="5"/>
      <c r="H968" s="6">
        <f>IFERROR(__xludf.DUMMYFUNCTION("""COMPUTED_VALUE"""),251.9)</f>
        <v>251.9</v>
      </c>
      <c r="I968" s="7">
        <f>IFERROR(__xludf.DUMMYFUNCTION("""COMPUTED_VALUE"""),21.0)</f>
        <v>21</v>
      </c>
      <c r="J968" s="6">
        <f>IFERROR(__xludf.DUMMYFUNCTION("""COMPUTED_VALUE"""),302.28)</f>
        <v>302.28</v>
      </c>
      <c r="K968" s="6">
        <f>IFERROR(__xludf.DUMMYFUNCTION("""COMPUTED_VALUE"""),352.66)</f>
        <v>352.66</v>
      </c>
      <c r="L968" s="3"/>
      <c r="M968" s="3"/>
    </row>
    <row r="969" ht="48.0" customHeight="1">
      <c r="A969" s="3" t="str">
        <f>IFERROR(__xludf.DUMMYFUNCTION("""COMPUTED_VALUE"""),"OWSD-102")</f>
        <v>OWSD-102</v>
      </c>
      <c r="B969" s="4" t="str">
        <f>IFERROR(__xludf.DUMMYFUNCTION("""COMPUTED_VALUE"""),"BARRERA DE HUMO REFLECTIVA")</f>
        <v>BARRERA DE HUMO REFLECTIVA</v>
      </c>
      <c r="C969" s="4" t="str">
        <f>IFERROR(__xludf.DUMMYFUNCTION("""COMPUTED_VALUE"""),"Barrera de humo reflectiva. 4 hilos. Alcance 5 a 100 metros, alimentación 20 V a 28 VDC, Expandible a 100 metros. (Para instalarla en una central de robo de 12V, requiere 1 placa conversor DK1224).")</f>
        <v>Barrera de humo reflectiva. 4 hilos. Alcance 5 a 100 metros, alimentación 20 V a 28 VDC, Expandible a 100 metros. (Para instalarla en una central de robo de 12V, requiere 1 placa conversor DK1224).</v>
      </c>
      <c r="D969" s="4" t="str">
        <f>IFERROR(__xludf.DUMMYFUNCTION("""COMPUTED_VALUE"""),"OWL")</f>
        <v>OWL</v>
      </c>
      <c r="E969" s="4" t="str">
        <f>IFERROR(__xludf.DUMMYFUNCTION("""COMPUTED_VALUE"""),"OWSD-102")</f>
        <v>OWSD-102</v>
      </c>
      <c r="F969" s="4" t="str">
        <f>IFERROR(__xludf.DUMMYFUNCTION("""COMPUTED_VALUE"""),"INCENDIO &gt; BARRERAS DE HUMO")</f>
        <v>INCENDIO &gt; BARRERAS DE HUMO</v>
      </c>
      <c r="G969" s="5"/>
      <c r="H969" s="6">
        <f>IFERROR(__xludf.DUMMYFUNCTION("""COMPUTED_VALUE"""),251.9)</f>
        <v>251.9</v>
      </c>
      <c r="I969" s="7">
        <f>IFERROR(__xludf.DUMMYFUNCTION("""COMPUTED_VALUE"""),21.0)</f>
        <v>21</v>
      </c>
      <c r="J969" s="6">
        <f>IFERROR(__xludf.DUMMYFUNCTION("""COMPUTED_VALUE"""),302.28)</f>
        <v>302.28</v>
      </c>
      <c r="K969" s="6">
        <f>IFERROR(__xludf.DUMMYFUNCTION("""COMPUTED_VALUE"""),352.66)</f>
        <v>352.66</v>
      </c>
      <c r="L969" s="3"/>
      <c r="M969" s="3"/>
    </row>
    <row r="970" ht="48.0" customHeight="1">
      <c r="A970" s="3" t="str">
        <f>IFERROR(__xludf.DUMMYFUNCTION("""COMPUTED_VALUE"""),"TATX7130")</f>
        <v>TATX7130</v>
      </c>
      <c r="B970" s="4" t="str">
        <f>IFERROR(__xludf.DUMMYFUNCTION("""COMPUTED_VALUE"""),"BARRERA DE HUMO REFLECTIVA")</f>
        <v>BARRERA DE HUMO REFLECTIVA</v>
      </c>
      <c r="C970" s="4" t="str">
        <f>IFERROR(__xludf.DUMMYFUNCTION("""COMPUTED_VALUE"""),"Barrera de humo reflectiva. 4 hilos. Alcance 8 a 100 metros, alimentación 20 V a 28 VDC, Expandible a 100 metros. (Para instalarla en una central de robo de 12V, requiere 1 placa conversor DK1224).")</f>
        <v>Barrera de humo reflectiva. 4 hilos. Alcance 8 a 100 metros, alimentación 20 V a 28 VDC, Expandible a 100 metros. (Para instalarla en una central de robo de 12V, requiere 1 placa conversor DK1224).</v>
      </c>
      <c r="D970" s="4" t="str">
        <f>IFERROR(__xludf.DUMMYFUNCTION("""COMPUTED_VALUE"""),"TANDATECH")</f>
        <v>TANDATECH</v>
      </c>
      <c r="E970" s="4" t="str">
        <f>IFERROR(__xludf.DUMMYFUNCTION("""COMPUTED_VALUE"""),"TATX7130")</f>
        <v>TATX7130</v>
      </c>
      <c r="F970" s="4" t="str">
        <f>IFERROR(__xludf.DUMMYFUNCTION("""COMPUTED_VALUE"""),"INCENDIO &gt; BARRERAS DE HUMO")</f>
        <v>INCENDIO &gt; BARRERAS DE HUMO</v>
      </c>
      <c r="G970" s="5"/>
      <c r="H970" s="6">
        <f>IFERROR(__xludf.DUMMYFUNCTION("""COMPUTED_VALUE"""),509.96)</f>
        <v>509.96</v>
      </c>
      <c r="I970" s="7">
        <f>IFERROR(__xludf.DUMMYFUNCTION("""COMPUTED_VALUE"""),10.5)</f>
        <v>10.5</v>
      </c>
      <c r="J970" s="6">
        <f>IFERROR(__xludf.DUMMYFUNCTION("""COMPUTED_VALUE"""),611.95)</f>
        <v>611.95</v>
      </c>
      <c r="K970" s="6">
        <f>IFERROR(__xludf.DUMMYFUNCTION("""COMPUTED_VALUE"""),713.94)</f>
        <v>713.94</v>
      </c>
      <c r="L970" s="3"/>
      <c r="M970" s="3"/>
    </row>
    <row r="971" ht="48.0" customHeight="1">
      <c r="A971" s="3" t="str">
        <f>IFERROR(__xludf.DUMMYFUNCTION("""COMPUTED_VALUE"""),"INTDFL3100")</f>
        <v>INTDFL3100</v>
      </c>
      <c r="B971" s="4" t="str">
        <f>IFERROR(__xludf.DUMMYFUNCTION("""COMPUTED_VALUE"""),"BARRERA DE HUMO REFLECTIVA")</f>
        <v>BARRERA DE HUMO REFLECTIVA</v>
      </c>
      <c r="C971" s="4" t="str">
        <f>IFERROR(__xludf.DUMMYFUNCTION("""COMPUTED_VALUE"""),"Barrera de humo reflectiva. 4 hilos. Alcance 5 a 60 metros, alimentación 20 V a 28 VDC, Expandible a 100 metros. (Para instalarla en una central de robo de 12V, requiere 1 placa conversor DK1224).")</f>
        <v>Barrera de humo reflectiva. 4 hilos. Alcance 5 a 60 metros, alimentación 20 V a 28 VDC, Expandible a 100 metros. (Para instalarla en una central de robo de 12V, requiere 1 placa conversor DK1224).</v>
      </c>
      <c r="D971" s="4" t="str">
        <f>IFERROR(__xludf.DUMMYFUNCTION("""COMPUTED_VALUE"""),"INTELBRAS")</f>
        <v>INTELBRAS</v>
      </c>
      <c r="E971" s="4" t="str">
        <f>IFERROR(__xludf.DUMMYFUNCTION("""COMPUTED_VALUE"""),"INTDFL3100")</f>
        <v>INTDFL3100</v>
      </c>
      <c r="F971" s="4" t="str">
        <f>IFERROR(__xludf.DUMMYFUNCTION("""COMPUTED_VALUE"""),"INCENDIO &gt; BARRERAS DE HUMO")</f>
        <v>INCENDIO &gt; BARRERAS DE HUMO</v>
      </c>
      <c r="G971" s="5"/>
      <c r="H971" s="6">
        <f>IFERROR(__xludf.DUMMYFUNCTION("""COMPUTED_VALUE"""),509.96)</f>
        <v>509.96</v>
      </c>
      <c r="I971" s="7">
        <f>IFERROR(__xludf.DUMMYFUNCTION("""COMPUTED_VALUE"""),10.5)</f>
        <v>10.5</v>
      </c>
      <c r="J971" s="6">
        <f>IFERROR(__xludf.DUMMYFUNCTION("""COMPUTED_VALUE"""),611.95)</f>
        <v>611.95</v>
      </c>
      <c r="K971" s="6">
        <f>IFERROR(__xludf.DUMMYFUNCTION("""COMPUTED_VALUE"""),713.94)</f>
        <v>713.94</v>
      </c>
      <c r="L971" s="3"/>
      <c r="M971" s="3"/>
    </row>
    <row r="972" ht="48.0" customHeight="1">
      <c r="A972" s="3" t="str">
        <f>IFERROR(__xludf.DUMMYFUNCTION("""COMPUTED_VALUE"""),"INTBEAM-4UM")</f>
        <v>INTBEAM-4UM</v>
      </c>
      <c r="B972" s="4" t="str">
        <f>IFERROR(__xludf.DUMMYFUNCTION("""COMPUTED_VALUE"""),"KIT ACCESORIO LARGO ALCANCE PARA EXTENDER BARRERAS INTDFL3100 (INCLUYE")</f>
        <v>KIT ACCESORIO LARGO ALCANCE PARA EXTENDER BARRERAS INTDFL3100 (INCLUYE</v>
      </c>
      <c r="C972" s="4" t="str">
        <f>IFERROR(__xludf.DUMMYFUNCTION("""COMPUTED_VALUE"""),"Kit accesorio largo alcance para extender barreras INTDFL3100 (incluye 4 espejos) (4 espejos hasta 80 metros) (12 espejos hasta 100 metros)")</f>
        <v>Kit accesorio largo alcance para extender barreras INTDFL3100 (incluye 4 espejos) (4 espejos hasta 80 metros) (12 espejos hasta 100 metros)</v>
      </c>
      <c r="D972" s="4" t="str">
        <f>IFERROR(__xludf.DUMMYFUNCTION("""COMPUTED_VALUE"""),"INTELBRAS")</f>
        <v>INTELBRAS</v>
      </c>
      <c r="E972" s="4" t="str">
        <f>IFERROR(__xludf.DUMMYFUNCTION("""COMPUTED_VALUE"""),"INTBEAM-4UM")</f>
        <v>INTBEAM-4UM</v>
      </c>
      <c r="F972" s="4" t="str">
        <f>IFERROR(__xludf.DUMMYFUNCTION("""COMPUTED_VALUE"""),"INCENDIO &gt; BARRERAS DE HUMO")</f>
        <v>INCENDIO &gt; BARRERAS DE HUMO</v>
      </c>
      <c r="G972" s="5"/>
      <c r="H972" s="6">
        <f>IFERROR(__xludf.DUMMYFUNCTION("""COMPUTED_VALUE"""),74.58)</f>
        <v>74.58</v>
      </c>
      <c r="I972" s="7">
        <f>IFERROR(__xludf.DUMMYFUNCTION("""COMPUTED_VALUE"""),10.5)</f>
        <v>10.5</v>
      </c>
      <c r="J972" s="6">
        <f>IFERROR(__xludf.DUMMYFUNCTION("""COMPUTED_VALUE"""),89.5)</f>
        <v>89.5</v>
      </c>
      <c r="K972" s="6">
        <f>IFERROR(__xludf.DUMMYFUNCTION("""COMPUTED_VALUE"""),104.41)</f>
        <v>104.41</v>
      </c>
      <c r="L972" s="3"/>
      <c r="M972" s="3"/>
    </row>
    <row r="973" ht="48.0" customHeight="1">
      <c r="A973" s="3" t="str">
        <f>IFERROR(__xludf.DUMMYFUNCTION("""COMPUTED_VALUE"""),"CFDAGR12")</f>
        <v>CFDAGR12</v>
      </c>
      <c r="B973" s="4" t="str">
        <f>IFERROR(__xludf.DUMMYFUNCTION("""COMPUTED_VALUE"""),"DETECTOR DE GAS CON SALIDA RELÉ, ALIMENTACIÓN 12 V")</f>
        <v>DETECTOR DE GAS CON SALIDA RELÉ, ALIMENTACIÓN 12 V</v>
      </c>
      <c r="C973" s="4" t="str">
        <f>IFERROR(__xludf.DUMMYFUNCTION("""COMPUTED_VALUE"""),"Detector de gas con salida relé, alimentación 12 V")</f>
        <v>Detector de gas con salida relé, alimentación 12 V</v>
      </c>
      <c r="D973" s="4" t="str">
        <f>IFERROR(__xludf.DUMMYFUNCTION("""COMPUTED_VALUE"""),"COFEM")</f>
        <v>COFEM</v>
      </c>
      <c r="E973" s="4" t="str">
        <f>IFERROR(__xludf.DUMMYFUNCTION("""COMPUTED_VALUE"""),"CFDAGR12")</f>
        <v>CFDAGR12</v>
      </c>
      <c r="F973" s="4" t="str">
        <f>IFERROR(__xludf.DUMMYFUNCTION("""COMPUTED_VALUE"""),"INCENDIO &gt; DETECTORES ESPECIALES")</f>
        <v>INCENDIO &gt; DETECTORES ESPECIALES</v>
      </c>
      <c r="G973" s="5"/>
      <c r="H973" s="6">
        <f>IFERROR(__xludf.DUMMYFUNCTION("""COMPUTED_VALUE"""),74.07)</f>
        <v>74.07</v>
      </c>
      <c r="I973" s="7">
        <f>IFERROR(__xludf.DUMMYFUNCTION("""COMPUTED_VALUE"""),21.0)</f>
        <v>21</v>
      </c>
      <c r="J973" s="6">
        <f>IFERROR(__xludf.DUMMYFUNCTION("""COMPUTED_VALUE"""),88.88)</f>
        <v>88.88</v>
      </c>
      <c r="K973" s="6">
        <f>IFERROR(__xludf.DUMMYFUNCTION("""COMPUTED_VALUE"""),103.7)</f>
        <v>103.7</v>
      </c>
      <c r="L973" s="3"/>
      <c r="M973" s="3"/>
    </row>
    <row r="974" ht="48.0" customHeight="1">
      <c r="A974" s="3" t="str">
        <f>IFERROR(__xludf.DUMMYFUNCTION("""COMPUTED_VALUE"""),"CFDAGR24")</f>
        <v>CFDAGR24</v>
      </c>
      <c r="B974" s="4" t="str">
        <f>IFERROR(__xludf.DUMMYFUNCTION("""COMPUTED_VALUE"""),"DETECTOR DE GAS CON SALIDA RELÉ, ALIMENTACIÓN 24 V")</f>
        <v>DETECTOR DE GAS CON SALIDA RELÉ, ALIMENTACIÓN 24 V</v>
      </c>
      <c r="C974" s="4" t="str">
        <f>IFERROR(__xludf.DUMMYFUNCTION("""COMPUTED_VALUE"""),"Detector de gas con salida relé, alimentación 24 V")</f>
        <v>Detector de gas con salida relé, alimentación 24 V</v>
      </c>
      <c r="D974" s="4" t="str">
        <f>IFERROR(__xludf.DUMMYFUNCTION("""COMPUTED_VALUE"""),"COFEM")</f>
        <v>COFEM</v>
      </c>
      <c r="E974" s="4" t="str">
        <f>IFERROR(__xludf.DUMMYFUNCTION("""COMPUTED_VALUE"""),"CFDAGR24")</f>
        <v>CFDAGR24</v>
      </c>
      <c r="F974" s="4" t="str">
        <f>IFERROR(__xludf.DUMMYFUNCTION("""COMPUTED_VALUE"""),"INCENDIO &gt; DETECTORES ESPECIALES")</f>
        <v>INCENDIO &gt; DETECTORES ESPECIALES</v>
      </c>
      <c r="G974" s="5"/>
      <c r="H974" s="6">
        <f>IFERROR(__xludf.DUMMYFUNCTION("""COMPUTED_VALUE"""),75.09)</f>
        <v>75.09</v>
      </c>
      <c r="I974" s="7">
        <f>IFERROR(__xludf.DUMMYFUNCTION("""COMPUTED_VALUE"""),21.0)</f>
        <v>21</v>
      </c>
      <c r="J974" s="6">
        <f>IFERROR(__xludf.DUMMYFUNCTION("""COMPUTED_VALUE"""),90.11)</f>
        <v>90.11</v>
      </c>
      <c r="K974" s="6">
        <f>IFERROR(__xludf.DUMMYFUNCTION("""COMPUTED_VALUE"""),105.13)</f>
        <v>105.13</v>
      </c>
      <c r="L974" s="3"/>
      <c r="M974" s="3"/>
    </row>
    <row r="975" ht="48.0" customHeight="1">
      <c r="A975" s="3" t="str">
        <f>IFERROR(__xludf.DUMMYFUNCTION("""COMPUTED_VALUE"""),"CFDACOR12V")</f>
        <v>CFDACOR12V</v>
      </c>
      <c r="B975" s="4" t="str">
        <f>IFERROR(__xludf.DUMMYFUNCTION("""COMPUTED_VALUE"""),"DETECTOR DE MONÓXIDO DE CARBONO CON SALIDA RELÉ, ALIMENTACIÓN 12 V")</f>
        <v>DETECTOR DE MONÓXIDO DE CARBONO CON SALIDA RELÉ, ALIMENTACIÓN 12 V</v>
      </c>
      <c r="C975" s="4" t="str">
        <f>IFERROR(__xludf.DUMMYFUNCTION("""COMPUTED_VALUE"""),"Detector de monóxido de carbono con salida relé, alimentación 12 V")</f>
        <v>Detector de monóxido de carbono con salida relé, alimentación 12 V</v>
      </c>
      <c r="D975" s="4" t="str">
        <f>IFERROR(__xludf.DUMMYFUNCTION("""COMPUTED_VALUE"""),"COFEM")</f>
        <v>COFEM</v>
      </c>
      <c r="E975" s="4" t="str">
        <f>IFERROR(__xludf.DUMMYFUNCTION("""COMPUTED_VALUE"""),"CFDACOR12V")</f>
        <v>CFDACOR12V</v>
      </c>
      <c r="F975" s="4" t="str">
        <f>IFERROR(__xludf.DUMMYFUNCTION("""COMPUTED_VALUE"""),"INCENDIO &gt; DETECTORES ESPECIALES")</f>
        <v>INCENDIO &gt; DETECTORES ESPECIALES</v>
      </c>
      <c r="G975" s="5"/>
      <c r="H975" s="6">
        <f>IFERROR(__xludf.DUMMYFUNCTION("""COMPUTED_VALUE"""),75.71)</f>
        <v>75.71</v>
      </c>
      <c r="I975" s="7">
        <f>IFERROR(__xludf.DUMMYFUNCTION("""COMPUTED_VALUE"""),21.0)</f>
        <v>21</v>
      </c>
      <c r="J975" s="6">
        <f>IFERROR(__xludf.DUMMYFUNCTION("""COMPUTED_VALUE"""),90.85)</f>
        <v>90.85</v>
      </c>
      <c r="K975" s="6">
        <f>IFERROR(__xludf.DUMMYFUNCTION("""COMPUTED_VALUE"""),105.99)</f>
        <v>105.99</v>
      </c>
      <c r="L975" s="3"/>
      <c r="M975" s="3"/>
    </row>
    <row r="976" ht="48.0" customHeight="1">
      <c r="A976" s="3" t="str">
        <f>IFERROR(__xludf.DUMMYFUNCTION("""COMPUTED_VALUE"""),"CFDACOR24V")</f>
        <v>CFDACOR24V</v>
      </c>
      <c r="B976" s="4" t="str">
        <f>IFERROR(__xludf.DUMMYFUNCTION("""COMPUTED_VALUE"""),"DETECTOR DE MONÓXIDO DE CARBONO CON SALIDA RELÉ, ALIMENTACIÓN 24 V")</f>
        <v>DETECTOR DE MONÓXIDO DE CARBONO CON SALIDA RELÉ, ALIMENTACIÓN 24 V</v>
      </c>
      <c r="C976" s="4" t="str">
        <f>IFERROR(__xludf.DUMMYFUNCTION("""COMPUTED_VALUE"""),"Detector de monóxido de carbono con salida relé, alimentación 24 V")</f>
        <v>Detector de monóxido de carbono con salida relé, alimentación 24 V</v>
      </c>
      <c r="D976" s="4" t="str">
        <f>IFERROR(__xludf.DUMMYFUNCTION("""COMPUTED_VALUE"""),"COFEM")</f>
        <v>COFEM</v>
      </c>
      <c r="E976" s="4" t="str">
        <f>IFERROR(__xludf.DUMMYFUNCTION("""COMPUTED_VALUE"""),"CFDACOR24V")</f>
        <v>CFDACOR24V</v>
      </c>
      <c r="F976" s="4" t="str">
        <f>IFERROR(__xludf.DUMMYFUNCTION("""COMPUTED_VALUE"""),"INCENDIO &gt; DETECTORES ESPECIALES")</f>
        <v>INCENDIO &gt; DETECTORES ESPECIALES</v>
      </c>
      <c r="G976" s="5"/>
      <c r="H976" s="6">
        <f>IFERROR(__xludf.DUMMYFUNCTION("""COMPUTED_VALUE"""),105.75)</f>
        <v>105.75</v>
      </c>
      <c r="I976" s="7">
        <f>IFERROR(__xludf.DUMMYFUNCTION("""COMPUTED_VALUE"""),21.0)</f>
        <v>21</v>
      </c>
      <c r="J976" s="6">
        <f>IFERROR(__xludf.DUMMYFUNCTION("""COMPUTED_VALUE"""),126.9)</f>
        <v>126.9</v>
      </c>
      <c r="K976" s="6">
        <f>IFERROR(__xludf.DUMMYFUNCTION("""COMPUTED_VALUE"""),148.05)</f>
        <v>148.05</v>
      </c>
      <c r="L976" s="3"/>
      <c r="M976" s="3"/>
    </row>
    <row r="977" ht="48.0" customHeight="1">
      <c r="A977" s="3" t="str">
        <f>IFERROR(__xludf.DUMMYFUNCTION("""COMPUTED_VALUE"""),"TKFS2000E")</f>
        <v>TKFS2000E</v>
      </c>
      <c r="B977" s="4" t="str">
        <f>IFERROR(__xludf.DUMMYFUNCTION("""COMPUTED_VALUE"""),"DETECTOR DE LLAMA (RAYOS UV), ALTA SENSIBILIDAD, 10 A")</f>
        <v>DETECTOR DE LLAMA (RAYOS UV), ALTA SENSIBILIDAD, 10 A</v>
      </c>
      <c r="C977" s="4" t="str">
        <f>IFERROR(__xludf.DUMMYFUNCTION("""COMPUTED_VALUE"""),"Detector de llama (rayos UV), alta sensibilidad, 10 a 30 VDC, salida relé, aprobación UL")</f>
        <v>Detector de llama (rayos UV), alta sensibilidad, 10 a 30 VDC, salida relé, aprobación UL</v>
      </c>
      <c r="D977" s="4" t="str">
        <f>IFERROR(__xludf.DUMMYFUNCTION("""COMPUTED_VALUE"""),"TAKEX")</f>
        <v>TAKEX</v>
      </c>
      <c r="E977" s="4" t="str">
        <f>IFERROR(__xludf.DUMMYFUNCTION("""COMPUTED_VALUE"""),"TKFS2000E")</f>
        <v>TKFS2000E</v>
      </c>
      <c r="F977" s="4" t="str">
        <f>IFERROR(__xludf.DUMMYFUNCTION("""COMPUTED_VALUE"""),"INCENDIO &gt; DETECTORES ESPECIALES")</f>
        <v>INCENDIO &gt; DETECTORES ESPECIALES</v>
      </c>
      <c r="G977" s="5"/>
      <c r="H977" s="6">
        <f>IFERROR(__xludf.DUMMYFUNCTION("""COMPUTED_VALUE"""),184.8)</f>
        <v>184.8</v>
      </c>
      <c r="I977" s="7">
        <f>IFERROR(__xludf.DUMMYFUNCTION("""COMPUTED_VALUE"""),10.5)</f>
        <v>10.5</v>
      </c>
      <c r="J977" s="6">
        <f>IFERROR(__xludf.DUMMYFUNCTION("""COMPUTED_VALUE"""),221.76)</f>
        <v>221.76</v>
      </c>
      <c r="K977" s="6">
        <f>IFERROR(__xludf.DUMMYFUNCTION("""COMPUTED_VALUE"""),258.72)</f>
        <v>258.72</v>
      </c>
      <c r="L977" s="3"/>
      <c r="M977" s="3"/>
    </row>
    <row r="978" ht="48.0" customHeight="1">
      <c r="A978" s="3" t="str">
        <f>IFERROR(__xludf.DUMMYFUNCTION("""COMPUTED_VALUE"""),"OWHF911")</f>
        <v>OWHF911</v>
      </c>
      <c r="B978" s="4" t="str">
        <f>IFERROR(__xludf.DUMMYFUNCTION("""COMPUTED_VALUE"""),"ESTACIÓN DE LLAMADA MANUAL ROMPA EL VIDRIO COLOR ROJO NA/NC")</f>
        <v>ESTACIÓN DE LLAMADA MANUAL ROMPA EL VIDRIO COLOR ROJO NA/NC</v>
      </c>
      <c r="C978" s="4" t="str">
        <f>IFERROR(__xludf.DUMMYFUNCTION("""COMPUTED_VALUE"""),"Estación de llamada manual Rompa el vidrio Color Rojo NA/NC.")</f>
        <v>Estación de llamada manual Rompa el vidrio Color Rojo NA/NC.</v>
      </c>
      <c r="D978" s="4" t="str">
        <f>IFERROR(__xludf.DUMMYFUNCTION("""COMPUTED_VALUE"""),"OWL")</f>
        <v>OWL</v>
      </c>
      <c r="E978" s="4" t="str">
        <f>IFERROR(__xludf.DUMMYFUNCTION("""COMPUTED_VALUE"""),"OWHF911")</f>
        <v>OWHF911</v>
      </c>
      <c r="F978" s="4" t="str">
        <f>IFERROR(__xludf.DUMMYFUNCTION("""COMPUTED_VALUE"""),"INCENDIO &gt; AVISADORES MANUALES DE INCENDIO")</f>
        <v>INCENDIO &gt; AVISADORES MANUALES DE INCENDIO</v>
      </c>
      <c r="G978" s="5"/>
      <c r="H978" s="6">
        <f>IFERROR(__xludf.DUMMYFUNCTION("""COMPUTED_VALUE"""),10.45)</f>
        <v>10.45</v>
      </c>
      <c r="I978" s="7">
        <f>IFERROR(__xludf.DUMMYFUNCTION("""COMPUTED_VALUE"""),10.5)</f>
        <v>10.5</v>
      </c>
      <c r="J978" s="6">
        <f>IFERROR(__xludf.DUMMYFUNCTION("""COMPUTED_VALUE"""),12.54)</f>
        <v>12.54</v>
      </c>
      <c r="K978" s="6">
        <f>IFERROR(__xludf.DUMMYFUNCTION("""COMPUTED_VALUE"""),14.63)</f>
        <v>14.63</v>
      </c>
      <c r="L978" s="3"/>
      <c r="M978" s="3"/>
    </row>
    <row r="979" ht="48.0" customHeight="1">
      <c r="A979" s="3" t="str">
        <f>IFERROR(__xludf.DUMMYFUNCTION("""COMPUTED_VALUE"""),"OW808R")</f>
        <v>OW808R</v>
      </c>
      <c r="B979" s="4" t="str">
        <f>IFERROR(__xludf.DUMMYFUNCTION("""COMPUTED_VALUE"""),"ESTACIÓN DE LLAMADA MANUAL REESTABLECIBLE CON TAPA COLOR ROJO")</f>
        <v>ESTACIÓN DE LLAMADA MANUAL REESTABLECIBLE CON TAPA COLOR ROJO</v>
      </c>
      <c r="C979" s="4" t="str">
        <f>IFERROR(__xludf.DUMMYFUNCTION("""COMPUTED_VALUE"""),"Estación de llamada manual reestablecible con tapa Color Rojo.")</f>
        <v>Estación de llamada manual reestablecible con tapa Color Rojo.</v>
      </c>
      <c r="D979" s="4" t="str">
        <f>IFERROR(__xludf.DUMMYFUNCTION("""COMPUTED_VALUE"""),"OWL")</f>
        <v>OWL</v>
      </c>
      <c r="E979" s="4" t="str">
        <f>IFERROR(__xludf.DUMMYFUNCTION("""COMPUTED_VALUE"""),"OW808R")</f>
        <v>OW808R</v>
      </c>
      <c r="F979" s="4" t="str">
        <f>IFERROR(__xludf.DUMMYFUNCTION("""COMPUTED_VALUE"""),"INCENDIO &gt; AVISADORES MANUALES DE INCENDIO")</f>
        <v>INCENDIO &gt; AVISADORES MANUALES DE INCENDIO</v>
      </c>
      <c r="G979" s="5"/>
      <c r="H979" s="6">
        <f>IFERROR(__xludf.DUMMYFUNCTION("""COMPUTED_VALUE"""),14.85)</f>
        <v>14.85</v>
      </c>
      <c r="I979" s="7">
        <f>IFERROR(__xludf.DUMMYFUNCTION("""COMPUTED_VALUE"""),10.5)</f>
        <v>10.5</v>
      </c>
      <c r="J979" s="6">
        <f>IFERROR(__xludf.DUMMYFUNCTION("""COMPUTED_VALUE"""),17.82)</f>
        <v>17.82</v>
      </c>
      <c r="K979" s="6">
        <f>IFERROR(__xludf.DUMMYFUNCTION("""COMPUTED_VALUE"""),20.79)</f>
        <v>20.79</v>
      </c>
      <c r="L979" s="3"/>
      <c r="M979" s="3"/>
    </row>
    <row r="980" ht="48.0" customHeight="1">
      <c r="A980" s="3" t="str">
        <f>IFERROR(__xludf.DUMMYFUNCTION("""COMPUTED_VALUE"""),"HF911GLASS")</f>
        <v>HF911GLASS</v>
      </c>
      <c r="B980" s="4" t="str">
        <f>IFERROR(__xludf.DUMMYFUNCTION("""COMPUTED_VALUE"""),"CRISTAL ACTUANTE P/ESTACIÓN MANUAL TIPO ""RUPTURA DE CRISTAL""")</f>
        <v>CRISTAL ACTUANTE P/ESTACIÓN MANUAL TIPO "RUPTURA DE CRISTAL"</v>
      </c>
      <c r="C980" s="4" t="str">
        <f>IFERROR(__xludf.DUMMYFUNCTION("""COMPUTED_VALUE"""),"Cristal Actuante p/estación manual tipo ""Ruptura de Cristal""")</f>
        <v>Cristal Actuante p/estación manual tipo "Ruptura de Cristal"</v>
      </c>
      <c r="D980" s="4" t="str">
        <f>IFERROR(__xludf.DUMMYFUNCTION("""COMPUTED_VALUE"""),"OWL")</f>
        <v>OWL</v>
      </c>
      <c r="E980" s="4" t="str">
        <f>IFERROR(__xludf.DUMMYFUNCTION("""COMPUTED_VALUE"""),"HF911GLASS")</f>
        <v>HF911GLASS</v>
      </c>
      <c r="F980" s="4" t="str">
        <f>IFERROR(__xludf.DUMMYFUNCTION("""COMPUTED_VALUE"""),"INCENDIO &gt; AVISADORES MANUALES DE INCENDIO")</f>
        <v>INCENDIO &gt; AVISADORES MANUALES DE INCENDIO</v>
      </c>
      <c r="G980" s="5"/>
      <c r="H980" s="6">
        <f>IFERROR(__xludf.DUMMYFUNCTION("""COMPUTED_VALUE"""),7.28)</f>
        <v>7.28</v>
      </c>
      <c r="I980" s="7">
        <f>IFERROR(__xludf.DUMMYFUNCTION("""COMPUTED_VALUE"""),21.0)</f>
        <v>21</v>
      </c>
      <c r="J980" s="6">
        <f>IFERROR(__xludf.DUMMYFUNCTION("""COMPUTED_VALUE"""),8.74)</f>
        <v>8.74</v>
      </c>
      <c r="K980" s="6">
        <f>IFERROR(__xludf.DUMMYFUNCTION("""COMPUTED_VALUE"""),10.19)</f>
        <v>10.19</v>
      </c>
      <c r="L980" s="3"/>
      <c r="M980" s="3"/>
    </row>
    <row r="981" ht="48.0" customHeight="1">
      <c r="A981" s="3" t="str">
        <f>IFERROR(__xludf.DUMMYFUNCTION("""COMPUTED_VALUE"""),"SSPS200-DUP1")</f>
        <v>SSPS200-DUP1</v>
      </c>
      <c r="B981" s="4" t="str">
        <f>IFERROR(__xludf.DUMMYFUNCTION("""COMPUTED_VALUE"""),"PUERTA TRANSPARENTE PARA KAC CONVERSIÓN SIMPLE ACCIÓN A DOBLE ACCIÓN")</f>
        <v>PUERTA TRANSPARENTE PARA KAC CONVERSIÓN SIMPLE ACCIÓN A DOBLE ACCIÓN</v>
      </c>
      <c r="C981" s="4" t="str">
        <f>IFERROR(__xludf.DUMMYFUNCTION("""COMPUTED_VALUE"""),"Puerta transparente para KAC conversión Simple Acción a Doble acción")</f>
        <v>Puerta transparente para KAC conversión Simple Acción a Doble acción</v>
      </c>
      <c r="D981" s="4" t="str">
        <f>IFERROR(__xludf.DUMMYFUNCTION("""COMPUTED_VALUE"""),"SYSTEM SENSOR")</f>
        <v>SYSTEM SENSOR</v>
      </c>
      <c r="E981" s="4" t="str">
        <f>IFERROR(__xludf.DUMMYFUNCTION("""COMPUTED_VALUE"""),"SSPS200")</f>
        <v>SSPS200</v>
      </c>
      <c r="F981" s="4" t="str">
        <f>IFERROR(__xludf.DUMMYFUNCTION("""COMPUTED_VALUE"""),"INCENDIO &gt; AVISADORES MANUALES DE INCENDIO")</f>
        <v>INCENDIO &gt; AVISADORES MANUALES DE INCENDIO</v>
      </c>
      <c r="G981" s="5"/>
      <c r="H981" s="6">
        <f>IFERROR(__xludf.DUMMYFUNCTION("""COMPUTED_VALUE"""),5.02)</f>
        <v>5.02</v>
      </c>
      <c r="I981" s="7">
        <f>IFERROR(__xludf.DUMMYFUNCTION("""COMPUTED_VALUE"""),21.0)</f>
        <v>21</v>
      </c>
      <c r="J981" s="6">
        <f>IFERROR(__xludf.DUMMYFUNCTION("""COMPUTED_VALUE"""),6.02)</f>
        <v>6.02</v>
      </c>
      <c r="K981" s="6">
        <f>IFERROR(__xludf.DUMMYFUNCTION("""COMPUTED_VALUE"""),7.03)</f>
        <v>7.03</v>
      </c>
      <c r="L981" s="3"/>
      <c r="M981" s="3"/>
    </row>
    <row r="982" ht="48.0" customHeight="1">
      <c r="A982" s="3" t="str">
        <f>IFERROR(__xludf.DUMMYFUNCTION("""COMPUTED_VALUE"""),"FLBG12L")</f>
        <v>FLBG12L</v>
      </c>
      <c r="B982" s="4" t="str">
        <f>IFERROR(__xludf.DUMMYFUNCTION("""COMPUTED_VALUE"""),"ESTACIÓN DE LLAMADA DE DOBLE ACCIÓN CON LLAVE DE RESTABLECIMIENTO")</f>
        <v>ESTACIÓN DE LLAMADA DE DOBLE ACCIÓN CON LLAVE DE RESTABLECIMIENTO</v>
      </c>
      <c r="C982" s="4" t="str">
        <f>IFERROR(__xludf.DUMMYFUNCTION("""COMPUTED_VALUE"""),"Estación de llamada de doble acción con llave de restablecimiento.")</f>
        <v>Estación de llamada de doble acción con llave de restablecimiento.</v>
      </c>
      <c r="D982" s="4" t="str">
        <f>IFERROR(__xludf.DUMMYFUNCTION("""COMPUTED_VALUE"""),"FIRELITE")</f>
        <v>FIRELITE</v>
      </c>
      <c r="E982" s="4" t="str">
        <f>IFERROR(__xludf.DUMMYFUNCTION("""COMPUTED_VALUE"""),"FLBG12L")</f>
        <v>FLBG12L</v>
      </c>
      <c r="F982" s="4" t="str">
        <f>IFERROR(__xludf.DUMMYFUNCTION("""COMPUTED_VALUE"""),"INCENDIO &gt; AVISADORES MANUALES DE INCENDIO")</f>
        <v>INCENDIO &gt; AVISADORES MANUALES DE INCENDIO</v>
      </c>
      <c r="G982" s="5"/>
      <c r="H982" s="6">
        <f>IFERROR(__xludf.DUMMYFUNCTION("""COMPUTED_VALUE"""),38.98)</f>
        <v>38.98</v>
      </c>
      <c r="I982" s="7">
        <f>IFERROR(__xludf.DUMMYFUNCTION("""COMPUTED_VALUE"""),10.5)</f>
        <v>10.5</v>
      </c>
      <c r="J982" s="6">
        <f>IFERROR(__xludf.DUMMYFUNCTION("""COMPUTED_VALUE"""),46.78)</f>
        <v>46.78</v>
      </c>
      <c r="K982" s="6">
        <f>IFERROR(__xludf.DUMMYFUNCTION("""COMPUTED_VALUE"""),54.57)</f>
        <v>54.57</v>
      </c>
      <c r="L982" s="3"/>
      <c r="M982" s="3"/>
    </row>
    <row r="983" ht="48.0" customHeight="1">
      <c r="A983" s="3" t="str">
        <f>IFERROR(__xludf.DUMMYFUNCTION("""COMPUTED_VALUE"""),"PUL463001")</f>
        <v>PUL463001</v>
      </c>
      <c r="B983" s="4" t="str">
        <f>IFERROR(__xludf.DUMMYFUNCTION("""COMPUTED_VALUE"""),"ESTACIÓN DE LLAMADA DE DOBLE ACCIÓN CON LLAVE DE RESTABLECIMIENTO")</f>
        <v>ESTACIÓN DE LLAMADA DE DOBLE ACCIÓN CON LLAVE DE RESTABLECIMIENTO</v>
      </c>
      <c r="C983" s="4" t="str">
        <f>IFERROR(__xludf.DUMMYFUNCTION("""COMPUTED_VALUE"""),"Estación de llamada de doble acción con llave de restablecimiento.")</f>
        <v>Estación de llamada de doble acción con llave de restablecimiento.</v>
      </c>
      <c r="D983" s="4" t="str">
        <f>IFERROR(__xludf.DUMMYFUNCTION("""COMPUTED_VALUE"""),"NUMENS")</f>
        <v>NUMENS</v>
      </c>
      <c r="E983" s="4" t="str">
        <f>IFERROR(__xludf.DUMMYFUNCTION("""COMPUTED_VALUE"""),"PUL463001")</f>
        <v>PUL463001</v>
      </c>
      <c r="F983" s="4" t="str">
        <f>IFERROR(__xludf.DUMMYFUNCTION("""COMPUTED_VALUE"""),"INCENDIO &gt; AVISADORES MANUALES DE INCENDIO")</f>
        <v>INCENDIO &gt; AVISADORES MANUALES DE INCENDIO</v>
      </c>
      <c r="G983" s="5"/>
      <c r="H983" s="6">
        <f>IFERROR(__xludf.DUMMYFUNCTION("""COMPUTED_VALUE"""),48.27)</f>
        <v>48.27</v>
      </c>
      <c r="I983" s="7">
        <f>IFERROR(__xludf.DUMMYFUNCTION("""COMPUTED_VALUE"""),21.0)</f>
        <v>21</v>
      </c>
      <c r="J983" s="6">
        <f>IFERROR(__xludf.DUMMYFUNCTION("""COMPUTED_VALUE"""),57.92)</f>
        <v>57.92</v>
      </c>
      <c r="K983" s="6">
        <f>IFERROR(__xludf.DUMMYFUNCTION("""COMPUTED_VALUE"""),67.58)</f>
        <v>67.58</v>
      </c>
      <c r="L983" s="3"/>
      <c r="M983" s="3"/>
    </row>
    <row r="984" ht="48.0" customHeight="1">
      <c r="A984" s="3" t="str">
        <f>IFERROR(__xludf.DUMMYFUNCTION("""COMPUTED_VALUE"""),"CFPUCAR")</f>
        <v>CFPUCAR</v>
      </c>
      <c r="B984" s="4" t="str">
        <f>IFERROR(__xludf.DUMMYFUNCTION("""COMPUTED_VALUE"""),"PULSADOR MANUAL DE DOBLE ACCIÓN REARMABLE CON PUERTA TRANSPARENTE")</f>
        <v>PULSADOR MANUAL DE DOBLE ACCIÓN REARMABLE CON PUERTA TRANSPARENTE</v>
      </c>
      <c r="C984" s="4" t="str">
        <f>IFERROR(__xludf.DUMMYFUNCTION("""COMPUTED_VALUE"""),"Pulsador manual de doble acción rearmable con puerta transparente")</f>
        <v>Pulsador manual de doble acción rearmable con puerta transparente</v>
      </c>
      <c r="D984" s="4" t="str">
        <f>IFERROR(__xludf.DUMMYFUNCTION("""COMPUTED_VALUE"""),"COFEM")</f>
        <v>COFEM</v>
      </c>
      <c r="E984" s="4" t="str">
        <f>IFERROR(__xludf.DUMMYFUNCTION("""COMPUTED_VALUE"""),"CFPUCAR")</f>
        <v>CFPUCAR</v>
      </c>
      <c r="F984" s="4" t="str">
        <f>IFERROR(__xludf.DUMMYFUNCTION("""COMPUTED_VALUE"""),"INCENDIO &gt; AVISADORES MANUALES DE INCENDIO")</f>
        <v>INCENDIO &gt; AVISADORES MANUALES DE INCENDIO</v>
      </c>
      <c r="G984" s="5"/>
      <c r="H984" s="6">
        <f>IFERROR(__xludf.DUMMYFUNCTION("""COMPUTED_VALUE"""),18.59)</f>
        <v>18.59</v>
      </c>
      <c r="I984" s="7">
        <f>IFERROR(__xludf.DUMMYFUNCTION("""COMPUTED_VALUE"""),21.0)</f>
        <v>21</v>
      </c>
      <c r="J984" s="6">
        <f>IFERROR(__xludf.DUMMYFUNCTION("""COMPUTED_VALUE"""),22.31)</f>
        <v>22.31</v>
      </c>
      <c r="K984" s="6">
        <f>IFERROR(__xludf.DUMMYFUNCTION("""COMPUTED_VALUE"""),26.03)</f>
        <v>26.03</v>
      </c>
      <c r="L984" s="3"/>
      <c r="M984" s="3"/>
    </row>
    <row r="985" ht="48.0" customHeight="1">
      <c r="A985" s="3" t="str">
        <f>IFERROR(__xludf.DUMMYFUNCTION("""COMPUTED_VALUE"""),"CFPUCDR")</f>
        <v>CFPUCDR</v>
      </c>
      <c r="B985" s="4" t="str">
        <f>IFERROR(__xludf.DUMMYFUNCTION("""COMPUTED_VALUE"""),"PULSADOR MANUAL DE DOBLE ACCIÓN REARMABLE CON PUERTA TRANSPARENTE")</f>
        <v>PULSADOR MANUAL DE DOBLE ACCIÓN REARMABLE CON PUERTA TRANSPARENTE</v>
      </c>
      <c r="C985" s="4" t="str">
        <f>IFERROR(__xludf.DUMMYFUNCTION("""COMPUTED_VALUE"""),"Pulsador manual de doble acción rearmable con puerta transparente para disparo de extinción. Color amarillo")</f>
        <v>Pulsador manual de doble acción rearmable con puerta transparente para disparo de extinción. Color amarillo</v>
      </c>
      <c r="D985" s="4" t="str">
        <f>IFERROR(__xludf.DUMMYFUNCTION("""COMPUTED_VALUE"""),"COFEM")</f>
        <v>COFEM</v>
      </c>
      <c r="E985" s="4" t="str">
        <f>IFERROR(__xludf.DUMMYFUNCTION("""COMPUTED_VALUE"""),"CFPUCDR")</f>
        <v>CFPUCDR</v>
      </c>
      <c r="F985" s="4" t="str">
        <f>IFERROR(__xludf.DUMMYFUNCTION("""COMPUTED_VALUE"""),"INCENDIO &gt; AVISADORES MANUALES DE INCENDIO")</f>
        <v>INCENDIO &gt; AVISADORES MANUALES DE INCENDIO</v>
      </c>
      <c r="G985" s="5"/>
      <c r="H985" s="6">
        <f>IFERROR(__xludf.DUMMYFUNCTION("""COMPUTED_VALUE"""),32.45)</f>
        <v>32.45</v>
      </c>
      <c r="I985" s="7">
        <f>IFERROR(__xludf.DUMMYFUNCTION("""COMPUTED_VALUE"""),21.0)</f>
        <v>21</v>
      </c>
      <c r="J985" s="6">
        <f>IFERROR(__xludf.DUMMYFUNCTION("""COMPUTED_VALUE"""),38.94)</f>
        <v>38.94</v>
      </c>
      <c r="K985" s="6">
        <f>IFERROR(__xludf.DUMMYFUNCTION("""COMPUTED_VALUE"""),45.43)</f>
        <v>45.43</v>
      </c>
      <c r="L985" s="3"/>
      <c r="M985" s="3"/>
    </row>
    <row r="986" ht="48.0" customHeight="1">
      <c r="A986" s="3" t="str">
        <f>IFERROR(__xludf.DUMMYFUNCTION("""COMPUTED_VALUE"""),"CFPUCPR")</f>
        <v>CFPUCPR</v>
      </c>
      <c r="B986" s="4" t="str">
        <f>IFERROR(__xludf.DUMMYFUNCTION("""COMPUTED_VALUE"""),"PULSADOR MANUAL DE DOBLE ACCIÓN REARMABLE CON PUERTA TRANSPARENTE")</f>
        <v>PULSADOR MANUAL DE DOBLE ACCIÓN REARMABLE CON PUERTA TRANSPARENTE</v>
      </c>
      <c r="C986" s="4" t="str">
        <f>IFERROR(__xludf.DUMMYFUNCTION("""COMPUTED_VALUE"""),"Pulsador manual de doble acción rearmable con puerta transparente para parar sistemas de extinción. Color azul")</f>
        <v>Pulsador manual de doble acción rearmable con puerta transparente para parar sistemas de extinción. Color azul</v>
      </c>
      <c r="D986" s="4" t="str">
        <f>IFERROR(__xludf.DUMMYFUNCTION("""COMPUTED_VALUE"""),"COFEM")</f>
        <v>COFEM</v>
      </c>
      <c r="E986" s="4" t="str">
        <f>IFERROR(__xludf.DUMMYFUNCTION("""COMPUTED_VALUE"""),"CFPUCPR")</f>
        <v>CFPUCPR</v>
      </c>
      <c r="F986" s="4" t="str">
        <f>IFERROR(__xludf.DUMMYFUNCTION("""COMPUTED_VALUE"""),"INCENDIO &gt; AVISADORES MANUALES DE INCENDIO")</f>
        <v>INCENDIO &gt; AVISADORES MANUALES DE INCENDIO</v>
      </c>
      <c r="G986" s="5"/>
      <c r="H986" s="6">
        <f>IFERROR(__xludf.DUMMYFUNCTION("""COMPUTED_VALUE"""),32.45)</f>
        <v>32.45</v>
      </c>
      <c r="I986" s="7">
        <f>IFERROR(__xludf.DUMMYFUNCTION("""COMPUTED_VALUE"""),21.0)</f>
        <v>21</v>
      </c>
      <c r="J986" s="6">
        <f>IFERROR(__xludf.DUMMYFUNCTION("""COMPUTED_VALUE"""),38.94)</f>
        <v>38.94</v>
      </c>
      <c r="K986" s="6">
        <f>IFERROR(__xludf.DUMMYFUNCTION("""COMPUTED_VALUE"""),45.43)</f>
        <v>45.43</v>
      </c>
      <c r="L986" s="3"/>
      <c r="M986" s="3"/>
    </row>
    <row r="987" ht="48.0" customHeight="1">
      <c r="A987" s="3" t="str">
        <f>IFERROR(__xludf.DUMMYFUNCTION("""COMPUTED_VALUE"""),"EPA183")</f>
        <v>EPA183</v>
      </c>
      <c r="B987" s="4" t="str">
        <f>IFERROR(__xludf.DUMMYFUNCTION("""COMPUTED_VALUE"""),"SIRENA ELECTRÓNICA CON FLASH ESTROBOSCÓPICO")</f>
        <v>SIRENA ELECTRÓNICA CON FLASH ESTROBOSCÓPICO</v>
      </c>
      <c r="C987" s="4" t="str">
        <f>IFERROR(__xludf.DUMMYFUNCTION("""COMPUTED_VALUE"""),"Sirena electrónica con flash estroboscópico. 24 VCC.")</f>
        <v>Sirena electrónica con flash estroboscópico. 24 VCC.</v>
      </c>
      <c r="D987" s="4" t="str">
        <f>IFERROR(__xludf.DUMMYFUNCTION("""COMPUTED_VALUE"""),"OWL FIRE")</f>
        <v>OWL FIRE</v>
      </c>
      <c r="E987" s="4" t="str">
        <f>IFERROR(__xludf.DUMMYFUNCTION("""COMPUTED_VALUE"""),"EPA183")</f>
        <v>EPA183</v>
      </c>
      <c r="F987" s="4" t="str">
        <f>IFERROR(__xludf.DUMMYFUNCTION("""COMPUTED_VALUE"""),"INCENDIO &gt; INDICADORES LUMINOSOS Y SONOROS")</f>
        <v>INCENDIO &gt; INDICADORES LUMINOSOS Y SONOROS</v>
      </c>
      <c r="G987" s="5"/>
      <c r="H987" s="6">
        <f>IFERROR(__xludf.DUMMYFUNCTION("""COMPUTED_VALUE"""),13.75)</f>
        <v>13.75</v>
      </c>
      <c r="I987" s="7">
        <f>IFERROR(__xludf.DUMMYFUNCTION("""COMPUTED_VALUE"""),21.0)</f>
        <v>21</v>
      </c>
      <c r="J987" s="6">
        <f>IFERROR(__xludf.DUMMYFUNCTION("""COMPUTED_VALUE"""),16.5)</f>
        <v>16.5</v>
      </c>
      <c r="K987" s="6">
        <f>IFERROR(__xludf.DUMMYFUNCTION("""COMPUTED_VALUE"""),19.25)</f>
        <v>19.25</v>
      </c>
      <c r="L987" s="3"/>
      <c r="M987" s="3"/>
    </row>
    <row r="988" ht="48.0" customHeight="1">
      <c r="A988" s="3" t="str">
        <f>IFERROR(__xludf.DUMMYFUNCTION("""COMPUTED_VALUE"""),"CFSIR24F")</f>
        <v>CFSIR24F</v>
      </c>
      <c r="B988" s="4" t="str">
        <f>IFERROR(__xludf.DUMMYFUNCTION("""COMPUTED_VALUE"""),"SIRENA DE INCENDIO ÓPTICO-ACÚSTICA MATERIAL: P")</f>
        <v>SIRENA DE INCENDIO ÓPTICO-ACÚSTICA MATERIAL: P</v>
      </c>
      <c r="C988" s="4" t="str">
        <f>IFERROR(__xludf.DUMMYFUNCTION("""COMPUTED_VALUE"""),"Sirena de incendio óptico-acústica Material: P.V.C. rojo Voltaje de funcionamiento: 30 Vdc Consumo a 30 Vdc: 70 Ma Potencia 85 dB, Dimensiones 80 x 80 x 30 mm, Flash intermitente")</f>
        <v>Sirena de incendio óptico-acústica Material: P.V.C. rojo Voltaje de funcionamiento: 30 Vdc Consumo a 30 Vdc: 70 Ma Potencia 85 dB, Dimensiones 80 x 80 x 30 mm, Flash intermitente</v>
      </c>
      <c r="D988" s="4" t="str">
        <f>IFERROR(__xludf.DUMMYFUNCTION("""COMPUTED_VALUE"""),"COFEM")</f>
        <v>COFEM</v>
      </c>
      <c r="E988" s="4" t="str">
        <f>IFERROR(__xludf.DUMMYFUNCTION("""COMPUTED_VALUE"""),"CFSIR24F")</f>
        <v>CFSIR24F</v>
      </c>
      <c r="F988" s="4" t="str">
        <f>IFERROR(__xludf.DUMMYFUNCTION("""COMPUTED_VALUE"""),"INCENDIO &gt; INDICADORES LUMINOSOS Y SONOROS")</f>
        <v>INCENDIO &gt; INDICADORES LUMINOSOS Y SONOROS</v>
      </c>
      <c r="G988" s="5"/>
      <c r="H988" s="6">
        <f>IFERROR(__xludf.DUMMYFUNCTION("""COMPUTED_VALUE"""),46.49)</f>
        <v>46.49</v>
      </c>
      <c r="I988" s="7">
        <f>IFERROR(__xludf.DUMMYFUNCTION("""COMPUTED_VALUE"""),21.0)</f>
        <v>21</v>
      </c>
      <c r="J988" s="6">
        <f>IFERROR(__xludf.DUMMYFUNCTION("""COMPUTED_VALUE"""),55.79)</f>
        <v>55.79</v>
      </c>
      <c r="K988" s="6">
        <f>IFERROR(__xludf.DUMMYFUNCTION("""COMPUTED_VALUE"""),65.09)</f>
        <v>65.09</v>
      </c>
      <c r="L988" s="3"/>
      <c r="M988" s="3"/>
    </row>
    <row r="989" ht="48.0" customHeight="1">
      <c r="A989" s="3" t="str">
        <f>IFERROR(__xludf.DUMMYFUNCTION("""COMPUTED_VALUE"""),"CFSIR24BL")</f>
        <v>CFSIR24BL</v>
      </c>
      <c r="B989" s="4" t="str">
        <f>IFERROR(__xludf.DUMMYFUNCTION("""COMPUTED_VALUE"""),"SIRENA DE INCENDIO BITONA CON LUZ APTA INTERIOR Y")</f>
        <v>SIRENA DE INCENDIO BITONA CON LUZ APTA INTERIOR Y</v>
      </c>
      <c r="C989" s="4" t="str">
        <f>IFERROR(__xludf.DUMMYFUNCTION("""COMPUTED_VALUE"""),"Sirena de incendio bitona con luz apta interior y exterior construida en ABS rojo. Incluye zócalo alto Gran volumen de sonido de bajo consumo, certificado EN54-3. 32 tonos seleccionables. Control de volumen.")</f>
        <v>Sirena de incendio bitona con luz apta interior y exterior construida en ABS rojo. Incluye zócalo alto Gran volumen de sonido de bajo consumo, certificado EN54-3. 32 tonos seleccionables. Control de volumen.</v>
      </c>
      <c r="D989" s="4" t="str">
        <f>IFERROR(__xludf.DUMMYFUNCTION("""COMPUTED_VALUE"""),"COFEM")</f>
        <v>COFEM</v>
      </c>
      <c r="E989" s="4" t="str">
        <f>IFERROR(__xludf.DUMMYFUNCTION("""COMPUTED_VALUE"""),"CFSIR24BL")</f>
        <v>CFSIR24BL</v>
      </c>
      <c r="F989" s="4" t="str">
        <f>IFERROR(__xludf.DUMMYFUNCTION("""COMPUTED_VALUE"""),"INCENDIO &gt; INDICADORES LUMINOSOS Y SONOROS")</f>
        <v>INCENDIO &gt; INDICADORES LUMINOSOS Y SONOROS</v>
      </c>
      <c r="G989" s="5"/>
      <c r="H989" s="6">
        <f>IFERROR(__xludf.DUMMYFUNCTION("""COMPUTED_VALUE"""),98.66)</f>
        <v>98.66</v>
      </c>
      <c r="I989" s="7">
        <f>IFERROR(__xludf.DUMMYFUNCTION("""COMPUTED_VALUE"""),21.0)</f>
        <v>21</v>
      </c>
      <c r="J989" s="6">
        <f>IFERROR(__xludf.DUMMYFUNCTION("""COMPUTED_VALUE"""),118.39)</f>
        <v>118.39</v>
      </c>
      <c r="K989" s="6">
        <f>IFERROR(__xludf.DUMMYFUNCTION("""COMPUTED_VALUE"""),138.12)</f>
        <v>138.12</v>
      </c>
      <c r="L989" s="3"/>
      <c r="M989" s="3"/>
    </row>
    <row r="990" ht="48.0" customHeight="1">
      <c r="A990" s="3" t="str">
        <f>IFERROR(__xludf.DUMMYFUNCTION("""COMPUTED_VALUE"""),"SSP2RLSP")</f>
        <v>SSP2RLSP</v>
      </c>
      <c r="B990" s="4" t="str">
        <f>IFERROR(__xludf.DUMMYFUNCTION("""COMPUTED_VALUE"""),"SIRENA PIEZOELECTRÓNICA CON FLASH ESTROBOSCÓPICO")</f>
        <v>SIRENA PIEZOELECTRÓNICA CON FLASH ESTROBOSCÓPICO</v>
      </c>
      <c r="C990" s="4" t="str">
        <f>IFERROR(__xludf.DUMMYFUNCTION("""COMPUTED_VALUE"""),"Sirena piezoelectrónica con flash estroboscópico. 24 VCC.")</f>
        <v>Sirena piezoelectrónica con flash estroboscópico. 24 VCC.</v>
      </c>
      <c r="D990" s="4" t="str">
        <f>IFERROR(__xludf.DUMMYFUNCTION("""COMPUTED_VALUE"""),"SYSTEM SENSOR")</f>
        <v>SYSTEM SENSOR</v>
      </c>
      <c r="E990" s="4" t="str">
        <f>IFERROR(__xludf.DUMMYFUNCTION("""COMPUTED_VALUE"""),"SSP2RLSP")</f>
        <v>SSP2RLSP</v>
      </c>
      <c r="F990" s="4" t="str">
        <f>IFERROR(__xludf.DUMMYFUNCTION("""COMPUTED_VALUE"""),"INCENDIO &gt; INDICADORES LUMINOSOS Y SONOROS")</f>
        <v>INCENDIO &gt; INDICADORES LUMINOSOS Y SONOROS</v>
      </c>
      <c r="G990" s="5"/>
      <c r="H990" s="6">
        <f>IFERROR(__xludf.DUMMYFUNCTION("""COMPUTED_VALUE"""),85.67)</f>
        <v>85.67</v>
      </c>
      <c r="I990" s="7">
        <f>IFERROR(__xludf.DUMMYFUNCTION("""COMPUTED_VALUE"""),21.0)</f>
        <v>21</v>
      </c>
      <c r="J990" s="6">
        <f>IFERROR(__xludf.DUMMYFUNCTION("""COMPUTED_VALUE"""),102.8)</f>
        <v>102.8</v>
      </c>
      <c r="K990" s="6">
        <f>IFERROR(__xludf.DUMMYFUNCTION("""COMPUTED_VALUE"""),119.94)</f>
        <v>119.94</v>
      </c>
      <c r="L990" s="3"/>
      <c r="M990" s="3"/>
    </row>
    <row r="991" ht="48.0" customHeight="1">
      <c r="A991" s="3" t="str">
        <f>IFERROR(__xludf.DUMMYFUNCTION("""COMPUTED_VALUE"""),"SSP2RKSP")</f>
        <v>SSP2RKSP</v>
      </c>
      <c r="B991" s="4" t="str">
        <f>IFERROR(__xludf.DUMMYFUNCTION("""COMPUTED_VALUE"""),"SIRENA PIEZOELECTRÓNICA CON FLASH ESTROBOSCÓPICO")</f>
        <v>SIRENA PIEZOELECTRÓNICA CON FLASH ESTROBOSCÓPICO</v>
      </c>
      <c r="C991" s="4" t="str">
        <f>IFERROR(__xludf.DUMMYFUNCTION("""COMPUTED_VALUE"""),"Sirena piezoelectrónica con flash estroboscópico. Uso exterior. 24 VCC.")</f>
        <v>Sirena piezoelectrónica con flash estroboscópico. Uso exterior. 24 VCC.</v>
      </c>
      <c r="D991" s="4" t="str">
        <f>IFERROR(__xludf.DUMMYFUNCTION("""COMPUTED_VALUE"""),"SYSTEM SENSOR")</f>
        <v>SYSTEM SENSOR</v>
      </c>
      <c r="E991" s="4" t="str">
        <f>IFERROR(__xludf.DUMMYFUNCTION("""COMPUTED_VALUE"""),"SSP2RKSP")</f>
        <v>SSP2RKSP</v>
      </c>
      <c r="F991" s="4" t="str">
        <f>IFERROR(__xludf.DUMMYFUNCTION("""COMPUTED_VALUE"""),"INCENDIO &gt; INDICADORES LUMINOSOS Y SONOROS")</f>
        <v>INCENDIO &gt; INDICADORES LUMINOSOS Y SONOROS</v>
      </c>
      <c r="G991" s="5"/>
      <c r="H991" s="6">
        <f>IFERROR(__xludf.DUMMYFUNCTION("""COMPUTED_VALUE"""),152.63)</f>
        <v>152.63</v>
      </c>
      <c r="I991" s="7">
        <f>IFERROR(__xludf.DUMMYFUNCTION("""COMPUTED_VALUE"""),21.0)</f>
        <v>21</v>
      </c>
      <c r="J991" s="6">
        <f>IFERROR(__xludf.DUMMYFUNCTION("""COMPUTED_VALUE"""),183.16)</f>
        <v>183.16</v>
      </c>
      <c r="K991" s="6">
        <f>IFERROR(__xludf.DUMMYFUNCTION("""COMPUTED_VALUE"""),213.68)</f>
        <v>213.68</v>
      </c>
      <c r="L991" s="3"/>
      <c r="M991" s="3"/>
    </row>
    <row r="992" ht="48.0" customHeight="1">
      <c r="A992" s="3" t="str">
        <f>IFERROR(__xludf.DUMMYFUNCTION("""COMPUTED_VALUE"""),"SSMHRA")</f>
        <v>SSMHRA</v>
      </c>
      <c r="B992" s="4" t="str">
        <f>IFERROR(__xludf.DUMMYFUNCTION("""COMPUTED_VALUE"""),"MINI SIRENA COLOR ROJO, CONTROL DE TONO Y VOLUMEN 12-24 VCC")</f>
        <v>MINI SIRENA COLOR ROJO, CONTROL DE TONO Y VOLUMEN 12-24 VCC</v>
      </c>
      <c r="C992" s="4" t="str">
        <f>IFERROR(__xludf.DUMMYFUNCTION("""COMPUTED_VALUE"""),"Mini sirena color rojo, control de tono y volumen 12-24 VCC")</f>
        <v>Mini sirena color rojo, control de tono y volumen 12-24 VCC</v>
      </c>
      <c r="D992" s="4" t="str">
        <f>IFERROR(__xludf.DUMMYFUNCTION("""COMPUTED_VALUE"""),"SYSTEM SENSOR")</f>
        <v>SYSTEM SENSOR</v>
      </c>
      <c r="E992" s="4" t="str">
        <f>IFERROR(__xludf.DUMMYFUNCTION("""COMPUTED_VALUE"""),"SSMHRA")</f>
        <v>SSMHRA</v>
      </c>
      <c r="F992" s="4" t="str">
        <f>IFERROR(__xludf.DUMMYFUNCTION("""COMPUTED_VALUE"""),"INCENDIO &gt; INDICADORES LUMINOSOS Y SONOROS")</f>
        <v>INCENDIO &gt; INDICADORES LUMINOSOS Y SONOROS</v>
      </c>
      <c r="G992" s="5"/>
      <c r="H992" s="6">
        <f>IFERROR(__xludf.DUMMYFUNCTION("""COMPUTED_VALUE"""),49.43)</f>
        <v>49.43</v>
      </c>
      <c r="I992" s="7">
        <f>IFERROR(__xludf.DUMMYFUNCTION("""COMPUTED_VALUE"""),21.0)</f>
        <v>21</v>
      </c>
      <c r="J992" s="6">
        <f>IFERROR(__xludf.DUMMYFUNCTION("""COMPUTED_VALUE"""),59.32)</f>
        <v>59.32</v>
      </c>
      <c r="K992" s="6">
        <f>IFERROR(__xludf.DUMMYFUNCTION("""COMPUTED_VALUE"""),69.2)</f>
        <v>69.2</v>
      </c>
      <c r="L992" s="3"/>
      <c r="M992" s="3"/>
    </row>
    <row r="993" ht="48.0" customHeight="1">
      <c r="A993" s="3" t="str">
        <f>IFERROR(__xludf.DUMMYFUNCTION("""COMPUTED_VALUE"""),"SSMHWA")</f>
        <v>SSMHWA</v>
      </c>
      <c r="B993" s="4" t="str">
        <f>IFERROR(__xludf.DUMMYFUNCTION("""COMPUTED_VALUE"""),"MINI SIRENA COLOR BLANCO, CONTROL DE TONO Y VOLUMEN 12-24 VCC")</f>
        <v>MINI SIRENA COLOR BLANCO, CONTROL DE TONO Y VOLUMEN 12-24 VCC</v>
      </c>
      <c r="C993" s="4" t="str">
        <f>IFERROR(__xludf.DUMMYFUNCTION("""COMPUTED_VALUE"""),"Mini sirena color blanco, control de tono y volumen 12-24 VCC")</f>
        <v>Mini sirena color blanco, control de tono y volumen 12-24 VCC</v>
      </c>
      <c r="D993" s="4" t="str">
        <f>IFERROR(__xludf.DUMMYFUNCTION("""COMPUTED_VALUE"""),"SYSTEM SENSOR")</f>
        <v>SYSTEM SENSOR</v>
      </c>
      <c r="E993" s="4" t="str">
        <f>IFERROR(__xludf.DUMMYFUNCTION("""COMPUTED_VALUE"""),"SSMHWA")</f>
        <v>SSMHWA</v>
      </c>
      <c r="F993" s="4" t="str">
        <f>IFERROR(__xludf.DUMMYFUNCTION("""COMPUTED_VALUE"""),"INCENDIO &gt; INDICADORES LUMINOSOS Y SONOROS")</f>
        <v>INCENDIO &gt; INDICADORES LUMINOSOS Y SONOROS</v>
      </c>
      <c r="G993" s="5"/>
      <c r="H993" s="6">
        <f>IFERROR(__xludf.DUMMYFUNCTION("""COMPUTED_VALUE"""),49.43)</f>
        <v>49.43</v>
      </c>
      <c r="I993" s="7">
        <f>IFERROR(__xludf.DUMMYFUNCTION("""COMPUTED_VALUE"""),21.0)</f>
        <v>21</v>
      </c>
      <c r="J993" s="6">
        <f>IFERROR(__xludf.DUMMYFUNCTION("""COMPUTED_VALUE"""),59.32)</f>
        <v>59.32</v>
      </c>
      <c r="K993" s="6">
        <f>IFERROR(__xludf.DUMMYFUNCTION("""COMPUTED_VALUE"""),69.2)</f>
        <v>69.2</v>
      </c>
      <c r="L993" s="3"/>
      <c r="M993" s="3"/>
    </row>
    <row r="994" ht="48.0" customHeight="1">
      <c r="A994" s="3" t="str">
        <f>IFERROR(__xludf.DUMMYFUNCTION("""COMPUTED_VALUE"""),"SSSYSMHTP")</f>
        <v>SSSYSMHTP</v>
      </c>
      <c r="B994" s="4" t="str">
        <f>IFERROR(__xludf.DUMMYFUNCTION("""COMPUTED_VALUE"""),"PLACA DE TERMINACIÓN PARA MINI SIRENA MHRA")</f>
        <v>PLACA DE TERMINACIÓN PARA MINI SIRENA MHRA</v>
      </c>
      <c r="C994" s="4" t="str">
        <f>IFERROR(__xludf.DUMMYFUNCTION("""COMPUTED_VALUE"""),"Placa de terminación para mini sirena MHRA")</f>
        <v>Placa de terminación para mini sirena MHRA</v>
      </c>
      <c r="D994" s="4" t="str">
        <f>IFERROR(__xludf.DUMMYFUNCTION("""COMPUTED_VALUE"""),"SYSTEM SENSOR")</f>
        <v>SYSTEM SENSOR</v>
      </c>
      <c r="E994" s="4" t="str">
        <f>IFERROR(__xludf.DUMMYFUNCTION("""COMPUTED_VALUE"""),"SSSYSMHTP")</f>
        <v>SSSYSMHTP</v>
      </c>
      <c r="F994" s="4" t="str">
        <f>IFERROR(__xludf.DUMMYFUNCTION("""COMPUTED_VALUE"""),"INCENDIO &gt; INDICADORES LUMINOSOS Y SONOROS")</f>
        <v>INCENDIO &gt; INDICADORES LUMINOSOS Y SONOROS</v>
      </c>
      <c r="G994" s="5"/>
      <c r="H994" s="6">
        <f>IFERROR(__xludf.DUMMYFUNCTION("""COMPUTED_VALUE"""),13.2)</f>
        <v>13.2</v>
      </c>
      <c r="I994" s="7">
        <f>IFERROR(__xludf.DUMMYFUNCTION("""COMPUTED_VALUE"""),21.0)</f>
        <v>21</v>
      </c>
      <c r="J994" s="6">
        <f>IFERROR(__xludf.DUMMYFUNCTION("""COMPUTED_VALUE"""),15.84)</f>
        <v>15.84</v>
      </c>
      <c r="K994" s="6">
        <f>IFERROR(__xludf.DUMMYFUNCTION("""COMPUTED_VALUE"""),18.48)</f>
        <v>18.48</v>
      </c>
      <c r="L994" s="3"/>
      <c r="M994" s="3"/>
    </row>
    <row r="995" ht="48.0" customHeight="1">
      <c r="A995" s="3" t="str">
        <f>IFERROR(__xludf.DUMMYFUNCTION("""COMPUTED_VALUE"""),"SSSYSHS")</f>
        <v>SSSYSHS</v>
      </c>
      <c r="B995" s="4" t="str">
        <f>IFERROR(__xludf.DUMMYFUNCTION("""COMPUTED_VALUE"""),"SIRENA CON ESTROBO CON SÍMBOLO UNIVERSAL DE EVACUACIÓN, 24V")</f>
        <v>SIRENA CON ESTROBO CON SÍMBOLO UNIVERSAL DE EVACUACIÓN, 24V</v>
      </c>
      <c r="C995" s="4" t="str">
        <f>IFERROR(__xludf.DUMMYFUNCTION("""COMPUTED_VALUE"""),"Sirena con estrobo con símbolo universal de evacuación, 24V")</f>
        <v>Sirena con estrobo con símbolo universal de evacuación, 24V</v>
      </c>
      <c r="D995" s="4" t="str">
        <f>IFERROR(__xludf.DUMMYFUNCTION("""COMPUTED_VALUE"""),"SYSTEM SENSOR")</f>
        <v>SYSTEM SENSOR</v>
      </c>
      <c r="E995" s="4" t="str">
        <f>IFERROR(__xludf.DUMMYFUNCTION("""COMPUTED_VALUE"""),"SSSYSHS")</f>
        <v>SSSYSHS</v>
      </c>
      <c r="F995" s="4" t="str">
        <f>IFERROR(__xludf.DUMMYFUNCTION("""COMPUTED_VALUE"""),"INCENDIO &gt; INDICADORES LUMINOSOS Y SONOROS")</f>
        <v>INCENDIO &gt; INDICADORES LUMINOSOS Y SONOROS</v>
      </c>
      <c r="G995" s="5"/>
      <c r="H995" s="6">
        <f>IFERROR(__xludf.DUMMYFUNCTION("""COMPUTED_VALUE"""),67.17)</f>
        <v>67.17</v>
      </c>
      <c r="I995" s="7">
        <f>IFERROR(__xludf.DUMMYFUNCTION("""COMPUTED_VALUE"""),21.0)</f>
        <v>21</v>
      </c>
      <c r="J995" s="6">
        <f>IFERROR(__xludf.DUMMYFUNCTION("""COMPUTED_VALUE"""),80.6)</f>
        <v>80.6</v>
      </c>
      <c r="K995" s="6">
        <f>IFERROR(__xludf.DUMMYFUNCTION("""COMPUTED_VALUE"""),94.04)</f>
        <v>94.04</v>
      </c>
      <c r="L995" s="3"/>
      <c r="M995" s="3"/>
    </row>
    <row r="996" ht="48.0" customHeight="1">
      <c r="A996" s="3" t="str">
        <f>IFERROR(__xludf.DUMMYFUNCTION("""COMPUTED_VALUE"""),"SSSYSST")</f>
        <v>SSSYSST</v>
      </c>
      <c r="B996" s="4" t="str">
        <f>IFERROR(__xludf.DUMMYFUNCTION("""COMPUTED_VALUE"""),"ESTROBO CON SÍMBOLO UNIVERSAL DE EVACUACIÓN, 24V")</f>
        <v>ESTROBO CON SÍMBOLO UNIVERSAL DE EVACUACIÓN, 24V</v>
      </c>
      <c r="C996" s="4" t="str">
        <f>IFERROR(__xludf.DUMMYFUNCTION("""COMPUTED_VALUE"""),"Estrobo con símbolo universal de evacuación, 24V")</f>
        <v>Estrobo con símbolo universal de evacuación, 24V</v>
      </c>
      <c r="D996" s="4" t="str">
        <f>IFERROR(__xludf.DUMMYFUNCTION("""COMPUTED_VALUE"""),"SYSTEM SENSOR")</f>
        <v>SYSTEM SENSOR</v>
      </c>
      <c r="E996" s="4" t="str">
        <f>IFERROR(__xludf.DUMMYFUNCTION("""COMPUTED_VALUE"""),"SSSYSST")</f>
        <v>SSSYSST</v>
      </c>
      <c r="F996" s="4" t="str">
        <f>IFERROR(__xludf.DUMMYFUNCTION("""COMPUTED_VALUE"""),"INCENDIO &gt; INDICADORES LUMINOSOS Y SONOROS")</f>
        <v>INCENDIO &gt; INDICADORES LUMINOSOS Y SONOROS</v>
      </c>
      <c r="G996" s="5"/>
      <c r="H996" s="6">
        <f>IFERROR(__xludf.DUMMYFUNCTION("""COMPUTED_VALUE"""),44.0)</f>
        <v>44</v>
      </c>
      <c r="I996" s="7">
        <f>IFERROR(__xludf.DUMMYFUNCTION("""COMPUTED_VALUE"""),21.0)</f>
        <v>21</v>
      </c>
      <c r="J996" s="6">
        <f>IFERROR(__xludf.DUMMYFUNCTION("""COMPUTED_VALUE"""),52.8)</f>
        <v>52.8</v>
      </c>
      <c r="K996" s="6">
        <f>IFERROR(__xludf.DUMMYFUNCTION("""COMPUTED_VALUE"""),61.6)</f>
        <v>61.6</v>
      </c>
      <c r="L996" s="3"/>
      <c r="M996" s="3"/>
    </row>
    <row r="997" ht="48.0" customHeight="1">
      <c r="A997" s="3" t="str">
        <f>IFERROR(__xludf.DUMMYFUNCTION("""COMPUTED_VALUE"""),"SSSYSCTP")</f>
        <v>SSSYSCTP</v>
      </c>
      <c r="B997" s="4" t="str">
        <f>IFERROR(__xludf.DUMMYFUNCTION("""COMPUTED_VALUE"""),"PLACA DE TERMINACIÓN, REDONDA, PARA INSTALACIÓN EN CIELO RASO")</f>
        <v>PLACA DE TERMINACIÓN, REDONDA, PARA INSTALACIÓN EN CIELO RASO</v>
      </c>
      <c r="C997" s="4" t="str">
        <f>IFERROR(__xludf.DUMMYFUNCTION("""COMPUTED_VALUE"""),"Placa de Terminación, Redonda, para Instalación en Cielo Raso para SSYSHS y SSYSST")</f>
        <v>Placa de Terminación, Redonda, para Instalación en Cielo Raso para SSYSHS y SSYSST</v>
      </c>
      <c r="D997" s="4" t="str">
        <f>IFERROR(__xludf.DUMMYFUNCTION("""COMPUTED_VALUE"""),"SYSTEM SENSOR")</f>
        <v>SYSTEM SENSOR</v>
      </c>
      <c r="E997" s="4" t="str">
        <f>IFERROR(__xludf.DUMMYFUNCTION("""COMPUTED_VALUE"""),"SSSYSCTP")</f>
        <v>SSSYSCTP</v>
      </c>
      <c r="F997" s="4" t="str">
        <f>IFERROR(__xludf.DUMMYFUNCTION("""COMPUTED_VALUE"""),"INCENDIO &gt; INDICADORES LUMINOSOS Y SONOROS")</f>
        <v>INCENDIO &gt; INDICADORES LUMINOSOS Y SONOROS</v>
      </c>
      <c r="G997" s="5"/>
      <c r="H997" s="6">
        <f>IFERROR(__xludf.DUMMYFUNCTION("""COMPUTED_VALUE"""),13.2)</f>
        <v>13.2</v>
      </c>
      <c r="I997" s="7">
        <f>IFERROR(__xludf.DUMMYFUNCTION("""COMPUTED_VALUE"""),21.0)</f>
        <v>21</v>
      </c>
      <c r="J997" s="6">
        <f>IFERROR(__xludf.DUMMYFUNCTION("""COMPUTED_VALUE"""),15.84)</f>
        <v>15.84</v>
      </c>
      <c r="K997" s="6">
        <f>IFERROR(__xludf.DUMMYFUNCTION("""COMPUTED_VALUE"""),18.48)</f>
        <v>18.48</v>
      </c>
      <c r="L997" s="3"/>
      <c r="M997" s="3"/>
    </row>
    <row r="998" ht="48.0" customHeight="1">
      <c r="A998" s="3" t="str">
        <f>IFERROR(__xludf.DUMMYFUNCTION("""COMPUTED_VALUE"""),"SSRA400ZA")</f>
        <v>SSRA400ZA</v>
      </c>
      <c r="B998" s="4" t="str">
        <f>IFERROR(__xludf.DUMMYFUNCTION("""COMPUTED_VALUE"""),"ANUNCIADOR REMOTO TESTIGO")</f>
        <v>ANUNCIADOR REMOTO TESTIGO</v>
      </c>
      <c r="C998" s="4" t="str">
        <f>IFERROR(__xludf.DUMMYFUNCTION("""COMPUTED_VALUE"""),"Anunciador remoto TESTIGO")</f>
        <v>Anunciador remoto TESTIGO</v>
      </c>
      <c r="D998" s="4" t="str">
        <f>IFERROR(__xludf.DUMMYFUNCTION("""COMPUTED_VALUE"""),"SYSTEM SENSOR")</f>
        <v>SYSTEM SENSOR</v>
      </c>
      <c r="E998" s="4" t="str">
        <f>IFERROR(__xludf.DUMMYFUNCTION("""COMPUTED_VALUE"""),"SSRA400ZA")</f>
        <v>SSRA400ZA</v>
      </c>
      <c r="F998" s="4" t="str">
        <f>IFERROR(__xludf.DUMMYFUNCTION("""COMPUTED_VALUE"""),"INCENDIO &gt; INDICADORES LUMINOSOS Y SONOROS")</f>
        <v>INCENDIO &gt; INDICADORES LUMINOSOS Y SONOROS</v>
      </c>
      <c r="G998" s="5"/>
      <c r="H998" s="6">
        <f>IFERROR(__xludf.DUMMYFUNCTION("""COMPUTED_VALUE"""),16.5)</f>
        <v>16.5</v>
      </c>
      <c r="I998" s="7">
        <f>IFERROR(__xludf.DUMMYFUNCTION("""COMPUTED_VALUE"""),21.0)</f>
        <v>21</v>
      </c>
      <c r="J998" s="6">
        <f>IFERROR(__xludf.DUMMYFUNCTION("""COMPUTED_VALUE"""),19.8)</f>
        <v>19.8</v>
      </c>
      <c r="K998" s="6">
        <f>IFERROR(__xludf.DUMMYFUNCTION("""COMPUTED_VALUE"""),23.1)</f>
        <v>23.1</v>
      </c>
      <c r="L998" s="3"/>
      <c r="M998" s="3"/>
    </row>
    <row r="999" ht="48.0" customHeight="1">
      <c r="A999" s="3" t="str">
        <f>IFERROR(__xludf.DUMMYFUNCTION("""COMPUTED_VALUE"""),"CFCLYON02BROJ")</f>
        <v>CFCLYON02BROJ</v>
      </c>
      <c r="B999" s="4" t="str">
        <f>IFERROR(__xludf.DUMMYFUNCTION("""COMPUTED_VALUE"""),"PANEL DE CONTROL DE INCENDIO COMPACT LYON DE 2")</f>
        <v>PANEL DE CONTROL DE INCENDIO COMPACT LYON DE 2</v>
      </c>
      <c r="C999" s="4" t="str">
        <f>IFERROR(__xludf.DUMMYFUNCTION("""COMPUTED_VALUE"""),"Panel de control de incendio COMPACT LYON de 2 Lazos de 99 puntos por lazo, no expandible")</f>
        <v>Panel de control de incendio COMPACT LYON de 2 Lazos de 99 puntos por lazo, no expandible</v>
      </c>
      <c r="D999" s="4" t="str">
        <f>IFERROR(__xludf.DUMMYFUNCTION("""COMPUTED_VALUE"""),"COFEM")</f>
        <v>COFEM</v>
      </c>
      <c r="E999" s="4" t="str">
        <f>IFERROR(__xludf.DUMMYFUNCTION("""COMPUTED_VALUE"""),"CFCLYON02BROJ")</f>
        <v>CFCLYON02BROJ</v>
      </c>
      <c r="F999" s="4" t="str">
        <f>IFERROR(__xludf.DUMMYFUNCTION("""COMPUTED_VALUE"""),"INCENDIO &gt; PANELES ANALOGICOS DIRECCIONABLES")</f>
        <v>INCENDIO &gt; PANELES ANALOGICOS DIRECCIONABLES</v>
      </c>
      <c r="G999" s="5"/>
      <c r="H999" s="6">
        <f>IFERROR(__xludf.DUMMYFUNCTION("""COMPUTED_VALUE"""),732.94)</f>
        <v>732.94</v>
      </c>
      <c r="I999" s="7">
        <f>IFERROR(__xludf.DUMMYFUNCTION("""COMPUTED_VALUE"""),21.0)</f>
        <v>21</v>
      </c>
      <c r="J999" s="6">
        <f>IFERROR(__xludf.DUMMYFUNCTION("""COMPUTED_VALUE"""),879.53)</f>
        <v>879.53</v>
      </c>
      <c r="K999" s="6">
        <f>IFERROR(__xludf.DUMMYFUNCTION("""COMPUTED_VALUE"""),1026.12)</f>
        <v>1026.12</v>
      </c>
      <c r="L999" s="3"/>
      <c r="M999" s="3"/>
    </row>
    <row r="1000" ht="48.0" customHeight="1">
      <c r="A1000" s="3" t="str">
        <f>IFERROR(__xludf.DUMMYFUNCTION("""COMPUTED_VALUE"""),"CFZAFIR02BROJ")</f>
        <v>CFZAFIR02BROJ</v>
      </c>
      <c r="B1000" s="4" t="str">
        <f>IFERROR(__xludf.DUMMYFUNCTION("""COMPUTED_VALUE"""),"PANEL DE CONTROL DE INCENDIO ZAFIR DE 2 LAZOS")</f>
        <v>PANEL DE CONTROL DE INCENDIO ZAFIR DE 2 LAZOS</v>
      </c>
      <c r="C1000" s="4" t="str">
        <f>IFERROR(__xludf.DUMMYFUNCTION("""COMPUTED_VALUE"""),"Panel de control de incendio ZAFIR de 2 Lazos de 199 puntos por lazo, no expandible")</f>
        <v>Panel de control de incendio ZAFIR de 2 Lazos de 199 puntos por lazo, no expandible</v>
      </c>
      <c r="D1000" s="4" t="str">
        <f>IFERROR(__xludf.DUMMYFUNCTION("""COMPUTED_VALUE"""),"COFEM")</f>
        <v>COFEM</v>
      </c>
      <c r="E1000" s="4" t="str">
        <f>IFERROR(__xludf.DUMMYFUNCTION("""COMPUTED_VALUE"""),"CFZAFIR02BROJ")</f>
        <v>CFZAFIR02BROJ</v>
      </c>
      <c r="F1000" s="4" t="str">
        <f>IFERROR(__xludf.DUMMYFUNCTION("""COMPUTED_VALUE"""),"INCENDIO &gt; PANELES ANALOGICOS DIRECCIONABLES")</f>
        <v>INCENDIO &gt; PANELES ANALOGICOS DIRECCIONABLES</v>
      </c>
      <c r="G1000" s="5"/>
      <c r="H1000" s="6">
        <f>IFERROR(__xludf.DUMMYFUNCTION("""COMPUTED_VALUE"""),1409.52)</f>
        <v>1409.52</v>
      </c>
      <c r="I1000" s="7">
        <f>IFERROR(__xludf.DUMMYFUNCTION("""COMPUTED_VALUE"""),21.0)</f>
        <v>21</v>
      </c>
      <c r="J1000" s="6">
        <f>IFERROR(__xludf.DUMMYFUNCTION("""COMPUTED_VALUE"""),1691.42)</f>
        <v>1691.42</v>
      </c>
      <c r="K1000" s="6">
        <f>IFERROR(__xludf.DUMMYFUNCTION("""COMPUTED_VALUE"""),1973.33)</f>
        <v>1973.33</v>
      </c>
      <c r="L1000" s="3"/>
      <c r="M1000" s="3"/>
    </row>
    <row r="1001" ht="48.0" customHeight="1">
      <c r="A1001" s="3" t="str">
        <f>IFERROR(__xludf.DUMMYFUNCTION("""COMPUTED_VALUE"""),"CFRUBI01BROJ")</f>
        <v>CFRUBI01BROJ</v>
      </c>
      <c r="B1001" s="4" t="str">
        <f>IFERROR(__xludf.DUMMYFUNCTION("""COMPUTED_VALUE"""),"PANEL DE CONTROL DE INCENDIO DIGITAL ALGORÍTMICA DIRECCIONABLE RUBÍ")</f>
        <v>PANEL DE CONTROL DE INCENDIO DIGITAL ALGORÍTMICA DIRECCIONABLE RUBÍ</v>
      </c>
      <c r="C1001" s="4" t="str">
        <f>IFERROR(__xludf.DUMMYFUNCTION("""COMPUTED_VALUE"""),"Panel de control de incendio digital algorítmica direccionable RUBÍ para detección y alarma de incendios, capacidad de 1 bucle, con 64 elementos y 8 relés por bucle. Certificada según EN 54-2 y EN 54-4 con marcado UL-EU")</f>
        <v>Panel de control de incendio digital algorítmica direccionable RUBÍ para detección y alarma de incendios, capacidad de 1 bucle, con 64 elementos y 8 relés por bucle. Certificada según EN 54-2 y EN 54-4 con marcado UL-EU</v>
      </c>
      <c r="D1001" s="4" t="str">
        <f>IFERROR(__xludf.DUMMYFUNCTION("""COMPUTED_VALUE"""),"COFEM")</f>
        <v>COFEM</v>
      </c>
      <c r="E1001" s="4" t="str">
        <f>IFERROR(__xludf.DUMMYFUNCTION("""COMPUTED_VALUE"""),"CFRUBI01BROJ")</f>
        <v>CFRUBI01BROJ</v>
      </c>
      <c r="F1001" s="4" t="str">
        <f>IFERROR(__xludf.DUMMYFUNCTION("""COMPUTED_VALUE"""),"INCENDIO &gt; PANELES ANALOGICOS DIRECCIONABLES")</f>
        <v>INCENDIO &gt; PANELES ANALOGICOS DIRECCIONABLES</v>
      </c>
      <c r="G1001" s="5"/>
      <c r="H1001" s="6">
        <f>IFERROR(__xludf.DUMMYFUNCTION("""COMPUTED_VALUE"""),576.18)</f>
        <v>576.18</v>
      </c>
      <c r="I1001" s="7">
        <f>IFERROR(__xludf.DUMMYFUNCTION("""COMPUTED_VALUE"""),21.0)</f>
        <v>21</v>
      </c>
      <c r="J1001" s="6">
        <f>IFERROR(__xludf.DUMMYFUNCTION("""COMPUTED_VALUE"""),691.42)</f>
        <v>691.42</v>
      </c>
      <c r="K1001" s="6">
        <f>IFERROR(__xludf.DUMMYFUNCTION("""COMPUTED_VALUE"""),806.65)</f>
        <v>806.65</v>
      </c>
      <c r="L1001" s="3"/>
      <c r="M1001" s="3"/>
    </row>
    <row r="1002" ht="48.0" customHeight="1">
      <c r="A1002" s="3" t="str">
        <f>IFERROR(__xludf.DUMMYFUNCTION("""COMPUTED_VALUE"""),"CFQUARTZ02BROJ")</f>
        <v>CFQUARTZ02BROJ</v>
      </c>
      <c r="B1002" s="4" t="str">
        <f>IFERROR(__xludf.DUMMYFUNCTION("""COMPUTED_VALUE"""),"PANEL DE CONTROL DE INCENDIO DIGITAL ALGORÍTMICA DIRECCIONABLE QUARTZ")</f>
        <v>PANEL DE CONTROL DE INCENDIO DIGITAL ALGORÍTMICA DIRECCIONABLE QUARTZ</v>
      </c>
      <c r="C1002" s="4" t="str">
        <f>IFERROR(__xludf.DUMMYFUNCTION("""COMPUTED_VALUE"""),"Panel de control de incendio digital algorítmica direccionable QUARTZ para detección y alarma de incendios, capacidad de 1 ó 2 bucles, con 99 elementos y 16 relés por bucle (198 elementos y 32 relés en total). Certificada según EN 54-2 y EN 54-4 con marca"&amp;"do UL-EU")</f>
        <v>Panel de control de incendio digital algorítmica direccionable QUARTZ para detección y alarma de incendios, capacidad de 1 ó 2 bucles, con 99 elementos y 16 relés por bucle (198 elementos y 32 relés en total). Certificada según EN 54-2 y EN 54-4 con marcado UL-EU</v>
      </c>
      <c r="D1002" s="4" t="str">
        <f>IFERROR(__xludf.DUMMYFUNCTION("""COMPUTED_VALUE"""),"COFEM")</f>
        <v>COFEM</v>
      </c>
      <c r="E1002" s="4" t="str">
        <f>IFERROR(__xludf.DUMMYFUNCTION("""COMPUTED_VALUE"""),"CFQUARTZ02BROJ")</f>
        <v>CFQUARTZ02BROJ</v>
      </c>
      <c r="F1002" s="4" t="str">
        <f>IFERROR(__xludf.DUMMYFUNCTION("""COMPUTED_VALUE"""),"INCENDIO &gt; PANELES ANALOGICOS DIRECCIONABLES")</f>
        <v>INCENDIO &gt; PANELES ANALOGICOS DIRECCIONABLES</v>
      </c>
      <c r="G1002" s="5"/>
      <c r="H1002" s="6">
        <f>IFERROR(__xludf.DUMMYFUNCTION("""COMPUTED_VALUE"""),801.48)</f>
        <v>801.48</v>
      </c>
      <c r="I1002" s="7">
        <f>IFERROR(__xludf.DUMMYFUNCTION("""COMPUTED_VALUE"""),21.0)</f>
        <v>21</v>
      </c>
      <c r="J1002" s="6">
        <f>IFERROR(__xludf.DUMMYFUNCTION("""COMPUTED_VALUE"""),961.78)</f>
        <v>961.78</v>
      </c>
      <c r="K1002" s="6">
        <f>IFERROR(__xludf.DUMMYFUNCTION("""COMPUTED_VALUE"""),1122.07)</f>
        <v>1122.07</v>
      </c>
      <c r="L1002" s="3"/>
      <c r="M1002" s="3"/>
    </row>
    <row r="1003" ht="48.0" customHeight="1">
      <c r="A1003" s="3" t="str">
        <f>IFERROR(__xludf.DUMMYFUNCTION("""COMPUTED_VALUE"""),"CFONIX02BROJ")</f>
        <v>CFONIX02BROJ</v>
      </c>
      <c r="B1003" s="4" t="str">
        <f>IFERROR(__xludf.DUMMYFUNCTION("""COMPUTED_VALUE"""),"PANEL DE CONTROL DE INCENDIO DIGITALL ALGORÍTMICA DIRECCIONABLE ONIX")</f>
        <v>PANEL DE CONTROL DE INCENDIO DIGITALL ALGORÍTMICA DIRECCIONABLE ONIX</v>
      </c>
      <c r="C1003" s="4" t="str">
        <f>IFERROR(__xludf.DUMMYFUNCTION("""COMPUTED_VALUE"""),"Panel de control de incendio digitall algorítmica direccionable ONIX para detección y alarma de incendios, capacidad de 2 bucles, con 226 elementos y 64 relés por bucle (452 elementos y 128 relés en total certificada según EN 54-2 y EN 54-4 con marcado UL"&amp;"-EU")</f>
        <v>Panel de control de incendio digitall algorítmica direccionable ONIX para detección y alarma de incendios, capacidad de 2 bucles, con 226 elementos y 64 relés por bucle (452 elementos y 128 relés en total certificada según EN 54-2 y EN 54-4 con marcado UL-EU</v>
      </c>
      <c r="D1003" s="4" t="str">
        <f>IFERROR(__xludf.DUMMYFUNCTION("""COMPUTED_VALUE"""),"COFEM")</f>
        <v>COFEM</v>
      </c>
      <c r="E1003" s="4" t="str">
        <f>IFERROR(__xludf.DUMMYFUNCTION("""COMPUTED_VALUE"""),"CFONIX02BROJ")</f>
        <v>CFONIX02BROJ</v>
      </c>
      <c r="F1003" s="4" t="str">
        <f>IFERROR(__xludf.DUMMYFUNCTION("""COMPUTED_VALUE"""),"INCENDIO &gt; PANELES ANALOGICOS DIRECCIONABLES")</f>
        <v>INCENDIO &gt; PANELES ANALOGICOS DIRECCIONABLES</v>
      </c>
      <c r="G1003" s="5"/>
      <c r="H1003" s="6">
        <f>IFERROR(__xludf.DUMMYFUNCTION("""COMPUTED_VALUE"""),1007.42)</f>
        <v>1007.42</v>
      </c>
      <c r="I1003" s="7">
        <f>IFERROR(__xludf.DUMMYFUNCTION("""COMPUTED_VALUE"""),21.0)</f>
        <v>21</v>
      </c>
      <c r="J1003" s="6">
        <f>IFERROR(__xludf.DUMMYFUNCTION("""COMPUTED_VALUE"""),1208.9)</f>
        <v>1208.9</v>
      </c>
      <c r="K1003" s="6">
        <f>IFERROR(__xludf.DUMMYFUNCTION("""COMPUTED_VALUE"""),1410.39)</f>
        <v>1410.39</v>
      </c>
      <c r="L1003" s="3"/>
      <c r="M1003" s="3"/>
    </row>
    <row r="1004" ht="48.0" customHeight="1">
      <c r="A1004" s="3" t="str">
        <f>IFERROR(__xludf.DUMMYFUNCTION("""COMPUTED_VALUE"""),"CFLYONRM04AR")</f>
        <v>CFLYONRM04AR</v>
      </c>
      <c r="B1004" s="4" t="str">
        <f>IFERROR(__xludf.DUMMYFUNCTION("""COMPUTED_VALUE"""),"PANEL DE CONTROL DE INCENDIO DIGITAL LYON REMOTE DE")</f>
        <v>PANEL DE CONTROL DE INCENDIO DIGITAL LYON REMOTE DE</v>
      </c>
      <c r="C1004" s="4" t="str">
        <f>IFERROR(__xludf.DUMMYFUNCTION("""COMPUTED_VALUE"""),"Panel de control de incendio digital LYON Remote de 4 Lazos de 199 puntos por lazo, expandible a 20 lazos. Certificado por AENOR según la Norma EN 54 parte 2 y EN 54 parte 4, y con marcado CE según el Reglamento Europeo de Productos de la Construcción (UE"&amp;") N° 2024/3110.")</f>
        <v>Panel de control de incendio digital LYON Remote de 4 Lazos de 199 puntos por lazo, expandible a 20 lazos. Certificado por AENOR según la Norma EN 54 parte 2 y EN 54 parte 4, y con marcado CE según el Reglamento Europeo de Productos de la Construcción (UE) N° 2024/3110.</v>
      </c>
      <c r="D1004" s="4" t="str">
        <f>IFERROR(__xludf.DUMMYFUNCTION("""COMPUTED_VALUE"""),"COFEM")</f>
        <v>COFEM</v>
      </c>
      <c r="E1004" s="4" t="str">
        <f>IFERROR(__xludf.DUMMYFUNCTION("""COMPUTED_VALUE"""),"CFLYONRM04AR")</f>
        <v>CFLYONRM04AR</v>
      </c>
      <c r="F1004" s="4" t="str">
        <f>IFERROR(__xludf.DUMMYFUNCTION("""COMPUTED_VALUE"""),"INCENDIO &gt; PANELES ANALOGICOS DIRECCIONABLES")</f>
        <v>INCENDIO &gt; PANELES ANALOGICOS DIRECCIONABLES</v>
      </c>
      <c r="G1004" s="5"/>
      <c r="H1004" s="6">
        <f>IFERROR(__xludf.DUMMYFUNCTION("""COMPUTED_VALUE"""),2108.65)</f>
        <v>2108.65</v>
      </c>
      <c r="I1004" s="7">
        <f>IFERROR(__xludf.DUMMYFUNCTION("""COMPUTED_VALUE"""),21.0)</f>
        <v>21</v>
      </c>
      <c r="J1004" s="6">
        <f>IFERROR(__xludf.DUMMYFUNCTION("""COMPUTED_VALUE"""),2530.38)</f>
        <v>2530.38</v>
      </c>
      <c r="K1004" s="6">
        <f>IFERROR(__xludf.DUMMYFUNCTION("""COMPUTED_VALUE"""),2952.11)</f>
        <v>2952.11</v>
      </c>
      <c r="L1004" s="3"/>
      <c r="M1004" s="3"/>
    </row>
    <row r="1005" ht="48.0" customHeight="1">
      <c r="A1005" s="3" t="str">
        <f>IFERROR(__xludf.DUMMYFUNCTION("""COMPUTED_VALUE"""),"CFLYONRM05AR")</f>
        <v>CFLYONRM05AR</v>
      </c>
      <c r="B1005" s="4" t="str">
        <f>IFERROR(__xludf.DUMMYFUNCTION("""COMPUTED_VALUE"""),"PANEL DE CONTROL DE INCENDIO DIGITAL LYON REMOTE 5")</f>
        <v>PANEL DE CONTROL DE INCENDIO DIGITAL LYON REMOTE 5</v>
      </c>
      <c r="C1005" s="4" t="str">
        <f>IFERROR(__xludf.DUMMYFUNCTION("""COMPUTED_VALUE"""),"Panel de control de incendio digital LYON Remote 5 Lazos de 199 puntos por lazo, expandible a 20 lazos. Certificado por AENOR según la Norma EN 54 parte 2 y EN 54 parte 4, y con marcado CE según el Reglamento Europeo de Productos de la Construcción (UE) N"&amp;"° 2024/3110.")</f>
        <v>Panel de control de incendio digital LYON Remote 5 Lazos de 199 puntos por lazo, expandible a 20 lazos. Certificado por AENOR según la Norma EN 54 parte 2 y EN 54 parte 4, y con marcado CE según el Reglamento Europeo de Productos de la Construcción (UE) N° 2024/3110.</v>
      </c>
      <c r="D1005" s="4" t="str">
        <f>IFERROR(__xludf.DUMMYFUNCTION("""COMPUTED_VALUE"""),"COFEM")</f>
        <v>COFEM</v>
      </c>
      <c r="E1005" s="4" t="str">
        <f>IFERROR(__xludf.DUMMYFUNCTION("""COMPUTED_VALUE"""),"CFLYONRM05AR")</f>
        <v>CFLYONRM05AR</v>
      </c>
      <c r="F1005" s="4" t="str">
        <f>IFERROR(__xludf.DUMMYFUNCTION("""COMPUTED_VALUE"""),"INCENDIO &gt; PANELES ANALOGICOS DIRECCIONABLES")</f>
        <v>INCENDIO &gt; PANELES ANALOGICOS DIRECCIONABLES</v>
      </c>
      <c r="G1005" s="5"/>
      <c r="H1005" s="6">
        <f>IFERROR(__xludf.DUMMYFUNCTION("""COMPUTED_VALUE"""),2533.89)</f>
        <v>2533.89</v>
      </c>
      <c r="I1005" s="7">
        <f>IFERROR(__xludf.DUMMYFUNCTION("""COMPUTED_VALUE"""),21.0)</f>
        <v>21</v>
      </c>
      <c r="J1005" s="6">
        <f>IFERROR(__xludf.DUMMYFUNCTION("""COMPUTED_VALUE"""),3040.67)</f>
        <v>3040.67</v>
      </c>
      <c r="K1005" s="6">
        <f>IFERROR(__xludf.DUMMYFUNCTION("""COMPUTED_VALUE"""),3547.45)</f>
        <v>3547.45</v>
      </c>
      <c r="L1005" s="3"/>
      <c r="M1005" s="3"/>
    </row>
    <row r="1006" ht="48.0" customHeight="1">
      <c r="A1006" s="3" t="str">
        <f>IFERROR(__xludf.DUMMYFUNCTION("""COMPUTED_VALUE"""),"CFLYONRM08")</f>
        <v>CFLYONRM08</v>
      </c>
      <c r="B1006" s="4" t="str">
        <f>IFERROR(__xludf.DUMMYFUNCTION("""COMPUTED_VALUE"""),"PANEL DE CONTROL DE INCENDIO DIGITAL LYON REMOTE 8")</f>
        <v>PANEL DE CONTROL DE INCENDIO DIGITAL LYON REMOTE 8</v>
      </c>
      <c r="C1006" s="4" t="str">
        <f>IFERROR(__xludf.DUMMYFUNCTION("""COMPUTED_VALUE"""),"Panel de control de incendio digital LYON Remote 8 Lazos de 199 puntos por lazo, expandible a 20 lazos. Certificado por AENOR según la Norma EN 54 parte 2 y EN 54 parte 4, y con marcado CE según el Reglamento Europeo de Productos de la Construcción (UE) N"&amp;"° 2024/3110.")</f>
        <v>Panel de control de incendio digital LYON Remote 8 Lazos de 199 puntos por lazo, expandible a 20 lazos. Certificado por AENOR según la Norma EN 54 parte 2 y EN 54 parte 4, y con marcado CE según el Reglamento Europeo de Productos de la Construcción (UE) N° 2024/3110.</v>
      </c>
      <c r="D1006" s="4" t="str">
        <f>IFERROR(__xludf.DUMMYFUNCTION("""COMPUTED_VALUE"""),"COFEM")</f>
        <v>COFEM</v>
      </c>
      <c r="E1006" s="4" t="str">
        <f>IFERROR(__xludf.DUMMYFUNCTION("""COMPUTED_VALUE"""),"CFLYONRM08")</f>
        <v>CFLYONRM08</v>
      </c>
      <c r="F1006" s="4" t="str">
        <f>IFERROR(__xludf.DUMMYFUNCTION("""COMPUTED_VALUE"""),"INCENDIO &gt; PANELES ANALOGICOS DIRECCIONABLES")</f>
        <v>INCENDIO &gt; PANELES ANALOGICOS DIRECCIONABLES</v>
      </c>
      <c r="G1006" s="5"/>
      <c r="H1006" s="6">
        <f>IFERROR(__xludf.DUMMYFUNCTION("""COMPUTED_VALUE"""),2864.4)</f>
        <v>2864.4</v>
      </c>
      <c r="I1006" s="7">
        <f>IFERROR(__xludf.DUMMYFUNCTION("""COMPUTED_VALUE"""),21.0)</f>
        <v>21</v>
      </c>
      <c r="J1006" s="6">
        <f>IFERROR(__xludf.DUMMYFUNCTION("""COMPUTED_VALUE"""),3437.28)</f>
        <v>3437.28</v>
      </c>
      <c r="K1006" s="6">
        <f>IFERROR(__xludf.DUMMYFUNCTION("""COMPUTED_VALUE"""),4010.16)</f>
        <v>4010.16</v>
      </c>
      <c r="L1006" s="3"/>
      <c r="M1006" s="3"/>
    </row>
    <row r="1007" ht="48.0" customHeight="1">
      <c r="A1007" s="3" t="str">
        <f>IFERROR(__xludf.DUMMYFUNCTION("""COMPUTED_VALUE"""),"CFZYRROJJ")</f>
        <v>CFZYRROJJ</v>
      </c>
      <c r="B1007" s="4" t="str">
        <f>IFERROR(__xludf.DUMMYFUNCTION("""COMPUTED_VALUE"""),"REPETIDOR PARA CONEXIÓN A PANELES LYON/CLYON/ZAFIR")</f>
        <v>REPETIDOR PARA CONEXIÓN A PANELES LYON/CLYON/ZAFIR</v>
      </c>
      <c r="C1007" s="4" t="str">
        <f>IFERROR(__xludf.DUMMYFUNCTION("""COMPUTED_VALUE"""),"Repetidor para conexión a paneles LYON/CLYON/ZAFIR")</f>
        <v>Repetidor para conexión a paneles LYON/CLYON/ZAFIR</v>
      </c>
      <c r="D1007" s="4" t="str">
        <f>IFERROR(__xludf.DUMMYFUNCTION("""COMPUTED_VALUE"""),"COFEM")</f>
        <v>COFEM</v>
      </c>
      <c r="E1007" s="4" t="str">
        <f>IFERROR(__xludf.DUMMYFUNCTION("""COMPUTED_VALUE"""),"CFZYRROJJ")</f>
        <v>CFZYRROJJ</v>
      </c>
      <c r="F1007" s="4" t="str">
        <f>IFERROR(__xludf.DUMMYFUNCTION("""COMPUTED_VALUE"""),"INCENDIO &gt; PANELES ANALOGICOS DIRECCIONABLES")</f>
        <v>INCENDIO &gt; PANELES ANALOGICOS DIRECCIONABLES</v>
      </c>
      <c r="G1007" s="5"/>
      <c r="H1007" s="6">
        <f>IFERROR(__xludf.DUMMYFUNCTION("""COMPUTED_VALUE"""),656.76)</f>
        <v>656.76</v>
      </c>
      <c r="I1007" s="7">
        <f>IFERROR(__xludf.DUMMYFUNCTION("""COMPUTED_VALUE"""),21.0)</f>
        <v>21</v>
      </c>
      <c r="J1007" s="6">
        <f>IFERROR(__xludf.DUMMYFUNCTION("""COMPUTED_VALUE"""),788.11)</f>
        <v>788.11</v>
      </c>
      <c r="K1007" s="6">
        <f>IFERROR(__xludf.DUMMYFUNCTION("""COMPUTED_VALUE"""),919.46)</f>
        <v>919.46</v>
      </c>
      <c r="L1007" s="3"/>
      <c r="M1007" s="3"/>
    </row>
    <row r="1008" ht="48.0" customHeight="1">
      <c r="A1008" s="3" t="str">
        <f>IFERROR(__xludf.DUMMYFUNCTION("""COMPUTED_VALUE"""),"CFPWS05Y")</f>
        <v>CFPWS05Y</v>
      </c>
      <c r="B1008" s="4" t="str">
        <f>IFERROR(__xludf.DUMMYFUNCTION("""COMPUTED_VALUE"""),"FUENTE DE ALIMENTACIÓN ACABADO LYONRM (BLANCO) 5 AH / 24 V")</f>
        <v>FUENTE DE ALIMENTACIÓN ACABADO LYONRM (BLANCO) 5 AH / 24 V</v>
      </c>
      <c r="C1008" s="4" t="str">
        <f>IFERROR(__xludf.DUMMYFUNCTION("""COMPUTED_VALUE"""),"Fuente de alimentación acabado LYONRM (blanco) 5 Ah / 24 V")</f>
        <v>Fuente de alimentación acabado LYONRM (blanco) 5 Ah / 24 V</v>
      </c>
      <c r="D1008" s="4" t="str">
        <f>IFERROR(__xludf.DUMMYFUNCTION("""COMPUTED_VALUE"""),"COFEM")</f>
        <v>COFEM</v>
      </c>
      <c r="E1008" s="4" t="str">
        <f>IFERROR(__xludf.DUMMYFUNCTION("""COMPUTED_VALUE"""),"CFPWS05Y")</f>
        <v>CFPWS05Y</v>
      </c>
      <c r="F1008" s="4" t="str">
        <f>IFERROR(__xludf.DUMMYFUNCTION("""COMPUTED_VALUE"""),"INCENDIO &gt; PANELES ANALOGICOS DIRECCIONABLES")</f>
        <v>INCENDIO &gt; PANELES ANALOGICOS DIRECCIONABLES</v>
      </c>
      <c r="G1008" s="5"/>
      <c r="H1008" s="6">
        <f>IFERROR(__xludf.DUMMYFUNCTION("""COMPUTED_VALUE"""),286.25)</f>
        <v>286.25</v>
      </c>
      <c r="I1008" s="7">
        <f>IFERROR(__xludf.DUMMYFUNCTION("""COMPUTED_VALUE"""),21.0)</f>
        <v>21</v>
      </c>
      <c r="J1008" s="6">
        <f>IFERROR(__xludf.DUMMYFUNCTION("""COMPUTED_VALUE"""),343.5)</f>
        <v>343.5</v>
      </c>
      <c r="K1008" s="6">
        <f>IFERROR(__xludf.DUMMYFUNCTION("""COMPUTED_VALUE"""),400.75)</f>
        <v>400.75</v>
      </c>
      <c r="L1008" s="3"/>
      <c r="M1008" s="3"/>
    </row>
    <row r="1009" ht="48.0" customHeight="1">
      <c r="A1009" s="3" t="str">
        <f>IFERROR(__xludf.DUMMYFUNCTION("""COMPUTED_VALUE"""),"CFILINKLRM")</f>
        <v>CFILINKLRM</v>
      </c>
      <c r="B1009" s="4" t="str">
        <f>IFERROR(__xludf.DUMMYFUNCTION("""COMPUTED_VALUE"""),"SOFTWARE DE PROGRAMACIÓN ONLINE ESPECÍFICO PARA CENTRAL LYON REMOTE")</f>
        <v>SOFTWARE DE PROGRAMACIÓN ONLINE ESPECÍFICO PARA CENTRAL LYON REMOTE</v>
      </c>
      <c r="C1009" s="4" t="str">
        <f>IFERROR(__xludf.DUMMYFUNCTION("""COMPUTED_VALUE"""),"Software de programación ONLINE específico para central Lyon Remote")</f>
        <v>Software de programación ONLINE específico para central Lyon Remote</v>
      </c>
      <c r="D1009" s="4" t="str">
        <f>IFERROR(__xludf.DUMMYFUNCTION("""COMPUTED_VALUE"""),"COFEM")</f>
        <v>COFEM</v>
      </c>
      <c r="E1009" s="4" t="str">
        <f>IFERROR(__xludf.DUMMYFUNCTION("""COMPUTED_VALUE"""),"CFILINKLRM")</f>
        <v>CFILINKLRM</v>
      </c>
      <c r="F1009" s="4" t="str">
        <f>IFERROR(__xludf.DUMMYFUNCTION("""COMPUTED_VALUE"""),"INCENDIO &gt; PANELES ANALOGICOS DIRECCIONABLES")</f>
        <v>INCENDIO &gt; PANELES ANALOGICOS DIRECCIONABLES</v>
      </c>
      <c r="G1009" s="5"/>
      <c r="H1009" s="6">
        <f>IFERROR(__xludf.DUMMYFUNCTION("""COMPUTED_VALUE"""),2816.88)</f>
        <v>2816.88</v>
      </c>
      <c r="I1009" s="7">
        <f>IFERROR(__xludf.DUMMYFUNCTION("""COMPUTED_VALUE"""),21.0)</f>
        <v>21</v>
      </c>
      <c r="J1009" s="6">
        <f>IFERROR(__xludf.DUMMYFUNCTION("""COMPUTED_VALUE"""),3380.26)</f>
        <v>3380.26</v>
      </c>
      <c r="K1009" s="6">
        <f>IFERROR(__xludf.DUMMYFUNCTION("""COMPUTED_VALUE"""),3943.63)</f>
        <v>3943.63</v>
      </c>
      <c r="L1009" s="3"/>
      <c r="M1009" s="3"/>
    </row>
    <row r="1010" ht="48.0" customHeight="1">
      <c r="A1010" s="3" t="str">
        <f>IFERROR(__xludf.DUMMYFUNCTION("""COMPUTED_VALUE"""),"CFMDA2Y")</f>
        <v>CFMDA2Y</v>
      </c>
      <c r="B1010" s="4" t="str">
        <f>IFERROR(__xludf.DUMMYFUNCTION("""COMPUTED_VALUE"""),"MÓDULO DE 2 SALIDAS SUPERVISADAS 24V")</f>
        <v>MÓDULO DE 2 SALIDAS SUPERVISADAS 24V</v>
      </c>
      <c r="C1010" s="4" t="str">
        <f>IFERROR(__xludf.DUMMYFUNCTION("""COMPUTED_VALUE"""),"Módulo de 2 salidas supervisadas 24V. Ideal para conexión de sirenas, etrobos o manejo de dispositivos externos. Requiere alimentación 24V.")</f>
        <v>Módulo de 2 salidas supervisadas 24V. Ideal para conexión de sirenas, etrobos o manejo de dispositivos externos. Requiere alimentación 24V.</v>
      </c>
      <c r="D1010" s="4" t="str">
        <f>IFERROR(__xludf.DUMMYFUNCTION("""COMPUTED_VALUE"""),"COFEM")</f>
        <v>COFEM</v>
      </c>
      <c r="E1010" s="4" t="str">
        <f>IFERROR(__xludf.DUMMYFUNCTION("""COMPUTED_VALUE"""),"CFMDA2Y")</f>
        <v>CFMDA2Y</v>
      </c>
      <c r="F1010" s="4" t="str">
        <f>IFERROR(__xludf.DUMMYFUNCTION("""COMPUTED_VALUE"""),"INCENDIO &gt; MÓDULOS INTELIGENTES ANALÓGICOS DIRECCIONABLES")</f>
        <v>INCENDIO &gt; MÓDULOS INTELIGENTES ANALÓGICOS DIRECCIONABLES</v>
      </c>
      <c r="G1010" s="5"/>
      <c r="H1010" s="6">
        <f>IFERROR(__xludf.DUMMYFUNCTION("""COMPUTED_VALUE"""),79.18)</f>
        <v>79.18</v>
      </c>
      <c r="I1010" s="7">
        <f>IFERROR(__xludf.DUMMYFUNCTION("""COMPUTED_VALUE"""),10.5)</f>
        <v>10.5</v>
      </c>
      <c r="J1010" s="6">
        <f>IFERROR(__xludf.DUMMYFUNCTION("""COMPUTED_VALUE"""),95.02)</f>
        <v>95.02</v>
      </c>
      <c r="K1010" s="6">
        <f>IFERROR(__xludf.DUMMYFUNCTION("""COMPUTED_VALUE"""),110.85)</f>
        <v>110.85</v>
      </c>
      <c r="L1010" s="3"/>
      <c r="M1010" s="3"/>
    </row>
    <row r="1011" ht="48.0" customHeight="1">
      <c r="A1011" s="3" t="str">
        <f>IFERROR(__xludf.DUMMYFUNCTION("""COMPUTED_VALUE"""),"CFMDA1Y")</f>
        <v>CFMDA1Y</v>
      </c>
      <c r="B1011" s="4" t="str">
        <f>IFERROR(__xludf.DUMMYFUNCTION("""COMPUTED_VALUE"""),"MÓDULO DE SALIDA DE SIRENA SUPERVISADO 24V MÁS SALIDA RELÉ NA/NC")</f>
        <v>MÓDULO DE SALIDA DE SIRENA SUPERVISADO 24V MÁS SALIDA RELÉ NA/NC</v>
      </c>
      <c r="C1011" s="4" t="str">
        <f>IFERROR(__xludf.DUMMYFUNCTION("""COMPUTED_VALUE"""),"Módulo de salida de sirena supervisado 24V más salida relé NA/NC. Ideal para conexión de sirenas, estrobos o manejo de dispositivos externos. Requiere alimentación 24V.")</f>
        <v>Módulo de salida de sirena supervisado 24V más salida relé NA/NC. Ideal para conexión de sirenas, estrobos o manejo de dispositivos externos. Requiere alimentación 24V.</v>
      </c>
      <c r="D1011" s="4" t="str">
        <f>IFERROR(__xludf.DUMMYFUNCTION("""COMPUTED_VALUE"""),"COFEM")</f>
        <v>COFEM</v>
      </c>
      <c r="E1011" s="4" t="str">
        <f>IFERROR(__xludf.DUMMYFUNCTION("""COMPUTED_VALUE"""),"CFMDA1Y")</f>
        <v>CFMDA1Y</v>
      </c>
      <c r="F1011" s="4" t="str">
        <f>IFERROR(__xludf.DUMMYFUNCTION("""COMPUTED_VALUE"""),"INCENDIO &gt; MÓDULOS INTELIGENTES ANALÓGICOS DIRECCIONABLES")</f>
        <v>INCENDIO &gt; MÓDULOS INTELIGENTES ANALÓGICOS DIRECCIONABLES</v>
      </c>
      <c r="G1011" s="5"/>
      <c r="H1011" s="6">
        <f>IFERROR(__xludf.DUMMYFUNCTION("""COMPUTED_VALUE"""),70.39)</f>
        <v>70.39</v>
      </c>
      <c r="I1011" s="7">
        <f>IFERROR(__xludf.DUMMYFUNCTION("""COMPUTED_VALUE"""),10.5)</f>
        <v>10.5</v>
      </c>
      <c r="J1011" s="6">
        <f>IFERROR(__xludf.DUMMYFUNCTION("""COMPUTED_VALUE"""),84.47)</f>
        <v>84.47</v>
      </c>
      <c r="K1011" s="6">
        <f>IFERROR(__xludf.DUMMYFUNCTION("""COMPUTED_VALUE"""),98.55)</f>
        <v>98.55</v>
      </c>
      <c r="L1011" s="3"/>
      <c r="M1011" s="3"/>
    </row>
    <row r="1012" ht="48.0" customHeight="1">
      <c r="A1012" s="3" t="str">
        <f>IFERROR(__xludf.DUMMYFUNCTION("""COMPUTED_VALUE"""),"CFPUCAY")</f>
        <v>CFPUCAY</v>
      </c>
      <c r="B1012" s="4" t="str">
        <f>IFERROR(__xludf.DUMMYFUNCTION("""COMPUTED_VALUE"""),"PULSADOR MANUAL DE DOBLE ACCIÓN REARMABLE CON PUERTA TRANSPARENTE")</f>
        <v>PULSADOR MANUAL DE DOBLE ACCIÓN REARMABLE CON PUERTA TRANSPARENTE</v>
      </c>
      <c r="C1012" s="4" t="str">
        <f>IFERROR(__xludf.DUMMYFUNCTION("""COMPUTED_VALUE"""),"Pulsador manual de doble acción rearmable con puerta transparente direccionable")</f>
        <v>Pulsador manual de doble acción rearmable con puerta transparente direccionable</v>
      </c>
      <c r="D1012" s="4" t="str">
        <f>IFERROR(__xludf.DUMMYFUNCTION("""COMPUTED_VALUE"""),"COFEM")</f>
        <v>COFEM</v>
      </c>
      <c r="E1012" s="4" t="str">
        <f>IFERROR(__xludf.DUMMYFUNCTION("""COMPUTED_VALUE"""),"CFPUCAY")</f>
        <v>CFPUCAY</v>
      </c>
      <c r="F1012" s="4" t="str">
        <f>IFERROR(__xludf.DUMMYFUNCTION("""COMPUTED_VALUE"""),"INCENDIO &gt; MÓDULOS INTELIGENTES ANALÓGICOS DIRECCIONABLES")</f>
        <v>INCENDIO &gt; MÓDULOS INTELIGENTES ANALÓGICOS DIRECCIONABLES</v>
      </c>
      <c r="G1012" s="5"/>
      <c r="H1012" s="6">
        <f>IFERROR(__xludf.DUMMYFUNCTION("""COMPUTED_VALUE"""),36.11)</f>
        <v>36.11</v>
      </c>
      <c r="I1012" s="7">
        <f>IFERROR(__xludf.DUMMYFUNCTION("""COMPUTED_VALUE"""),10.5)</f>
        <v>10.5</v>
      </c>
      <c r="J1012" s="6">
        <f>IFERROR(__xludf.DUMMYFUNCTION("""COMPUTED_VALUE"""),43.33)</f>
        <v>43.33</v>
      </c>
      <c r="K1012" s="6">
        <f>IFERROR(__xludf.DUMMYFUNCTION("""COMPUTED_VALUE"""),50.55)</f>
        <v>50.55</v>
      </c>
      <c r="L1012" s="3"/>
      <c r="M1012" s="3"/>
    </row>
    <row r="1013" ht="48.0" customHeight="1">
      <c r="A1013" s="3" t="str">
        <f>IFERROR(__xludf.DUMMYFUNCTION("""COMPUTED_VALUE"""),"CFMSTAY")</f>
        <v>CFMSTAY</v>
      </c>
      <c r="B1013" s="4" t="str">
        <f>IFERROR(__xludf.DUMMYFUNCTION("""COMPUTED_VALUE"""),"MÓDULO DE ENTRADA DE SEÑALES TÉCNICAS SUPERVISADAS (1 ALARMA")</f>
        <v>MÓDULO DE ENTRADA DE SEÑALES TÉCNICAS SUPERVISADAS (1 ALARMA</v>
      </c>
      <c r="C1013" s="4" t="str">
        <f>IFERROR(__xludf.DUMMYFUNCTION("""COMPUTED_VALUE"""),"Módulo de entrada de señales técnicas supervisadas (1 alarma y 1 avería) Ideal para conexión de detectores de GAS, CO2, avisadores manuales y barreras de incendio que posean salida de relé contacto seco.")</f>
        <v>Módulo de entrada de señales técnicas supervisadas (1 alarma y 1 avería) Ideal para conexión de detectores de GAS, CO2, avisadores manuales y barreras de incendio que posean salida de relé contacto seco.</v>
      </c>
      <c r="D1013" s="4" t="str">
        <f>IFERROR(__xludf.DUMMYFUNCTION("""COMPUTED_VALUE"""),"COFEM")</f>
        <v>COFEM</v>
      </c>
      <c r="E1013" s="4" t="str">
        <f>IFERROR(__xludf.DUMMYFUNCTION("""COMPUTED_VALUE"""),"CFMSTAY")</f>
        <v>CFMSTAY</v>
      </c>
      <c r="F1013" s="4" t="str">
        <f>IFERROR(__xludf.DUMMYFUNCTION("""COMPUTED_VALUE"""),"INCENDIO &gt; MÓDULOS INTELIGENTES ANALÓGICOS DIRECCIONABLES")</f>
        <v>INCENDIO &gt; MÓDULOS INTELIGENTES ANALÓGICOS DIRECCIONABLES</v>
      </c>
      <c r="G1013" s="5"/>
      <c r="H1013" s="6">
        <f>IFERROR(__xludf.DUMMYFUNCTION("""COMPUTED_VALUE"""),63.44)</f>
        <v>63.44</v>
      </c>
      <c r="I1013" s="7">
        <f>IFERROR(__xludf.DUMMYFUNCTION("""COMPUTED_VALUE"""),21.0)</f>
        <v>21</v>
      </c>
      <c r="J1013" s="6">
        <f>IFERROR(__xludf.DUMMYFUNCTION("""COMPUTED_VALUE"""),76.13)</f>
        <v>76.13</v>
      </c>
      <c r="K1013" s="6">
        <f>IFERROR(__xludf.DUMMYFUNCTION("""COMPUTED_VALUE"""),88.82)</f>
        <v>88.82</v>
      </c>
      <c r="L1013" s="3"/>
      <c r="M1013" s="3"/>
    </row>
    <row r="1014" ht="48.0" customHeight="1">
      <c r="A1014" s="3" t="str">
        <f>IFERROR(__xludf.DUMMYFUNCTION("""COMPUTED_VALUE"""),"CFKMAY")</f>
        <v>CFKMAY</v>
      </c>
      <c r="B1014" s="4" t="str">
        <f>IFERROR(__xludf.DUMMYFUNCTION("""COMPUTED_VALUE"""),"MÓDULO MASTER PARA CONECTAR DETECTORES / PULSADORES CONVENCIONALES (AL")</f>
        <v>MÓDULO MASTER PARA CONECTAR DETECTORES / PULSADORES CONVENCIONALES (AL</v>
      </c>
      <c r="C1014" s="4" t="str">
        <f>IFERROR(__xludf.DUMMYFUNCTION("""COMPUTED_VALUE"""),"Módulo master para conectar detectores / pulsadores convencionales (alimentado en zona). Ideal para conexión de detectores convencionales de 2 hilos y de avisadores manuales de COFEM")</f>
        <v>Módulo master para conectar detectores / pulsadores convencionales (alimentado en zona). Ideal para conexión de detectores convencionales de 2 hilos y de avisadores manuales de COFEM</v>
      </c>
      <c r="D1014" s="4" t="str">
        <f>IFERROR(__xludf.DUMMYFUNCTION("""COMPUTED_VALUE"""),"COFEM")</f>
        <v>COFEM</v>
      </c>
      <c r="E1014" s="4" t="str">
        <f>IFERROR(__xludf.DUMMYFUNCTION("""COMPUTED_VALUE"""),"CFKMAY")</f>
        <v>CFKMAY</v>
      </c>
      <c r="F1014" s="4" t="str">
        <f>IFERROR(__xludf.DUMMYFUNCTION("""COMPUTED_VALUE"""),"INCENDIO &gt; MÓDULOS INTELIGENTES ANALÓGICOS DIRECCIONABLES")</f>
        <v>INCENDIO &gt; MÓDULOS INTELIGENTES ANALÓGICOS DIRECCIONABLES</v>
      </c>
      <c r="G1014" s="5"/>
      <c r="H1014" s="6">
        <f>IFERROR(__xludf.DUMMYFUNCTION("""COMPUTED_VALUE"""),73.98)</f>
        <v>73.98</v>
      </c>
      <c r="I1014" s="7">
        <f>IFERROR(__xludf.DUMMYFUNCTION("""COMPUTED_VALUE"""),21.0)</f>
        <v>21</v>
      </c>
      <c r="J1014" s="6">
        <f>IFERROR(__xludf.DUMMYFUNCTION("""COMPUTED_VALUE"""),88.78)</f>
        <v>88.78</v>
      </c>
      <c r="K1014" s="6">
        <f>IFERROR(__xludf.DUMMYFUNCTION("""COMPUTED_VALUE"""),103.57)</f>
        <v>103.57</v>
      </c>
      <c r="L1014" s="3"/>
      <c r="M1014" s="3"/>
    </row>
    <row r="1015" ht="48.0" customHeight="1">
      <c r="A1015" s="3" t="str">
        <f>IFERROR(__xludf.DUMMYFUNCTION("""COMPUTED_VALUE"""),"CFA50S")</f>
        <v>CFA50S</v>
      </c>
      <c r="B1015" s="4" t="str">
        <f>IFERROR(__xludf.DUMMYFUNCTION("""COMPUTED_VALUE"""),"DETECTOR FOTOELÉCTRICO DIRECCIONABLE")</f>
        <v>DETECTOR FOTOELÉCTRICO DIRECCIONABLE</v>
      </c>
      <c r="C1015" s="4" t="str">
        <f>IFERROR(__xludf.DUMMYFUNCTION("""COMPUTED_VALUE"""),"Detector fotoeléctrico direccionable. El sensor óptico está especialmente diseñado para detectar la presencia de aerosoles de la combustión en un diseño tridimensional que le hace más robusto ante la suciedad. Certificación UL EU")</f>
        <v>Detector fotoeléctrico direccionable. El sensor óptico está especialmente diseñado para detectar la presencia de aerosoles de la combustión en un diseño tridimensional que le hace más robusto ante la suciedad. Certificación UL EU</v>
      </c>
      <c r="D1015" s="4" t="str">
        <f>IFERROR(__xludf.DUMMYFUNCTION("""COMPUTED_VALUE"""),"COFEM")</f>
        <v>COFEM</v>
      </c>
      <c r="E1015" s="4" t="str">
        <f>IFERROR(__xludf.DUMMYFUNCTION("""COMPUTED_VALUE"""),"CFA50S")</f>
        <v>CFA50S</v>
      </c>
      <c r="F1015" s="4" t="str">
        <f>IFERROR(__xludf.DUMMYFUNCTION("""COMPUTED_VALUE"""),"INCENDIO &gt; MÓDULOS INTELIGENTES ANALÓGICOS DIRECCIONABLES")</f>
        <v>INCENDIO &gt; MÓDULOS INTELIGENTES ANALÓGICOS DIRECCIONABLES</v>
      </c>
      <c r="G1015" s="5"/>
      <c r="H1015" s="6">
        <f>IFERROR(__xludf.DUMMYFUNCTION("""COMPUTED_VALUE"""),38.91)</f>
        <v>38.91</v>
      </c>
      <c r="I1015" s="7">
        <f>IFERROR(__xludf.DUMMYFUNCTION("""COMPUTED_VALUE"""),21.0)</f>
        <v>21</v>
      </c>
      <c r="J1015" s="6">
        <f>IFERROR(__xludf.DUMMYFUNCTION("""COMPUTED_VALUE"""),46.69)</f>
        <v>46.69</v>
      </c>
      <c r="K1015" s="6">
        <f>IFERROR(__xludf.DUMMYFUNCTION("""COMPUTED_VALUE"""),54.47)</f>
        <v>54.47</v>
      </c>
      <c r="L1015" s="3"/>
      <c r="M1015" s="3"/>
    </row>
    <row r="1016" ht="48.0" customHeight="1">
      <c r="A1016" s="3" t="str">
        <f>IFERROR(__xludf.DUMMYFUNCTION("""COMPUTED_VALUE"""),"CFA50H")</f>
        <v>CFA50H</v>
      </c>
      <c r="B1016" s="4" t="str">
        <f>IFERROR(__xludf.DUMMYFUNCTION("""COMPUTED_VALUE"""),"DETECTOR TÉRMICO 60ºC DIRECCIONABLE EN EL CASO DE DESARROLLOS")</f>
        <v>DETECTOR TÉRMICO 60ºC DIRECCIONABLE EN EL CASO DE DESARROLLOS</v>
      </c>
      <c r="C1016" s="4" t="str">
        <f>IFERROR(__xludf.DUMMYFUNCTION("""COMPUTED_VALUE"""),"Detector térmico 60ºC direccionable en el caso de desarrollos de incendio lentos. LED bicolor rojo y amarillo. Certificación UL EU")</f>
        <v>Detector térmico 60ºC direccionable en el caso de desarrollos de incendio lentos. LED bicolor rojo y amarillo. Certificación UL EU</v>
      </c>
      <c r="D1016" s="4" t="str">
        <f>IFERROR(__xludf.DUMMYFUNCTION("""COMPUTED_VALUE"""),"COFEM")</f>
        <v>COFEM</v>
      </c>
      <c r="E1016" s="4" t="str">
        <f>IFERROR(__xludf.DUMMYFUNCTION("""COMPUTED_VALUE"""),"CFA50H")</f>
        <v>CFA50H</v>
      </c>
      <c r="F1016" s="4" t="str">
        <f>IFERROR(__xludf.DUMMYFUNCTION("""COMPUTED_VALUE"""),"INCENDIO &gt; MÓDULOS INTELIGENTES ANALÓGICOS DIRECCIONABLES")</f>
        <v>INCENDIO &gt; MÓDULOS INTELIGENTES ANALÓGICOS DIRECCIONABLES</v>
      </c>
      <c r="G1016" s="5"/>
      <c r="H1016" s="6">
        <f>IFERROR(__xludf.DUMMYFUNCTION("""COMPUTED_VALUE"""),38.61)</f>
        <v>38.61</v>
      </c>
      <c r="I1016" s="7">
        <f>IFERROR(__xludf.DUMMYFUNCTION("""COMPUTED_VALUE"""),21.0)</f>
        <v>21</v>
      </c>
      <c r="J1016" s="6">
        <f>IFERROR(__xludf.DUMMYFUNCTION("""COMPUTED_VALUE"""),46.33)</f>
        <v>46.33</v>
      </c>
      <c r="K1016" s="6">
        <f>IFERROR(__xludf.DUMMYFUNCTION("""COMPUTED_VALUE"""),54.05)</f>
        <v>54.05</v>
      </c>
      <c r="L1016" s="3"/>
      <c r="M1016" s="3"/>
    </row>
    <row r="1017" ht="48.0" customHeight="1">
      <c r="A1017" s="3" t="str">
        <f>IFERROR(__xludf.DUMMYFUNCTION("""COMPUTED_VALUE"""),"CFA50SH")</f>
        <v>CFA50SH</v>
      </c>
      <c r="B1017" s="4" t="str">
        <f>IFERROR(__xludf.DUMMYFUNCTION("""COMPUTED_VALUE"""),"DETECTOR DE HUMO Y TEMPERATURA SIN AISLADOR")</f>
        <v>DETECTOR DE HUMO Y TEMPERATURA SIN AISLADOR</v>
      </c>
      <c r="C1017" s="4" t="str">
        <f>IFERROR(__xludf.DUMMYFUNCTION("""COMPUTED_VALUE"""),"Detector de humo y temperatura sin aislador. LED bicolor rojo y amarillo. Certificado UL según la Norma EN 54-7 y EN 54-17")</f>
        <v>Detector de humo y temperatura sin aislador. LED bicolor rojo y amarillo. Certificado UL según la Norma EN 54-7 y EN 54-17</v>
      </c>
      <c r="D1017" s="4" t="str">
        <f>IFERROR(__xludf.DUMMYFUNCTION("""COMPUTED_VALUE"""),"COFEM")</f>
        <v>COFEM</v>
      </c>
      <c r="E1017" s="4" t="str">
        <f>IFERROR(__xludf.DUMMYFUNCTION("""COMPUTED_VALUE"""),"CFA50SH")</f>
        <v>CFA50SH</v>
      </c>
      <c r="F1017" s="4" t="str">
        <f>IFERROR(__xludf.DUMMYFUNCTION("""COMPUTED_VALUE"""),"INCENDIO &gt; MÓDULOS INTELIGENTES ANALÓGICOS DIRECCIONABLES")</f>
        <v>INCENDIO &gt; MÓDULOS INTELIGENTES ANALÓGICOS DIRECCIONABLES</v>
      </c>
      <c r="G1017" s="5"/>
      <c r="H1017" s="6">
        <f>IFERROR(__xludf.DUMMYFUNCTION("""COMPUTED_VALUE"""),48.91)</f>
        <v>48.91</v>
      </c>
      <c r="I1017" s="7">
        <f>IFERROR(__xludf.DUMMYFUNCTION("""COMPUTED_VALUE"""),21.0)</f>
        <v>21</v>
      </c>
      <c r="J1017" s="6">
        <f>IFERROR(__xludf.DUMMYFUNCTION("""COMPUTED_VALUE"""),58.69)</f>
        <v>58.69</v>
      </c>
      <c r="K1017" s="6">
        <f>IFERROR(__xludf.DUMMYFUNCTION("""COMPUTED_VALUE"""),68.47)</f>
        <v>68.47</v>
      </c>
      <c r="L1017" s="3"/>
      <c r="M1017" s="3"/>
    </row>
    <row r="1018" ht="48.0" customHeight="1">
      <c r="A1018" s="3" t="str">
        <f>IFERROR(__xludf.DUMMYFUNCTION("""COMPUTED_VALUE"""),"CFA50SI")</f>
        <v>CFA50SI</v>
      </c>
      <c r="B1018" s="4" t="str">
        <f>IFERROR(__xludf.DUMMYFUNCTION("""COMPUTED_VALUE"""),"DETECTOR ÓPTICO ALGORÍTMICO DIRECCIONABLE CON AISLADOR")</f>
        <v>DETECTOR ÓPTICO ALGORÍTMICO DIRECCIONABLE CON AISLADOR</v>
      </c>
      <c r="C1018" s="4" t="str">
        <f>IFERROR(__xludf.DUMMYFUNCTION("""COMPUTED_VALUE"""),"Detector óptico algorítmico direccionable con aislador. LED bicolor rojo y amarillo. Certificado UL según la Norma EN 54-7 y EN 54-17")</f>
        <v>Detector óptico algorítmico direccionable con aislador. LED bicolor rojo y amarillo. Certificado UL según la Norma EN 54-7 y EN 54-17</v>
      </c>
      <c r="D1018" s="4" t="str">
        <f>IFERROR(__xludf.DUMMYFUNCTION("""COMPUTED_VALUE"""),"COFEM")</f>
        <v>COFEM</v>
      </c>
      <c r="E1018" s="4" t="str">
        <f>IFERROR(__xludf.DUMMYFUNCTION("""COMPUTED_VALUE"""),"CFA50SI")</f>
        <v>CFA50SI</v>
      </c>
      <c r="F1018" s="4" t="str">
        <f>IFERROR(__xludf.DUMMYFUNCTION("""COMPUTED_VALUE"""),"INCENDIO &gt; MÓDULOS INTELIGENTES ANALÓGICOS DIRECCIONABLES")</f>
        <v>INCENDIO &gt; MÓDULOS INTELIGENTES ANALÓGICOS DIRECCIONABLES</v>
      </c>
      <c r="G1018" s="5"/>
      <c r="H1018" s="6">
        <f>IFERROR(__xludf.DUMMYFUNCTION("""COMPUTED_VALUE"""),51.26)</f>
        <v>51.26</v>
      </c>
      <c r="I1018" s="7">
        <f>IFERROR(__xludf.DUMMYFUNCTION("""COMPUTED_VALUE"""),21.0)</f>
        <v>21</v>
      </c>
      <c r="J1018" s="6">
        <f>IFERROR(__xludf.DUMMYFUNCTION("""COMPUTED_VALUE"""),61.51)</f>
        <v>61.51</v>
      </c>
      <c r="K1018" s="6">
        <f>IFERROR(__xludf.DUMMYFUNCTION("""COMPUTED_VALUE"""),71.76)</f>
        <v>71.76</v>
      </c>
      <c r="L1018" s="3"/>
      <c r="M1018" s="3"/>
    </row>
    <row r="1019" ht="48.0" customHeight="1">
      <c r="A1019" s="3" t="str">
        <f>IFERROR(__xludf.DUMMYFUNCTION("""COMPUTED_VALUE"""),"CFA50SILD")</f>
        <v>CFA50SILD</v>
      </c>
      <c r="B1019" s="4" t="str">
        <f>IFERROR(__xludf.DUMMYFUNCTION("""COMPUTED_VALUE"""),"DETECTOR ÓPTICO ALGORÍTMICO DIRECCIONABLE CON AISLADOR LUZ Y SONIDO")</f>
        <v>DETECTOR ÓPTICO ALGORÍTMICO DIRECCIONABLE CON AISLADOR LUZ Y SONIDO</v>
      </c>
      <c r="C1019" s="4" t="str">
        <f>IFERROR(__xludf.DUMMYFUNCTION("""COMPUTED_VALUE"""),"Detector óptico algorítmico direccionable con aislador luz y sonido. LED bicolor rojo y amarillo. Certificado UL según la Norma EN 54-7 y EN 54-17")</f>
        <v>Detector óptico algorítmico direccionable con aislador luz y sonido. LED bicolor rojo y amarillo. Certificado UL según la Norma EN 54-7 y EN 54-17</v>
      </c>
      <c r="D1019" s="4" t="str">
        <f>IFERROR(__xludf.DUMMYFUNCTION("""COMPUTED_VALUE"""),"COFEM")</f>
        <v>COFEM</v>
      </c>
      <c r="E1019" s="4" t="str">
        <f>IFERROR(__xludf.DUMMYFUNCTION("""COMPUTED_VALUE"""),"CFA50SILD")</f>
        <v>CFA50SILD</v>
      </c>
      <c r="F1019" s="4" t="str">
        <f>IFERROR(__xludf.DUMMYFUNCTION("""COMPUTED_VALUE"""),"INCENDIO &gt; MÓDULOS INTELIGENTES ANALÓGICOS DIRECCIONABLES")</f>
        <v>INCENDIO &gt; MÓDULOS INTELIGENTES ANALÓGICOS DIRECCIONABLES</v>
      </c>
      <c r="G1019" s="5"/>
      <c r="H1019" s="6">
        <f>IFERROR(__xludf.DUMMYFUNCTION("""COMPUTED_VALUE"""),153.87)</f>
        <v>153.87</v>
      </c>
      <c r="I1019" s="7">
        <f>IFERROR(__xludf.DUMMYFUNCTION("""COMPUTED_VALUE"""),21.0)</f>
        <v>21</v>
      </c>
      <c r="J1019" s="6">
        <f>IFERROR(__xludf.DUMMYFUNCTION("""COMPUTED_VALUE"""),184.64)</f>
        <v>184.64</v>
      </c>
      <c r="K1019" s="6">
        <f>IFERROR(__xludf.DUMMYFUNCTION("""COMPUTED_VALUE"""),215.42)</f>
        <v>215.42</v>
      </c>
      <c r="L1019" s="3"/>
      <c r="M1019" s="3"/>
    </row>
    <row r="1020" ht="48.0" customHeight="1">
      <c r="A1020" s="3" t="str">
        <f>IFERROR(__xludf.DUMMYFUNCTION("""COMPUTED_VALUE"""),"CFA50SHILD")</f>
        <v>CFA50SHILD</v>
      </c>
      <c r="B1020" s="4" t="str">
        <f>IFERROR(__xludf.DUMMYFUNCTION("""COMPUTED_VALUE"""),"DETECTOR ÓPTICO + TÉRMICO ALGORÍTMICO DIRECCIONABLE CON AISLADOR LUZ")</f>
        <v>DETECTOR ÓPTICO + TÉRMICO ALGORÍTMICO DIRECCIONABLE CON AISLADOR LUZ</v>
      </c>
      <c r="C1020" s="4" t="str">
        <f>IFERROR(__xludf.DUMMYFUNCTION("""COMPUTED_VALUE"""),"Detector óptico + térmico algorítmico direccionable con aislador luz y sonido. LED bicolor rojo y amarillo. Certificado UL según la Norma EN 54-7 y EN 54-17")</f>
        <v>Detector óptico + térmico algorítmico direccionable con aislador luz y sonido. LED bicolor rojo y amarillo. Certificado UL según la Norma EN 54-7 y EN 54-17</v>
      </c>
      <c r="D1020" s="4" t="str">
        <f>IFERROR(__xludf.DUMMYFUNCTION("""COMPUTED_VALUE"""),"COFEM")</f>
        <v>COFEM</v>
      </c>
      <c r="E1020" s="4" t="str">
        <f>IFERROR(__xludf.DUMMYFUNCTION("""COMPUTED_VALUE"""),"CFA50SHILD")</f>
        <v>CFA50SHILD</v>
      </c>
      <c r="F1020" s="4" t="str">
        <f>IFERROR(__xludf.DUMMYFUNCTION("""COMPUTED_VALUE"""),"INCENDIO &gt; MÓDULOS INTELIGENTES ANALÓGICOS DIRECCIONABLES")</f>
        <v>INCENDIO &gt; MÓDULOS INTELIGENTES ANALÓGICOS DIRECCIONABLES</v>
      </c>
      <c r="G1020" s="5"/>
      <c r="H1020" s="6">
        <f>IFERROR(__xludf.DUMMYFUNCTION("""COMPUTED_VALUE"""),155.65)</f>
        <v>155.65</v>
      </c>
      <c r="I1020" s="7">
        <f>IFERROR(__xludf.DUMMYFUNCTION("""COMPUTED_VALUE"""),21.0)</f>
        <v>21</v>
      </c>
      <c r="J1020" s="6">
        <f>IFERROR(__xludf.DUMMYFUNCTION("""COMPUTED_VALUE"""),186.78)</f>
        <v>186.78</v>
      </c>
      <c r="K1020" s="6">
        <f>IFERROR(__xludf.DUMMYFUNCTION("""COMPUTED_VALUE"""),217.91)</f>
        <v>217.91</v>
      </c>
      <c r="L1020" s="3"/>
      <c r="M1020" s="3"/>
    </row>
    <row r="1021" ht="48.0" customHeight="1">
      <c r="A1021" s="3" t="str">
        <f>IFERROR(__xludf.DUMMYFUNCTION("""COMPUTED_VALUE"""),"CFD50ZO-DUP1")</f>
        <v>CFD50ZO-DUP1</v>
      </c>
      <c r="B1021" s="4" t="str">
        <f>IFERROR(__xludf.DUMMYFUNCTION("""COMPUTED_VALUE"""),"BASE DE PERFIL BAJO PARA DETECTORES CFC50S-H 24VOLT 2 HILOS")</f>
        <v>BASE DE PERFIL BAJO PARA DETECTORES CFC50S-H 24VOLT 2 HILOS</v>
      </c>
      <c r="C1021" s="4" t="str">
        <f>IFERROR(__xludf.DUMMYFUNCTION("""COMPUTED_VALUE"""),"Base de perfil bajo para detectores CFC50S-H 24Volt 2 hilos")</f>
        <v>Base de perfil bajo para detectores CFC50S-H 24Volt 2 hilos</v>
      </c>
      <c r="D1021" s="4" t="str">
        <f>IFERROR(__xludf.DUMMYFUNCTION("""COMPUTED_VALUE"""),"COFEM")</f>
        <v>COFEM</v>
      </c>
      <c r="E1021" s="4" t="str">
        <f>IFERROR(__xludf.DUMMYFUNCTION("""COMPUTED_VALUE"""),"CFD50ZO")</f>
        <v>CFD50ZO</v>
      </c>
      <c r="F1021" s="4" t="str">
        <f>IFERROR(__xludf.DUMMYFUNCTION("""COMPUTED_VALUE"""),"INCENDIO &gt; MÓDULOS INTELIGENTES ANALÓGICOS DIRECCIONABLES")</f>
        <v>INCENDIO &gt; MÓDULOS INTELIGENTES ANALÓGICOS DIRECCIONABLES</v>
      </c>
      <c r="G1021" s="5"/>
      <c r="H1021" s="6">
        <f>IFERROR(__xludf.DUMMYFUNCTION("""COMPUTED_VALUE"""),3.94)</f>
        <v>3.94</v>
      </c>
      <c r="I1021" s="7">
        <f>IFERROR(__xludf.DUMMYFUNCTION("""COMPUTED_VALUE"""),21.0)</f>
        <v>21</v>
      </c>
      <c r="J1021" s="6">
        <f>IFERROR(__xludf.DUMMYFUNCTION("""COMPUTED_VALUE"""),4.73)</f>
        <v>4.73</v>
      </c>
      <c r="K1021" s="6">
        <f>IFERROR(__xludf.DUMMYFUNCTION("""COMPUTED_VALUE"""),5.52)</f>
        <v>5.52</v>
      </c>
      <c r="L1021" s="3"/>
      <c r="M1021" s="3"/>
    </row>
    <row r="1022" ht="48.0" customHeight="1">
      <c r="A1022" s="3" t="str">
        <f>IFERROR(__xludf.DUMMYFUNCTION("""COMPUTED_VALUE"""),"CFA30XTA")</f>
        <v>CFA30XTA</v>
      </c>
      <c r="B1022" s="4" t="str">
        <f>IFERROR(__xludf.DUMMYFUNCTION("""COMPUTED_VALUE"""),"DETECTOR TÉRMICO DIRECCIONABLE INCLUYE BASE CFA30XZO")</f>
        <v>DETECTOR TÉRMICO DIRECCIONABLE INCLUYE BASE CFA30XZO</v>
      </c>
      <c r="C1022" s="4" t="str">
        <f>IFERROR(__xludf.DUMMYFUNCTION("""COMPUTED_VALUE"""),"Detector térmico direccionable INCLUYE BASE CFA30XZO")</f>
        <v>Detector térmico direccionable INCLUYE BASE CFA30XZO</v>
      </c>
      <c r="D1022" s="4" t="str">
        <f>IFERROR(__xludf.DUMMYFUNCTION("""COMPUTED_VALUE"""),"COFEM")</f>
        <v>COFEM</v>
      </c>
      <c r="E1022" s="4" t="str">
        <f>IFERROR(__xludf.DUMMYFUNCTION("""COMPUTED_VALUE"""),"CFA30XTA")</f>
        <v>CFA30XTA</v>
      </c>
      <c r="F1022" s="4" t="str">
        <f>IFERROR(__xludf.DUMMYFUNCTION("""COMPUTED_VALUE"""),"INCENDIO &gt; MÓDULOS INTELIGENTES ANALÓGICOS DIRECCIONABLES")</f>
        <v>INCENDIO &gt; MÓDULOS INTELIGENTES ANALÓGICOS DIRECCIONABLES</v>
      </c>
      <c r="G1022" s="5"/>
      <c r="H1022" s="6">
        <f>IFERROR(__xludf.DUMMYFUNCTION("""COMPUTED_VALUE"""),33.0)</f>
        <v>33</v>
      </c>
      <c r="I1022" s="7">
        <f>IFERROR(__xludf.DUMMYFUNCTION("""COMPUTED_VALUE"""),10.5)</f>
        <v>10.5</v>
      </c>
      <c r="J1022" s="6">
        <f>IFERROR(__xludf.DUMMYFUNCTION("""COMPUTED_VALUE"""),39.6)</f>
        <v>39.6</v>
      </c>
      <c r="K1022" s="6">
        <f>IFERROR(__xludf.DUMMYFUNCTION("""COMPUTED_VALUE"""),46.2)</f>
        <v>46.2</v>
      </c>
      <c r="L1022" s="3"/>
      <c r="M1022" s="3"/>
    </row>
    <row r="1023" ht="48.0" customHeight="1">
      <c r="A1023" s="3" t="str">
        <f>IFERROR(__xludf.DUMMYFUNCTION("""COMPUTED_VALUE"""),"CFA30XHA")</f>
        <v>CFA30XHA</v>
      </c>
      <c r="B1023" s="4" t="str">
        <f>IFERROR(__xludf.DUMMYFUNCTION("""COMPUTED_VALUE"""),"DETECTOR OPTICO TÉRMICO DIRECCIONABLE INCLUYE BASE CFA30XZO")</f>
        <v>DETECTOR OPTICO TÉRMICO DIRECCIONABLE INCLUYE BASE CFA30XZO</v>
      </c>
      <c r="C1023" s="4" t="str">
        <f>IFERROR(__xludf.DUMMYFUNCTION("""COMPUTED_VALUE"""),"Detector Optico térmico direccionable INCLUYE BASE CFA30XZO")</f>
        <v>Detector Optico térmico direccionable INCLUYE BASE CFA30XZO</v>
      </c>
      <c r="D1023" s="4" t="str">
        <f>IFERROR(__xludf.DUMMYFUNCTION("""COMPUTED_VALUE"""),"COFEM")</f>
        <v>COFEM</v>
      </c>
      <c r="E1023" s="4" t="str">
        <f>IFERROR(__xludf.DUMMYFUNCTION("""COMPUTED_VALUE"""),"CFA30XHA")</f>
        <v>CFA30XHA</v>
      </c>
      <c r="F1023" s="4" t="str">
        <f>IFERROR(__xludf.DUMMYFUNCTION("""COMPUTED_VALUE"""),"INCENDIO &gt; MÓDULOS INTELIGENTES ANALÓGICOS DIRECCIONABLES")</f>
        <v>INCENDIO &gt; MÓDULOS INTELIGENTES ANALÓGICOS DIRECCIONABLES</v>
      </c>
      <c r="G1023" s="5"/>
      <c r="H1023" s="6">
        <f>IFERROR(__xludf.DUMMYFUNCTION("""COMPUTED_VALUE"""),38.5)</f>
        <v>38.5</v>
      </c>
      <c r="I1023" s="7">
        <f>IFERROR(__xludf.DUMMYFUNCTION("""COMPUTED_VALUE"""),10.5)</f>
        <v>10.5</v>
      </c>
      <c r="J1023" s="6">
        <f>IFERROR(__xludf.DUMMYFUNCTION("""COMPUTED_VALUE"""),46.2)</f>
        <v>46.2</v>
      </c>
      <c r="K1023" s="6">
        <f>IFERROR(__xludf.DUMMYFUNCTION("""COMPUTED_VALUE"""),53.9)</f>
        <v>53.9</v>
      </c>
      <c r="L1023" s="3"/>
      <c r="M1023" s="3"/>
    </row>
    <row r="1024" ht="48.0" customHeight="1">
      <c r="A1024" s="3" t="str">
        <f>IFERROR(__xludf.DUMMYFUNCTION("""COMPUTED_VALUE"""),"CFA30XZO")</f>
        <v>CFA30XZO</v>
      </c>
      <c r="B1024" s="4" t="str">
        <f>IFERROR(__xludf.DUMMYFUNCTION("""COMPUTED_VALUE"""),"BASE 24 VOLT 2 HILOS (SOLO VENTA CON DETECTORES CFA30XTA Y CFA30XHA)")</f>
        <v>BASE 24 VOLT 2 HILOS (SOLO VENTA CON DETECTORES CFA30XTA Y CFA30XHA)</v>
      </c>
      <c r="C1024" s="4" t="str">
        <f>IFERROR(__xludf.DUMMYFUNCTION("""COMPUTED_VALUE"""),"Base 24 Volt 2 hilos (SOLO VENTA CON DETECTORES CFA30XTA Y CFA30XHA)")</f>
        <v>Base 24 Volt 2 hilos (SOLO VENTA CON DETECTORES CFA30XTA Y CFA30XHA)</v>
      </c>
      <c r="D1024" s="4" t="str">
        <f>IFERROR(__xludf.DUMMYFUNCTION("""COMPUTED_VALUE"""),"COFEM")</f>
        <v>COFEM</v>
      </c>
      <c r="E1024" s="4" t="str">
        <f>IFERROR(__xludf.DUMMYFUNCTION("""COMPUTED_VALUE"""),"CFA30XZO")</f>
        <v>CFA30XZO</v>
      </c>
      <c r="F1024" s="4" t="str">
        <f>IFERROR(__xludf.DUMMYFUNCTION("""COMPUTED_VALUE"""),"INCENDIO &gt; MÓDULOS INTELIGENTES ANALÓGICOS DIRECCIONABLES")</f>
        <v>INCENDIO &gt; MÓDULOS INTELIGENTES ANALÓGICOS DIRECCIONABLES</v>
      </c>
      <c r="G1024" s="5"/>
      <c r="H1024" s="6">
        <f>IFERROR(__xludf.DUMMYFUNCTION("""COMPUTED_VALUE"""),0.0)</f>
        <v>0</v>
      </c>
      <c r="I1024" s="7">
        <f>IFERROR(__xludf.DUMMYFUNCTION("""COMPUTED_VALUE"""),21.0)</f>
        <v>21</v>
      </c>
      <c r="J1024" s="6">
        <f>IFERROR(__xludf.DUMMYFUNCTION("""COMPUTED_VALUE"""),0.0)</f>
        <v>0</v>
      </c>
      <c r="K1024" s="6">
        <f>IFERROR(__xludf.DUMMYFUNCTION("""COMPUTED_VALUE"""),0.0)</f>
        <v>0</v>
      </c>
      <c r="L1024" s="3"/>
      <c r="M1024" s="3"/>
    </row>
    <row r="1025" ht="48.0" customHeight="1">
      <c r="A1025" s="3" t="str">
        <f>IFERROR(__xludf.DUMMYFUNCTION("""COMPUTED_VALUE"""),"CFSIRAYL")</f>
        <v>CFSIRAYL</v>
      </c>
      <c r="B1025" s="4" t="str">
        <f>IFERROR(__xludf.DUMMYFUNCTION("""COMPUTED_VALUE"""),"SIRENA CON ESTROBO DIRECCIONABLE")</f>
        <v>SIRENA CON ESTROBO DIRECCIONABLE</v>
      </c>
      <c r="C1025" s="4" t="str">
        <f>IFERROR(__xludf.DUMMYFUNCTION("""COMPUTED_VALUE"""),"Sirena con estrobo direccionable")</f>
        <v>Sirena con estrobo direccionable</v>
      </c>
      <c r="D1025" s="4" t="str">
        <f>IFERROR(__xludf.DUMMYFUNCTION("""COMPUTED_VALUE"""),"COFEM")</f>
        <v>COFEM</v>
      </c>
      <c r="E1025" s="4" t="str">
        <f>IFERROR(__xludf.DUMMYFUNCTION("""COMPUTED_VALUE"""),"CFSIRAYL")</f>
        <v>CFSIRAYL</v>
      </c>
      <c r="F1025" s="4" t="str">
        <f>IFERROR(__xludf.DUMMYFUNCTION("""COMPUTED_VALUE"""),"INCENDIO &gt; MÓDULOS INTELIGENTES ANALÓGICOS DIRECCIONABLES")</f>
        <v>INCENDIO &gt; MÓDULOS INTELIGENTES ANALÓGICOS DIRECCIONABLES</v>
      </c>
      <c r="G1025" s="5"/>
      <c r="H1025" s="6">
        <f>IFERROR(__xludf.DUMMYFUNCTION("""COMPUTED_VALUE"""),127.73)</f>
        <v>127.73</v>
      </c>
      <c r="I1025" s="7">
        <f>IFERROR(__xludf.DUMMYFUNCTION("""COMPUTED_VALUE"""),21.0)</f>
        <v>21</v>
      </c>
      <c r="J1025" s="6">
        <f>IFERROR(__xludf.DUMMYFUNCTION("""COMPUTED_VALUE"""),153.28)</f>
        <v>153.28</v>
      </c>
      <c r="K1025" s="6">
        <f>IFERROR(__xludf.DUMMYFUNCTION("""COMPUTED_VALUE"""),178.82)</f>
        <v>178.82</v>
      </c>
      <c r="L1025" s="3"/>
      <c r="M1025" s="3"/>
    </row>
    <row r="1026" ht="48.0" customHeight="1">
      <c r="A1026" s="3" t="str">
        <f>IFERROR(__xludf.DUMMYFUNCTION("""COMPUTED_VALUE"""),"FLES50XI")</f>
        <v>FLES50XI</v>
      </c>
      <c r="B1026" s="4" t="str">
        <f>IFERROR(__xludf.DUMMYFUNCTION("""COMPUTED_VALUE"""),"PANEL DE INCENDIO INTELIGENTE CON DISPLAY LCD DE 80 CARACTERES")</f>
        <v>PANEL DE INCENDIO INTELIGENTE CON DISPLAY LCD DE 80 CARACTERES</v>
      </c>
      <c r="C1026" s="4" t="str">
        <f>IFERROR(__xludf.DUMMYFUNCTION("""COMPUTED_VALUE"""),"Panel de incendio inteligente con display LCD de 80 caracteres. 1 lazo analógico direccionable con capacidad para 50 dispositivos entre detectores y módulos.")</f>
        <v>Panel de incendio inteligente con display LCD de 80 caracteres. 1 lazo analógico direccionable con capacidad para 50 dispositivos entre detectores y módulos.</v>
      </c>
      <c r="D1026" s="4" t="str">
        <f>IFERROR(__xludf.DUMMYFUNCTION("""COMPUTED_VALUE"""),"FIRELITE")</f>
        <v>FIRELITE</v>
      </c>
      <c r="E1026" s="4" t="str">
        <f>IFERROR(__xludf.DUMMYFUNCTION("""COMPUTED_VALUE"""),"FLES50XI")</f>
        <v>FLES50XI</v>
      </c>
      <c r="F1026" s="4" t="str">
        <f>IFERROR(__xludf.DUMMYFUNCTION("""COMPUTED_VALUE"""),"INCENDIO &gt; PANELES DIRECCIONABLES")</f>
        <v>INCENDIO &gt; PANELES DIRECCIONABLES</v>
      </c>
      <c r="G1026" s="5"/>
      <c r="H1026" s="6">
        <f>IFERROR(__xludf.DUMMYFUNCTION("""COMPUTED_VALUE"""),922.21)</f>
        <v>922.21</v>
      </c>
      <c r="I1026" s="7">
        <f>IFERROR(__xludf.DUMMYFUNCTION("""COMPUTED_VALUE"""),21.0)</f>
        <v>21</v>
      </c>
      <c r="J1026" s="6">
        <f>IFERROR(__xludf.DUMMYFUNCTION("""COMPUTED_VALUE"""),1106.65)</f>
        <v>1106.65</v>
      </c>
      <c r="K1026" s="6">
        <f>IFERROR(__xludf.DUMMYFUNCTION("""COMPUTED_VALUE"""),1291.09)</f>
        <v>1291.09</v>
      </c>
      <c r="L1026" s="3"/>
      <c r="M1026" s="3"/>
    </row>
    <row r="1027" ht="48.0" customHeight="1">
      <c r="A1027" s="3" t="str">
        <f>IFERROR(__xludf.DUMMYFUNCTION("""COMPUTED_VALUE"""),"FLES200XI")</f>
        <v>FLES200XI</v>
      </c>
      <c r="B1027" s="4" t="str">
        <f>IFERROR(__xludf.DUMMYFUNCTION("""COMPUTED_VALUE"""),"PANEL DE INCENDIO INTELIGENTE CON DISPLAY LCD DE 80 CARACTERES")</f>
        <v>PANEL DE INCENDIO INTELIGENTE CON DISPLAY LCD DE 80 CARACTERES</v>
      </c>
      <c r="C1027" s="4" t="str">
        <f>IFERROR(__xludf.DUMMYFUNCTION("""COMPUTED_VALUE"""),"Panel de incendio inteligente con display LCD de 80 caracteres. 1 lazo analógico direccionable con capacidad para 198 dispositivos (99 detectores + 99 módulos).")</f>
        <v>Panel de incendio inteligente con display LCD de 80 caracteres. 1 lazo analógico direccionable con capacidad para 198 dispositivos (99 detectores + 99 módulos).</v>
      </c>
      <c r="D1027" s="4" t="str">
        <f>IFERROR(__xludf.DUMMYFUNCTION("""COMPUTED_VALUE"""),"FIRELITE")</f>
        <v>FIRELITE</v>
      </c>
      <c r="E1027" s="4" t="str">
        <f>IFERROR(__xludf.DUMMYFUNCTION("""COMPUTED_VALUE"""),"FLES200XI")</f>
        <v>FLES200XI</v>
      </c>
      <c r="F1027" s="4" t="str">
        <f>IFERROR(__xludf.DUMMYFUNCTION("""COMPUTED_VALUE"""),"INCENDIO &gt; PANELES DIRECCIONABLES")</f>
        <v>INCENDIO &gt; PANELES DIRECCIONABLES</v>
      </c>
      <c r="G1027" s="5"/>
      <c r="H1027" s="6">
        <f>IFERROR(__xludf.DUMMYFUNCTION("""COMPUTED_VALUE"""),1324.53)</f>
        <v>1324.53</v>
      </c>
      <c r="I1027" s="7">
        <f>IFERROR(__xludf.DUMMYFUNCTION("""COMPUTED_VALUE"""),21.0)</f>
        <v>21</v>
      </c>
      <c r="J1027" s="6">
        <f>IFERROR(__xludf.DUMMYFUNCTION("""COMPUTED_VALUE"""),1589.44)</f>
        <v>1589.44</v>
      </c>
      <c r="K1027" s="6">
        <f>IFERROR(__xludf.DUMMYFUNCTION("""COMPUTED_VALUE"""),1854.34)</f>
        <v>1854.34</v>
      </c>
      <c r="L1027" s="3"/>
      <c r="M1027" s="3"/>
    </row>
    <row r="1028" ht="48.0" customHeight="1">
      <c r="A1028" s="3" t="str">
        <f>IFERROR(__xludf.DUMMYFUNCTION("""COMPUTED_VALUE"""),"FLMS9600UDLSE")</f>
        <v>FLMS9600UDLSE</v>
      </c>
      <c r="B1028" s="4" t="str">
        <f>IFERROR(__xludf.DUMMYFUNCTION("""COMPUTED_VALUE"""),"PANEL DE INCENDIO INTELIGENTE CON DISPLAY LCD DE 80 CARACTERES")</f>
        <v>PANEL DE INCENDIO INTELIGENTE CON DISPLAY LCD DE 80 CARACTERES</v>
      </c>
      <c r="C1028" s="4" t="str">
        <f>IFERROR(__xludf.DUMMYFUNCTION("""COMPUTED_VALUE"""),"Panel de incendio inteligente con display LCD de 80 caracteres. 1 lazo analógico direccionable con capacidad para 318 dispositivos (159 detectores + 159 módulos). Ampliable a 2 lazos (636 dispositivos de 318 detectores + 318 módulos). Con comunicador tele"&amp;"fónico")</f>
        <v>Panel de incendio inteligente con display LCD de 80 caracteres. 1 lazo analógico direccionable con capacidad para 318 dispositivos (159 detectores + 159 módulos). Ampliable a 2 lazos (636 dispositivos de 318 detectores + 318 módulos). Con comunicador telefónico</v>
      </c>
      <c r="D1028" s="4" t="str">
        <f>IFERROR(__xludf.DUMMYFUNCTION("""COMPUTED_VALUE"""),"FIRELITE")</f>
        <v>FIRELITE</v>
      </c>
      <c r="E1028" s="4" t="str">
        <f>IFERROR(__xludf.DUMMYFUNCTION("""COMPUTED_VALUE"""),"FLMS9600UDLSE")</f>
        <v>FLMS9600UDLSE</v>
      </c>
      <c r="F1028" s="4" t="str">
        <f>IFERROR(__xludf.DUMMYFUNCTION("""COMPUTED_VALUE"""),"INCENDIO &gt; PANELES DIRECCIONABLES")</f>
        <v>INCENDIO &gt; PANELES DIRECCIONABLES</v>
      </c>
      <c r="G1028" s="5"/>
      <c r="H1028" s="6">
        <f>IFERROR(__xludf.DUMMYFUNCTION("""COMPUTED_VALUE"""),2310.0)</f>
        <v>2310</v>
      </c>
      <c r="I1028" s="7">
        <f>IFERROR(__xludf.DUMMYFUNCTION("""COMPUTED_VALUE"""),21.0)</f>
        <v>21</v>
      </c>
      <c r="J1028" s="6">
        <f>IFERROR(__xludf.DUMMYFUNCTION("""COMPUTED_VALUE"""),2772.0)</f>
        <v>2772</v>
      </c>
      <c r="K1028" s="6">
        <f>IFERROR(__xludf.DUMMYFUNCTION("""COMPUTED_VALUE"""),3234.0)</f>
        <v>3234</v>
      </c>
      <c r="L1028" s="3"/>
      <c r="M1028" s="3"/>
    </row>
    <row r="1029" ht="48.0" customHeight="1">
      <c r="A1029" s="3" t="str">
        <f>IFERROR(__xludf.DUMMYFUNCTION("""COMPUTED_VALUE"""),"FLSLC2")</f>
        <v>FLSLC2</v>
      </c>
      <c r="B1029" s="4" t="str">
        <f>IFERROR(__xludf.DUMMYFUNCTION("""COMPUTED_VALUE"""),"SEGUNDO SLC OPCIONAL, MODULO DE EXPANSIÓN, INCREMENTA LA CAPACIDAD")</f>
        <v>SEGUNDO SLC OPCIONAL, MODULO DE EXPANSIÓN, INCREMENTA LA CAPACIDAD</v>
      </c>
      <c r="C1029" s="4" t="str">
        <f>IFERROR(__xludf.DUMMYFUNCTION("""COMPUTED_VALUE"""),"Segundo SLC opcional, modulo de expansión, Incrementa la capacidad de puntos direccionables de 319 a 636.")</f>
        <v>Segundo SLC opcional, modulo de expansión, Incrementa la capacidad de puntos direccionables de 319 a 636.</v>
      </c>
      <c r="D1029" s="4" t="str">
        <f>IFERROR(__xludf.DUMMYFUNCTION("""COMPUTED_VALUE"""),"FIRELITE")</f>
        <v>FIRELITE</v>
      </c>
      <c r="E1029" s="4" t="str">
        <f>IFERROR(__xludf.DUMMYFUNCTION("""COMPUTED_VALUE"""),"FLSLC2")</f>
        <v>FLSLC2</v>
      </c>
      <c r="F1029" s="4" t="str">
        <f>IFERROR(__xludf.DUMMYFUNCTION("""COMPUTED_VALUE"""),"INCENDIO &gt; PANELES DIRECCIONABLES")</f>
        <v>INCENDIO &gt; PANELES DIRECCIONABLES</v>
      </c>
      <c r="G1029" s="5"/>
      <c r="H1029" s="6">
        <f>IFERROR(__xludf.DUMMYFUNCTION("""COMPUTED_VALUE"""),582.58)</f>
        <v>582.58</v>
      </c>
      <c r="I1029" s="7">
        <f>IFERROR(__xludf.DUMMYFUNCTION("""COMPUTED_VALUE"""),21.0)</f>
        <v>21</v>
      </c>
      <c r="J1029" s="6">
        <f>IFERROR(__xludf.DUMMYFUNCTION("""COMPUTED_VALUE"""),699.1)</f>
        <v>699.1</v>
      </c>
      <c r="K1029" s="6">
        <f>IFERROR(__xludf.DUMMYFUNCTION("""COMPUTED_VALUE"""),815.61)</f>
        <v>815.61</v>
      </c>
      <c r="L1029" s="3"/>
      <c r="M1029" s="3"/>
    </row>
    <row r="1030" ht="48.0" customHeight="1">
      <c r="A1030" s="3" t="str">
        <f>IFERROR(__xludf.DUMMYFUNCTION("""COMPUTED_VALUE"""),"FLANNLED")</f>
        <v>FLANNLED</v>
      </c>
      <c r="B1030" s="4" t="str">
        <f>IFERROR(__xludf.DUMMYFUNCTION("""COMPUTED_VALUE"""),"ANUNCIADOR REMOTO CON LED")</f>
        <v>ANUNCIADOR REMOTO CON LED</v>
      </c>
      <c r="C1030" s="4" t="str">
        <f>IFERROR(__xludf.DUMMYFUNCTION("""COMPUTED_VALUE"""),"Anunciador remoto con LED")</f>
        <v>Anunciador remoto con LED</v>
      </c>
      <c r="D1030" s="4" t="str">
        <f>IFERROR(__xludf.DUMMYFUNCTION("""COMPUTED_VALUE"""),"FIRELITE")</f>
        <v>FIRELITE</v>
      </c>
      <c r="E1030" s="4" t="str">
        <f>IFERROR(__xludf.DUMMYFUNCTION("""COMPUTED_VALUE"""),"FLANNLED")</f>
        <v>FLANNLED</v>
      </c>
      <c r="F1030" s="4" t="str">
        <f>IFERROR(__xludf.DUMMYFUNCTION("""COMPUTED_VALUE"""),"INCENDIO &gt; PANELES DIRECCIONABLES")</f>
        <v>INCENDIO &gt; PANELES DIRECCIONABLES</v>
      </c>
      <c r="G1030" s="5"/>
      <c r="H1030" s="6">
        <f>IFERROR(__xludf.DUMMYFUNCTION("""COMPUTED_VALUE"""),220.0)</f>
        <v>220</v>
      </c>
      <c r="I1030" s="7">
        <f>IFERROR(__xludf.DUMMYFUNCTION("""COMPUTED_VALUE"""),21.0)</f>
        <v>21</v>
      </c>
      <c r="J1030" s="6">
        <f>IFERROR(__xludf.DUMMYFUNCTION("""COMPUTED_VALUE"""),264.0)</f>
        <v>264</v>
      </c>
      <c r="K1030" s="6">
        <f>IFERROR(__xludf.DUMMYFUNCTION("""COMPUTED_VALUE"""),308.0)</f>
        <v>308</v>
      </c>
      <c r="L1030" s="3"/>
      <c r="M1030" s="3"/>
    </row>
    <row r="1031" ht="48.0" customHeight="1">
      <c r="A1031" s="3" t="str">
        <f>IFERROR(__xludf.DUMMYFUNCTION("""COMPUTED_VALUE"""),"FLANN80")</f>
        <v>FLANN80</v>
      </c>
      <c r="B1031" s="4" t="str">
        <f>IFERROR(__xludf.DUMMYFUNCTION("""COMPUTED_VALUE"""),"ANUNCIADOR REMOTO CON DISPLAY LCD")</f>
        <v>ANUNCIADOR REMOTO CON DISPLAY LCD</v>
      </c>
      <c r="C1031" s="4" t="str">
        <f>IFERROR(__xludf.DUMMYFUNCTION("""COMPUTED_VALUE"""),"Anunciador remoto con display LCD")</f>
        <v>Anunciador remoto con display LCD</v>
      </c>
      <c r="D1031" s="4" t="str">
        <f>IFERROR(__xludf.DUMMYFUNCTION("""COMPUTED_VALUE"""),"FIRELITE")</f>
        <v>FIRELITE</v>
      </c>
      <c r="E1031" s="4" t="str">
        <f>IFERROR(__xludf.DUMMYFUNCTION("""COMPUTED_VALUE"""),"FLANN80")</f>
        <v>FLANN80</v>
      </c>
      <c r="F1031" s="4" t="str">
        <f>IFERROR(__xludf.DUMMYFUNCTION("""COMPUTED_VALUE"""),"INCENDIO &gt; PANELES DIRECCIONABLES")</f>
        <v>INCENDIO &gt; PANELES DIRECCIONABLES</v>
      </c>
      <c r="G1031" s="5"/>
      <c r="H1031" s="6">
        <f>IFERROR(__xludf.DUMMYFUNCTION("""COMPUTED_VALUE"""),239.8)</f>
        <v>239.8</v>
      </c>
      <c r="I1031" s="7">
        <f>IFERROR(__xludf.DUMMYFUNCTION("""COMPUTED_VALUE"""),21.0)</f>
        <v>21</v>
      </c>
      <c r="J1031" s="6">
        <f>IFERROR(__xludf.DUMMYFUNCTION("""COMPUTED_VALUE"""),287.76)</f>
        <v>287.76</v>
      </c>
      <c r="K1031" s="6">
        <f>IFERROR(__xludf.DUMMYFUNCTION("""COMPUTED_VALUE"""),335.72)</f>
        <v>335.72</v>
      </c>
      <c r="L1031" s="3"/>
      <c r="M1031" s="3"/>
    </row>
    <row r="1032" ht="48.0" customHeight="1">
      <c r="A1032" s="3" t="str">
        <f>IFERROR(__xludf.DUMMYFUNCTION("""COMPUTED_VALUE"""),"FLDACTUD")</f>
        <v>FLDACTUD</v>
      </c>
      <c r="B1032" s="4" t="str">
        <f>IFERROR(__xludf.DUMMYFUNCTION("""COMPUTED_VALUE"""),"TRANSMISOR Y COMUNICADOR DE ALARMA DIGITAL PARA UPLOAD /")</f>
        <v>TRANSMISOR Y COMUNICADOR DE ALARMA DIGITAL PARA UPLOAD /</v>
      </c>
      <c r="C1032" s="4" t="str">
        <f>IFERROR(__xludf.DUMMYFUNCTION("""COMPUTED_VALUE"""),"Transmisor y comunicador de alarma digital para Upload / Download para MS9600")</f>
        <v>Transmisor y comunicador de alarma digital para Upload / Download para MS9600</v>
      </c>
      <c r="D1032" s="4" t="str">
        <f>IFERROR(__xludf.DUMMYFUNCTION("""COMPUTED_VALUE"""),"FIRELITE")</f>
        <v>FIRELITE</v>
      </c>
      <c r="E1032" s="4" t="str">
        <f>IFERROR(__xludf.DUMMYFUNCTION("""COMPUTED_VALUE"""),"FLDACTUD")</f>
        <v>FLDACTUD</v>
      </c>
      <c r="F1032" s="4" t="str">
        <f>IFERROR(__xludf.DUMMYFUNCTION("""COMPUTED_VALUE"""),"INCENDIO &gt; PANELES DIRECCIONABLES")</f>
        <v>INCENDIO &gt; PANELES DIRECCIONABLES</v>
      </c>
      <c r="G1032" s="5"/>
      <c r="H1032" s="6">
        <f>IFERROR(__xludf.DUMMYFUNCTION("""COMPUTED_VALUE"""),378.4)</f>
        <v>378.4</v>
      </c>
      <c r="I1032" s="7">
        <f>IFERROR(__xludf.DUMMYFUNCTION("""COMPUTED_VALUE"""),21.0)</f>
        <v>21</v>
      </c>
      <c r="J1032" s="6">
        <f>IFERROR(__xludf.DUMMYFUNCTION("""COMPUTED_VALUE"""),454.08)</f>
        <v>454.08</v>
      </c>
      <c r="K1032" s="6">
        <f>IFERROR(__xludf.DUMMYFUNCTION("""COMPUTED_VALUE"""),529.76)</f>
        <v>529.76</v>
      </c>
      <c r="L1032" s="3"/>
      <c r="M1032" s="3"/>
    </row>
    <row r="1033" ht="48.0" customHeight="1">
      <c r="A1033" s="3" t="str">
        <f>IFERROR(__xludf.DUMMYFUNCTION("""COMPUTED_VALUE"""),"FLSD365")</f>
        <v>FLSD365</v>
      </c>
      <c r="B1033" s="4" t="str">
        <f>IFERROR(__xludf.DUMMYFUNCTION("""COMPUTED_VALUE"""),"DETECTOR FOTOELÉCTRICO DIRECCIONABLE DE BAJO PERFIL CON BASE B350LP")</f>
        <v>DETECTOR FOTOELÉCTRICO DIRECCIONABLE DE BAJO PERFIL CON BASE B350LP</v>
      </c>
      <c r="C1033" s="4" t="str">
        <f>IFERROR(__xludf.DUMMYFUNCTION("""COMPUTED_VALUE"""),"Detector fotoeléctrico direccionable de bajo perfil con base B350LP.")</f>
        <v>Detector fotoeléctrico direccionable de bajo perfil con base B350LP.</v>
      </c>
      <c r="D1033" s="4" t="str">
        <f>IFERROR(__xludf.DUMMYFUNCTION("""COMPUTED_VALUE"""),"FIRELITE")</f>
        <v>FIRELITE</v>
      </c>
      <c r="E1033" s="4" t="str">
        <f>IFERROR(__xludf.DUMMYFUNCTION("""COMPUTED_VALUE"""),"FLSD365")</f>
        <v>FLSD365</v>
      </c>
      <c r="F1033" s="4" t="str">
        <f>IFERROR(__xludf.DUMMYFUNCTION("""COMPUTED_VALUE"""),"INCENDIO &gt; DETECTORES DE INCENDIO DIRECCIONABLES")</f>
        <v>INCENDIO &gt; DETECTORES DE INCENDIO DIRECCIONABLES</v>
      </c>
      <c r="G1033" s="5"/>
      <c r="H1033" s="6">
        <f>IFERROR(__xludf.DUMMYFUNCTION("""COMPUTED_VALUE"""),58.78)</f>
        <v>58.78</v>
      </c>
      <c r="I1033" s="7">
        <f>IFERROR(__xludf.DUMMYFUNCTION("""COMPUTED_VALUE"""),21.0)</f>
        <v>21</v>
      </c>
      <c r="J1033" s="6">
        <f>IFERROR(__xludf.DUMMYFUNCTION("""COMPUTED_VALUE"""),70.54)</f>
        <v>70.54</v>
      </c>
      <c r="K1033" s="6">
        <f>IFERROR(__xludf.DUMMYFUNCTION("""COMPUTED_VALUE"""),82.29)</f>
        <v>82.29</v>
      </c>
      <c r="L1033" s="3"/>
      <c r="M1033" s="3"/>
    </row>
    <row r="1034" ht="48.0" customHeight="1">
      <c r="A1034" s="3" t="str">
        <f>IFERROR(__xludf.DUMMYFUNCTION("""COMPUTED_VALUE"""),"FLSD365T")</f>
        <v>FLSD365T</v>
      </c>
      <c r="B1034" s="4" t="str">
        <f>IFERROR(__xludf.DUMMYFUNCTION("""COMPUTED_VALUE"""),"DETECTOR COMBINADO FOTOELÉCTRICO + TÉRMICO CON SENSOR DE INCREMENTO")</f>
        <v>DETECTOR COMBINADO FOTOELÉCTRICO + TÉRMICO CON SENSOR DE INCREMENTO</v>
      </c>
      <c r="C1034" s="4" t="str">
        <f>IFERROR(__xludf.DUMMYFUNCTION("""COMPUTED_VALUE"""),"Detector combinado fotoeléctrico + térmico con sensor de incremento de temperatura direccionable de bajo perfil con base B350LP.")</f>
        <v>Detector combinado fotoeléctrico + térmico con sensor de incremento de temperatura direccionable de bajo perfil con base B350LP.</v>
      </c>
      <c r="D1034" s="4" t="str">
        <f>IFERROR(__xludf.DUMMYFUNCTION("""COMPUTED_VALUE"""),"FIRELITE")</f>
        <v>FIRELITE</v>
      </c>
      <c r="E1034" s="4" t="str">
        <f>IFERROR(__xludf.DUMMYFUNCTION("""COMPUTED_VALUE"""),"FLSD365T")</f>
        <v>FLSD365T</v>
      </c>
      <c r="F1034" s="4" t="str">
        <f>IFERROR(__xludf.DUMMYFUNCTION("""COMPUTED_VALUE"""),"INCENDIO &gt; DETECTORES DE INCENDIO DIRECCIONABLES")</f>
        <v>INCENDIO &gt; DETECTORES DE INCENDIO DIRECCIONABLES</v>
      </c>
      <c r="G1034" s="5"/>
      <c r="H1034" s="6">
        <f>IFERROR(__xludf.DUMMYFUNCTION("""COMPUTED_VALUE"""),105.81)</f>
        <v>105.81</v>
      </c>
      <c r="I1034" s="7">
        <f>IFERROR(__xludf.DUMMYFUNCTION("""COMPUTED_VALUE"""),21.0)</f>
        <v>21</v>
      </c>
      <c r="J1034" s="6">
        <f>IFERROR(__xludf.DUMMYFUNCTION("""COMPUTED_VALUE"""),126.97)</f>
        <v>126.97</v>
      </c>
      <c r="K1034" s="6">
        <f>IFERROR(__xludf.DUMMYFUNCTION("""COMPUTED_VALUE"""),148.13)</f>
        <v>148.13</v>
      </c>
      <c r="L1034" s="3"/>
      <c r="M1034" s="3"/>
    </row>
    <row r="1035" ht="48.0" customHeight="1">
      <c r="A1035" s="3" t="str">
        <f>IFERROR(__xludf.DUMMYFUNCTION("""COMPUTED_VALUE"""),"FLH365")</f>
        <v>FLH365</v>
      </c>
      <c r="B1035" s="4" t="str">
        <f>IFERROR(__xludf.DUMMYFUNCTION("""COMPUTED_VALUE"""),"DETECTOR TERMICO DIRECCIONABLE CON BASE B350LP")</f>
        <v>DETECTOR TERMICO DIRECCIONABLE CON BASE B350LP</v>
      </c>
      <c r="C1035" s="4" t="str">
        <f>IFERROR(__xludf.DUMMYFUNCTION("""COMPUTED_VALUE"""),"Detector termico direccionable con base B350LP.")</f>
        <v>Detector termico direccionable con base B350LP.</v>
      </c>
      <c r="D1035" s="4" t="str">
        <f>IFERROR(__xludf.DUMMYFUNCTION("""COMPUTED_VALUE"""),"FIRELITE")</f>
        <v>FIRELITE</v>
      </c>
      <c r="E1035" s="4" t="str">
        <f>IFERROR(__xludf.DUMMYFUNCTION("""COMPUTED_VALUE"""),"FLH365")</f>
        <v>FLH365</v>
      </c>
      <c r="F1035" s="4" t="str">
        <f>IFERROR(__xludf.DUMMYFUNCTION("""COMPUTED_VALUE"""),"INCENDIO &gt; DETECTORES DE INCENDIO DIRECCIONABLES")</f>
        <v>INCENDIO &gt; DETECTORES DE INCENDIO DIRECCIONABLES</v>
      </c>
      <c r="G1035" s="5"/>
      <c r="H1035" s="6">
        <f>IFERROR(__xludf.DUMMYFUNCTION("""COMPUTED_VALUE"""),92.74)</f>
        <v>92.74</v>
      </c>
      <c r="I1035" s="7">
        <f>IFERROR(__xludf.DUMMYFUNCTION("""COMPUTED_VALUE"""),21.0)</f>
        <v>21</v>
      </c>
      <c r="J1035" s="6">
        <f>IFERROR(__xludf.DUMMYFUNCTION("""COMPUTED_VALUE"""),111.29)</f>
        <v>111.29</v>
      </c>
      <c r="K1035" s="6">
        <f>IFERROR(__xludf.DUMMYFUNCTION("""COMPUTED_VALUE"""),129.84)</f>
        <v>129.84</v>
      </c>
      <c r="L1035" s="3"/>
      <c r="M1035" s="3"/>
    </row>
    <row r="1036" ht="48.0" customHeight="1">
      <c r="A1036" s="3" t="str">
        <f>IFERROR(__xludf.DUMMYFUNCTION("""COMPUTED_VALUE"""),"FLHFSP")</f>
        <v>FLHFSP</v>
      </c>
      <c r="B1036" s="4" t="str">
        <f>IFERROR(__xludf.DUMMYFUNCTION("""COMPUTED_VALUE"""),"DETECTOR DE HUMO FOTOELÉCTRICO DIRECCIONABLE PARA PANELES FLMS25E")</f>
        <v>DETECTOR DE HUMO FOTOELÉCTRICO DIRECCIONABLE PARA PANELES FLMS25E</v>
      </c>
      <c r="C1036" s="4" t="str">
        <f>IFERROR(__xludf.DUMMYFUNCTION("""COMPUTED_VALUE"""),"Detector de humo fotoeléctrico direccionable para paneles FLMS25E")</f>
        <v>Detector de humo fotoeléctrico direccionable para paneles FLMS25E</v>
      </c>
      <c r="D1036" s="4" t="str">
        <f>IFERROR(__xludf.DUMMYFUNCTION("""COMPUTED_VALUE"""),"FIRELITE")</f>
        <v>FIRELITE</v>
      </c>
      <c r="E1036" s="4" t="str">
        <f>IFERROR(__xludf.DUMMYFUNCTION("""COMPUTED_VALUE"""),"FLHFSP")</f>
        <v>FLHFSP</v>
      </c>
      <c r="F1036" s="4" t="str">
        <f>IFERROR(__xludf.DUMMYFUNCTION("""COMPUTED_VALUE"""),"INCENDIO &gt; DETECTORES DE INCENDIO DIRECCIONABLES")</f>
        <v>INCENDIO &gt; DETECTORES DE INCENDIO DIRECCIONABLES</v>
      </c>
      <c r="G1036" s="5"/>
      <c r="H1036" s="6">
        <f>IFERROR(__xludf.DUMMYFUNCTION("""COMPUTED_VALUE"""),33.0)</f>
        <v>33</v>
      </c>
      <c r="I1036" s="7">
        <f>IFERROR(__xludf.DUMMYFUNCTION("""COMPUTED_VALUE"""),21.0)</f>
        <v>21</v>
      </c>
      <c r="J1036" s="6">
        <f>IFERROR(__xludf.DUMMYFUNCTION("""COMPUTED_VALUE"""),39.6)</f>
        <v>39.6</v>
      </c>
      <c r="K1036" s="6">
        <f>IFERROR(__xludf.DUMMYFUNCTION("""COMPUTED_VALUE"""),46.2)</f>
        <v>46.2</v>
      </c>
      <c r="L1036" s="3"/>
      <c r="M1036" s="3"/>
    </row>
    <row r="1037" ht="48.0" customHeight="1">
      <c r="A1037" s="3" t="str">
        <f>IFERROR(__xludf.DUMMYFUNCTION("""COMPUTED_VALUE"""),"FLHFSPT")</f>
        <v>FLHFSPT</v>
      </c>
      <c r="B1037" s="4" t="str">
        <f>IFERROR(__xludf.DUMMYFUNCTION("""COMPUTED_VALUE"""),"DETECTOR DE HUMO COMBINADO FOTOELÉCTRICO + TÉRMICO DIRECCIONABLE PARA")</f>
        <v>DETECTOR DE HUMO COMBINADO FOTOELÉCTRICO + TÉRMICO DIRECCIONABLE PARA</v>
      </c>
      <c r="C1037" s="4" t="str">
        <f>IFERROR(__xludf.DUMMYFUNCTION("""COMPUTED_VALUE"""),"Detector de humo combinado fotoeléctrico + térmico direccionable para paneles FLMS25E")</f>
        <v>Detector de humo combinado fotoeléctrico + térmico direccionable para paneles FLMS25E</v>
      </c>
      <c r="D1037" s="4" t="str">
        <f>IFERROR(__xludf.DUMMYFUNCTION("""COMPUTED_VALUE"""),"FIRELITE")</f>
        <v>FIRELITE</v>
      </c>
      <c r="E1037" s="4" t="str">
        <f>IFERROR(__xludf.DUMMYFUNCTION("""COMPUTED_VALUE"""),"FLHFSPT")</f>
        <v>FLHFSPT</v>
      </c>
      <c r="F1037" s="4" t="str">
        <f>IFERROR(__xludf.DUMMYFUNCTION("""COMPUTED_VALUE"""),"INCENDIO &gt; DETECTORES DE INCENDIO DIRECCIONABLES")</f>
        <v>INCENDIO &gt; DETECTORES DE INCENDIO DIRECCIONABLES</v>
      </c>
      <c r="G1037" s="5"/>
      <c r="H1037" s="6">
        <f>IFERROR(__xludf.DUMMYFUNCTION("""COMPUTED_VALUE"""),33.0)</f>
        <v>33</v>
      </c>
      <c r="I1037" s="7">
        <f>IFERROR(__xludf.DUMMYFUNCTION("""COMPUTED_VALUE"""),21.0)</f>
        <v>21</v>
      </c>
      <c r="J1037" s="6">
        <f>IFERROR(__xludf.DUMMYFUNCTION("""COMPUTED_VALUE"""),39.6)</f>
        <v>39.6</v>
      </c>
      <c r="K1037" s="6">
        <f>IFERROR(__xludf.DUMMYFUNCTION("""COMPUTED_VALUE"""),46.2)</f>
        <v>46.2</v>
      </c>
      <c r="L1037" s="3"/>
      <c r="M1037" s="3"/>
    </row>
    <row r="1038" ht="48.0" customHeight="1">
      <c r="A1038" s="3" t="str">
        <f>IFERROR(__xludf.DUMMYFUNCTION("""COMPUTED_VALUE"""),"FLBG12LXSP")</f>
        <v>FLBG12LXSP</v>
      </c>
      <c r="B1038" s="4" t="str">
        <f>IFERROR(__xludf.DUMMYFUNCTION("""COMPUTED_VALUE"""),"ESTACIÓN DE LLAMADA INTELIGENTE DE DOBLE ACCIÓN CON LLAVE")</f>
        <v>ESTACIÓN DE LLAMADA INTELIGENTE DE DOBLE ACCIÓN CON LLAVE</v>
      </c>
      <c r="C1038" s="4" t="str">
        <f>IFERROR(__xludf.DUMMYFUNCTION("""COMPUTED_VALUE"""),"Estación de llamada inteligente de doble acción con llave de restablecimiento, montaje del módulo direccionable dentro del pulsador y terminal de conexión. Español.")</f>
        <v>Estación de llamada inteligente de doble acción con llave de restablecimiento, montaje del módulo direccionable dentro del pulsador y terminal de conexión. Español.</v>
      </c>
      <c r="D1038" s="4" t="str">
        <f>IFERROR(__xludf.DUMMYFUNCTION("""COMPUTED_VALUE"""),"FIRELITE")</f>
        <v>FIRELITE</v>
      </c>
      <c r="E1038" s="4" t="str">
        <f>IFERROR(__xludf.DUMMYFUNCTION("""COMPUTED_VALUE"""),"FLBG12LXSP")</f>
        <v>FLBG12LXSP</v>
      </c>
      <c r="F1038" s="4" t="str">
        <f>IFERROR(__xludf.DUMMYFUNCTION("""COMPUTED_VALUE"""),"INCENDIO &gt; ESTACIONES DE LLAMADA DIRECCIONABLES")</f>
        <v>INCENDIO &gt; ESTACIONES DE LLAMADA DIRECCIONABLES</v>
      </c>
      <c r="G1038" s="5"/>
      <c r="H1038" s="6">
        <f>IFERROR(__xludf.DUMMYFUNCTION("""COMPUTED_VALUE"""),87.36)</f>
        <v>87.36</v>
      </c>
      <c r="I1038" s="7">
        <f>IFERROR(__xludf.DUMMYFUNCTION("""COMPUTED_VALUE"""),10.5)</f>
        <v>10.5</v>
      </c>
      <c r="J1038" s="6">
        <f>IFERROR(__xludf.DUMMYFUNCTION("""COMPUTED_VALUE"""),104.83)</f>
        <v>104.83</v>
      </c>
      <c r="K1038" s="6">
        <f>IFERROR(__xludf.DUMMYFUNCTION("""COMPUTED_VALUE"""),122.3)</f>
        <v>122.3</v>
      </c>
      <c r="L1038" s="3"/>
      <c r="M1038" s="3"/>
    </row>
    <row r="1039" ht="48.0" customHeight="1">
      <c r="A1039" s="3" t="str">
        <f>IFERROR(__xludf.DUMMYFUNCTION("""COMPUTED_VALUE"""),"FLB224BI")</f>
        <v>FLB224BI</v>
      </c>
      <c r="B1039" s="4" t="str">
        <f>IFERROR(__xludf.DUMMYFUNCTION("""COMPUTED_VALUE"""),"BASE DE DETECTOR DE AISLACIÓN PLUGIN")</f>
        <v>BASE DE DETECTOR DE AISLACIÓN PLUGIN</v>
      </c>
      <c r="C1039" s="4" t="str">
        <f>IFERROR(__xludf.DUMMYFUNCTION("""COMPUTED_VALUE"""),"Base de detector de aislación Plugin")</f>
        <v>Base de detector de aislación Plugin</v>
      </c>
      <c r="D1039" s="4" t="str">
        <f>IFERROR(__xludf.DUMMYFUNCTION("""COMPUTED_VALUE"""),"FIRELITE")</f>
        <v>FIRELITE</v>
      </c>
      <c r="E1039" s="4" t="str">
        <f>IFERROR(__xludf.DUMMYFUNCTION("""COMPUTED_VALUE"""),"FLB224BI")</f>
        <v>FLB224BI</v>
      </c>
      <c r="F1039" s="4" t="str">
        <f>IFERROR(__xludf.DUMMYFUNCTION("""COMPUTED_VALUE"""),"INCENDIO &gt; MÓDULOS DIRECCIONABLES")</f>
        <v>INCENDIO &gt; MÓDULOS DIRECCIONABLES</v>
      </c>
      <c r="G1039" s="5"/>
      <c r="H1039" s="6">
        <f>IFERROR(__xludf.DUMMYFUNCTION("""COMPUTED_VALUE"""),94.6)</f>
        <v>94.6</v>
      </c>
      <c r="I1039" s="7">
        <f>IFERROR(__xludf.DUMMYFUNCTION("""COMPUTED_VALUE"""),21.0)</f>
        <v>21</v>
      </c>
      <c r="J1039" s="6">
        <f>IFERROR(__xludf.DUMMYFUNCTION("""COMPUTED_VALUE"""),113.52)</f>
        <v>113.52</v>
      </c>
      <c r="K1039" s="6">
        <f>IFERROR(__xludf.DUMMYFUNCTION("""COMPUTED_VALUE"""),132.44)</f>
        <v>132.44</v>
      </c>
      <c r="L1039" s="3"/>
      <c r="M1039" s="3"/>
    </row>
    <row r="1040" ht="48.0" customHeight="1">
      <c r="A1040" s="3" t="str">
        <f>IFERROR(__xludf.DUMMYFUNCTION("""COMPUTED_VALUE"""),"FLB224RB")</f>
        <v>FLB224RB</v>
      </c>
      <c r="B1040" s="4" t="str">
        <f>IFERROR(__xludf.DUMMYFUNCTION("""COMPUTED_VALUE"""),"BASE CON SALIDA RELE")</f>
        <v>BASE CON SALIDA RELE</v>
      </c>
      <c r="C1040" s="4" t="str">
        <f>IFERROR(__xludf.DUMMYFUNCTION("""COMPUTED_VALUE"""),"Base con salida rele")</f>
        <v>Base con salida rele</v>
      </c>
      <c r="D1040" s="4" t="str">
        <f>IFERROR(__xludf.DUMMYFUNCTION("""COMPUTED_VALUE"""),"FIRELITE")</f>
        <v>FIRELITE</v>
      </c>
      <c r="E1040" s="4" t="str">
        <f>IFERROR(__xludf.DUMMYFUNCTION("""COMPUTED_VALUE"""),"FLB224RB")</f>
        <v>FLB224RB</v>
      </c>
      <c r="F1040" s="4" t="str">
        <f>IFERROR(__xludf.DUMMYFUNCTION("""COMPUTED_VALUE"""),"INCENDIO &gt; MÓDULOS DIRECCIONABLES")</f>
        <v>INCENDIO &gt; MÓDULOS DIRECCIONABLES</v>
      </c>
      <c r="G1040" s="5"/>
      <c r="H1040" s="6">
        <f>IFERROR(__xludf.DUMMYFUNCTION("""COMPUTED_VALUE"""),94.6)</f>
        <v>94.6</v>
      </c>
      <c r="I1040" s="7">
        <f>IFERROR(__xludf.DUMMYFUNCTION("""COMPUTED_VALUE"""),21.0)</f>
        <v>21</v>
      </c>
      <c r="J1040" s="6">
        <f>IFERROR(__xludf.DUMMYFUNCTION("""COMPUTED_VALUE"""),113.52)</f>
        <v>113.52</v>
      </c>
      <c r="K1040" s="6">
        <f>IFERROR(__xludf.DUMMYFUNCTION("""COMPUTED_VALUE"""),132.44)</f>
        <v>132.44</v>
      </c>
      <c r="L1040" s="3"/>
      <c r="M1040" s="3"/>
    </row>
    <row r="1041" ht="48.0" customHeight="1">
      <c r="A1041" s="3" t="str">
        <f>IFERROR(__xludf.DUMMYFUNCTION("""COMPUTED_VALUE"""),"FLMMF300")</f>
        <v>FLMMF300</v>
      </c>
      <c r="B1041" s="4" t="str">
        <f>IFERROR(__xludf.DUMMYFUNCTION("""COMPUTED_VALUE"""),"MÓDULO DE MONITOREO DIRECCIONABLE")</f>
        <v>MÓDULO DE MONITOREO DIRECCIONABLE</v>
      </c>
      <c r="C1041" s="4" t="str">
        <f>IFERROR(__xludf.DUMMYFUNCTION("""COMPUTED_VALUE"""),"Módulo de monitoreo direccionable")</f>
        <v>Módulo de monitoreo direccionable</v>
      </c>
      <c r="D1041" s="4" t="str">
        <f>IFERROR(__xludf.DUMMYFUNCTION("""COMPUTED_VALUE"""),"FIRELITE")</f>
        <v>FIRELITE</v>
      </c>
      <c r="E1041" s="4" t="str">
        <f>IFERROR(__xludf.DUMMYFUNCTION("""COMPUTED_VALUE"""),"FLMMF300")</f>
        <v>FLMMF300</v>
      </c>
      <c r="F1041" s="4" t="str">
        <f>IFERROR(__xludf.DUMMYFUNCTION("""COMPUTED_VALUE"""),"INCENDIO &gt; MÓDULOS DIRECCIONABLES")</f>
        <v>INCENDIO &gt; MÓDULOS DIRECCIONABLES</v>
      </c>
      <c r="G1041" s="5"/>
      <c r="H1041" s="6">
        <f>IFERROR(__xludf.DUMMYFUNCTION("""COMPUTED_VALUE"""),54.14)</f>
        <v>54.14</v>
      </c>
      <c r="I1041" s="7">
        <f>IFERROR(__xludf.DUMMYFUNCTION("""COMPUTED_VALUE"""),21.0)</f>
        <v>21</v>
      </c>
      <c r="J1041" s="6">
        <f>IFERROR(__xludf.DUMMYFUNCTION("""COMPUTED_VALUE"""),64.97)</f>
        <v>64.97</v>
      </c>
      <c r="K1041" s="6">
        <f>IFERROR(__xludf.DUMMYFUNCTION("""COMPUTED_VALUE"""),75.8)</f>
        <v>75.8</v>
      </c>
      <c r="L1041" s="3"/>
      <c r="M1041" s="3"/>
    </row>
    <row r="1042" ht="48.0" customHeight="1">
      <c r="A1042" s="3" t="str">
        <f>IFERROR(__xludf.DUMMYFUNCTION("""COMPUTED_VALUE"""),"FLMMF301")</f>
        <v>FLMMF301</v>
      </c>
      <c r="B1042" s="4" t="str">
        <f>IFERROR(__xludf.DUMMYFUNCTION("""COMPUTED_VALUE"""),"MINIMÓDULO DE MONITOREO DIRECCIONABLE")</f>
        <v>MINIMÓDULO DE MONITOREO DIRECCIONABLE</v>
      </c>
      <c r="C1042" s="4" t="str">
        <f>IFERROR(__xludf.DUMMYFUNCTION("""COMPUTED_VALUE"""),"Minimódulo de monitoreo direccionable")</f>
        <v>Minimódulo de monitoreo direccionable</v>
      </c>
      <c r="D1042" s="4" t="str">
        <f>IFERROR(__xludf.DUMMYFUNCTION("""COMPUTED_VALUE"""),"FIRELITE")</f>
        <v>FIRELITE</v>
      </c>
      <c r="E1042" s="4" t="str">
        <f>IFERROR(__xludf.DUMMYFUNCTION("""COMPUTED_VALUE"""),"FLMMF301")</f>
        <v>FLMMF301</v>
      </c>
      <c r="F1042" s="4" t="str">
        <f>IFERROR(__xludf.DUMMYFUNCTION("""COMPUTED_VALUE"""),"INCENDIO &gt; MÓDULOS DIRECCIONABLES")</f>
        <v>INCENDIO &gt; MÓDULOS DIRECCIONABLES</v>
      </c>
      <c r="G1042" s="5"/>
      <c r="H1042" s="6">
        <f>IFERROR(__xludf.DUMMYFUNCTION("""COMPUTED_VALUE"""),46.41)</f>
        <v>46.41</v>
      </c>
      <c r="I1042" s="7">
        <f>IFERROR(__xludf.DUMMYFUNCTION("""COMPUTED_VALUE"""),21.0)</f>
        <v>21</v>
      </c>
      <c r="J1042" s="6">
        <f>IFERROR(__xludf.DUMMYFUNCTION("""COMPUTED_VALUE"""),55.69)</f>
        <v>55.69</v>
      </c>
      <c r="K1042" s="6">
        <f>IFERROR(__xludf.DUMMYFUNCTION("""COMPUTED_VALUE"""),64.97)</f>
        <v>64.97</v>
      </c>
      <c r="L1042" s="3"/>
      <c r="M1042" s="3"/>
    </row>
    <row r="1043" ht="48.0" customHeight="1">
      <c r="A1043" s="3" t="str">
        <f>IFERROR(__xludf.DUMMYFUNCTION("""COMPUTED_VALUE"""),"FLMMF302")</f>
        <v>FLMMF302</v>
      </c>
      <c r="B1043" s="4" t="str">
        <f>IFERROR(__xludf.DUMMYFUNCTION("""COMPUTED_VALUE"""),"MÓDULO DIRECCIONABLE MONITOREO Y SUPERVISIÓN")</f>
        <v>MÓDULO DIRECCIONABLE MONITOREO Y SUPERVISIÓN</v>
      </c>
      <c r="C1043" s="4" t="str">
        <f>IFERROR(__xludf.DUMMYFUNCTION("""COMPUTED_VALUE"""),"Módulo direccionable monitoreo y supervisión")</f>
        <v>Módulo direccionable monitoreo y supervisión</v>
      </c>
      <c r="D1043" s="4" t="str">
        <f>IFERROR(__xludf.DUMMYFUNCTION("""COMPUTED_VALUE"""),"FIRELITE")</f>
        <v>FIRELITE</v>
      </c>
      <c r="E1043" s="4" t="str">
        <f>IFERROR(__xludf.DUMMYFUNCTION("""COMPUTED_VALUE"""),"FLMMF302")</f>
        <v>FLMMF302</v>
      </c>
      <c r="F1043" s="4" t="str">
        <f>IFERROR(__xludf.DUMMYFUNCTION("""COMPUTED_VALUE"""),"INCENDIO &gt; MÓDULOS DIRECCIONABLES")</f>
        <v>INCENDIO &gt; MÓDULOS DIRECCIONABLES</v>
      </c>
      <c r="G1043" s="5"/>
      <c r="H1043" s="6">
        <f>IFERROR(__xludf.DUMMYFUNCTION("""COMPUTED_VALUE"""),150.22)</f>
        <v>150.22</v>
      </c>
      <c r="I1043" s="7">
        <f>IFERROR(__xludf.DUMMYFUNCTION("""COMPUTED_VALUE"""),21.0)</f>
        <v>21</v>
      </c>
      <c r="J1043" s="6">
        <f>IFERROR(__xludf.DUMMYFUNCTION("""COMPUTED_VALUE"""),180.26)</f>
        <v>180.26</v>
      </c>
      <c r="K1043" s="6">
        <f>IFERROR(__xludf.DUMMYFUNCTION("""COMPUTED_VALUE"""),210.31)</f>
        <v>210.31</v>
      </c>
      <c r="L1043" s="3"/>
      <c r="M1043" s="3"/>
    </row>
    <row r="1044" ht="48.0" customHeight="1">
      <c r="A1044" s="3" t="str">
        <f>IFERROR(__xludf.DUMMYFUNCTION("""COMPUTED_VALUE"""),"FLI300")</f>
        <v>FLI300</v>
      </c>
      <c r="B1044" s="4" t="str">
        <f>IFERROR(__xludf.DUMMYFUNCTION("""COMPUTED_VALUE"""),"MÓDULO DE AISLACIÓN NECESARIO PARA ESTILO 7 (CLASE A) SLC")</f>
        <v>MÓDULO DE AISLACIÓN NECESARIO PARA ESTILO 7 (CLASE A) SLC</v>
      </c>
      <c r="C1044" s="4" t="str">
        <f>IFERROR(__xludf.DUMMYFUNCTION("""COMPUTED_VALUE"""),"Módulo de aislación necesario para estilo 7 (Clase A) SLC")</f>
        <v>Módulo de aislación necesario para estilo 7 (Clase A) SLC</v>
      </c>
      <c r="D1044" s="4" t="str">
        <f>IFERROR(__xludf.DUMMYFUNCTION("""COMPUTED_VALUE"""),"FIRELITE")</f>
        <v>FIRELITE</v>
      </c>
      <c r="E1044" s="4" t="str">
        <f>IFERROR(__xludf.DUMMYFUNCTION("""COMPUTED_VALUE"""),"FLI300")</f>
        <v>FLI300</v>
      </c>
      <c r="F1044" s="4" t="str">
        <f>IFERROR(__xludf.DUMMYFUNCTION("""COMPUTED_VALUE"""),"INCENDIO &gt; MÓDULOS DIRECCIONABLES")</f>
        <v>INCENDIO &gt; MÓDULOS DIRECCIONABLES</v>
      </c>
      <c r="G1044" s="5"/>
      <c r="H1044" s="6">
        <f>IFERROR(__xludf.DUMMYFUNCTION("""COMPUTED_VALUE"""),51.73)</f>
        <v>51.73</v>
      </c>
      <c r="I1044" s="7">
        <f>IFERROR(__xludf.DUMMYFUNCTION("""COMPUTED_VALUE"""),21.0)</f>
        <v>21</v>
      </c>
      <c r="J1044" s="6">
        <f>IFERROR(__xludf.DUMMYFUNCTION("""COMPUTED_VALUE"""),62.08)</f>
        <v>62.08</v>
      </c>
      <c r="K1044" s="6">
        <f>IFERROR(__xludf.DUMMYFUNCTION("""COMPUTED_VALUE"""),72.42)</f>
        <v>72.42</v>
      </c>
      <c r="L1044" s="3"/>
      <c r="M1044" s="3"/>
    </row>
    <row r="1045" ht="48.0" customHeight="1">
      <c r="A1045" s="3" t="str">
        <f>IFERROR(__xludf.DUMMYFUNCTION("""COMPUTED_VALUE"""),"FLCMF300")</f>
        <v>FLCMF300</v>
      </c>
      <c r="B1045" s="4" t="str">
        <f>IFERROR(__xludf.DUMMYFUNCTION("""COMPUTED_VALUE"""),"MÓDULO DE CONTROL DIRECCIONABLE")</f>
        <v>MÓDULO DE CONTROL DIRECCIONABLE</v>
      </c>
      <c r="C1045" s="4" t="str">
        <f>IFERROR(__xludf.DUMMYFUNCTION("""COMPUTED_VALUE"""),"Módulo de control direccionable")</f>
        <v>Módulo de control direccionable</v>
      </c>
      <c r="D1045" s="4" t="str">
        <f>IFERROR(__xludf.DUMMYFUNCTION("""COMPUTED_VALUE"""),"FIRELITE")</f>
        <v>FIRELITE</v>
      </c>
      <c r="E1045" s="4" t="str">
        <f>IFERROR(__xludf.DUMMYFUNCTION("""COMPUTED_VALUE"""),"FLCMF300")</f>
        <v>FLCMF300</v>
      </c>
      <c r="F1045" s="4" t="str">
        <f>IFERROR(__xludf.DUMMYFUNCTION("""COMPUTED_VALUE"""),"INCENDIO &gt; MÓDULOS DIRECCIONABLES")</f>
        <v>INCENDIO &gt; MÓDULOS DIRECCIONABLES</v>
      </c>
      <c r="G1045" s="5"/>
      <c r="H1045" s="6">
        <f>IFERROR(__xludf.DUMMYFUNCTION("""COMPUTED_VALUE"""),78.28)</f>
        <v>78.28</v>
      </c>
      <c r="I1045" s="7">
        <f>IFERROR(__xludf.DUMMYFUNCTION("""COMPUTED_VALUE"""),21.0)</f>
        <v>21</v>
      </c>
      <c r="J1045" s="6">
        <f>IFERROR(__xludf.DUMMYFUNCTION("""COMPUTED_VALUE"""),93.94)</f>
        <v>93.94</v>
      </c>
      <c r="K1045" s="6">
        <f>IFERROR(__xludf.DUMMYFUNCTION("""COMPUTED_VALUE"""),109.59)</f>
        <v>109.59</v>
      </c>
      <c r="L1045" s="3"/>
      <c r="M1045" s="3"/>
    </row>
    <row r="1046" ht="48.0" customHeight="1">
      <c r="A1046" s="3" t="str">
        <f>IFERROR(__xludf.DUMMYFUNCTION("""COMPUTED_VALUE"""),"FLCRF300")</f>
        <v>FLCRF300</v>
      </c>
      <c r="B1046" s="4" t="str">
        <f>IFERROR(__xludf.DUMMYFUNCTION("""COMPUTED_VALUE"""),"MÓDULO DE RELAY CON 2 RELAYS FORM C INCORPORADOS")</f>
        <v>MÓDULO DE RELAY CON 2 RELAYS FORM C INCORPORADOS</v>
      </c>
      <c r="C1046" s="4" t="str">
        <f>IFERROR(__xludf.DUMMYFUNCTION("""COMPUTED_VALUE"""),"Módulo de relay con 2 relays Form C incorporados")</f>
        <v>Módulo de relay con 2 relays Form C incorporados</v>
      </c>
      <c r="D1046" s="4" t="str">
        <f>IFERROR(__xludf.DUMMYFUNCTION("""COMPUTED_VALUE"""),"FIRELITE")</f>
        <v>FIRELITE</v>
      </c>
      <c r="E1046" s="4" t="str">
        <f>IFERROR(__xludf.DUMMYFUNCTION("""COMPUTED_VALUE"""),"FLCRF300")</f>
        <v>FLCRF300</v>
      </c>
      <c r="F1046" s="4" t="str">
        <f>IFERROR(__xludf.DUMMYFUNCTION("""COMPUTED_VALUE"""),"INCENDIO &gt; MÓDULOS DIRECCIONABLES")</f>
        <v>INCENDIO &gt; MÓDULOS DIRECCIONABLES</v>
      </c>
      <c r="G1046" s="5"/>
      <c r="H1046" s="6">
        <f>IFERROR(__xludf.DUMMYFUNCTION("""COMPUTED_VALUE"""),71.47)</f>
        <v>71.47</v>
      </c>
      <c r="I1046" s="7">
        <f>IFERROR(__xludf.DUMMYFUNCTION("""COMPUTED_VALUE"""),21.0)</f>
        <v>21</v>
      </c>
      <c r="J1046" s="6">
        <f>IFERROR(__xludf.DUMMYFUNCTION("""COMPUTED_VALUE"""),85.76)</f>
        <v>85.76</v>
      </c>
      <c r="K1046" s="6">
        <f>IFERROR(__xludf.DUMMYFUNCTION("""COMPUTED_VALUE"""),100.06)</f>
        <v>100.06</v>
      </c>
      <c r="L1046" s="3"/>
      <c r="M1046" s="3"/>
    </row>
    <row r="1047" ht="48.0" customHeight="1">
      <c r="A1047" s="3" t="str">
        <f>IFERROR(__xludf.DUMMYFUNCTION("""COMPUTED_VALUE"""),"FLWGATE")</f>
        <v>FLWGATE</v>
      </c>
      <c r="B1047" s="4" t="str">
        <f>IFERROR(__xludf.DUMMYFUNCTION("""COMPUTED_VALUE"""),"PUERTA DE ENLACE INALÁMBRICA SWIFT FIRE•LITE:SE REQUIERE 1 PUERTA")</f>
        <v>PUERTA DE ENLACE INALÁMBRICA SWIFT FIRE•LITE:SE REQUIERE 1 PUERTA</v>
      </c>
      <c r="C1047" s="4" t="str">
        <f>IFERROR(__xludf.DUMMYFUNCTION("""COMPUTED_VALUE"""),"Puerta de enlace inalámbrica SWIFT Fire•Lite:se requiere 1 puerta de enlace SWIFT para cada red inalámbrica mallada, que admite hasta 49 detectores o módulos SWIFT y un controlador de visualización. Se conecta con el lazo del SLC de un panel compatible me"&amp;"diante el protocolo LiteSpeed. Se debe alimentar através del circuito de SLC o desde una entrada de 24 VDC opcional. Máximo 4 Gateway x instalación")</f>
        <v>Puerta de enlace inalámbrica SWIFT Fire•Lite:se requiere 1 puerta de enlace SWIFT para cada red inalámbrica mallada, que admite hasta 49 detectores o módulos SWIFT y un controlador de visualización. Se conecta con el lazo del SLC de un panel compatible mediante el protocolo LiteSpeed. Se debe alimentar através del circuito de SLC o desde una entrada de 24 VDC opcional. Máximo 4 Gateway x instalación</v>
      </c>
      <c r="D1047" s="4" t="str">
        <f>IFERROR(__xludf.DUMMYFUNCTION("""COMPUTED_VALUE"""),"FIRELITE")</f>
        <v>FIRELITE</v>
      </c>
      <c r="E1047" s="4" t="str">
        <f>IFERROR(__xludf.DUMMYFUNCTION("""COMPUTED_VALUE"""),"FLWGATE")</f>
        <v>FLWGATE</v>
      </c>
      <c r="F1047" s="4" t="str">
        <f>IFERROR(__xludf.DUMMYFUNCTION("""COMPUTED_VALUE"""),"INCENDIO &gt; MÓDULOS DIRECCIONABLES INALAMBRICOS")</f>
        <v>INCENDIO &gt; MÓDULOS DIRECCIONABLES INALAMBRICOS</v>
      </c>
      <c r="G1047" s="5"/>
      <c r="H1047" s="6">
        <f>IFERROR(__xludf.DUMMYFUNCTION("""COMPUTED_VALUE"""),401.5)</f>
        <v>401.5</v>
      </c>
      <c r="I1047" s="7">
        <f>IFERROR(__xludf.DUMMYFUNCTION("""COMPUTED_VALUE"""),21.0)</f>
        <v>21</v>
      </c>
      <c r="J1047" s="6">
        <f>IFERROR(__xludf.DUMMYFUNCTION("""COMPUTED_VALUE"""),481.8)</f>
        <v>481.8</v>
      </c>
      <c r="K1047" s="6">
        <f>IFERROR(__xludf.DUMMYFUNCTION("""COMPUTED_VALUE"""),562.1)</f>
        <v>562.1</v>
      </c>
      <c r="L1047" s="3"/>
      <c r="M1047" s="3"/>
    </row>
    <row r="1048" ht="48.0" customHeight="1">
      <c r="A1048" s="3" t="str">
        <f>IFERROR(__xludf.DUMMYFUNCTION("""COMPUTED_VALUE"""),"FLWH355R")</f>
        <v>FLWH355R</v>
      </c>
      <c r="B1048" s="4" t="str">
        <f>IFERROR(__xludf.DUMMYFUNCTION("""COMPUTED_VALUE"""),"DETECTOR INALÁMBRICO INTELIGENTE DE CALOR CON TEMPERATURA FIJA (135°)")</f>
        <v>DETECTOR INALÁMBRICO INTELIGENTE DE CALOR CON TEMPERATURA FIJA (135°)</v>
      </c>
      <c r="C1048" s="4" t="str">
        <f>IFERROR(__xludf.DUMMYFUNCTION("""COMPUTED_VALUE"""),"Detector inalámbrico inteligente de calor con temperatura fija (135°). Se entrega con una base B501W incluida. Requiere (4) baterías CR-123A (incluidas).")</f>
        <v>Detector inalámbrico inteligente de calor con temperatura fija (135°). Se entrega con una base B501W incluida. Requiere (4) baterías CR-123A (incluidas).</v>
      </c>
      <c r="D1048" s="4" t="str">
        <f>IFERROR(__xludf.DUMMYFUNCTION("""COMPUTED_VALUE"""),"FIRELITE")</f>
        <v>FIRELITE</v>
      </c>
      <c r="E1048" s="4" t="str">
        <f>IFERROR(__xludf.DUMMYFUNCTION("""COMPUTED_VALUE"""),"FLWH355R")</f>
        <v>FLWH355R</v>
      </c>
      <c r="F1048" s="4" t="str">
        <f>IFERROR(__xludf.DUMMYFUNCTION("""COMPUTED_VALUE"""),"INCENDIO &gt; MÓDULOS DIRECCIONABLES INALAMBRICOS")</f>
        <v>INCENDIO &gt; MÓDULOS DIRECCIONABLES INALAMBRICOS</v>
      </c>
      <c r="G1048" s="5"/>
      <c r="H1048" s="6">
        <f>IFERROR(__xludf.DUMMYFUNCTION("""COMPUTED_VALUE"""),169.13)</f>
        <v>169.13</v>
      </c>
      <c r="I1048" s="7">
        <f>IFERROR(__xludf.DUMMYFUNCTION("""COMPUTED_VALUE"""),21.0)</f>
        <v>21</v>
      </c>
      <c r="J1048" s="6">
        <f>IFERROR(__xludf.DUMMYFUNCTION("""COMPUTED_VALUE"""),202.96)</f>
        <v>202.96</v>
      </c>
      <c r="K1048" s="6">
        <f>IFERROR(__xludf.DUMMYFUNCTION("""COMPUTED_VALUE"""),236.78)</f>
        <v>236.78</v>
      </c>
      <c r="L1048" s="3"/>
      <c r="M1048" s="3"/>
    </row>
    <row r="1049" ht="48.0" customHeight="1">
      <c r="A1049" s="3" t="str">
        <f>IFERROR(__xludf.DUMMYFUNCTION("""COMPUTED_VALUE"""),"FLWSD355")</f>
        <v>FLWSD355</v>
      </c>
      <c r="B1049" s="4" t="str">
        <f>IFERROR(__xludf.DUMMYFUNCTION("""COMPUTED_VALUE"""),"DETECTOR FOTOELÉCTRICO DE HUMO INALÁMBRICO QUE SE UTILIZA CON")</f>
        <v>DETECTOR FOTOELÉCTRICO DE HUMO INALÁMBRICO QUE SE UTILIZA CON</v>
      </c>
      <c r="C1049" s="4" t="str">
        <f>IFERROR(__xludf.DUMMYFUNCTION("""COMPUTED_VALUE"""),"Detector fotoeléctrico de humo inalámbrico que se utiliza con la puerta de enlace inalámbrica W-GATE, B501W incluida. Requiere (4) baterías CR-123A (incluidas).")</f>
        <v>Detector fotoeléctrico de humo inalámbrico que se utiliza con la puerta de enlace inalámbrica W-GATE, B501W incluida. Requiere (4) baterías CR-123A (incluidas).</v>
      </c>
      <c r="D1049" s="4" t="str">
        <f>IFERROR(__xludf.DUMMYFUNCTION("""COMPUTED_VALUE"""),"FIRELITE")</f>
        <v>FIRELITE</v>
      </c>
      <c r="E1049" s="4" t="str">
        <f>IFERROR(__xludf.DUMMYFUNCTION("""COMPUTED_VALUE"""),"FLWSD355")</f>
        <v>FLWSD355</v>
      </c>
      <c r="F1049" s="4" t="str">
        <f>IFERROR(__xludf.DUMMYFUNCTION("""COMPUTED_VALUE"""),"INCENDIO &gt; MÓDULOS DIRECCIONABLES INALAMBRICOS")</f>
        <v>INCENDIO &gt; MÓDULOS DIRECCIONABLES INALAMBRICOS</v>
      </c>
      <c r="G1049" s="5"/>
      <c r="H1049" s="6">
        <f>IFERROR(__xludf.DUMMYFUNCTION("""COMPUTED_VALUE"""),199.38)</f>
        <v>199.38</v>
      </c>
      <c r="I1049" s="7">
        <f>IFERROR(__xludf.DUMMYFUNCTION("""COMPUTED_VALUE"""),21.0)</f>
        <v>21</v>
      </c>
      <c r="J1049" s="6">
        <f>IFERROR(__xludf.DUMMYFUNCTION("""COMPUTED_VALUE"""),239.26)</f>
        <v>239.26</v>
      </c>
      <c r="K1049" s="6">
        <f>IFERROR(__xludf.DUMMYFUNCTION("""COMPUTED_VALUE"""),279.13)</f>
        <v>279.13</v>
      </c>
      <c r="L1049" s="3"/>
      <c r="M1049" s="3"/>
    </row>
    <row r="1050" ht="48.0" customHeight="1">
      <c r="A1050" s="3" t="str">
        <f>IFERROR(__xludf.DUMMYFUNCTION("""COMPUTED_VALUE"""),"FLWSD355T")</f>
        <v>FLWSD355T</v>
      </c>
      <c r="B1050" s="4" t="str">
        <f>IFERROR(__xludf.DUMMYFUNCTION("""COMPUTED_VALUE"""),"DETECTOR INALÁMBRICO INTELIGENTE DE CALOR/FOTOELÉCTRICO")</f>
        <v>DETECTOR INALÁMBRICO INTELIGENTE DE CALOR/FOTOELÉCTRICO</v>
      </c>
      <c r="C1050" s="4" t="str">
        <f>IFERROR(__xludf.DUMMYFUNCTION("""COMPUTED_VALUE"""),"Detector inalámbrico inteligente de calor/fotoeléctrico. Se entrega con la base B501W incluida.Requiere (4) baterías CR-123A (incluidas).")</f>
        <v>Detector inalámbrico inteligente de calor/fotoeléctrico. Se entrega con la base B501W incluida.Requiere (4) baterías CR-123A (incluidas).</v>
      </c>
      <c r="D1050" s="4" t="str">
        <f>IFERROR(__xludf.DUMMYFUNCTION("""COMPUTED_VALUE"""),"FIRELITE")</f>
        <v>FIRELITE</v>
      </c>
      <c r="E1050" s="4" t="str">
        <f>IFERROR(__xludf.DUMMYFUNCTION("""COMPUTED_VALUE"""),"FLWSD355T")</f>
        <v>FLWSD355T</v>
      </c>
      <c r="F1050" s="4" t="str">
        <f>IFERROR(__xludf.DUMMYFUNCTION("""COMPUTED_VALUE"""),"INCENDIO &gt; MÓDULOS DIRECCIONABLES INALAMBRICOS")</f>
        <v>INCENDIO &gt; MÓDULOS DIRECCIONABLES INALAMBRICOS</v>
      </c>
      <c r="G1050" s="5"/>
      <c r="H1050" s="6">
        <f>IFERROR(__xludf.DUMMYFUNCTION("""COMPUTED_VALUE"""),261.25)</f>
        <v>261.25</v>
      </c>
      <c r="I1050" s="7">
        <f>IFERROR(__xludf.DUMMYFUNCTION("""COMPUTED_VALUE"""),21.0)</f>
        <v>21</v>
      </c>
      <c r="J1050" s="6">
        <f>IFERROR(__xludf.DUMMYFUNCTION("""COMPUTED_VALUE"""),313.5)</f>
        <v>313.5</v>
      </c>
      <c r="K1050" s="6">
        <f>IFERROR(__xludf.DUMMYFUNCTION("""COMPUTED_VALUE"""),365.75)</f>
        <v>365.75</v>
      </c>
      <c r="L1050" s="3"/>
      <c r="M1050" s="3"/>
    </row>
    <row r="1051" ht="48.0" customHeight="1">
      <c r="A1051" s="3" t="str">
        <f>IFERROR(__xludf.DUMMYFUNCTION("""COMPUTED_VALUE"""),"FLWUSB")</f>
        <v>FLWUSB</v>
      </c>
      <c r="B1051" s="4" t="str">
        <f>IFERROR(__xludf.DUMMYFUNCTION("""COMPUTED_VALUE"""),"LLAVE INALÁMBRICA W-USB PARA ANTENA/RADIO QUE SE CONECTA EN")</f>
        <v>LLAVE INALÁMBRICA W-USB PARA ANTENA/RADIO QUE SE CONECTA EN</v>
      </c>
      <c r="C1051" s="4" t="str">
        <f>IFERROR(__xludf.DUMMYFUNCTION("""COMPUTED_VALUE"""),"Llave inalámbrica W-USB para antena/radio que se conecta en el puerto USB de una PC donde se ejecute SWIFT Tools. La llave W-USB proporciona el enlace de comunicación con los dispositivos inalámbricos SWIFT que se encuentran a aproximadamente 20 pies y qu"&amp;"e no conforman la red en malla.")</f>
        <v>Llave inalámbrica W-USB para antena/radio que se conecta en el puerto USB de una PC donde se ejecute SWIFT Tools. La llave W-USB proporciona el enlace de comunicación con los dispositivos inalámbricos SWIFT que se encuentran a aproximadamente 20 pies y que no conforman la red en malla.</v>
      </c>
      <c r="D1051" s="4" t="str">
        <f>IFERROR(__xludf.DUMMYFUNCTION("""COMPUTED_VALUE"""),"FIRELITE")</f>
        <v>FIRELITE</v>
      </c>
      <c r="E1051" s="4" t="str">
        <f>IFERROR(__xludf.DUMMYFUNCTION("""COMPUTED_VALUE"""),"FLWUSB")</f>
        <v>FLWUSB</v>
      </c>
      <c r="F1051" s="4" t="str">
        <f>IFERROR(__xludf.DUMMYFUNCTION("""COMPUTED_VALUE"""),"INCENDIO &gt; MÓDULOS DIRECCIONABLES INALAMBRICOS")</f>
        <v>INCENDIO &gt; MÓDULOS DIRECCIONABLES INALAMBRICOS</v>
      </c>
      <c r="G1051" s="5"/>
      <c r="H1051" s="6">
        <f>IFERROR(__xludf.DUMMYFUNCTION("""COMPUTED_VALUE"""),281.88)</f>
        <v>281.88</v>
      </c>
      <c r="I1051" s="7">
        <f>IFERROR(__xludf.DUMMYFUNCTION("""COMPUTED_VALUE"""),21.0)</f>
        <v>21</v>
      </c>
      <c r="J1051" s="6">
        <f>IFERROR(__xludf.DUMMYFUNCTION("""COMPUTED_VALUE"""),338.26)</f>
        <v>338.26</v>
      </c>
      <c r="K1051" s="6">
        <f>IFERROR(__xludf.DUMMYFUNCTION("""COMPUTED_VALUE"""),394.63)</f>
        <v>394.63</v>
      </c>
      <c r="L1051" s="3"/>
      <c r="M1051" s="3"/>
    </row>
    <row r="1052" ht="48.0" customHeight="1">
      <c r="A1052" s="3" t="str">
        <f>IFERROR(__xludf.DUMMYFUNCTION("""COMPUTED_VALUE"""),"DIAR5200SM3")</f>
        <v>DIAR5200SM3</v>
      </c>
      <c r="B1052" s="4" t="str">
        <f>IFERROR(__xludf.DUMMYFUNCTION("""COMPUTED_VALUE"""),"AWG16 CABLE PARA INCENDIO DE 2X0")</f>
        <v>AWG16 CABLE PARA INCENDIO DE 2X0</v>
      </c>
      <c r="C1052" s="4" t="str">
        <f>IFERROR(__xludf.DUMMYFUNCTION("""COMPUTED_VALUE"""),"AWG16 Cable para Incendio de 2x0.88 mm bobina x 105 metros certificaión UL")</f>
        <v>AWG16 Cable para Incendio de 2x0.88 mm bobina x 105 metros certificaión UL</v>
      </c>
      <c r="D1052" s="4" t="str">
        <f>IFERROR(__xludf.DUMMYFUNCTION("""COMPUTED_VALUE"""),"DIALSEC")</f>
        <v>DIALSEC</v>
      </c>
      <c r="E1052" s="4" t="str">
        <f>IFERROR(__xludf.DUMMYFUNCTION("""COMPUTED_VALUE"""),"DIAR5200SM3")</f>
        <v>DIAR5200SM3</v>
      </c>
      <c r="F1052" s="4" t="str">
        <f>IFERROR(__xludf.DUMMYFUNCTION("""COMPUTED_VALUE"""),"INCENDIO &gt; CABLES PARA INSTALACIONES DE DETECCION DE INCENDIOS")</f>
        <v>INCENDIO &gt; CABLES PARA INSTALACIONES DE DETECCION DE INCENDIOS</v>
      </c>
      <c r="G1052" s="5"/>
      <c r="H1052" s="6">
        <f>IFERROR(__xludf.DUMMYFUNCTION("""COMPUTED_VALUE"""),0.0)</f>
        <v>0</v>
      </c>
      <c r="I1052" s="7">
        <f>IFERROR(__xludf.DUMMYFUNCTION("""COMPUTED_VALUE"""),21.0)</f>
        <v>21</v>
      </c>
      <c r="J1052" s="6">
        <f>IFERROR(__xludf.DUMMYFUNCTION("""COMPUTED_VALUE"""),0.0)</f>
        <v>0</v>
      </c>
      <c r="K1052" s="6">
        <f>IFERROR(__xludf.DUMMYFUNCTION("""COMPUTED_VALUE"""),0.0)</f>
        <v>0</v>
      </c>
      <c r="L1052" s="3"/>
      <c r="M1052" s="3"/>
    </row>
    <row r="1053" ht="48.0" customHeight="1">
      <c r="A1053" s="3" t="str">
        <f>IFERROR(__xludf.DUMMYFUNCTION("""COMPUTED_VALUE"""),"DIAR5200CM3")</f>
        <v>DIAR5200CM3</v>
      </c>
      <c r="B1053" s="4" t="str">
        <f>IFERROR(__xludf.DUMMYFUNCTION("""COMPUTED_VALUE"""),"AWG16 CABLE PARA INCENDIO DE 2X0")</f>
        <v>AWG16 CABLE PARA INCENDIO DE 2X0</v>
      </c>
      <c r="C1053" s="4" t="str">
        <f>IFERROR(__xludf.DUMMYFUNCTION("""COMPUTED_VALUE"""),"AWG16 Cable para Incendio de 2x0.88 mm bobina x 305 metros certificaión UL con pantalla")</f>
        <v>AWG16 Cable para Incendio de 2x0.88 mm bobina x 305 metros certificaión UL con pantalla</v>
      </c>
      <c r="D1053" s="4" t="str">
        <f>IFERROR(__xludf.DUMMYFUNCTION("""COMPUTED_VALUE"""),"DIALSEC")</f>
        <v>DIALSEC</v>
      </c>
      <c r="E1053" s="4" t="str">
        <f>IFERROR(__xludf.DUMMYFUNCTION("""COMPUTED_VALUE"""),"DIAR5200CM3")</f>
        <v>DIAR5200CM3</v>
      </c>
      <c r="F1053" s="4" t="str">
        <f>IFERROR(__xludf.DUMMYFUNCTION("""COMPUTED_VALUE"""),"INCENDIO &gt; CABLES PARA INSTALACIONES DE DETECCION DE INCENDIOS")</f>
        <v>INCENDIO &gt; CABLES PARA INSTALACIONES DE DETECCION DE INCENDIOS</v>
      </c>
      <c r="G1053" s="5"/>
      <c r="H1053" s="6">
        <f>IFERROR(__xludf.DUMMYFUNCTION("""COMPUTED_VALUE"""),0.0)</f>
        <v>0</v>
      </c>
      <c r="I1053" s="7">
        <f>IFERROR(__xludf.DUMMYFUNCTION("""COMPUTED_VALUE"""),21.0)</f>
        <v>21</v>
      </c>
      <c r="J1053" s="6">
        <f>IFERROR(__xludf.DUMMYFUNCTION("""COMPUTED_VALUE"""),0.0)</f>
        <v>0</v>
      </c>
      <c r="K1053" s="6">
        <f>IFERROR(__xludf.DUMMYFUNCTION("""COMPUTED_VALUE"""),0.0)</f>
        <v>0</v>
      </c>
      <c r="L1053" s="3"/>
      <c r="M1053" s="3"/>
    </row>
    <row r="1054" ht="48.0" customHeight="1">
      <c r="A1054" s="3" t="str">
        <f>IFERROR(__xludf.DUMMYFUNCTION("""COMPUTED_VALUE"""),"AR5100SM1")</f>
        <v>AR5100SM1</v>
      </c>
      <c r="B1054" s="4" t="str">
        <f>IFERROR(__xludf.DUMMYFUNCTION("""COMPUTED_VALUE"""),"AWG18 CABLE PARA INCENDIO DE 2X0")</f>
        <v>AWG18 CABLE PARA INCENDIO DE 2X0</v>
      </c>
      <c r="C1054" s="4" t="str">
        <f>IFERROR(__xludf.DUMMYFUNCTION("""COMPUTED_VALUE"""),"AWG18 Cable para Incendio de 2x0.88 mm 300V 105º bobina x 100 metros")</f>
        <v>AWG18 Cable para Incendio de 2x0.88 mm 300V 105º bobina x 100 metros</v>
      </c>
      <c r="D1054" s="4" t="str">
        <f>IFERROR(__xludf.DUMMYFUNCTION("""COMPUTED_VALUE"""),"GENERICO")</f>
        <v>GENERICO</v>
      </c>
      <c r="E1054" s="4" t="str">
        <f>IFERROR(__xludf.DUMMYFUNCTION("""COMPUTED_VALUE"""),"AR5100SM1")</f>
        <v>AR5100SM1</v>
      </c>
      <c r="F1054" s="4" t="str">
        <f>IFERROR(__xludf.DUMMYFUNCTION("""COMPUTED_VALUE"""),"INCENDIO &gt; CABLES PARA INSTALACIONES DE DETECCION DE INCENDIOS")</f>
        <v>INCENDIO &gt; CABLES PARA INSTALACIONES DE DETECCION DE INCENDIOS</v>
      </c>
      <c r="G1054" s="5"/>
      <c r="H1054" s="6">
        <f>IFERROR(__xludf.DUMMYFUNCTION("""COMPUTED_VALUE"""),93.5)</f>
        <v>93.5</v>
      </c>
      <c r="I1054" s="7">
        <f>IFERROR(__xludf.DUMMYFUNCTION("""COMPUTED_VALUE"""),21.0)</f>
        <v>21</v>
      </c>
      <c r="J1054" s="6">
        <f>IFERROR(__xludf.DUMMYFUNCTION("""COMPUTED_VALUE"""),112.2)</f>
        <v>112.2</v>
      </c>
      <c r="K1054" s="6">
        <f>IFERROR(__xludf.DUMMYFUNCTION("""COMPUTED_VALUE"""),130.9)</f>
        <v>130.9</v>
      </c>
      <c r="L1054" s="3"/>
      <c r="M1054" s="3"/>
    </row>
    <row r="1055" ht="48.0" customHeight="1">
      <c r="A1055" s="3" t="str">
        <f>IFERROR(__xludf.DUMMYFUNCTION("""COMPUTED_VALUE"""),"AR5100CM1")</f>
        <v>AR5100CM1</v>
      </c>
      <c r="B1055" s="4" t="str">
        <f>IFERROR(__xludf.DUMMYFUNCTION("""COMPUTED_VALUE"""),"AWG18 CABLE PARA INCENDIO DE 2X0")</f>
        <v>AWG18 CABLE PARA INCENDIO DE 2X0</v>
      </c>
      <c r="C1055" s="4" t="str">
        <f>IFERROR(__xludf.DUMMYFUNCTION("""COMPUTED_VALUE"""),"AWG18 Cable para Incendio de 2x0.88 mm 300V 105º con pantalla bobina x 100 metros")</f>
        <v>AWG18 Cable para Incendio de 2x0.88 mm 300V 105º con pantalla bobina x 100 metros</v>
      </c>
      <c r="D1055" s="4" t="str">
        <f>IFERROR(__xludf.DUMMYFUNCTION("""COMPUTED_VALUE"""),"GENERICO")</f>
        <v>GENERICO</v>
      </c>
      <c r="E1055" s="4" t="str">
        <f>IFERROR(__xludf.DUMMYFUNCTION("""COMPUTED_VALUE"""),"AR5100CM1")</f>
        <v>AR5100CM1</v>
      </c>
      <c r="F1055" s="4" t="str">
        <f>IFERROR(__xludf.DUMMYFUNCTION("""COMPUTED_VALUE"""),"INCENDIO &gt; CABLES PARA INSTALACIONES DE DETECCION DE INCENDIOS")</f>
        <v>INCENDIO &gt; CABLES PARA INSTALACIONES DE DETECCION DE INCENDIOS</v>
      </c>
      <c r="G1055" s="5"/>
      <c r="H1055" s="6">
        <f>IFERROR(__xludf.DUMMYFUNCTION("""COMPUTED_VALUE"""),141.9)</f>
        <v>141.9</v>
      </c>
      <c r="I1055" s="7">
        <f>IFERROR(__xludf.DUMMYFUNCTION("""COMPUTED_VALUE"""),21.0)</f>
        <v>21</v>
      </c>
      <c r="J1055" s="6">
        <f>IFERROR(__xludf.DUMMYFUNCTION("""COMPUTED_VALUE"""),170.28)</f>
        <v>170.28</v>
      </c>
      <c r="K1055" s="6">
        <f>IFERROR(__xludf.DUMMYFUNCTION("""COMPUTED_VALUE"""),198.66)</f>
        <v>198.66</v>
      </c>
      <c r="L1055" s="3"/>
      <c r="M1055" s="3"/>
    </row>
    <row r="1056" ht="48.0" customHeight="1">
      <c r="A1056" s="3" t="str">
        <f>IFERROR(__xludf.DUMMYFUNCTION("""COMPUTED_VALUE"""),"AR5100SM5")</f>
        <v>AR5100SM5</v>
      </c>
      <c r="B1056" s="4" t="str">
        <f>IFERROR(__xludf.DUMMYFUNCTION("""COMPUTED_VALUE"""),"AWG18 CABLE PARA INCENDIO DE 2X0")</f>
        <v>AWG18 CABLE PARA INCENDIO DE 2X0</v>
      </c>
      <c r="C1056" s="4" t="str">
        <f>IFERROR(__xludf.DUMMYFUNCTION("""COMPUTED_VALUE"""),"AWG18 Cable para Incendio de 2x0.88 mm 300V 105º bobina x 500 metros")</f>
        <v>AWG18 Cable para Incendio de 2x0.88 mm 300V 105º bobina x 500 metros</v>
      </c>
      <c r="D1056" s="4" t="str">
        <f>IFERROR(__xludf.DUMMYFUNCTION("""COMPUTED_VALUE"""),"GENERICO")</f>
        <v>GENERICO</v>
      </c>
      <c r="E1056" s="4" t="str">
        <f>IFERROR(__xludf.DUMMYFUNCTION("""COMPUTED_VALUE"""),"AR5100SM5")</f>
        <v>AR5100SM5</v>
      </c>
      <c r="F1056" s="4" t="str">
        <f>IFERROR(__xludf.DUMMYFUNCTION("""COMPUTED_VALUE"""),"INCENDIO &gt; CABLES PARA INSTALACIONES DE DETECCION DE INCENDIOS")</f>
        <v>INCENDIO &gt; CABLES PARA INSTALACIONES DE DETECCION DE INCENDIOS</v>
      </c>
      <c r="G1056" s="5"/>
      <c r="H1056" s="6">
        <f>IFERROR(__xludf.DUMMYFUNCTION("""COMPUTED_VALUE"""),434.5)</f>
        <v>434.5</v>
      </c>
      <c r="I1056" s="7">
        <f>IFERROR(__xludf.DUMMYFUNCTION("""COMPUTED_VALUE"""),21.0)</f>
        <v>21</v>
      </c>
      <c r="J1056" s="6">
        <f>IFERROR(__xludf.DUMMYFUNCTION("""COMPUTED_VALUE"""),521.4)</f>
        <v>521.4</v>
      </c>
      <c r="K1056" s="6">
        <f>IFERROR(__xludf.DUMMYFUNCTION("""COMPUTED_VALUE"""),608.3)</f>
        <v>608.3</v>
      </c>
      <c r="L1056" s="3"/>
      <c r="M1056" s="3"/>
    </row>
    <row r="1057" ht="48.0" customHeight="1">
      <c r="A1057" s="3" t="str">
        <f>IFERROR(__xludf.DUMMYFUNCTION("""COMPUTED_VALUE"""),"AR5100CM5")</f>
        <v>AR5100CM5</v>
      </c>
      <c r="B1057" s="4" t="str">
        <f>IFERROR(__xludf.DUMMYFUNCTION("""COMPUTED_VALUE"""),"AWG18 CABLE PARA INCENDIO DE 2X0")</f>
        <v>AWG18 CABLE PARA INCENDIO DE 2X0</v>
      </c>
      <c r="C1057" s="4" t="str">
        <f>IFERROR(__xludf.DUMMYFUNCTION("""COMPUTED_VALUE"""),"AWG18 Cable para Incendio de 2x0.88 mm 300V 105º con pantalla bobina x 500 metros")</f>
        <v>AWG18 Cable para Incendio de 2x0.88 mm 300V 105º con pantalla bobina x 500 metros</v>
      </c>
      <c r="D1057" s="4" t="str">
        <f>IFERROR(__xludf.DUMMYFUNCTION("""COMPUTED_VALUE"""),"GENERICO")</f>
        <v>GENERICO</v>
      </c>
      <c r="E1057" s="4" t="str">
        <f>IFERROR(__xludf.DUMMYFUNCTION("""COMPUTED_VALUE"""),"AR5100CM5")</f>
        <v>AR5100CM5</v>
      </c>
      <c r="F1057" s="4" t="str">
        <f>IFERROR(__xludf.DUMMYFUNCTION("""COMPUTED_VALUE"""),"INCENDIO &gt; CABLES PARA INSTALACIONES DE DETECCION DE INCENDIOS")</f>
        <v>INCENDIO &gt; CABLES PARA INSTALACIONES DE DETECCION DE INCENDIOS</v>
      </c>
      <c r="G1057" s="5"/>
      <c r="H1057" s="6">
        <f>IFERROR(__xludf.DUMMYFUNCTION("""COMPUTED_VALUE"""),654.5)</f>
        <v>654.5</v>
      </c>
      <c r="I1057" s="7">
        <f>IFERROR(__xludf.DUMMYFUNCTION("""COMPUTED_VALUE"""),21.0)</f>
        <v>21</v>
      </c>
      <c r="J1057" s="6">
        <f>IFERROR(__xludf.DUMMYFUNCTION("""COMPUTED_VALUE"""),785.4)</f>
        <v>785.4</v>
      </c>
      <c r="K1057" s="6">
        <f>IFERROR(__xludf.DUMMYFUNCTION("""COMPUTED_VALUE"""),916.3)</f>
        <v>916.3</v>
      </c>
      <c r="L1057" s="3"/>
      <c r="M1057" s="3"/>
    </row>
    <row r="1058" ht="48.0" customHeight="1">
      <c r="A1058" s="3" t="str">
        <f>IFERROR(__xludf.DUMMYFUNCTION("""COMPUTED_VALUE"""),"AR5300SM1")</f>
        <v>AR5300SM1</v>
      </c>
      <c r="B1058" s="4" t="str">
        <f>IFERROR(__xludf.DUMMYFUNCTION("""COMPUTED_VALUE"""),"AWG16 CABLE PARA INCENDIO DE 2X1")</f>
        <v>AWG16 CABLE PARA INCENDIO DE 2X1</v>
      </c>
      <c r="C1058" s="4" t="str">
        <f>IFERROR(__xludf.DUMMYFUNCTION("""COMPUTED_VALUE"""),"AWG16 Cable para Incendio de 2x1.31 mm 300V 105º bobina x 100 metros")</f>
        <v>AWG16 Cable para Incendio de 2x1.31 mm 300V 105º bobina x 100 metros</v>
      </c>
      <c r="D1058" s="4" t="str">
        <f>IFERROR(__xludf.DUMMYFUNCTION("""COMPUTED_VALUE"""),"GENERICO")</f>
        <v>GENERICO</v>
      </c>
      <c r="E1058" s="4" t="str">
        <f>IFERROR(__xludf.DUMMYFUNCTION("""COMPUTED_VALUE"""),"AR5300SM1")</f>
        <v>AR5300SM1</v>
      </c>
      <c r="F1058" s="4" t="str">
        <f>IFERROR(__xludf.DUMMYFUNCTION("""COMPUTED_VALUE"""),"INCENDIO &gt; CABLES PARA INSTALACIONES DE DETECCION DE INCENDIOS")</f>
        <v>INCENDIO &gt; CABLES PARA INSTALACIONES DE DETECCION DE INCENDIOS</v>
      </c>
      <c r="G1058" s="5"/>
      <c r="H1058" s="6">
        <f>IFERROR(__xludf.DUMMYFUNCTION("""COMPUTED_VALUE"""),141.9)</f>
        <v>141.9</v>
      </c>
      <c r="I1058" s="7">
        <f>IFERROR(__xludf.DUMMYFUNCTION("""COMPUTED_VALUE"""),21.0)</f>
        <v>21</v>
      </c>
      <c r="J1058" s="6">
        <f>IFERROR(__xludf.DUMMYFUNCTION("""COMPUTED_VALUE"""),170.28)</f>
        <v>170.28</v>
      </c>
      <c r="K1058" s="6">
        <f>IFERROR(__xludf.DUMMYFUNCTION("""COMPUTED_VALUE"""),198.66)</f>
        <v>198.66</v>
      </c>
      <c r="L1058" s="3"/>
      <c r="M1058" s="3"/>
    </row>
    <row r="1059" ht="48.0" customHeight="1">
      <c r="A1059" s="3" t="str">
        <f>IFERROR(__xludf.DUMMYFUNCTION("""COMPUTED_VALUE"""),"AR5300CM1")</f>
        <v>AR5300CM1</v>
      </c>
      <c r="B1059" s="4" t="str">
        <f>IFERROR(__xludf.DUMMYFUNCTION("""COMPUTED_VALUE"""),"AWG16 CABLE PARA INCENDIO DE 2X1")</f>
        <v>AWG16 CABLE PARA INCENDIO DE 2X1</v>
      </c>
      <c r="C1059" s="4" t="str">
        <f>IFERROR(__xludf.DUMMYFUNCTION("""COMPUTED_VALUE"""),"AWG16 Cable para Incendio de 2x1.31 mm 300V 105º con pantalla bobina x 100 metros")</f>
        <v>AWG16 Cable para Incendio de 2x1.31 mm 300V 105º con pantalla bobina x 100 metros</v>
      </c>
      <c r="D1059" s="4" t="str">
        <f>IFERROR(__xludf.DUMMYFUNCTION("""COMPUTED_VALUE"""),"GENERICO")</f>
        <v>GENERICO</v>
      </c>
      <c r="E1059" s="4" t="str">
        <f>IFERROR(__xludf.DUMMYFUNCTION("""COMPUTED_VALUE"""),"AR5300CM1")</f>
        <v>AR5300CM1</v>
      </c>
      <c r="F1059" s="4" t="str">
        <f>IFERROR(__xludf.DUMMYFUNCTION("""COMPUTED_VALUE"""),"INCENDIO &gt; CABLES PARA INSTALACIONES DE DETECCION DE INCENDIOS")</f>
        <v>INCENDIO &gt; CABLES PARA INSTALACIONES DE DETECCION DE INCENDIOS</v>
      </c>
      <c r="G1059" s="5"/>
      <c r="H1059" s="6">
        <f>IFERROR(__xludf.DUMMYFUNCTION("""COMPUTED_VALUE"""),0.0)</f>
        <v>0</v>
      </c>
      <c r="I1059" s="7">
        <f>IFERROR(__xludf.DUMMYFUNCTION("""COMPUTED_VALUE"""),21.0)</f>
        <v>21</v>
      </c>
      <c r="J1059" s="6">
        <f>IFERROR(__xludf.DUMMYFUNCTION("""COMPUTED_VALUE"""),0.0)</f>
        <v>0</v>
      </c>
      <c r="K1059" s="6">
        <f>IFERROR(__xludf.DUMMYFUNCTION("""COMPUTED_VALUE"""),0.0)</f>
        <v>0</v>
      </c>
      <c r="L1059" s="3"/>
      <c r="M1059" s="3"/>
    </row>
    <row r="1060" ht="48.0" customHeight="1">
      <c r="A1060" s="3" t="str">
        <f>IFERROR(__xludf.DUMMYFUNCTION("""COMPUTED_VALUE"""),"AR5300SM5")</f>
        <v>AR5300SM5</v>
      </c>
      <c r="B1060" s="4" t="str">
        <f>IFERROR(__xludf.DUMMYFUNCTION("""COMPUTED_VALUE"""),"AWG16 CABLE PARA INCENDIO DE 2X1")</f>
        <v>AWG16 CABLE PARA INCENDIO DE 2X1</v>
      </c>
      <c r="C1060" s="4" t="str">
        <f>IFERROR(__xludf.DUMMYFUNCTION("""COMPUTED_VALUE"""),"AWG16 Cable para Incendio de 2x1.31 mm 300V 105º bobina x 500 metros")</f>
        <v>AWG16 Cable para Incendio de 2x1.31 mm 300V 105º bobina x 500 metros</v>
      </c>
      <c r="D1060" s="4" t="str">
        <f>IFERROR(__xludf.DUMMYFUNCTION("""COMPUTED_VALUE"""),"GENERICO")</f>
        <v>GENERICO</v>
      </c>
      <c r="E1060" s="4" t="str">
        <f>IFERROR(__xludf.DUMMYFUNCTION("""COMPUTED_VALUE"""),"AR5300SM5")</f>
        <v>AR5300SM5</v>
      </c>
      <c r="F1060" s="4" t="str">
        <f>IFERROR(__xludf.DUMMYFUNCTION("""COMPUTED_VALUE"""),"INCENDIO &gt; CABLES PARA INSTALACIONES DE DETECCION DE INCENDIOS")</f>
        <v>INCENDIO &gt; CABLES PARA INSTALACIONES DE DETECCION DE INCENDIOS</v>
      </c>
      <c r="G1060" s="5"/>
      <c r="H1060" s="6">
        <f>IFERROR(__xludf.DUMMYFUNCTION("""COMPUTED_VALUE"""),654.5)</f>
        <v>654.5</v>
      </c>
      <c r="I1060" s="7">
        <f>IFERROR(__xludf.DUMMYFUNCTION("""COMPUTED_VALUE"""),21.0)</f>
        <v>21</v>
      </c>
      <c r="J1060" s="6">
        <f>IFERROR(__xludf.DUMMYFUNCTION("""COMPUTED_VALUE"""),785.4)</f>
        <v>785.4</v>
      </c>
      <c r="K1060" s="6">
        <f>IFERROR(__xludf.DUMMYFUNCTION("""COMPUTED_VALUE"""),916.3)</f>
        <v>916.3</v>
      </c>
      <c r="L1060" s="3"/>
      <c r="M1060" s="3"/>
    </row>
    <row r="1061" ht="48.0" customHeight="1">
      <c r="A1061" s="3" t="str">
        <f>IFERROR(__xludf.DUMMYFUNCTION("""COMPUTED_VALUE"""),"AR5300CM5")</f>
        <v>AR5300CM5</v>
      </c>
      <c r="B1061" s="4" t="str">
        <f>IFERROR(__xludf.DUMMYFUNCTION("""COMPUTED_VALUE"""),"AWG16 CABLE PARA INCENDIO DE 2X1")</f>
        <v>AWG16 CABLE PARA INCENDIO DE 2X1</v>
      </c>
      <c r="C1061" s="4" t="str">
        <f>IFERROR(__xludf.DUMMYFUNCTION("""COMPUTED_VALUE"""),"AWG16 Cable para Incendio de 2x1.31 mm 300V 105º con pantalla bobina x 500 metros")</f>
        <v>AWG16 Cable para Incendio de 2x1.31 mm 300V 105º con pantalla bobina x 500 metros</v>
      </c>
      <c r="D1061" s="4" t="str">
        <f>IFERROR(__xludf.DUMMYFUNCTION("""COMPUTED_VALUE"""),"GENERICO")</f>
        <v>GENERICO</v>
      </c>
      <c r="E1061" s="4" t="str">
        <f>IFERROR(__xludf.DUMMYFUNCTION("""COMPUTED_VALUE"""),"AR5300CM5")</f>
        <v>AR5300CM5</v>
      </c>
      <c r="F1061" s="4" t="str">
        <f>IFERROR(__xludf.DUMMYFUNCTION("""COMPUTED_VALUE"""),"INCENDIO &gt; CABLES PARA INSTALACIONES DE DETECCION DE INCENDIOS")</f>
        <v>INCENDIO &gt; CABLES PARA INSTALACIONES DE DETECCION DE INCENDIOS</v>
      </c>
      <c r="G1061" s="5"/>
      <c r="H1061" s="6">
        <f>IFERROR(__xludf.DUMMYFUNCTION("""COMPUTED_VALUE"""),0.0)</f>
        <v>0</v>
      </c>
      <c r="I1061" s="7">
        <f>IFERROR(__xludf.DUMMYFUNCTION("""COMPUTED_VALUE"""),21.0)</f>
        <v>21</v>
      </c>
      <c r="J1061" s="6">
        <f>IFERROR(__xludf.DUMMYFUNCTION("""COMPUTED_VALUE"""),0.0)</f>
        <v>0</v>
      </c>
      <c r="K1061" s="6">
        <f>IFERROR(__xludf.DUMMYFUNCTION("""COMPUTED_VALUE"""),0.0)</f>
        <v>0</v>
      </c>
      <c r="L1061" s="3"/>
      <c r="M1061" s="3"/>
    </row>
    <row r="1062" ht="48.0" customHeight="1">
      <c r="A1062" s="3" t="str">
        <f>IFERROR(__xludf.DUMMYFUNCTION("""COMPUTED_VALUE"""),"DHXVR1B04I")</f>
        <v>DHXVR1B04I</v>
      </c>
      <c r="B1062" s="4" t="str">
        <f>IFERROR(__xludf.DUMMYFUNCTION("""COMPUTED_VALUE"""),"GRABADOR FIVEBRID 4+1CH H")</f>
        <v>GRABADOR FIVEBRID 4+1CH H</v>
      </c>
      <c r="C1062" s="4" t="str">
        <f>IFERROR(__xludf.DUMMYFUNCTION("""COMPUTED_VALUE"""),"Grabador Fivebrid 4+1ch H.265 2M AI coding 1 HDD - SMD Plus 4ch Supports Full channel AI-Coding Supports HDCVI/AHD/TVI/CVBS/IP video inputs Max 5 channels IP camera inputs, each channel up to 2MP; Max 20 Mbps incoming bandwidth Up to 4 channels video stre"&amp;"am ( analog channel ) SMD Plus")</f>
        <v>Grabador Fivebrid 4+1ch H.265 2M AI coding 1 HDD - SMD Plus 4ch Supports Full channel AI-Coding Supports HDCVI/AHD/TVI/CVBS/IP video inputs Max 5 channels IP camera inputs, each channel up to 2MP; Max 20 Mbps incoming bandwidth Up to 4 channels video stream ( analog channel ) SMD Plus</v>
      </c>
      <c r="D1062" s="4" t="str">
        <f>IFERROR(__xludf.DUMMYFUNCTION("""COMPUTED_VALUE"""),"DAHUA")</f>
        <v>DAHUA</v>
      </c>
      <c r="E1062" s="4" t="str">
        <f>IFERROR(__xludf.DUMMYFUNCTION("""COMPUTED_VALUE"""),"DHXVR1B04I")</f>
        <v>DHXVR1B04I</v>
      </c>
      <c r="F1062" s="4" t="str">
        <f>IFERROR(__xludf.DUMMYFUNCTION("""COMPUTED_VALUE"""),"ALMACENAMIENTO &gt; DISCOS CCTV")</f>
        <v>ALMACENAMIENTO &gt; DISCOS CCTV</v>
      </c>
      <c r="G1062" s="5"/>
      <c r="H1062" s="6">
        <f>IFERROR(__xludf.DUMMYFUNCTION("""COMPUTED_VALUE"""),57.37)</f>
        <v>57.37</v>
      </c>
      <c r="I1062" s="7">
        <f>IFERROR(__xludf.DUMMYFUNCTION("""COMPUTED_VALUE"""),21.0)</f>
        <v>21</v>
      </c>
      <c r="J1062" s="6">
        <f>IFERROR(__xludf.DUMMYFUNCTION("""COMPUTED_VALUE"""),68.84)</f>
        <v>68.84</v>
      </c>
      <c r="K1062" s="6">
        <f>IFERROR(__xludf.DUMMYFUNCTION("""COMPUTED_VALUE"""),80.32)</f>
        <v>80.32</v>
      </c>
      <c r="L1062" s="3"/>
      <c r="M1062" s="3"/>
    </row>
    <row r="1063" ht="48.0" customHeight="1">
      <c r="A1063" s="3" t="str">
        <f>IFERROR(__xludf.DUMMYFUNCTION("""COMPUTED_VALUE"""),"DHXVR1B04HI")</f>
        <v>DHXVR1B04HI</v>
      </c>
      <c r="B1063" s="4" t="str">
        <f>IFERROR(__xludf.DUMMYFUNCTION("""COMPUTED_VALUE"""),"CAMARA 6MP")</f>
        <v>CAMARA 6MP</v>
      </c>
      <c r="C1063" s="4" t="str">
        <f>IFERROR(__xludf.DUMMYFUNCTION("""COMPUTED_VALUE"""),"Video Grabadora Digital Pentahíbrida de 4 canales 5M-N/1080p 1U · Compresión de video de doble flujo H.265+ /H.265 · Admite codificación IA de canal completo · Admite entradas de video HDCVI / AHD / TVI / CVBS / IP · Entradas de cámara IP de 6 canales com"&amp;"o máximo, cada canal de hasta 6 MP · Ancho de banda entrante máximo de 32 Mbps · Hasta 4 canales de flujo de video (canal analógico) SMD Plus")</f>
        <v>Video Grabadora Digital Pentahíbrida de 4 canales 5M-N/1080p 1U · Compresión de video de doble flujo H.265+ /H.265 · Admite codificación IA de canal completo · Admite entradas de video HDCVI / AHD / TVI / CVBS / IP · Entradas de cámara IP de 6 canales como máximo, cada canal de hasta 6 MP · Ancho de banda entrante máximo de 32 Mbps · Hasta 4 canales de flujo de video (canal analógico) SMD Plus</v>
      </c>
      <c r="D1063" s="4" t="str">
        <f>IFERROR(__xludf.DUMMYFUNCTION("""COMPUTED_VALUE"""),"DAHUA")</f>
        <v>DAHUA</v>
      </c>
      <c r="E1063" s="4" t="str">
        <f>IFERROR(__xludf.DUMMYFUNCTION("""COMPUTED_VALUE"""),"DHXVR1B04HI")</f>
        <v>DHXVR1B04HI</v>
      </c>
      <c r="F1063" s="4" t="str">
        <f>IFERROR(__xludf.DUMMYFUNCTION("""COMPUTED_VALUE"""),"CCTV &gt; CAMARAS IP")</f>
        <v>CCTV &gt; CAMARAS IP</v>
      </c>
      <c r="G1063" s="5"/>
      <c r="H1063" s="6">
        <f>IFERROR(__xludf.DUMMYFUNCTION("""COMPUTED_VALUE"""),87.44)</f>
        <v>87.44</v>
      </c>
      <c r="I1063" s="7">
        <f>IFERROR(__xludf.DUMMYFUNCTION("""COMPUTED_VALUE"""),21.0)</f>
        <v>21</v>
      </c>
      <c r="J1063" s="6">
        <f>IFERROR(__xludf.DUMMYFUNCTION("""COMPUTED_VALUE"""),104.93)</f>
        <v>104.93</v>
      </c>
      <c r="K1063" s="6">
        <f>IFERROR(__xludf.DUMMYFUNCTION("""COMPUTED_VALUE"""),122.42)</f>
        <v>122.42</v>
      </c>
      <c r="L1063" s="3"/>
      <c r="M1063" s="3"/>
    </row>
    <row r="1064" ht="48.0" customHeight="1">
      <c r="A1064" s="3" t="str">
        <f>IFERROR(__xludf.DUMMYFUNCTION("""COMPUTED_VALUE"""),"DHXVR5104HSI3")</f>
        <v>DHXVR5104HSI3</v>
      </c>
      <c r="B1064" s="4" t="str">
        <f>IFERROR(__xludf.DUMMYFUNCTION("""COMPUTED_VALUE"""),"WIZSENSE PENTAHÍBRIDO SMART H")</f>
        <v>WIZSENSE PENTAHÍBRIDO SMART H</v>
      </c>
      <c r="C1064" s="4" t="str">
        <f>IFERROR(__xludf.DUMMYFUNCTION("""COMPUTED_VALUE"""),"WizSense Pentahíbrido Smart H.265+; Codificación AI; Admite 6ch 6MP; Ancho de banda entrante de 32 Mbps; IoT y POS; 1ch proteccion perimetral; 4ch SMD Plus; 1ch reconocimiento facial; Soporta 1 SATA HDD hasta 6tb.")</f>
        <v>WizSense Pentahíbrido Smart H.265+; Codificación AI; Admite 6ch 6MP; Ancho de banda entrante de 32 Mbps; IoT y POS; 1ch proteccion perimetral; 4ch SMD Plus; 1ch reconocimiento facial; Soporta 1 SATA HDD hasta 6tb.</v>
      </c>
      <c r="D1064" s="4" t="str">
        <f>IFERROR(__xludf.DUMMYFUNCTION("""COMPUTED_VALUE"""),"DAHUA")</f>
        <v>DAHUA</v>
      </c>
      <c r="E1064" s="4" t="str">
        <f>IFERROR(__xludf.DUMMYFUNCTION("""COMPUTED_VALUE"""),"DHXVR5104HSI3")</f>
        <v>DHXVR5104HSI3</v>
      </c>
      <c r="F1064" s="4" t="str">
        <f>IFERROR(__xludf.DUMMYFUNCTION("""COMPUTED_VALUE"""),"ALMACENAMIENTO &gt; DISCOS CCTV")</f>
        <v>ALMACENAMIENTO &gt; DISCOS CCTV</v>
      </c>
      <c r="G1064" s="5"/>
      <c r="H1064" s="6">
        <f>IFERROR(__xludf.DUMMYFUNCTION("""COMPUTED_VALUE"""),140.05)</f>
        <v>140.05</v>
      </c>
      <c r="I1064" s="7">
        <f>IFERROR(__xludf.DUMMYFUNCTION("""COMPUTED_VALUE"""),21.0)</f>
        <v>21</v>
      </c>
      <c r="J1064" s="6">
        <f>IFERROR(__xludf.DUMMYFUNCTION("""COMPUTED_VALUE"""),168.06)</f>
        <v>168.06</v>
      </c>
      <c r="K1064" s="6">
        <f>IFERROR(__xludf.DUMMYFUNCTION("""COMPUTED_VALUE"""),196.07)</f>
        <v>196.07</v>
      </c>
      <c r="L1064" s="3"/>
      <c r="M1064" s="3"/>
    </row>
    <row r="1065" ht="48.0" customHeight="1">
      <c r="A1065" s="3" t="str">
        <f>IFERROR(__xludf.DUMMYFUNCTION("""COMPUTED_VALUE"""),"DHXVR1B08I")</f>
        <v>DHXVR1B08I</v>
      </c>
      <c r="B1065" s="4" t="str">
        <f>IFERROR(__xludf.DUMMYFUNCTION("""COMPUTED_VALUE"""),"GRABADOR FIVEBRID 8+2CH H")</f>
        <v>GRABADOR FIVEBRID 8+2CH H</v>
      </c>
      <c r="C1065" s="4" t="str">
        <f>IFERROR(__xludf.DUMMYFUNCTION("""COMPUTED_VALUE"""),"Grabador Fivebrid 8+2ch H.265 6M AI coding 1 HDD - SMD Plus 8ch Supports Full channel AI-Coding Supports HDCVI/AHD/TVI/CVBS/IP video inputs Max 10 channels IP camera inputs, each cannel up to 6MP; Max 40 Mbps incoming bandwidth Up to 4 channels video stre"&amp;"am ( analog channel ) SMD Plus")</f>
        <v>Grabador Fivebrid 8+2ch H.265 6M AI coding 1 HDD - SMD Plus 8ch Supports Full channel AI-Coding Supports HDCVI/AHD/TVI/CVBS/IP video inputs Max 10 channels IP camera inputs, each cannel up to 6MP; Max 40 Mbps incoming bandwidth Up to 4 channels video stream ( analog channel ) SMD Plus</v>
      </c>
      <c r="D1065" s="4" t="str">
        <f>IFERROR(__xludf.DUMMYFUNCTION("""COMPUTED_VALUE"""),"DAHUA")</f>
        <v>DAHUA</v>
      </c>
      <c r="E1065" s="4" t="str">
        <f>IFERROR(__xludf.DUMMYFUNCTION("""COMPUTED_VALUE"""),"DHXVR1B08I")</f>
        <v>DHXVR1B08I</v>
      </c>
      <c r="F1065" s="4" t="str">
        <f>IFERROR(__xludf.DUMMYFUNCTION("""COMPUTED_VALUE"""),"ALMACENAMIENTO &gt; DISCOS CCTV")</f>
        <v>ALMACENAMIENTO &gt; DISCOS CCTV</v>
      </c>
      <c r="G1065" s="5"/>
      <c r="H1065" s="6">
        <f>IFERROR(__xludf.DUMMYFUNCTION("""COMPUTED_VALUE"""),75.9)</f>
        <v>75.9</v>
      </c>
      <c r="I1065" s="7">
        <f>IFERROR(__xludf.DUMMYFUNCTION("""COMPUTED_VALUE"""),21.0)</f>
        <v>21</v>
      </c>
      <c r="J1065" s="6">
        <f>IFERROR(__xludf.DUMMYFUNCTION("""COMPUTED_VALUE"""),91.08)</f>
        <v>91.08</v>
      </c>
      <c r="K1065" s="6">
        <f>IFERROR(__xludf.DUMMYFUNCTION("""COMPUTED_VALUE"""),106.26)</f>
        <v>106.26</v>
      </c>
      <c r="L1065" s="3"/>
      <c r="M1065" s="3"/>
    </row>
    <row r="1066" ht="48.0" customHeight="1">
      <c r="A1066" s="3" t="str">
        <f>IFERROR(__xludf.DUMMYFUNCTION("""COMPUTED_VALUE"""),"DHXVR1B08HI")</f>
        <v>DHXVR1B08HI</v>
      </c>
      <c r="B1066" s="4" t="str">
        <f>IFERROR(__xludf.DUMMYFUNCTION("""COMPUTED_VALUE"""),"GRABADOR FIVEBRID 8+4 COMPRESIÓN DE VIDEO H")</f>
        <v>GRABADOR FIVEBRID 8+4 COMPRESIÓN DE VIDEO H</v>
      </c>
      <c r="C1066" s="4" t="str">
        <f>IFERROR(__xludf.DUMMYFUNCTION("""COMPUTED_VALUE"""),"Grabador Fivebrid 8+4 Compresión de video H.265 +/H.265; Admite entradas de video HDCVI/AHD/TVI/CVBS/IP; Máx. 12 entradas de cámara IP, cada canal hasta 6MP; Ancho de banda entrante máximo de 64Mbps; Hasta 8ch (analogico) SMP Plus; Soporta 1 SATA HDD, has"&amp;"ta 6TB.")</f>
        <v>Grabador Fivebrid 8+4 Compresión de video H.265 +/H.265; Admite entradas de video HDCVI/AHD/TVI/CVBS/IP; Máx. 12 entradas de cámara IP, cada canal hasta 6MP; Ancho de banda entrante máximo de 64Mbps; Hasta 8ch (analogico) SMP Plus; Soporta 1 SATA HDD, hasta 6TB.</v>
      </c>
      <c r="D1066" s="4" t="str">
        <f>IFERROR(__xludf.DUMMYFUNCTION("""COMPUTED_VALUE"""),"DAHUA")</f>
        <v>DAHUA</v>
      </c>
      <c r="E1066" s="4" t="str">
        <f>IFERROR(__xludf.DUMMYFUNCTION("""COMPUTED_VALUE"""),"DHXVR1B08HI")</f>
        <v>DHXVR1B08HI</v>
      </c>
      <c r="F1066" s="4" t="str">
        <f>IFERROR(__xludf.DUMMYFUNCTION("""COMPUTED_VALUE"""),"ALMACENAMIENTO &gt; DISCOS CCTV")</f>
        <v>ALMACENAMIENTO &gt; DISCOS CCTV</v>
      </c>
      <c r="G1066" s="5"/>
      <c r="H1066" s="6">
        <f>IFERROR(__xludf.DUMMYFUNCTION("""COMPUTED_VALUE"""),150.7)</f>
        <v>150.7</v>
      </c>
      <c r="I1066" s="7">
        <f>IFERROR(__xludf.DUMMYFUNCTION("""COMPUTED_VALUE"""),21.0)</f>
        <v>21</v>
      </c>
      <c r="J1066" s="6">
        <f>IFERROR(__xludf.DUMMYFUNCTION("""COMPUTED_VALUE"""),180.84)</f>
        <v>180.84</v>
      </c>
      <c r="K1066" s="6">
        <f>IFERROR(__xludf.DUMMYFUNCTION("""COMPUTED_VALUE"""),210.98)</f>
        <v>210.98</v>
      </c>
      <c r="L1066" s="3"/>
      <c r="M1066" s="3"/>
    </row>
    <row r="1067" ht="48.0" customHeight="1">
      <c r="A1067" s="3" t="str">
        <f>IFERROR(__xludf.DUMMYFUNCTION("""COMPUTED_VALUE"""),"DHXVR5108HSI3")</f>
        <v>DHXVR5108HSI3</v>
      </c>
      <c r="B1067" s="4" t="str">
        <f>IFERROR(__xludf.DUMMYFUNCTION("""COMPUTED_VALUE"""),"WIZSENSE")</f>
        <v>WIZSENSE</v>
      </c>
      <c r="C1067" s="4" t="str">
        <f>IFERROR(__xludf.DUMMYFUNCTION("""COMPUTED_VALUE"""),"WizSense; Compresión de video de doble flujo H.265 +/H.265; Admite entradas de video HDCVI/AHD/TVI/CVBS/IP; Entradas máx. 12ch cámara IP, cada canal hasta 6MP; Ancho de banda de entrada máx. de 64Mbps; Búsqueda inteligente; Protección perimetral y SMD Plu"&amp;"s; Hasta 1 ch (analógica) de video de reconocimiento facial; Funciones IoT &amp; POS; Soporta 1 SATA HDD hasta 10TB")</f>
        <v>WizSense; Compresión de video de doble flujo H.265 +/H.265; Admite entradas de video HDCVI/AHD/TVI/CVBS/IP; Entradas máx. 12ch cámara IP, cada canal hasta 6MP; Ancho de banda de entrada máx. de 64Mbps; Búsqueda inteligente; Protección perimetral y SMD Plus; Hasta 1 ch (analógica) de video de reconocimiento facial; Funciones IoT &amp; POS; Soporta 1 SATA HDD hasta 10TB</v>
      </c>
      <c r="D1067" s="4" t="str">
        <f>IFERROR(__xludf.DUMMYFUNCTION("""COMPUTED_VALUE"""),"DAHUA")</f>
        <v>DAHUA</v>
      </c>
      <c r="E1067" s="4" t="str">
        <f>IFERROR(__xludf.DUMMYFUNCTION("""COMPUTED_VALUE"""),"DHXVR5108HSI3")</f>
        <v>DHXVR5108HSI3</v>
      </c>
      <c r="F1067" s="4" t="str">
        <f>IFERROR(__xludf.DUMMYFUNCTION("""COMPUTED_VALUE"""),"ALMACENAMIENTO &gt; DISCOS CCTV")</f>
        <v>ALMACENAMIENTO &gt; DISCOS CCTV</v>
      </c>
      <c r="G1067" s="5"/>
      <c r="H1067" s="6">
        <f>IFERROR(__xludf.DUMMYFUNCTION("""COMPUTED_VALUE"""),173.12)</f>
        <v>173.12</v>
      </c>
      <c r="I1067" s="7">
        <f>IFERROR(__xludf.DUMMYFUNCTION("""COMPUTED_VALUE"""),21.0)</f>
        <v>21</v>
      </c>
      <c r="J1067" s="6">
        <f>IFERROR(__xludf.DUMMYFUNCTION("""COMPUTED_VALUE"""),207.74)</f>
        <v>207.74</v>
      </c>
      <c r="K1067" s="6">
        <f>IFERROR(__xludf.DUMMYFUNCTION("""COMPUTED_VALUE"""),242.37)</f>
        <v>242.37</v>
      </c>
      <c r="L1067" s="3"/>
      <c r="M1067" s="3"/>
    </row>
    <row r="1068" ht="48.0" customHeight="1">
      <c r="A1068" s="3" t="str">
        <f>IFERROR(__xludf.DUMMYFUNCTION("""COMPUTED_VALUE"""),"HCVR4216AS2")</f>
        <v>HCVR4216AS2</v>
      </c>
      <c r="B1068" s="4" t="str">
        <f>IFERROR(__xludf.DUMMYFUNCTION("""COMPUTED_VALUE"""),"DVR 16 CANALES")</f>
        <v>DVR 16 CANALES</v>
      </c>
      <c r="C1068" s="4" t="str">
        <f>IFERROR(__xludf.DUMMYFUNCTION("""COMPUTED_VALUE"""),"DVR 16 canales Tribrid (Analogico y HDCVI auto adaptivo) 2 Ch IP Max. 4 Audio In/1out. Grabación 960H 400FPS o 720p 200FPS. Soporta 2Hdd. Alarm 16 In/3 Out")</f>
        <v>DVR 16 canales Tribrid (Analogico y HDCVI auto adaptivo) 2 Ch IP Max. 4 Audio In/1out. Grabación 960H 400FPS o 720p 200FPS. Soporta 2Hdd. Alarm 16 In/3 Out</v>
      </c>
      <c r="D1068" s="4" t="str">
        <f>IFERROR(__xludf.DUMMYFUNCTION("""COMPUTED_VALUE"""),"DAHUA")</f>
        <v>DAHUA</v>
      </c>
      <c r="E1068" s="4" t="str">
        <f>IFERROR(__xludf.DUMMYFUNCTION("""COMPUTED_VALUE"""),"HCVR4216AS2")</f>
        <v>HCVR4216AS2</v>
      </c>
      <c r="F1068" s="4" t="str">
        <f>IFERROR(__xludf.DUMMYFUNCTION("""COMPUTED_VALUE"""),"CCTV &gt; GRABADORES DVR")</f>
        <v>CCTV &gt; GRABADORES DVR</v>
      </c>
      <c r="G1068" s="5"/>
      <c r="H1068" s="6">
        <f>IFERROR(__xludf.DUMMYFUNCTION("""COMPUTED_VALUE"""),108.9)</f>
        <v>108.9</v>
      </c>
      <c r="I1068" s="7">
        <f>IFERROR(__xludf.DUMMYFUNCTION("""COMPUTED_VALUE"""),21.0)</f>
        <v>21</v>
      </c>
      <c r="J1068" s="6">
        <f>IFERROR(__xludf.DUMMYFUNCTION("""COMPUTED_VALUE"""),130.68)</f>
        <v>130.68</v>
      </c>
      <c r="K1068" s="6">
        <f>IFERROR(__xludf.DUMMYFUNCTION("""COMPUTED_VALUE"""),152.46)</f>
        <v>152.46</v>
      </c>
      <c r="L1068" s="3"/>
      <c r="M1068" s="3"/>
    </row>
    <row r="1069" ht="48.0" customHeight="1">
      <c r="A1069" s="3" t="str">
        <f>IFERROR(__xludf.DUMMYFUNCTION("""COMPUTED_VALUE"""),"DHXVR1B16I")</f>
        <v>DHXVR1B16I</v>
      </c>
      <c r="B1069" s="4" t="str">
        <f>IFERROR(__xludf.DUMMYFUNCTION("""COMPUTED_VALUE"""),"XVR 16 CANALES")</f>
        <v>XVR 16 CANALES</v>
      </c>
      <c r="C1069" s="4" t="str">
        <f>IFERROR(__xludf.DUMMYFUNCTION("""COMPUTED_VALUE"""),"XVR 16 canales WizSense 1080N/720P Compresión de video H.265+/H.265 dual stream · Admite codificación IA en todos los canales · Admite entradas de video HDCVI/AHD/TVI/CVBS/IP · Máximasentradas de cámaras IP 18 cada canal hasta 6 Mp · Máximo ancho de banda"&amp;" entrante: 64 Mbps. Hasta 8 canales analógicos de stream de video SMD PlusX")</f>
        <v>XVR 16 canales WizSense 1080N/720P Compresión de video H.265+/H.265 dual stream · Admite codificación IA en todos los canales · Admite entradas de video HDCVI/AHD/TVI/CVBS/IP · Máximasentradas de cámaras IP 18 cada canal hasta 6 Mp · Máximo ancho de banda entrante: 64 Mbps. Hasta 8 canales analógicos de stream de video SMD PlusX</v>
      </c>
      <c r="D1069" s="4" t="str">
        <f>IFERROR(__xludf.DUMMYFUNCTION("""COMPUTED_VALUE"""),"DAHUA")</f>
        <v>DAHUA</v>
      </c>
      <c r="E1069" s="4" t="str">
        <f>IFERROR(__xludf.DUMMYFUNCTION("""COMPUTED_VALUE"""),"DHXVR1B16I")</f>
        <v>DHXVR1B16I</v>
      </c>
      <c r="F1069" s="4" t="str">
        <f>IFERROR(__xludf.DUMMYFUNCTION("""COMPUTED_VALUE"""),"CCTV &gt; GRABADORES XVR")</f>
        <v>CCTV &gt; GRABADORES XVR</v>
      </c>
      <c r="G1069" s="5"/>
      <c r="H1069" s="6">
        <f>IFERROR(__xludf.DUMMYFUNCTION("""COMPUTED_VALUE"""),126.19)</f>
        <v>126.19</v>
      </c>
      <c r="I1069" s="7">
        <f>IFERROR(__xludf.DUMMYFUNCTION("""COMPUTED_VALUE"""),21.0)</f>
        <v>21</v>
      </c>
      <c r="J1069" s="6">
        <f>IFERROR(__xludf.DUMMYFUNCTION("""COMPUTED_VALUE"""),151.43)</f>
        <v>151.43</v>
      </c>
      <c r="K1069" s="6">
        <f>IFERROR(__xludf.DUMMYFUNCTION("""COMPUTED_VALUE"""),176.67)</f>
        <v>176.67</v>
      </c>
      <c r="L1069" s="3"/>
      <c r="M1069" s="3"/>
    </row>
    <row r="1070" ht="48.0" customHeight="1">
      <c r="A1070" s="3" t="str">
        <f>IFERROR(__xludf.DUMMYFUNCTION("""COMPUTED_VALUE"""),"DHXVR1B16HI")</f>
        <v>DHXVR1B16HI</v>
      </c>
      <c r="B1070" s="4" t="str">
        <f>IFERROR(__xludf.DUMMYFUNCTION("""COMPUTED_VALUE"""),"XVR 16 CANALES")</f>
        <v>XVR 16 CANALES</v>
      </c>
      <c r="C1070" s="4" t="str">
        <f>IFERROR(__xludf.DUMMYFUNCTION("""COMPUTED_VALUE"""),"XVR 16 canales WizSense 5M-N/1080P Compresión de video H.265+/H.265 dual stream · Admite codificación IA en todos los canales · Admite entradas de video HDCVI/AHD/TVI/CVBS/IP · Máximasentradas de cámaras IP 24 cada canal hasta 6 Mp · Máximo ancho de banda"&amp;" entrante: 128 Mbps. Hasta 16 canales analógicos de stream de video SMD PlusX")</f>
        <v>XVR 16 canales WizSense 5M-N/1080P Compresión de video H.265+/H.265 dual stream · Admite codificación IA en todos los canales · Admite entradas de video HDCVI/AHD/TVI/CVBS/IP · Máximasentradas de cámaras IP 24 cada canal hasta 6 Mp · Máximo ancho de banda entrante: 128 Mbps. Hasta 16 canales analógicos de stream de video SMD PlusX</v>
      </c>
      <c r="D1070" s="4" t="str">
        <f>IFERROR(__xludf.DUMMYFUNCTION("""COMPUTED_VALUE"""),"DAHUA")</f>
        <v>DAHUA</v>
      </c>
      <c r="E1070" s="4" t="str">
        <f>IFERROR(__xludf.DUMMYFUNCTION("""COMPUTED_VALUE"""),"DHXVR1B16HI")</f>
        <v>DHXVR1B16HI</v>
      </c>
      <c r="F1070" s="4" t="str">
        <f>IFERROR(__xludf.DUMMYFUNCTION("""COMPUTED_VALUE"""),"CCTV &gt; GRABADORES XVR")</f>
        <v>CCTV &gt; GRABADORES XVR</v>
      </c>
      <c r="G1070" s="5"/>
      <c r="H1070" s="6">
        <f>IFERROR(__xludf.DUMMYFUNCTION("""COMPUTED_VALUE"""),256.27)</f>
        <v>256.27</v>
      </c>
      <c r="I1070" s="7">
        <f>IFERROR(__xludf.DUMMYFUNCTION("""COMPUTED_VALUE"""),21.0)</f>
        <v>21</v>
      </c>
      <c r="J1070" s="6">
        <f>IFERROR(__xludf.DUMMYFUNCTION("""COMPUTED_VALUE"""),307.52)</f>
        <v>307.52</v>
      </c>
      <c r="K1070" s="6">
        <f>IFERROR(__xludf.DUMMYFUNCTION("""COMPUTED_VALUE"""),358.78)</f>
        <v>358.78</v>
      </c>
      <c r="L1070" s="3"/>
      <c r="M1070" s="3"/>
    </row>
    <row r="1071" ht="48.0" customHeight="1">
      <c r="A1071" s="3" t="str">
        <f>IFERROR(__xludf.DUMMYFUNCTION("""COMPUTED_VALUE"""),"DHXVR5116HSI3")</f>
        <v>DHXVR5116HSI3</v>
      </c>
      <c r="B1071" s="4" t="str">
        <f>IFERROR(__xludf.DUMMYFUNCTION("""COMPUTED_VALUE"""),"XVR 24 CANALES")</f>
        <v>XVR 24 CANALES</v>
      </c>
      <c r="C1071" s="4" t="str">
        <f>IFERROR(__xludf.DUMMYFUNCTION("""COMPUTED_VALUE"""),"XVR 16 Penta-brid 5M-N/1080P 1HDD WizSense Compresión H.265+/H.265 Admite codificación de IA de canal completo. HDCVI/AHD/TVI/CVBS/IP Entradas de cámara IP de 24 canales como máximo, cada canal hasta 6MP; Ancho de banda entrante máximo de 128 Mbps Protecc"&amp;"ión perimetral SMD Plus Transmisión de video de hasta 2 canales (canal analógico) reconocimiento de rostro humano Funcionalidades IoT y POS")</f>
        <v>XVR 16 Penta-brid 5M-N/1080P 1HDD WizSense Compresión H.265+/H.265 Admite codificación de IA de canal completo. HDCVI/AHD/TVI/CVBS/IP Entradas de cámara IP de 24 canales como máximo, cada canal hasta 6MP; Ancho de banda entrante máximo de 128 Mbps Protección perimetral SMD Plus Transmisión de video de hasta 2 canales (canal analógico) reconocimiento de rostro humano Funcionalidades IoT y POS</v>
      </c>
      <c r="D1071" s="4" t="str">
        <f>IFERROR(__xludf.DUMMYFUNCTION("""COMPUTED_VALUE"""),"DAHUA")</f>
        <v>DAHUA</v>
      </c>
      <c r="E1071" s="4" t="str">
        <f>IFERROR(__xludf.DUMMYFUNCTION("""COMPUTED_VALUE"""),"DHXVR5116HSI3")</f>
        <v>DHXVR5116HSI3</v>
      </c>
      <c r="F1071" s="4" t="str">
        <f>IFERROR(__xludf.DUMMYFUNCTION("""COMPUTED_VALUE"""),"CCTV &gt; GRABADORES XVR")</f>
        <v>CCTV &gt; GRABADORES XVR</v>
      </c>
      <c r="G1071" s="5"/>
      <c r="H1071" s="6">
        <f>IFERROR(__xludf.DUMMYFUNCTION("""COMPUTED_VALUE"""),314.79)</f>
        <v>314.79</v>
      </c>
      <c r="I1071" s="7">
        <f>IFERROR(__xludf.DUMMYFUNCTION("""COMPUTED_VALUE"""),21.0)</f>
        <v>21</v>
      </c>
      <c r="J1071" s="6">
        <f>IFERROR(__xludf.DUMMYFUNCTION("""COMPUTED_VALUE"""),377.75)</f>
        <v>377.75</v>
      </c>
      <c r="K1071" s="6">
        <f>IFERROR(__xludf.DUMMYFUNCTION("""COMPUTED_VALUE"""),440.71)</f>
        <v>440.71</v>
      </c>
      <c r="L1071" s="3"/>
      <c r="M1071" s="3"/>
    </row>
    <row r="1072" ht="48.0" customHeight="1">
      <c r="A1072" s="3" t="str">
        <f>IFERROR(__xludf.DUMMYFUNCTION("""COMPUTED_VALUE"""),"DHXVR5216AN-I3")</f>
        <v>DHXVR5216AN-I3</v>
      </c>
      <c r="B1072" s="4" t="str">
        <f>IFERROR(__xludf.DUMMYFUNCTION("""COMPUTED_VALUE"""),"16 CH PENTA-BRID 5M-N/108")</f>
        <v>16 CH PENTA-BRID 5M-N/108</v>
      </c>
      <c r="C1072" s="4" t="str">
        <f>IFERROR(__xludf.DUMMYFUNCTION("""COMPUTED_VALUE"""),"16 Ch Penta-brid 5M-N/108")</f>
        <v>16 Ch Penta-brid 5M-N/108</v>
      </c>
      <c r="D1072" s="4" t="str">
        <f>IFERROR(__xludf.DUMMYFUNCTION("""COMPUTED_VALUE"""),"DAHUA")</f>
        <v>DAHUA</v>
      </c>
      <c r="E1072" s="4" t="str">
        <f>IFERROR(__xludf.DUMMYFUNCTION("""COMPUTED_VALUE"""),"DHXVR5216AN-I3")</f>
        <v>DHXVR5216AN-I3</v>
      </c>
      <c r="F1072" s="4" t="str">
        <f>IFERROR(__xludf.DUMMYFUNCTION("""COMPUTED_VALUE"""),"CCTV &gt; XVR HDCVI 16 CANALES")</f>
        <v>CCTV &gt; XVR HDCVI 16 CANALES</v>
      </c>
      <c r="G1072" s="5"/>
      <c r="H1072" s="6">
        <f>IFERROR(__xludf.DUMMYFUNCTION("""COMPUTED_VALUE"""),349.4)</f>
        <v>349.4</v>
      </c>
      <c r="I1072" s="7">
        <f>IFERROR(__xludf.DUMMYFUNCTION("""COMPUTED_VALUE"""),21.0)</f>
        <v>21</v>
      </c>
      <c r="J1072" s="6">
        <f>IFERROR(__xludf.DUMMYFUNCTION("""COMPUTED_VALUE"""),419.28)</f>
        <v>419.28</v>
      </c>
      <c r="K1072" s="6">
        <f>IFERROR(__xludf.DUMMYFUNCTION("""COMPUTED_VALUE"""),489.16)</f>
        <v>489.16</v>
      </c>
      <c r="L1072" s="3"/>
      <c r="M1072" s="3"/>
    </row>
    <row r="1073" ht="48.0" customHeight="1">
      <c r="A1073" s="3" t="str">
        <f>IFERROR(__xludf.DUMMYFUNCTION("""COMPUTED_VALUE"""),"HCVR4816S2")</f>
        <v>HCVR4816S2</v>
      </c>
      <c r="B1073" s="4" t="str">
        <f>IFERROR(__xludf.DUMMYFUNCTION("""COMPUTED_VALUE"""),"DVR 48 CANALES")</f>
        <v>DVR 48 CANALES</v>
      </c>
      <c r="C1073" s="4" t="str">
        <f>IFERROR(__xludf.DUMMYFUNCTION("""COMPUTED_VALUE"""),"HDCVI Fivebrid DVR 16+48 ch 1080P realtime 1HDD IVS audio+alarma marca Dahua")</f>
        <v>HDCVI Fivebrid DVR 16+48 ch 1080P realtime 1HDD IVS audio+alarma marca Dahua</v>
      </c>
      <c r="D1073" s="4" t="str">
        <f>IFERROR(__xludf.DUMMYFUNCTION("""COMPUTED_VALUE"""),"DAHUA")</f>
        <v>DAHUA</v>
      </c>
      <c r="E1073" s="4" t="str">
        <f>IFERROR(__xludf.DUMMYFUNCTION("""COMPUTED_VALUE"""),"HCVR4816S2")</f>
        <v>HCVR4816S2</v>
      </c>
      <c r="F1073" s="4" t="str">
        <f>IFERROR(__xludf.DUMMYFUNCTION("""COMPUTED_VALUE"""),"CCTV &gt; GRABADORES DVR")</f>
        <v>CCTV &gt; GRABADORES DVR</v>
      </c>
      <c r="G1073" s="5"/>
      <c r="H1073" s="6">
        <f>IFERROR(__xludf.DUMMYFUNCTION("""COMPUTED_VALUE"""),220.0)</f>
        <v>220</v>
      </c>
      <c r="I1073" s="7">
        <f>IFERROR(__xludf.DUMMYFUNCTION("""COMPUTED_VALUE"""),21.0)</f>
        <v>21</v>
      </c>
      <c r="J1073" s="6">
        <f>IFERROR(__xludf.DUMMYFUNCTION("""COMPUTED_VALUE"""),264.0)</f>
        <v>264</v>
      </c>
      <c r="K1073" s="6">
        <f>IFERROR(__xludf.DUMMYFUNCTION("""COMPUTED_VALUE"""),308.0)</f>
        <v>308</v>
      </c>
      <c r="L1073" s="3"/>
      <c r="M1073" s="3"/>
    </row>
    <row r="1074" ht="48.0" customHeight="1">
      <c r="A1074" s="3" t="str">
        <f>IFERROR(__xludf.DUMMYFUNCTION("""COMPUTED_VALUE"""),"DHXVR8816S")</f>
        <v>DHXVR8816S</v>
      </c>
      <c r="B1074" s="4" t="str">
        <f>IFERROR(__xludf.DUMMYFUNCTION("""COMPUTED_VALUE"""),"XVR 16 CANALES")</f>
        <v>XVR 16 CANALES</v>
      </c>
      <c r="C1074" s="4" t="str">
        <f>IFERROR(__xludf.DUMMYFUNCTION("""COMPUTED_VALUE"""),"XVR 16CH 8HDD 1080P")</f>
        <v>XVR 16CH 8HDD 1080P</v>
      </c>
      <c r="D1074" s="4" t="str">
        <f>IFERROR(__xludf.DUMMYFUNCTION("""COMPUTED_VALUE"""),"DAHUA")</f>
        <v>DAHUA</v>
      </c>
      <c r="E1074" s="4" t="str">
        <f>IFERROR(__xludf.DUMMYFUNCTION("""COMPUTED_VALUE"""),"DHXVR8816S")</f>
        <v>DHXVR8816S</v>
      </c>
      <c r="F1074" s="4" t="str">
        <f>IFERROR(__xludf.DUMMYFUNCTION("""COMPUTED_VALUE"""),"CCTV &gt; GRABADORES XVR")</f>
        <v>CCTV &gt; GRABADORES XVR</v>
      </c>
      <c r="G1074" s="5"/>
      <c r="H1074" s="6">
        <f>IFERROR(__xludf.DUMMYFUNCTION("""COMPUTED_VALUE"""),275.0)</f>
        <v>275</v>
      </c>
      <c r="I1074" s="7">
        <f>IFERROR(__xludf.DUMMYFUNCTION("""COMPUTED_VALUE"""),21.0)</f>
        <v>21</v>
      </c>
      <c r="J1074" s="6">
        <f>IFERROR(__xludf.DUMMYFUNCTION("""COMPUTED_VALUE"""),330.0)</f>
        <v>330</v>
      </c>
      <c r="K1074" s="6">
        <f>IFERROR(__xludf.DUMMYFUNCTION("""COMPUTED_VALUE"""),385.0)</f>
        <v>385</v>
      </c>
      <c r="L1074" s="3"/>
      <c r="M1074" s="3"/>
    </row>
    <row r="1075" ht="48.0" customHeight="1">
      <c r="A1075" s="3" t="str">
        <f>IFERROR(__xludf.DUMMYFUNCTION("""COMPUTED_VALUE"""),"DHXVR5232ANI3")</f>
        <v>DHXVR5232ANI3</v>
      </c>
      <c r="B1075" s="4" t="str">
        <f>IFERROR(__xludf.DUMMYFUNCTION("""COMPUTED_VALUE"""),"DH-XVR5232AN-I3 GRABADOR FIVEBRID 32CH H")</f>
        <v>DH-XVR5232AN-I3 GRABADOR FIVEBRID 32CH H</v>
      </c>
      <c r="C1075" s="4" t="str">
        <f>IFERROR(__xludf.DUMMYFUNCTION("""COMPUTED_VALUE"""),"DH-XVR5232AN-I3 Grabador Fivebrid 32ch H.265 4M AI coding 2 HDD - SMD Plus 16ch - IVS 2ch - FR 2ch")</f>
        <v>DH-XVR5232AN-I3 Grabador Fivebrid 32ch H.265 4M AI coding 2 HDD - SMD Plus 16ch - IVS 2ch - FR 2ch</v>
      </c>
      <c r="D1075" s="4" t="str">
        <f>IFERROR(__xludf.DUMMYFUNCTION("""COMPUTED_VALUE"""),"DAHUA")</f>
        <v>DAHUA</v>
      </c>
      <c r="E1075" s="4" t="str">
        <f>IFERROR(__xludf.DUMMYFUNCTION("""COMPUTED_VALUE"""),"DHXVR5232ANI3")</f>
        <v>DHXVR5232ANI3</v>
      </c>
      <c r="F1075" s="4" t="str">
        <f>IFERROR(__xludf.DUMMYFUNCTION("""COMPUTED_VALUE"""),"ALMACENAMIENTO &gt; DISCOS CCTV")</f>
        <v>ALMACENAMIENTO &gt; DISCOS CCTV</v>
      </c>
      <c r="G1075" s="5"/>
      <c r="H1075" s="6">
        <f>IFERROR(__xludf.DUMMYFUNCTION("""COMPUTED_VALUE"""),582.35)</f>
        <v>582.35</v>
      </c>
      <c r="I1075" s="7">
        <f>IFERROR(__xludf.DUMMYFUNCTION("""COMPUTED_VALUE"""),21.0)</f>
        <v>21</v>
      </c>
      <c r="J1075" s="6">
        <f>IFERROR(__xludf.DUMMYFUNCTION("""COMPUTED_VALUE"""),698.82)</f>
        <v>698.82</v>
      </c>
      <c r="K1075" s="6">
        <f>IFERROR(__xludf.DUMMYFUNCTION("""COMPUTED_VALUE"""),815.29)</f>
        <v>815.29</v>
      </c>
      <c r="L1075" s="3"/>
      <c r="M1075" s="3"/>
    </row>
    <row r="1076" ht="48.0" customHeight="1">
      <c r="A1076" s="3" t="str">
        <f>IFERROR(__xludf.DUMMYFUNCTION("""COMPUTED_VALUE"""),"DHXVR4232ANI")</f>
        <v>DHXVR4232ANI</v>
      </c>
      <c r="B1076" s="4" t="str">
        <f>IFERROR(__xludf.DUMMYFUNCTION("""COMPUTED_VALUE"""),"VIDEO GRABADORA DIGITAL PENTAHÍBRIDA WIZSENSE DE 32 CANALES 1080N/720P")</f>
        <v>VIDEO GRABADORA DIGITAL PENTAHÍBRIDA WIZSENSE DE 32 CANALES 1080N/720P</v>
      </c>
      <c r="C1076" s="4" t="str">
        <f>IFERROR(__xludf.DUMMYFUNCTION("""COMPUTED_VALUE"""),"Video Grabadora Digital Pentahíbrida WizSense de 32 canales 1080N/720P, 1U y 2HDD - Incluye fuente de 12V 4A")</f>
        <v>Video Grabadora Digital Pentahíbrida WizSense de 32 canales 1080N/720P, 1U y 2HDD - Incluye fuente de 12V 4A</v>
      </c>
      <c r="D1076" s="4" t="str">
        <f>IFERROR(__xludf.DUMMYFUNCTION("""COMPUTED_VALUE"""),"DAHUA")</f>
        <v>DAHUA</v>
      </c>
      <c r="E1076" s="4" t="str">
        <f>IFERROR(__xludf.DUMMYFUNCTION("""COMPUTED_VALUE"""),"DHXVR4232ANI")</f>
        <v>DHXVR4232ANI</v>
      </c>
      <c r="F1076" s="4" t="str">
        <f>IFERROR(__xludf.DUMMYFUNCTION("""COMPUTED_VALUE"""),"CCTV &gt; XVR HDCVI 32 CANALES")</f>
        <v>CCTV &gt; XVR HDCVI 32 CANALES</v>
      </c>
      <c r="G1076" s="5"/>
      <c r="H1076" s="6">
        <f>IFERROR(__xludf.DUMMYFUNCTION("""COMPUTED_VALUE"""),469.03)</f>
        <v>469.03</v>
      </c>
      <c r="I1076" s="7">
        <f>IFERROR(__xludf.DUMMYFUNCTION("""COMPUTED_VALUE"""),21.0)</f>
        <v>21</v>
      </c>
      <c r="J1076" s="6">
        <f>IFERROR(__xludf.DUMMYFUNCTION("""COMPUTED_VALUE"""),562.84)</f>
        <v>562.84</v>
      </c>
      <c r="K1076" s="6">
        <f>IFERROR(__xludf.DUMMYFUNCTION("""COMPUTED_VALUE"""),656.64)</f>
        <v>656.64</v>
      </c>
      <c r="L1076" s="3"/>
      <c r="M1076" s="3"/>
    </row>
    <row r="1077" ht="48.0" customHeight="1">
      <c r="A1077" s="3" t="str">
        <f>IFERROR(__xludf.DUMMYFUNCTION("""COMPUTED_VALUE"""),"DHHACHDW1100RVF")</f>
        <v>DHHACHDW1100RVF</v>
      </c>
      <c r="B1077" s="4" t="str">
        <f>IFERROR(__xludf.DUMMYFUNCTION("""COMPUTED_VALUE"""),"CAMARA DOMO 1MP")</f>
        <v>CAMARA DOMO 1MP</v>
      </c>
      <c r="C1077" s="4" t="str">
        <f>IFERROR(__xludf.DUMMYFUNCTION("""COMPUTED_VALUE"""),"Cámara 4 en 1 Domo 1Mpx IR 2.8-12mm marca Dahua")</f>
        <v>Cámara 4 en 1 Domo 1Mpx IR 2.8-12mm marca Dahua</v>
      </c>
      <c r="D1077" s="4" t="str">
        <f>IFERROR(__xludf.DUMMYFUNCTION("""COMPUTED_VALUE"""),"DAHUA")</f>
        <v>DAHUA</v>
      </c>
      <c r="E1077" s="4" t="str">
        <f>IFERROR(__xludf.DUMMYFUNCTION("""COMPUTED_VALUE"""),"DHHACHDW1100RVF")</f>
        <v>DHHACHDW1100RVF</v>
      </c>
      <c r="F1077" s="4" t="str">
        <f>IFERROR(__xludf.DUMMYFUNCTION("""COMPUTED_VALUE"""),"CCTV &gt; CAMARAS ANALOGICAS")</f>
        <v>CCTV &gt; CAMARAS ANALOGICAS</v>
      </c>
      <c r="G1077" s="5"/>
      <c r="H1077" s="6">
        <f>IFERROR(__xludf.DUMMYFUNCTION("""COMPUTED_VALUE"""),22.0)</f>
        <v>22</v>
      </c>
      <c r="I1077" s="7">
        <f>IFERROR(__xludf.DUMMYFUNCTION("""COMPUTED_VALUE"""),21.0)</f>
        <v>21</v>
      </c>
      <c r="J1077" s="6">
        <f>IFERROR(__xludf.DUMMYFUNCTION("""COMPUTED_VALUE"""),26.4)</f>
        <v>26.4</v>
      </c>
      <c r="K1077" s="6">
        <f>IFERROR(__xludf.DUMMYFUNCTION("""COMPUTED_VALUE"""),30.8)</f>
        <v>30.8</v>
      </c>
      <c r="L1077" s="3"/>
      <c r="M1077" s="3"/>
    </row>
    <row r="1078" ht="48.0" customHeight="1">
      <c r="A1078" s="3" t="str">
        <f>IFERROR(__xludf.DUMMYFUNCTION("""COMPUTED_VALUE"""),"DHHACB1A21P")</f>
        <v>DHHACB1A21P</v>
      </c>
      <c r="B1078" s="4" t="str">
        <f>IFERROR(__xludf.DUMMYFUNCTION("""COMPUTED_VALUE"""),"CAMARA BULLET 2MP")</f>
        <v>CAMARA BULLET 2MP</v>
      </c>
      <c r="C1078" s="4" t="str">
        <f>IFERROR(__xludf.DUMMYFUNCTION("""COMPUTED_VALUE"""),"Cámara 4 en 1 Bullet IR 2Mpx IP67, lente 3.6 gabinete plástico")</f>
        <v>Cámara 4 en 1 Bullet IR 2Mpx IP67, lente 3.6 gabinete plástico</v>
      </c>
      <c r="D1078" s="4" t="str">
        <f>IFERROR(__xludf.DUMMYFUNCTION("""COMPUTED_VALUE"""),"DAHUA")</f>
        <v>DAHUA</v>
      </c>
      <c r="E1078" s="4" t="str">
        <f>IFERROR(__xludf.DUMMYFUNCTION("""COMPUTED_VALUE"""),"DHHACB1A21P")</f>
        <v>DHHACB1A21P</v>
      </c>
      <c r="F1078" s="4" t="str">
        <f>IFERROR(__xludf.DUMMYFUNCTION("""COMPUTED_VALUE"""),"CCTV &gt; CAMARAS ANALOGICAS")</f>
        <v>CCTV &gt; CAMARAS ANALOGICAS</v>
      </c>
      <c r="G1078" s="5"/>
      <c r="H1078" s="6">
        <f>IFERROR(__xludf.DUMMYFUNCTION("""COMPUTED_VALUE"""),16.28)</f>
        <v>16.28</v>
      </c>
      <c r="I1078" s="7">
        <f>IFERROR(__xludf.DUMMYFUNCTION("""COMPUTED_VALUE"""),21.0)</f>
        <v>21</v>
      </c>
      <c r="J1078" s="6">
        <f>IFERROR(__xludf.DUMMYFUNCTION("""COMPUTED_VALUE"""),19.54)</f>
        <v>19.54</v>
      </c>
      <c r="K1078" s="6">
        <f>IFERROR(__xludf.DUMMYFUNCTION("""COMPUTED_VALUE"""),22.79)</f>
        <v>22.79</v>
      </c>
      <c r="L1078" s="3"/>
      <c r="M1078" s="3"/>
    </row>
    <row r="1079" ht="48.0" customHeight="1">
      <c r="A1079" s="3" t="str">
        <f>IFERROR(__xludf.DUMMYFUNCTION("""COMPUTED_VALUE"""),"DHHACB1A21P-028")</f>
        <v>DHHACB1A21P-028</v>
      </c>
      <c r="B1079" s="4" t="str">
        <f>IFERROR(__xludf.DUMMYFUNCTION("""COMPUTED_VALUE"""),"CAMARA BULLET 2MP")</f>
        <v>CAMARA BULLET 2MP</v>
      </c>
      <c r="C1079" s="4" t="str">
        <f>IFERROR(__xludf.DUMMYFUNCTION("""COMPUTED_VALUE"""),"Cámara 4 en 1 Bullet IR 2Mpx IP67, lente 2.8 gabinete plástico")</f>
        <v>Cámara 4 en 1 Bullet IR 2Mpx IP67, lente 2.8 gabinete plástico</v>
      </c>
      <c r="D1079" s="4" t="str">
        <f>IFERROR(__xludf.DUMMYFUNCTION("""COMPUTED_VALUE"""),"DAHUA")</f>
        <v>DAHUA</v>
      </c>
      <c r="E1079" s="4" t="str">
        <f>IFERROR(__xludf.DUMMYFUNCTION("""COMPUTED_VALUE"""),"DHHACB1A21P-028")</f>
        <v>DHHACB1A21P-028</v>
      </c>
      <c r="F1079" s="4" t="str">
        <f>IFERROR(__xludf.DUMMYFUNCTION("""COMPUTED_VALUE"""),"CCTV &gt; CAMARAS ANALOGICAS")</f>
        <v>CCTV &gt; CAMARAS ANALOGICAS</v>
      </c>
      <c r="G1079" s="5"/>
      <c r="H1079" s="6">
        <f>IFERROR(__xludf.DUMMYFUNCTION("""COMPUTED_VALUE"""),16.28)</f>
        <v>16.28</v>
      </c>
      <c r="I1079" s="7">
        <f>IFERROR(__xludf.DUMMYFUNCTION("""COMPUTED_VALUE"""),21.0)</f>
        <v>21</v>
      </c>
      <c r="J1079" s="6">
        <f>IFERROR(__xludf.DUMMYFUNCTION("""COMPUTED_VALUE"""),19.54)</f>
        <v>19.54</v>
      </c>
      <c r="K1079" s="6">
        <f>IFERROR(__xludf.DUMMYFUNCTION("""COMPUTED_VALUE"""),22.79)</f>
        <v>22.79</v>
      </c>
      <c r="L1079" s="3"/>
      <c r="M1079" s="3"/>
    </row>
    <row r="1080" ht="48.0" customHeight="1">
      <c r="A1080" s="3" t="str">
        <f>IFERROR(__xludf.DUMMYFUNCTION("""COMPUTED_VALUE"""),"DHHACB2A21P")</f>
        <v>DHHACB2A21P</v>
      </c>
      <c r="B1080" s="4" t="str">
        <f>IFERROR(__xludf.DUMMYFUNCTION("""COMPUTED_VALUE"""),"CAMARA BULLET 2MP")</f>
        <v>CAMARA BULLET 2MP</v>
      </c>
      <c r="C1080" s="4" t="str">
        <f>IFERROR(__xludf.DUMMYFUNCTION("""COMPUTED_VALUE"""),"Cámara 4 en 1 Bullet 2Mpx IR Metálica marca Dahua, lente 2.8")</f>
        <v>Cámara 4 en 1 Bullet 2Mpx IR Metálica marca Dahua, lente 2.8</v>
      </c>
      <c r="D1080" s="4" t="str">
        <f>IFERROR(__xludf.DUMMYFUNCTION("""COMPUTED_VALUE"""),"DAHUA")</f>
        <v>DAHUA</v>
      </c>
      <c r="E1080" s="4" t="str">
        <f>IFERROR(__xludf.DUMMYFUNCTION("""COMPUTED_VALUE"""),"DHHACB2A21P")</f>
        <v>DHHACB2A21P</v>
      </c>
      <c r="F1080" s="4" t="str">
        <f>IFERROR(__xludf.DUMMYFUNCTION("""COMPUTED_VALUE"""),"CCTV &gt; CAMARAS ANALOGICAS")</f>
        <v>CCTV &gt; CAMARAS ANALOGICAS</v>
      </c>
      <c r="G1080" s="5"/>
      <c r="H1080" s="6">
        <f>IFERROR(__xludf.DUMMYFUNCTION("""COMPUTED_VALUE"""),18.33)</f>
        <v>18.33</v>
      </c>
      <c r="I1080" s="7">
        <f>IFERROR(__xludf.DUMMYFUNCTION("""COMPUTED_VALUE"""),21.0)</f>
        <v>21</v>
      </c>
      <c r="J1080" s="6">
        <f>IFERROR(__xludf.DUMMYFUNCTION("""COMPUTED_VALUE"""),22.0)</f>
        <v>22</v>
      </c>
      <c r="K1080" s="6">
        <f>IFERROR(__xludf.DUMMYFUNCTION("""COMPUTED_VALUE"""),25.66)</f>
        <v>25.66</v>
      </c>
      <c r="L1080" s="3"/>
      <c r="M1080" s="3"/>
    </row>
    <row r="1081" ht="48.0" customHeight="1">
      <c r="A1081" s="3" t="str">
        <f>IFERROR(__xludf.DUMMYFUNCTION("""COMPUTED_VALUE"""),"DHHACHFW1209CLP-LED")</f>
        <v>DHHACHFW1209CLP-LED</v>
      </c>
      <c r="B1081" s="4" t="str">
        <f>IFERROR(__xludf.DUMMYFUNCTION("""COMPUTED_VALUE"""),"CAMARA BULLET 2MP")</f>
        <v>CAMARA BULLET 2MP</v>
      </c>
      <c r="C1081" s="4" t="str">
        <f>IFERROR(__xludf.DUMMYFUNCTION("""COMPUTED_VALUE"""),"Cámara Bullet HDCVI 2MP (1920 × 1080), Full-Color 24/7, Super Adapt, Lente fija 2.8 mm, Luz Blanca LED cálida hasta 20 m Protección IP67.")</f>
        <v>Cámara Bullet HDCVI 2MP (1920 × 1080), Full-Color 24/7, Super Adapt, Lente fija 2.8 mm, Luz Blanca LED cálida hasta 20 m Protección IP67.</v>
      </c>
      <c r="D1081" s="4" t="str">
        <f>IFERROR(__xludf.DUMMYFUNCTION("""COMPUTED_VALUE"""),"DAHUA")</f>
        <v>DAHUA</v>
      </c>
      <c r="E1081" s="4" t="str">
        <f>IFERROR(__xludf.DUMMYFUNCTION("""COMPUTED_VALUE"""),"DHHACHFW1209CLP-LED")</f>
        <v>DHHACHFW1209CLP-LED</v>
      </c>
      <c r="F1081" s="4" t="str">
        <f>IFERROR(__xludf.DUMMYFUNCTION("""COMPUTED_VALUE"""),"CCTV &gt; CAMARAS ANALOGICAS")</f>
        <v>CCTV &gt; CAMARAS ANALOGICAS</v>
      </c>
      <c r="G1081" s="5"/>
      <c r="H1081" s="6">
        <f>IFERROR(__xludf.DUMMYFUNCTION("""COMPUTED_VALUE"""),25.69)</f>
        <v>25.69</v>
      </c>
      <c r="I1081" s="7">
        <f>IFERROR(__xludf.DUMMYFUNCTION("""COMPUTED_VALUE"""),21.0)</f>
        <v>21</v>
      </c>
      <c r="J1081" s="6">
        <f>IFERROR(__xludf.DUMMYFUNCTION("""COMPUTED_VALUE"""),30.83)</f>
        <v>30.83</v>
      </c>
      <c r="K1081" s="6">
        <f>IFERROR(__xludf.DUMMYFUNCTION("""COMPUTED_VALUE"""),35.97)</f>
        <v>35.97</v>
      </c>
      <c r="L1081" s="3"/>
      <c r="M1081" s="3"/>
    </row>
    <row r="1082" ht="48.0" customHeight="1">
      <c r="A1082" s="3" t="str">
        <f>IFERROR(__xludf.DUMMYFUNCTION("""COMPUTED_VALUE"""),"DHHACHFW1239TLMP-LED")</f>
        <v>DHHACHFW1239TLMP-LED</v>
      </c>
      <c r="B1082" s="4" t="str">
        <f>IFERROR(__xludf.DUMMYFUNCTION("""COMPUTED_VALUE"""),"CAMARA BULLET 2MP")</f>
        <v>CAMARA BULLET 2MP</v>
      </c>
      <c r="C1082" s="4" t="str">
        <f>IFERROR(__xludf.DUMMYFUNCTION("""COMPUTED_VALUE"""),"Cámara Bullet STARLIGHT de 2 MP HDCVI, CMOS 1/2,8`, lente fijo 2,8MM, IP67 tapa metálica y carcasa de plástica Full-Color IR de 40 M")</f>
        <v>Cámara Bullet STARLIGHT de 2 MP HDCVI, CMOS 1/2,8`, lente fijo 2,8MM, IP67 tapa metálica y carcasa de plástica Full-Color IR de 40 M</v>
      </c>
      <c r="D1082" s="4" t="str">
        <f>IFERROR(__xludf.DUMMYFUNCTION("""COMPUTED_VALUE"""),"DAHUA")</f>
        <v>DAHUA</v>
      </c>
      <c r="E1082" s="4" t="str">
        <f>IFERROR(__xludf.DUMMYFUNCTION("""COMPUTED_VALUE"""),"DHHACHFW1239TLMP-LED")</f>
        <v>DHHACHFW1239TLMP-LED</v>
      </c>
      <c r="F1082" s="4" t="str">
        <f>IFERROR(__xludf.DUMMYFUNCTION("""COMPUTED_VALUE"""),"CCTV &gt; CAMARAS ANALOGICAS")</f>
        <v>CCTV &gt; CAMARAS ANALOGICAS</v>
      </c>
      <c r="G1082" s="5"/>
      <c r="H1082" s="6">
        <f>IFERROR(__xludf.DUMMYFUNCTION("""COMPUTED_VALUE"""),42.79)</f>
        <v>42.79</v>
      </c>
      <c r="I1082" s="7">
        <f>IFERROR(__xludf.DUMMYFUNCTION("""COMPUTED_VALUE"""),21.0)</f>
        <v>21</v>
      </c>
      <c r="J1082" s="6">
        <f>IFERROR(__xludf.DUMMYFUNCTION("""COMPUTED_VALUE"""),51.35)</f>
        <v>51.35</v>
      </c>
      <c r="K1082" s="6">
        <f>IFERROR(__xludf.DUMMYFUNCTION("""COMPUTED_VALUE"""),59.91)</f>
        <v>59.91</v>
      </c>
      <c r="L1082" s="3"/>
      <c r="M1082" s="3"/>
    </row>
    <row r="1083" ht="48.0" customHeight="1">
      <c r="A1083" s="3" t="str">
        <f>IFERROR(__xludf.DUMMYFUNCTION("""COMPUTED_VALUE"""),"DHHACHFW1239TLMP-A-LED")</f>
        <v>DHHACHFW1239TLMP-A-LED</v>
      </c>
      <c r="B1083" s="4" t="str">
        <f>IFERROR(__xludf.DUMMYFUNCTION("""COMPUTED_VALUE"""),"CAMARA BULLET 2MP")</f>
        <v>CAMARA BULLET 2MP</v>
      </c>
      <c r="C1083" s="4" t="str">
        <f>IFERROR(__xludf.DUMMYFUNCTION("""COMPUTED_VALUE"""),"Cámara Bullet STARLIGHT de 2 MP HDCVI, CMOS 1/2,8`, lente fijo 2,8MM, IP67 tapa metálica y carcasa de plástica Full-Color IR de 40 M. AUDIO")</f>
        <v>Cámara Bullet STARLIGHT de 2 MP HDCVI, CMOS 1/2,8`, lente fijo 2,8MM, IP67 tapa metálica y carcasa de plástica Full-Color IR de 40 M. AUDIO</v>
      </c>
      <c r="D1083" s="4" t="str">
        <f>IFERROR(__xludf.DUMMYFUNCTION("""COMPUTED_VALUE"""),"DAHUA")</f>
        <v>DAHUA</v>
      </c>
      <c r="E1083" s="4" t="str">
        <f>IFERROR(__xludf.DUMMYFUNCTION("""COMPUTED_VALUE"""),"DHHACHFW1239TLMP-A-LED")</f>
        <v>DHHACHFW1239TLMP-A-LED</v>
      </c>
      <c r="F1083" s="4" t="str">
        <f>IFERROR(__xludf.DUMMYFUNCTION("""COMPUTED_VALUE"""),"CCTV &gt; CAMARAS ANALOGICAS")</f>
        <v>CCTV &gt; CAMARAS ANALOGICAS</v>
      </c>
      <c r="G1083" s="5"/>
      <c r="H1083" s="6">
        <f>IFERROR(__xludf.DUMMYFUNCTION("""COMPUTED_VALUE"""),49.5)</f>
        <v>49.5</v>
      </c>
      <c r="I1083" s="7">
        <f>IFERROR(__xludf.DUMMYFUNCTION("""COMPUTED_VALUE"""),21.0)</f>
        <v>21</v>
      </c>
      <c r="J1083" s="6">
        <f>IFERROR(__xludf.DUMMYFUNCTION("""COMPUTED_VALUE"""),59.4)</f>
        <v>59.4</v>
      </c>
      <c r="K1083" s="6">
        <f>IFERROR(__xludf.DUMMYFUNCTION("""COMPUTED_VALUE"""),69.3)</f>
        <v>69.3</v>
      </c>
      <c r="L1083" s="3"/>
      <c r="M1083" s="3"/>
    </row>
    <row r="1084" ht="48.0" customHeight="1">
      <c r="A1084" s="3" t="str">
        <f>IFERROR(__xludf.DUMMYFUNCTION("""COMPUTED_VALUE"""),"DHHACHFW1239TLMP-IL-A")</f>
        <v>DHHACHFW1239TLMP-IL-A</v>
      </c>
      <c r="B1084" s="4" t="str">
        <f>IFERROR(__xludf.DUMMYFUNCTION("""COMPUTED_VALUE"""),"CAMARA BULLET 2MP")</f>
        <v>CAMARA BULLET 2MP</v>
      </c>
      <c r="C1084" s="4" t="str">
        <f>IFERROR(__xludf.DUMMYFUNCTION("""COMPUTED_VALUE"""),"Cámara Bullet STARLIGHT de 2 MP HDCVI, CMOS 1/2,8`, lente fijo 2,8MM, IP67 AUDIO tapa metálica y carcasa de plástica Full-Color IR de 40 M")</f>
        <v>Cámara Bullet STARLIGHT de 2 MP HDCVI, CMOS 1/2,8`, lente fijo 2,8MM, IP67 AUDIO tapa metálica y carcasa de plástica Full-Color IR de 40 M</v>
      </c>
      <c r="D1084" s="4" t="str">
        <f>IFERROR(__xludf.DUMMYFUNCTION("""COMPUTED_VALUE"""),"DAHUA")</f>
        <v>DAHUA</v>
      </c>
      <c r="E1084" s="4" t="str">
        <f>IFERROR(__xludf.DUMMYFUNCTION("""COMPUTED_VALUE"""),"DHHACHFW1239TLMP-IL-A")</f>
        <v>DHHACHFW1239TLMP-IL-A</v>
      </c>
      <c r="F1084" s="4" t="str">
        <f>IFERROR(__xludf.DUMMYFUNCTION("""COMPUTED_VALUE"""),"CCTV &gt; CAMARAS ANALOGICAS")</f>
        <v>CCTV &gt; CAMARAS ANALOGICAS</v>
      </c>
      <c r="G1084" s="5"/>
      <c r="H1084" s="6">
        <f>IFERROR(__xludf.DUMMYFUNCTION("""COMPUTED_VALUE"""),51.16)</f>
        <v>51.16</v>
      </c>
      <c r="I1084" s="7">
        <f>IFERROR(__xludf.DUMMYFUNCTION("""COMPUTED_VALUE"""),21.0)</f>
        <v>21</v>
      </c>
      <c r="J1084" s="6">
        <f>IFERROR(__xludf.DUMMYFUNCTION("""COMPUTED_VALUE"""),61.39)</f>
        <v>61.39</v>
      </c>
      <c r="K1084" s="6">
        <f>IFERROR(__xludf.DUMMYFUNCTION("""COMPUTED_VALUE"""),71.62)</f>
        <v>71.62</v>
      </c>
      <c r="L1084" s="3"/>
      <c r="M1084" s="3"/>
    </row>
    <row r="1085" ht="48.0" customHeight="1">
      <c r="A1085" s="3" t="str">
        <f>IFERROR(__xludf.DUMMYFUNCTION("""COMPUTED_VALUE"""),"DHHACHFW1200DP")</f>
        <v>DHHACHFW1200DP</v>
      </c>
      <c r="B1085" s="4" t="str">
        <f>IFERROR(__xludf.DUMMYFUNCTION("""COMPUTED_VALUE"""),"CAMARA BULLET 2MP")</f>
        <v>CAMARA BULLET 2MP</v>
      </c>
      <c r="C1085" s="4" t="str">
        <f>IFERROR(__xludf.DUMMYFUNCTION("""COMPUTED_VALUE"""),"Cámara HDCVI Bullet 2Mpx IR 80m marca Dahua lente 3,6 mm")</f>
        <v>Cámara HDCVI Bullet 2Mpx IR 80m marca Dahua lente 3,6 mm</v>
      </c>
      <c r="D1085" s="4" t="str">
        <f>IFERROR(__xludf.DUMMYFUNCTION("""COMPUTED_VALUE"""),"DAHUA")</f>
        <v>DAHUA</v>
      </c>
      <c r="E1085" s="4" t="str">
        <f>IFERROR(__xludf.DUMMYFUNCTION("""COMPUTED_VALUE"""),"DHHACHFW1200DP")</f>
        <v>DHHACHFW1200DP</v>
      </c>
      <c r="F1085" s="4" t="str">
        <f>IFERROR(__xludf.DUMMYFUNCTION("""COMPUTED_VALUE"""),"CCTV &gt; CAMARAS ANALOGICAS")</f>
        <v>CCTV &gt; CAMARAS ANALOGICAS</v>
      </c>
      <c r="G1085" s="5"/>
      <c r="H1085" s="6">
        <f>IFERROR(__xludf.DUMMYFUNCTION("""COMPUTED_VALUE"""),40.01)</f>
        <v>40.01</v>
      </c>
      <c r="I1085" s="7">
        <f>IFERROR(__xludf.DUMMYFUNCTION("""COMPUTED_VALUE"""),21.0)</f>
        <v>21</v>
      </c>
      <c r="J1085" s="6">
        <f>IFERROR(__xludf.DUMMYFUNCTION("""COMPUTED_VALUE"""),48.01)</f>
        <v>48.01</v>
      </c>
      <c r="K1085" s="6">
        <f>IFERROR(__xludf.DUMMYFUNCTION("""COMPUTED_VALUE"""),56.01)</f>
        <v>56.01</v>
      </c>
      <c r="L1085" s="3"/>
      <c r="M1085" s="3"/>
    </row>
    <row r="1086" ht="48.0" customHeight="1">
      <c r="A1086" s="3" t="str">
        <f>IFERROR(__xludf.DUMMYFUNCTION("""COMPUTED_VALUE"""),"DHHACHFW1200CLP-IL-A")</f>
        <v>DHHACHFW1200CLP-IL-A</v>
      </c>
      <c r="B1086" s="4" t="str">
        <f>IFERROR(__xludf.DUMMYFUNCTION("""COMPUTED_VALUE"""),"CAMARA BULLET 2MP")</f>
        <v>CAMARA BULLET 2MP</v>
      </c>
      <c r="C1086" s="4" t="str">
        <f>IFERROR(__xludf.DUMMYFUNCTION("""COMPUTED_VALUE"""),"Cámara HDCVI Bullet 2Mpx Smart Dual Light lente 2,8 mm con audio")</f>
        <v>Cámara HDCVI Bullet 2Mpx Smart Dual Light lente 2,8 mm con audio</v>
      </c>
      <c r="D1086" s="4" t="str">
        <f>IFERROR(__xludf.DUMMYFUNCTION("""COMPUTED_VALUE"""),"DAHUA")</f>
        <v>DAHUA</v>
      </c>
      <c r="E1086" s="4" t="str">
        <f>IFERROR(__xludf.DUMMYFUNCTION("""COMPUTED_VALUE"""),"DHHACHFW1200CLP-IL-A")</f>
        <v>DHHACHFW1200CLP-IL-A</v>
      </c>
      <c r="F1086" s="4" t="str">
        <f>IFERROR(__xludf.DUMMYFUNCTION("""COMPUTED_VALUE"""),"CCTV &gt; CAMARAS ANALOGICAS")</f>
        <v>CCTV &gt; CAMARAS ANALOGICAS</v>
      </c>
      <c r="G1086" s="5"/>
      <c r="H1086" s="6">
        <f>IFERROR(__xludf.DUMMYFUNCTION("""COMPUTED_VALUE"""),23.54)</f>
        <v>23.54</v>
      </c>
      <c r="I1086" s="7">
        <f>IFERROR(__xludf.DUMMYFUNCTION("""COMPUTED_VALUE"""),21.0)</f>
        <v>21</v>
      </c>
      <c r="J1086" s="6">
        <f>IFERROR(__xludf.DUMMYFUNCTION("""COMPUTED_VALUE"""),28.25)</f>
        <v>28.25</v>
      </c>
      <c r="K1086" s="6">
        <f>IFERROR(__xludf.DUMMYFUNCTION("""COMPUTED_VALUE"""),32.96)</f>
        <v>32.96</v>
      </c>
      <c r="L1086" s="3"/>
      <c r="M1086" s="3"/>
    </row>
    <row r="1087" ht="48.0" customHeight="1">
      <c r="A1087" s="3" t="str">
        <f>IFERROR(__xludf.DUMMYFUNCTION("""COMPUTED_VALUE"""),"DHHACB4A21PVF")</f>
        <v>DHHACB4A21PVF</v>
      </c>
      <c r="B1087" s="4" t="str">
        <f>IFERROR(__xludf.DUMMYFUNCTION("""COMPUTED_VALUE"""),"CAMARA BULLET 2MP")</f>
        <v>CAMARA BULLET 2MP</v>
      </c>
      <c r="C1087" s="4" t="str">
        <f>IFERROR(__xludf.DUMMYFUNCTION("""COMPUTED_VALUE"""),"Cámara HDCVI Bullet 2Mpx IR40m varifocal 2.7 a 12 mm marca Dahua")</f>
        <v>Cámara HDCVI Bullet 2Mpx IR40m varifocal 2.7 a 12 mm marca Dahua</v>
      </c>
      <c r="D1087" s="4" t="str">
        <f>IFERROR(__xludf.DUMMYFUNCTION("""COMPUTED_VALUE"""),"DAHUA")</f>
        <v>DAHUA</v>
      </c>
      <c r="E1087" s="4" t="str">
        <f>IFERROR(__xludf.DUMMYFUNCTION("""COMPUTED_VALUE"""),"DHHACB4A21PVF")</f>
        <v>DHHACB4A21PVF</v>
      </c>
      <c r="F1087" s="4" t="str">
        <f>IFERROR(__xludf.DUMMYFUNCTION("""COMPUTED_VALUE"""),"CCTV &gt; CAMARAS ANALOGICAS")</f>
        <v>CCTV &gt; CAMARAS ANALOGICAS</v>
      </c>
      <c r="G1087" s="5"/>
      <c r="H1087" s="6">
        <f>IFERROR(__xludf.DUMMYFUNCTION("""COMPUTED_VALUE"""),50.89)</f>
        <v>50.89</v>
      </c>
      <c r="I1087" s="7">
        <f>IFERROR(__xludf.DUMMYFUNCTION("""COMPUTED_VALUE"""),21.0)</f>
        <v>21</v>
      </c>
      <c r="J1087" s="6">
        <f>IFERROR(__xludf.DUMMYFUNCTION("""COMPUTED_VALUE"""),61.07)</f>
        <v>61.07</v>
      </c>
      <c r="K1087" s="6">
        <f>IFERROR(__xludf.DUMMYFUNCTION("""COMPUTED_VALUE"""),71.25)</f>
        <v>71.25</v>
      </c>
      <c r="L1087" s="3"/>
      <c r="M1087" s="3"/>
    </row>
    <row r="1088" ht="48.0" customHeight="1">
      <c r="A1088" s="3" t="str">
        <f>IFERROR(__xludf.DUMMYFUNCTION("""COMPUTED_VALUE"""),"DHHACME1200DPLED")</f>
        <v>DHHACME1200DPLED</v>
      </c>
      <c r="B1088" s="4" t="str">
        <f>IFERROR(__xludf.DUMMYFUNCTION("""COMPUTED_VALUE"""),"CAMARA BULLET 1080P")</f>
        <v>CAMARA BULLET 1080P</v>
      </c>
      <c r="C1088" s="4" t="str">
        <f>IFERROR(__xludf.DUMMYFUNCTION("""COMPUTED_VALUE"""),"Cámara Bullet metálica + plástica; Máx.30 fps@1080P; IR 20m; PIR incorporado; Disuasión activa con luz blanca y sirena; IP67.Lente 2.8mm")</f>
        <v>Cámara Bullet metálica + plástica; Máx.30 fps@1080P; IR 20m; PIR incorporado; Disuasión activa con luz blanca y sirena; IP67.Lente 2.8mm</v>
      </c>
      <c r="D1088" s="4" t="str">
        <f>IFERROR(__xludf.DUMMYFUNCTION("""COMPUTED_VALUE"""),"DAHUA")</f>
        <v>DAHUA</v>
      </c>
      <c r="E1088" s="4" t="str">
        <f>IFERROR(__xludf.DUMMYFUNCTION("""COMPUTED_VALUE"""),"DHHACME1200DPLED")</f>
        <v>DHHACME1200DPLED</v>
      </c>
      <c r="F1088" s="4" t="str">
        <f>IFERROR(__xludf.DUMMYFUNCTION("""COMPUTED_VALUE"""),"CCTV &gt; CAMARAS ANALOGICAS")</f>
        <v>CCTV &gt; CAMARAS ANALOGICAS</v>
      </c>
      <c r="G1088" s="5"/>
      <c r="H1088" s="6">
        <f>IFERROR(__xludf.DUMMYFUNCTION("""COMPUTED_VALUE"""),51.28)</f>
        <v>51.28</v>
      </c>
      <c r="I1088" s="7">
        <f>IFERROR(__xludf.DUMMYFUNCTION("""COMPUTED_VALUE"""),21.0)</f>
        <v>21</v>
      </c>
      <c r="J1088" s="6">
        <f>IFERROR(__xludf.DUMMYFUNCTION("""COMPUTED_VALUE"""),61.54)</f>
        <v>61.54</v>
      </c>
      <c r="K1088" s="6">
        <f>IFERROR(__xludf.DUMMYFUNCTION("""COMPUTED_VALUE"""),71.79)</f>
        <v>71.79</v>
      </c>
      <c r="L1088" s="3"/>
      <c r="M1088" s="3"/>
    </row>
    <row r="1089" ht="48.0" customHeight="1">
      <c r="A1089" s="3" t="str">
        <f>IFERROR(__xludf.DUMMYFUNCTION("""COMPUTED_VALUE"""),"DHHACHFW1200RPZIR6")</f>
        <v>DHHACHFW1200RPZIR6</v>
      </c>
      <c r="B1089" s="4" t="str">
        <f>IFERROR(__xludf.DUMMYFUNCTION("""COMPUTED_VALUE"""),"CAMARA BULLET 2MP")</f>
        <v>CAMARA BULLET 2MP</v>
      </c>
      <c r="C1089" s="4" t="str">
        <f>IFERROR(__xludf.DUMMYFUNCTION("""COMPUTED_VALUE"""),"Cámara 4 en 1 Bullet 2Mpx IR 60m marca Dahua lente motorizado")</f>
        <v>Cámara 4 en 1 Bullet 2Mpx IR 60m marca Dahua lente motorizado</v>
      </c>
      <c r="D1089" s="4" t="str">
        <f>IFERROR(__xludf.DUMMYFUNCTION("""COMPUTED_VALUE"""),"DAHUA")</f>
        <v>DAHUA</v>
      </c>
      <c r="E1089" s="4" t="str">
        <f>IFERROR(__xludf.DUMMYFUNCTION("""COMPUTED_VALUE"""),"DHHACHFW1200RPZIR6")</f>
        <v>DHHACHFW1200RPZIR6</v>
      </c>
      <c r="F1089" s="4" t="str">
        <f>IFERROR(__xludf.DUMMYFUNCTION("""COMPUTED_VALUE"""),"CCTV &gt; CAMARAS ANALOGICAS")</f>
        <v>CCTV &gt; CAMARAS ANALOGICAS</v>
      </c>
      <c r="G1089" s="5"/>
      <c r="H1089" s="6">
        <f>IFERROR(__xludf.DUMMYFUNCTION("""COMPUTED_VALUE"""),63.8)</f>
        <v>63.8</v>
      </c>
      <c r="I1089" s="7">
        <f>IFERROR(__xludf.DUMMYFUNCTION("""COMPUTED_VALUE"""),21.0)</f>
        <v>21</v>
      </c>
      <c r="J1089" s="6">
        <f>IFERROR(__xludf.DUMMYFUNCTION("""COMPUTED_VALUE"""),76.56)</f>
        <v>76.56</v>
      </c>
      <c r="K1089" s="6">
        <f>IFERROR(__xludf.DUMMYFUNCTION("""COMPUTED_VALUE"""),89.32)</f>
        <v>89.32</v>
      </c>
      <c r="L1089" s="3"/>
      <c r="M1089" s="3"/>
    </row>
    <row r="1090" ht="48.0" customHeight="1">
      <c r="A1090" s="3" t="str">
        <f>IFERROR(__xludf.DUMMYFUNCTION("""COMPUTED_VALUE"""),"DHHACHFW2231RPZIRE6")</f>
        <v>DHHACHFW2231RPZIRE6</v>
      </c>
      <c r="B1090" s="4" t="str">
        <f>IFERROR(__xludf.DUMMYFUNCTION("""COMPUTED_VALUE"""),"CAMARA BULLET 2MP")</f>
        <v>CAMARA BULLET 2MP</v>
      </c>
      <c r="C1090" s="4" t="str">
        <f>IFERROR(__xludf.DUMMYFUNCTION("""COMPUTED_VALUE"""),"Cámara HDCVI Bullet Starlight 2Mpx IR 60m WDR Zoom 4x marca Dahua")</f>
        <v>Cámara HDCVI Bullet Starlight 2Mpx IR 60m WDR Zoom 4x marca Dahua</v>
      </c>
      <c r="D1090" s="4" t="str">
        <f>IFERROR(__xludf.DUMMYFUNCTION("""COMPUTED_VALUE"""),"DAHUA")</f>
        <v>DAHUA</v>
      </c>
      <c r="E1090" s="4" t="str">
        <f>IFERROR(__xludf.DUMMYFUNCTION("""COMPUTED_VALUE"""),"DHHACHFW2231RPZIRE6")</f>
        <v>DHHACHFW2231RPZIRE6</v>
      </c>
      <c r="F1090" s="4" t="str">
        <f>IFERROR(__xludf.DUMMYFUNCTION("""COMPUTED_VALUE"""),"CCTV &gt; CAMARAS ANALOGICAS")</f>
        <v>CCTV &gt; CAMARAS ANALOGICAS</v>
      </c>
      <c r="G1090" s="5"/>
      <c r="H1090" s="6">
        <f>IFERROR(__xludf.DUMMYFUNCTION("""COMPUTED_VALUE"""),86.9)</f>
        <v>86.9</v>
      </c>
      <c r="I1090" s="7">
        <f>IFERROR(__xludf.DUMMYFUNCTION("""COMPUTED_VALUE"""),21.0)</f>
        <v>21</v>
      </c>
      <c r="J1090" s="6">
        <f>IFERROR(__xludf.DUMMYFUNCTION("""COMPUTED_VALUE"""),104.28)</f>
        <v>104.28</v>
      </c>
      <c r="K1090" s="6">
        <f>IFERROR(__xludf.DUMMYFUNCTION("""COMPUTED_VALUE"""),121.66)</f>
        <v>121.66</v>
      </c>
      <c r="L1090" s="3"/>
      <c r="M1090" s="3"/>
    </row>
    <row r="1091" ht="48.0" customHeight="1">
      <c r="A1091" s="3" t="str">
        <f>IFERROR(__xludf.DUMMYFUNCTION("""COMPUTED_VALUE"""),"DHHACD1A21P")</f>
        <v>DHHACD1A21P</v>
      </c>
      <c r="B1091" s="4" t="str">
        <f>IFERROR(__xludf.DUMMYFUNCTION("""COMPUTED_VALUE"""),"CAMARA DOMO INTERIOR 2MP")</f>
        <v>CAMARA DOMO INTERIOR 2MP</v>
      </c>
      <c r="C1091" s="4" t="str">
        <f>IFERROR(__xludf.DUMMYFUNCTION("""COMPUTED_VALUE"""),"Cámara 4 en 1 Domo para interior 2Mpx IR 20m marca Dahua lente 2,8 mm")</f>
        <v>Cámara 4 en 1 Domo para interior 2Mpx IR 20m marca Dahua lente 2,8 mm</v>
      </c>
      <c r="D1091" s="4" t="str">
        <f>IFERROR(__xludf.DUMMYFUNCTION("""COMPUTED_VALUE"""),"DAHUA")</f>
        <v>DAHUA</v>
      </c>
      <c r="E1091" s="4" t="str">
        <f>IFERROR(__xludf.DUMMYFUNCTION("""COMPUTED_VALUE"""),"DHHACD1A21P")</f>
        <v>DHHACD1A21P</v>
      </c>
      <c r="F1091" s="4" t="str">
        <f>IFERROR(__xludf.DUMMYFUNCTION("""COMPUTED_VALUE"""),"CCTV &gt; CAMARAS ANALOGICAS")</f>
        <v>CCTV &gt; CAMARAS ANALOGICAS</v>
      </c>
      <c r="G1091" s="5"/>
      <c r="H1091" s="6">
        <f>IFERROR(__xludf.DUMMYFUNCTION("""COMPUTED_VALUE"""),18.81)</f>
        <v>18.81</v>
      </c>
      <c r="I1091" s="7">
        <f>IFERROR(__xludf.DUMMYFUNCTION("""COMPUTED_VALUE"""),21.0)</f>
        <v>21</v>
      </c>
      <c r="J1091" s="6">
        <f>IFERROR(__xludf.DUMMYFUNCTION("""COMPUTED_VALUE"""),22.57)</f>
        <v>22.57</v>
      </c>
      <c r="K1091" s="6">
        <f>IFERROR(__xludf.DUMMYFUNCTION("""COMPUTED_VALUE"""),26.33)</f>
        <v>26.33</v>
      </c>
      <c r="L1091" s="3"/>
      <c r="M1091" s="3"/>
    </row>
    <row r="1092" ht="48.0" customHeight="1">
      <c r="A1092" s="3" t="str">
        <f>IFERROR(__xludf.DUMMYFUNCTION("""COMPUTED_VALUE"""),"DHHACT1A21P")</f>
        <v>DHHACT1A21P</v>
      </c>
      <c r="B1092" s="4" t="str">
        <f>IFERROR(__xludf.DUMMYFUNCTION("""COMPUTED_VALUE"""),"CAMARA DOMO INTERIOR 2MP")</f>
        <v>CAMARA DOMO INTERIOR 2MP</v>
      </c>
      <c r="C1092" s="4" t="str">
        <f>IFERROR(__xludf.DUMMYFUNCTION("""COMPUTED_VALUE"""),"Cámara 4 en 1 Domo para interior 2Mpx IR marca Dahua lente 2,8 mm")</f>
        <v>Cámara 4 en 1 Domo para interior 2Mpx IR marca Dahua lente 2,8 mm</v>
      </c>
      <c r="D1092" s="4" t="str">
        <f>IFERROR(__xludf.DUMMYFUNCTION("""COMPUTED_VALUE"""),"DAHUA")</f>
        <v>DAHUA</v>
      </c>
      <c r="E1092" s="4" t="str">
        <f>IFERROR(__xludf.DUMMYFUNCTION("""COMPUTED_VALUE"""),"DHHACT1A21P")</f>
        <v>DHHACT1A21P</v>
      </c>
      <c r="F1092" s="4" t="str">
        <f>IFERROR(__xludf.DUMMYFUNCTION("""COMPUTED_VALUE"""),"CCTV &gt; CAMARAS ANALOGICAS")</f>
        <v>CCTV &gt; CAMARAS ANALOGICAS</v>
      </c>
      <c r="G1092" s="5"/>
      <c r="H1092" s="6">
        <f>IFERROR(__xludf.DUMMYFUNCTION("""COMPUTED_VALUE"""),15.27)</f>
        <v>15.27</v>
      </c>
      <c r="I1092" s="7">
        <f>IFERROR(__xludf.DUMMYFUNCTION("""COMPUTED_VALUE"""),21.0)</f>
        <v>21</v>
      </c>
      <c r="J1092" s="6">
        <f>IFERROR(__xludf.DUMMYFUNCTION("""COMPUTED_VALUE"""),18.32)</f>
        <v>18.32</v>
      </c>
      <c r="K1092" s="6">
        <f>IFERROR(__xludf.DUMMYFUNCTION("""COMPUTED_VALUE"""),21.38)</f>
        <v>21.38</v>
      </c>
      <c r="L1092" s="3"/>
      <c r="M1092" s="3"/>
    </row>
    <row r="1093" ht="48.0" customHeight="1">
      <c r="A1093" s="3" t="str">
        <f>IFERROR(__xludf.DUMMYFUNCTION("""COMPUTED_VALUE"""),"DHHACT2A21P36")</f>
        <v>DHHACT2A21P36</v>
      </c>
      <c r="B1093" s="4" t="str">
        <f>IFERROR(__xludf.DUMMYFUNCTION("""COMPUTED_VALUE"""),"CAMARA DOMO 2MP")</f>
        <v>CAMARA DOMO 2MP</v>
      </c>
      <c r="C1093" s="4" t="str">
        <f>IFERROR(__xludf.DUMMYFUNCTION("""COMPUTED_VALUE"""),"Cámara HDCVI Domo 2Mpx IR metalico marca Dahua lente 3,6 mm")</f>
        <v>Cámara HDCVI Domo 2Mpx IR metalico marca Dahua lente 3,6 mm</v>
      </c>
      <c r="D1093" s="4" t="str">
        <f>IFERROR(__xludf.DUMMYFUNCTION("""COMPUTED_VALUE"""),"DAHUA")</f>
        <v>DAHUA</v>
      </c>
      <c r="E1093" s="4" t="str">
        <f>IFERROR(__xludf.DUMMYFUNCTION("""COMPUTED_VALUE"""),"DHHACT2A21P36")</f>
        <v>DHHACT2A21P36</v>
      </c>
      <c r="F1093" s="4" t="str">
        <f>IFERROR(__xludf.DUMMYFUNCTION("""COMPUTED_VALUE"""),"CCTV &gt; CAMARAS ANALOGICAS")</f>
        <v>CCTV &gt; CAMARAS ANALOGICAS</v>
      </c>
      <c r="G1093" s="5"/>
      <c r="H1093" s="6">
        <f>IFERROR(__xludf.DUMMYFUNCTION("""COMPUTED_VALUE"""),19.33)</f>
        <v>19.33</v>
      </c>
      <c r="I1093" s="7">
        <f>IFERROR(__xludf.DUMMYFUNCTION("""COMPUTED_VALUE"""),21.0)</f>
        <v>21</v>
      </c>
      <c r="J1093" s="6">
        <f>IFERROR(__xludf.DUMMYFUNCTION("""COMPUTED_VALUE"""),23.2)</f>
        <v>23.2</v>
      </c>
      <c r="K1093" s="6">
        <f>IFERROR(__xludf.DUMMYFUNCTION("""COMPUTED_VALUE"""),27.06)</f>
        <v>27.06</v>
      </c>
      <c r="L1093" s="3"/>
      <c r="M1093" s="3"/>
    </row>
    <row r="1094" ht="48.0" customHeight="1">
      <c r="A1094" s="3" t="str">
        <f>IFERROR(__xludf.DUMMYFUNCTION("""COMPUTED_VALUE"""),"DHHACT2A21P28")</f>
        <v>DHHACT2A21P28</v>
      </c>
      <c r="B1094" s="4" t="str">
        <f>IFERROR(__xludf.DUMMYFUNCTION("""COMPUTED_VALUE"""),"CAMARA DOMO 2MP")</f>
        <v>CAMARA DOMO 2MP</v>
      </c>
      <c r="C1094" s="4" t="str">
        <f>IFERROR(__xludf.DUMMYFUNCTION("""COMPUTED_VALUE"""),"Cámara HDCVI Domo 2Mpx IR metalico marca Dahua lente 2,8 mm")</f>
        <v>Cámara HDCVI Domo 2Mpx IR metalico marca Dahua lente 2,8 mm</v>
      </c>
      <c r="D1094" s="4" t="str">
        <f>IFERROR(__xludf.DUMMYFUNCTION("""COMPUTED_VALUE"""),"DAHUA")</f>
        <v>DAHUA</v>
      </c>
      <c r="E1094" s="4" t="str">
        <f>IFERROR(__xludf.DUMMYFUNCTION("""COMPUTED_VALUE"""),"DHHACT2A21P28")</f>
        <v>DHHACT2A21P28</v>
      </c>
      <c r="F1094" s="4" t="str">
        <f>IFERROR(__xludf.DUMMYFUNCTION("""COMPUTED_VALUE"""),"CCTV &gt; CAMARAS ANALOGICAS")</f>
        <v>CCTV &gt; CAMARAS ANALOGICAS</v>
      </c>
      <c r="G1094" s="5"/>
      <c r="H1094" s="6">
        <f>IFERROR(__xludf.DUMMYFUNCTION("""COMPUTED_VALUE"""),18.33)</f>
        <v>18.33</v>
      </c>
      <c r="I1094" s="7">
        <f>IFERROR(__xludf.DUMMYFUNCTION("""COMPUTED_VALUE"""),21.0)</f>
        <v>21</v>
      </c>
      <c r="J1094" s="6">
        <f>IFERROR(__xludf.DUMMYFUNCTION("""COMPUTED_VALUE"""),22.0)</f>
        <v>22</v>
      </c>
      <c r="K1094" s="6">
        <f>IFERROR(__xludf.DUMMYFUNCTION("""COMPUTED_VALUE"""),25.66)</f>
        <v>25.66</v>
      </c>
      <c r="L1094" s="3"/>
      <c r="M1094" s="3"/>
    </row>
    <row r="1095" ht="48.0" customHeight="1">
      <c r="A1095" s="3" t="str">
        <f>IFERROR(__xludf.DUMMYFUNCTION("""COMPUTED_VALUE"""),"DHHACHDW1200EMPA28")</f>
        <v>DHHACHDW1200EMPA28</v>
      </c>
      <c r="B1095" s="4" t="str">
        <f>IFERROR(__xludf.DUMMYFUNCTION("""COMPUTED_VALUE"""),"CAMARA DOMO 2MP")</f>
        <v>CAMARA DOMO 2MP</v>
      </c>
      <c r="C1095" s="4" t="str">
        <f>IFERROR(__xludf.DUMMYFUNCTION("""COMPUTED_VALUE"""),"Cámara 4 en 1 Domo 2Mpx IR 50m con microfono marca Dahua lente 2.8 mm")</f>
        <v>Cámara 4 en 1 Domo 2Mpx IR 50m con microfono marca Dahua lente 2.8 mm</v>
      </c>
      <c r="D1095" s="4" t="str">
        <f>IFERROR(__xludf.DUMMYFUNCTION("""COMPUTED_VALUE"""),"DAHUA")</f>
        <v>DAHUA</v>
      </c>
      <c r="E1095" s="4" t="str">
        <f>IFERROR(__xludf.DUMMYFUNCTION("""COMPUTED_VALUE"""),"DHHACHDW1200EMPA28")</f>
        <v>DHHACHDW1200EMPA28</v>
      </c>
      <c r="F1095" s="4" t="str">
        <f>IFERROR(__xludf.DUMMYFUNCTION("""COMPUTED_VALUE"""),"CCTV &gt; CAMARAS ANALOGICAS")</f>
        <v>CCTV &gt; CAMARAS ANALOGICAS</v>
      </c>
      <c r="G1095" s="5"/>
      <c r="H1095" s="6">
        <f>IFERROR(__xludf.DUMMYFUNCTION("""COMPUTED_VALUE"""),35.3)</f>
        <v>35.3</v>
      </c>
      <c r="I1095" s="7">
        <f>IFERROR(__xludf.DUMMYFUNCTION("""COMPUTED_VALUE"""),21.0)</f>
        <v>21</v>
      </c>
      <c r="J1095" s="6">
        <f>IFERROR(__xludf.DUMMYFUNCTION("""COMPUTED_VALUE"""),42.36)</f>
        <v>42.36</v>
      </c>
      <c r="K1095" s="6">
        <f>IFERROR(__xludf.DUMMYFUNCTION("""COMPUTED_VALUE"""),49.42)</f>
        <v>49.42</v>
      </c>
      <c r="L1095" s="3"/>
      <c r="M1095" s="3"/>
    </row>
    <row r="1096" ht="48.0" customHeight="1">
      <c r="A1096" s="3" t="str">
        <f>IFERROR(__xludf.DUMMYFUNCTION("""COMPUTED_VALUE"""),"DHHACHDW1200CLQP-ILA")</f>
        <v>DHHACHDW1200CLQP-ILA</v>
      </c>
      <c r="B1096" s="4" t="str">
        <f>IFERROR(__xludf.DUMMYFUNCTION("""COMPUTED_VALUE"""),"CAMARA DOMO 2MP")</f>
        <v>CAMARA DOMO 2MP</v>
      </c>
      <c r="C1096" s="4" t="str">
        <f>IFERROR(__xludf.DUMMYFUNCTION("""COMPUTED_VALUE"""),"Domo Eyeball de 2 Mp HDCVI con IR 20 m, CMOS 1/2,7"", lente fijo de 2,8 mm, IP67, audio")</f>
        <v>Domo Eyeball de 2 Mp HDCVI con IR 20 m, CMOS 1/2,7", lente fijo de 2,8 mm, IP67, audio</v>
      </c>
      <c r="D1096" s="4" t="str">
        <f>IFERROR(__xludf.DUMMYFUNCTION("""COMPUTED_VALUE"""),"DAHUA")</f>
        <v>DAHUA</v>
      </c>
      <c r="E1096" s="4" t="str">
        <f>IFERROR(__xludf.DUMMYFUNCTION("""COMPUTED_VALUE"""),"DHHACHDW1200CLQP-ILA")</f>
        <v>DHHACHDW1200CLQP-ILA</v>
      </c>
      <c r="F1096" s="4" t="str">
        <f>IFERROR(__xludf.DUMMYFUNCTION("""COMPUTED_VALUE"""),"CCTV &gt; CAMARAS ANALOGICAS")</f>
        <v>CCTV &gt; CAMARAS ANALOGICAS</v>
      </c>
      <c r="G1096" s="5"/>
      <c r="H1096" s="6">
        <f>IFERROR(__xludf.DUMMYFUNCTION("""COMPUTED_VALUE"""),22.46)</f>
        <v>22.46</v>
      </c>
      <c r="I1096" s="7">
        <f>IFERROR(__xludf.DUMMYFUNCTION("""COMPUTED_VALUE"""),21.0)</f>
        <v>21</v>
      </c>
      <c r="J1096" s="6">
        <f>IFERROR(__xludf.DUMMYFUNCTION("""COMPUTED_VALUE"""),26.95)</f>
        <v>26.95</v>
      </c>
      <c r="K1096" s="6">
        <f>IFERROR(__xludf.DUMMYFUNCTION("""COMPUTED_VALUE"""),31.44)</f>
        <v>31.44</v>
      </c>
      <c r="L1096" s="3"/>
      <c r="M1096" s="3"/>
    </row>
    <row r="1097" ht="48.0" customHeight="1">
      <c r="A1097" s="3" t="str">
        <f>IFERROR(__xludf.DUMMYFUNCTION("""COMPUTED_VALUE"""),"DHHACHDW1200TMQPA")</f>
        <v>DHHACHDW1200TMQPA</v>
      </c>
      <c r="B1097" s="4" t="str">
        <f>IFERROR(__xludf.DUMMYFUNCTION("""COMPUTED_VALUE"""),"CAMARA DOMO 2MP")</f>
        <v>CAMARA DOMO 2MP</v>
      </c>
      <c r="C1097" s="4" t="str">
        <f>IFERROR(__xludf.DUMMYFUNCTION("""COMPUTED_VALUE"""),"Domo Eyeball de 2 Mp HDCVI con IR 60 m, CMOS 1/2,7"", lente fijo de 2,8 mm, IP67, audio y carcasa de aluminio y plástico")</f>
        <v>Domo Eyeball de 2 Mp HDCVI con IR 60 m, CMOS 1/2,7", lente fijo de 2,8 mm, IP67, audio y carcasa de aluminio y plástico</v>
      </c>
      <c r="D1097" s="4" t="str">
        <f>IFERROR(__xludf.DUMMYFUNCTION("""COMPUTED_VALUE"""),"DAHUA")</f>
        <v>DAHUA</v>
      </c>
      <c r="E1097" s="4" t="str">
        <f>IFERROR(__xludf.DUMMYFUNCTION("""COMPUTED_VALUE"""),"DHHACHDW1200TMQPA")</f>
        <v>DHHACHDW1200TMQPA</v>
      </c>
      <c r="F1097" s="4" t="str">
        <f>IFERROR(__xludf.DUMMYFUNCTION("""COMPUTED_VALUE"""),"CCTV &gt; CAMARAS ANALOGICAS")</f>
        <v>CCTV &gt; CAMARAS ANALOGICAS</v>
      </c>
      <c r="G1097" s="5"/>
      <c r="H1097" s="6">
        <f>IFERROR(__xludf.DUMMYFUNCTION("""COMPUTED_VALUE"""),39.53)</f>
        <v>39.53</v>
      </c>
      <c r="I1097" s="7">
        <f>IFERROR(__xludf.DUMMYFUNCTION("""COMPUTED_VALUE"""),21.0)</f>
        <v>21</v>
      </c>
      <c r="J1097" s="6">
        <f>IFERROR(__xludf.DUMMYFUNCTION("""COMPUTED_VALUE"""),47.44)</f>
        <v>47.44</v>
      </c>
      <c r="K1097" s="6">
        <f>IFERROR(__xludf.DUMMYFUNCTION("""COMPUTED_VALUE"""),55.34)</f>
        <v>55.34</v>
      </c>
      <c r="L1097" s="3"/>
      <c r="M1097" s="3"/>
    </row>
    <row r="1098" ht="48.0" customHeight="1">
      <c r="A1098" s="3" t="str">
        <f>IFERROR(__xludf.DUMMYFUNCTION("""COMPUTED_VALUE"""),"DHHACHDW1209TLQPLED")</f>
        <v>DHHACHDW1209TLQPLED</v>
      </c>
      <c r="B1098" s="4" t="str">
        <f>IFERROR(__xludf.DUMMYFUNCTION("""COMPUTED_VALUE"""),"HAC-HDW1209TLQP-LED DOMO 5 EN1 2MPX FULL-COLOR 20M · FULL-COLOR")</f>
        <v>HAC-HDW1209TLQP-LED DOMO 5 EN1 2MPX FULL-COLOR 20M · FULL-COLOR</v>
      </c>
      <c r="C1098" s="4" t="str">
        <f>IFERROR(__xludf.DUMMYFUNCTION("""COMPUTED_VALUE"""),"HAC-HDW1209TLQP-LED Domo 5 en1 2Mpx Full-Color 20m · Full-color starlight · 20 m illumination distance· Max. 30fps@1080P· CVI/CVBS/AHD/TVI switchable· lente fijo de 2,8 mm · IP67, 12V±30% DC")</f>
        <v>HAC-HDW1209TLQP-LED Domo 5 en1 2Mpx Full-Color 20m · Full-color starlight · 20 m illumination distance· Max. 30fps@1080P· CVI/CVBS/AHD/TVI switchable· lente fijo de 2,8 mm · IP67, 12V±30% DC</v>
      </c>
      <c r="D1098" s="4" t="str">
        <f>IFERROR(__xludf.DUMMYFUNCTION("""COMPUTED_VALUE"""),"DAHUA")</f>
        <v>DAHUA</v>
      </c>
      <c r="E1098" s="4" t="str">
        <f>IFERROR(__xludf.DUMMYFUNCTION("""COMPUTED_VALUE"""),"DHHACHDW1209TLQPLED")</f>
        <v>DHHACHDW1209TLQPLED</v>
      </c>
      <c r="F1098" s="4" t="str">
        <f>IFERROR(__xludf.DUMMYFUNCTION("""COMPUTED_VALUE"""),"CONECTIVIDAD &gt; SWITCH")</f>
        <v>CONECTIVIDAD &gt; SWITCH</v>
      </c>
      <c r="G1098" s="5"/>
      <c r="H1098" s="6">
        <f>IFERROR(__xludf.DUMMYFUNCTION("""COMPUTED_VALUE"""),30.55)</f>
        <v>30.55</v>
      </c>
      <c r="I1098" s="7">
        <f>IFERROR(__xludf.DUMMYFUNCTION("""COMPUTED_VALUE"""),21.0)</f>
        <v>21</v>
      </c>
      <c r="J1098" s="6">
        <f>IFERROR(__xludf.DUMMYFUNCTION("""COMPUTED_VALUE"""),36.66)</f>
        <v>36.66</v>
      </c>
      <c r="K1098" s="6">
        <f>IFERROR(__xludf.DUMMYFUNCTION("""COMPUTED_VALUE"""),42.77)</f>
        <v>42.77</v>
      </c>
      <c r="L1098" s="3"/>
      <c r="M1098" s="3"/>
    </row>
    <row r="1099" ht="48.0" customHeight="1">
      <c r="A1099" s="3" t="str">
        <f>IFERROR(__xludf.DUMMYFUNCTION("""COMPUTED_VALUE"""),"DHHACD3A21PVF")</f>
        <v>DHHACD3A21PVF</v>
      </c>
      <c r="B1099" s="4" t="str">
        <f>IFERROR(__xludf.DUMMYFUNCTION("""COMPUTED_VALUE"""),"CAMARA DOMO 2MP")</f>
        <v>CAMARA DOMO 2MP</v>
      </c>
      <c r="C1099" s="4" t="str">
        <f>IFERROR(__xludf.DUMMYFUNCTION("""COMPUTED_VALUE"""),"Cámara 4 en 1 Minidomo Varifocal 2.7-12mm Cooper 2Mpx IR")</f>
        <v>Cámara 4 en 1 Minidomo Varifocal 2.7-12mm Cooper 2Mpx IR</v>
      </c>
      <c r="D1099" s="4" t="str">
        <f>IFERROR(__xludf.DUMMYFUNCTION("""COMPUTED_VALUE"""),"DAHUA")</f>
        <v>DAHUA</v>
      </c>
      <c r="E1099" s="4" t="str">
        <f>IFERROR(__xludf.DUMMYFUNCTION("""COMPUTED_VALUE"""),"DHHACD3A21PVF")</f>
        <v>DHHACD3A21PVF</v>
      </c>
      <c r="F1099" s="4" t="str">
        <f>IFERROR(__xludf.DUMMYFUNCTION("""COMPUTED_VALUE"""),"CCTV &gt; CAMARAS ANALOGICAS")</f>
        <v>CCTV &gt; CAMARAS ANALOGICAS</v>
      </c>
      <c r="G1099" s="5"/>
      <c r="H1099" s="6">
        <f>IFERROR(__xludf.DUMMYFUNCTION("""COMPUTED_VALUE"""),41.29)</f>
        <v>41.29</v>
      </c>
      <c r="I1099" s="7">
        <f>IFERROR(__xludf.DUMMYFUNCTION("""COMPUTED_VALUE"""),21.0)</f>
        <v>21</v>
      </c>
      <c r="J1099" s="6">
        <f>IFERROR(__xludf.DUMMYFUNCTION("""COMPUTED_VALUE"""),49.55)</f>
        <v>49.55</v>
      </c>
      <c r="K1099" s="6">
        <f>IFERROR(__xludf.DUMMYFUNCTION("""COMPUTED_VALUE"""),57.81)</f>
        <v>57.81</v>
      </c>
      <c r="L1099" s="3"/>
      <c r="M1099" s="3"/>
    </row>
    <row r="1100" ht="48.0" customHeight="1">
      <c r="A1100" s="3" t="str">
        <f>IFERROR(__xludf.DUMMYFUNCTION("""COMPUTED_VALUE"""),"DHHACT1A51P")</f>
        <v>DHHACT1A51P</v>
      </c>
      <c r="B1100" s="4" t="str">
        <f>IFERROR(__xludf.DUMMYFUNCTION("""COMPUTED_VALUE"""),"DOMO PARA INTERIOR 5EN1 5MPX 16:9 IR 20M LENTE 2")</f>
        <v>DOMO PARA INTERIOR 5EN1 5MPX 16:9 IR 20M LENTE 2</v>
      </c>
      <c r="C1100" s="4" t="str">
        <f>IFERROR(__xludf.DUMMYFUNCTION("""COMPUTED_VALUE"""),"Domo para interior 5en1 5Mpx 16:9 IR 20m lente 2.8mm Max. 25 fps@5MP (16:9 video output) CVI/CVBS/AHD/TVI switchable Smart IR DC12V")</f>
        <v>Domo para interior 5en1 5Mpx 16:9 IR 20m lente 2.8mm Max. 25 fps@5MP (16:9 video output) CVI/CVBS/AHD/TVI switchable Smart IR DC12V</v>
      </c>
      <c r="D1100" s="4" t="str">
        <f>IFERROR(__xludf.DUMMYFUNCTION("""COMPUTED_VALUE"""),"DAHUA")</f>
        <v>DAHUA</v>
      </c>
      <c r="E1100" s="4" t="str">
        <f>IFERROR(__xludf.DUMMYFUNCTION("""COMPUTED_VALUE"""),"DHHACT1A51P")</f>
        <v>DHHACT1A51P</v>
      </c>
      <c r="F1100" s="4" t="str">
        <f>IFERROR(__xludf.DUMMYFUNCTION("""COMPUTED_VALUE"""),"CONECTIVIDAD &gt; SWITCH")</f>
        <v>CONECTIVIDAD &gt; SWITCH</v>
      </c>
      <c r="G1100" s="5"/>
      <c r="H1100" s="6">
        <f>IFERROR(__xludf.DUMMYFUNCTION("""COMPUTED_VALUE"""),29.23)</f>
        <v>29.23</v>
      </c>
      <c r="I1100" s="7">
        <f>IFERROR(__xludf.DUMMYFUNCTION("""COMPUTED_VALUE"""),21.0)</f>
        <v>21</v>
      </c>
      <c r="J1100" s="6">
        <f>IFERROR(__xludf.DUMMYFUNCTION("""COMPUTED_VALUE"""),35.08)</f>
        <v>35.08</v>
      </c>
      <c r="K1100" s="6">
        <f>IFERROR(__xludf.DUMMYFUNCTION("""COMPUTED_VALUE"""),40.92)</f>
        <v>40.92</v>
      </c>
      <c r="L1100" s="3"/>
      <c r="M1100" s="3"/>
    </row>
    <row r="1101" ht="48.0" customHeight="1">
      <c r="A1101" s="3" t="str">
        <f>IFERROR(__xludf.DUMMYFUNCTION("""COMPUTED_VALUE"""),"DHHACT2A51P")</f>
        <v>DHHACT2A51P</v>
      </c>
      <c r="B1101" s="4" t="str">
        <f>IFERROR(__xludf.DUMMYFUNCTION("""COMPUTED_VALUE"""),"DOMO METÁLICO 5EN1 5MPX 16:9 IR 20M LENTE 2")</f>
        <v>DOMO METÁLICO 5EN1 5MPX 16:9 IR 20M LENTE 2</v>
      </c>
      <c r="C1101" s="4" t="str">
        <f>IFERROR(__xludf.DUMMYFUNCTION("""COMPUTED_VALUE"""),"Domo metálico 5en1 5Mpx 16:9 IR 20m lente 2.8mm Max. 25 fps@5MP (16:9 video output) CVI/CVBS/AHD/TVI switchable, Smart IR IP67, DC12V")</f>
        <v>Domo metálico 5en1 5Mpx 16:9 IR 20m lente 2.8mm Max. 25 fps@5MP (16:9 video output) CVI/CVBS/AHD/TVI switchable, Smart IR IP67, DC12V</v>
      </c>
      <c r="D1101" s="4" t="str">
        <f>IFERROR(__xludf.DUMMYFUNCTION("""COMPUTED_VALUE"""),"DAHUA")</f>
        <v>DAHUA</v>
      </c>
      <c r="E1101" s="4" t="str">
        <f>IFERROR(__xludf.DUMMYFUNCTION("""COMPUTED_VALUE"""),"DHHACT2A51P")</f>
        <v>DHHACT2A51P</v>
      </c>
      <c r="F1101" s="4" t="str">
        <f>IFERROR(__xludf.DUMMYFUNCTION("""COMPUTED_VALUE"""),"CONECTIVIDAD &gt; SWITCH")</f>
        <v>CONECTIVIDAD &gt; SWITCH</v>
      </c>
      <c r="G1101" s="5"/>
      <c r="H1101" s="6">
        <f>IFERROR(__xludf.DUMMYFUNCTION("""COMPUTED_VALUE"""),35.49)</f>
        <v>35.49</v>
      </c>
      <c r="I1101" s="7">
        <f>IFERROR(__xludf.DUMMYFUNCTION("""COMPUTED_VALUE"""),21.0)</f>
        <v>21</v>
      </c>
      <c r="J1101" s="6">
        <f>IFERROR(__xludf.DUMMYFUNCTION("""COMPUTED_VALUE"""),42.59)</f>
        <v>42.59</v>
      </c>
      <c r="K1101" s="6">
        <f>IFERROR(__xludf.DUMMYFUNCTION("""COMPUTED_VALUE"""),49.69)</f>
        <v>49.69</v>
      </c>
      <c r="L1101" s="3"/>
      <c r="M1101" s="3"/>
    </row>
    <row r="1102" ht="48.0" customHeight="1">
      <c r="A1102" s="3" t="str">
        <f>IFERROR(__xludf.DUMMYFUNCTION("""COMPUTED_VALUE"""),"DHHACHDW1500CLQP-ILA")</f>
        <v>DHHACHDW1500CLQP-ILA</v>
      </c>
      <c r="B1102" s="4" t="str">
        <f>IFERROR(__xludf.DUMMYFUNCTION("""COMPUTED_VALUE"""),"CAMARA DOMO")</f>
        <v>CAMARA DOMO</v>
      </c>
      <c r="C1102" s="4" t="str">
        <f>IFERROR(__xludf.DUMMYFUNCTION("""COMPUTED_VALUE"""),"Domo 4 en 1 Dahua, sensor CMOS 5 megapíxeles, salida 4 en 1 conmutable, óptica fija de 2,8 mm, Smart IR y Light hasta 20 metros, micrófono incorporado, protección IP67")</f>
        <v>Domo 4 en 1 Dahua, sensor CMOS 5 megapíxeles, salida 4 en 1 conmutable, óptica fija de 2,8 mm, Smart IR y Light hasta 20 metros, micrófono incorporado, protección IP67</v>
      </c>
      <c r="D1102" s="4" t="str">
        <f>IFERROR(__xludf.DUMMYFUNCTION("""COMPUTED_VALUE"""),"DAHUA")</f>
        <v>DAHUA</v>
      </c>
      <c r="E1102" s="4" t="str">
        <f>IFERROR(__xludf.DUMMYFUNCTION("""COMPUTED_VALUE"""),"DHHACHDW1500CLQP-ILA")</f>
        <v>DHHACHDW1500CLQP-ILA</v>
      </c>
      <c r="F1102" s="4" t="str">
        <f>IFERROR(__xludf.DUMMYFUNCTION("""COMPUTED_VALUE"""),"CCTV &gt; CAMARAS ANALOGICAS")</f>
        <v>CCTV &gt; CAMARAS ANALOGICAS</v>
      </c>
      <c r="G1102" s="5"/>
      <c r="H1102" s="6">
        <f>IFERROR(__xludf.DUMMYFUNCTION("""COMPUTED_VALUE"""),32.1)</f>
        <v>32.1</v>
      </c>
      <c r="I1102" s="7">
        <f>IFERROR(__xludf.DUMMYFUNCTION("""COMPUTED_VALUE"""),21.0)</f>
        <v>21</v>
      </c>
      <c r="J1102" s="6">
        <f>IFERROR(__xludf.DUMMYFUNCTION("""COMPUTED_VALUE"""),38.52)</f>
        <v>38.52</v>
      </c>
      <c r="K1102" s="6">
        <f>IFERROR(__xludf.DUMMYFUNCTION("""COMPUTED_VALUE"""),44.94)</f>
        <v>44.94</v>
      </c>
      <c r="L1102" s="3"/>
      <c r="M1102" s="3"/>
    </row>
    <row r="1103" ht="48.0" customHeight="1">
      <c r="A1103" s="3" t="str">
        <f>IFERROR(__xludf.DUMMYFUNCTION("""COMPUTED_VALUE"""),"DHHACHDW1509TP-IL-A")</f>
        <v>DHHACHDW1509TP-IL-A</v>
      </c>
      <c r="B1103" s="4" t="str">
        <f>IFERROR(__xludf.DUMMYFUNCTION("""COMPUTED_VALUE"""),"CAMARA DOMO 5MP")</f>
        <v>CAMARA DOMO 5MP</v>
      </c>
      <c r="C1103" s="4" t="str">
        <f>IFERROR(__xludf.DUMMYFUNCTION("""COMPUTED_VALUE"""),"Domo Eyeball de 5Mp HDCVI con IR e iluminación cálida 40m, CMOS de 1/2.7”, lente fijo de 2,8 mm, WDR, IP67 y carcasa de aluminio y plástico")</f>
        <v>Domo Eyeball de 5Mp HDCVI con IR e iluminación cálida 40m, CMOS de 1/2.7”, lente fijo de 2,8 mm, WDR, IP67 y carcasa de aluminio y plástico</v>
      </c>
      <c r="D1103" s="4" t="str">
        <f>IFERROR(__xludf.DUMMYFUNCTION("""COMPUTED_VALUE"""),"DAHUA")</f>
        <v>DAHUA</v>
      </c>
      <c r="E1103" s="4" t="str">
        <f>IFERROR(__xludf.DUMMYFUNCTION("""COMPUTED_VALUE"""),"DHHACHDW1509TP-IL-A")</f>
        <v>DHHACHDW1509TP-IL-A</v>
      </c>
      <c r="F1103" s="4" t="str">
        <f>IFERROR(__xludf.DUMMYFUNCTION("""COMPUTED_VALUE"""),"CCTV &gt; CAMARAS ANALOGICAS")</f>
        <v>CCTV &gt; CAMARAS ANALOGICAS</v>
      </c>
      <c r="G1103" s="5"/>
      <c r="H1103" s="6">
        <f>IFERROR(__xludf.DUMMYFUNCTION("""COMPUTED_VALUE"""),70.0)</f>
        <v>70</v>
      </c>
      <c r="I1103" s="7">
        <f>IFERROR(__xludf.DUMMYFUNCTION("""COMPUTED_VALUE"""),21.0)</f>
        <v>21</v>
      </c>
      <c r="J1103" s="6">
        <f>IFERROR(__xludf.DUMMYFUNCTION("""COMPUTED_VALUE"""),84.0)</f>
        <v>84</v>
      </c>
      <c r="K1103" s="6">
        <f>IFERROR(__xludf.DUMMYFUNCTION("""COMPUTED_VALUE"""),98.0)</f>
        <v>98</v>
      </c>
      <c r="L1103" s="3"/>
      <c r="M1103" s="3"/>
    </row>
    <row r="1104" ht="48.0" customHeight="1">
      <c r="A1104" s="3" t="str">
        <f>IFERROR(__xludf.DUMMYFUNCTION("""COMPUTED_VALUE"""),"DHHACME1509TQP-PV")</f>
        <v>DHHACME1509TQP-PV</v>
      </c>
      <c r="B1104" s="4" t="str">
        <f>IFERROR(__xludf.DUMMYFUNCTION("""COMPUTED_VALUE"""),"CAMARA 5MP")</f>
        <v>CAMARA 5MP</v>
      </c>
      <c r="C1104" s="4" t="str">
        <f>IFERROR(__xludf.DUMMYFUNCTION("""COMPUTED_VALUE"""),"TIOC 5MP HDCVI Full-Color Active Deterrence Fixed Eyeball Camera 5MP HDCVI Full-Color Active Deterrence Fixed Eyeball Camera 24/7 color imaging Active deterrence with red blue light, siren and alarm out interface Quick-to-install eyeball save installation"&amp;" time. Max. 20 fps@5MP 2.8 mm fixed lens 40 m illumination distance IP67, 12V±30% DC")</f>
        <v>TIOC 5MP HDCVI Full-Color Active Deterrence Fixed Eyeball Camera 5MP HDCVI Full-Color Active Deterrence Fixed Eyeball Camera 24/7 color imaging Active deterrence with red blue light, siren and alarm out interface Quick-to-install eyeball save installation time. Max. 20 fps@5MP 2.8 mm fixed lens 40 m illumination distance IP67, 12V±30% DC</v>
      </c>
      <c r="D1104" s="4" t="str">
        <f>IFERROR(__xludf.DUMMYFUNCTION("""COMPUTED_VALUE"""),"DAHUA")</f>
        <v>DAHUA</v>
      </c>
      <c r="E1104" s="4" t="str">
        <f>IFERROR(__xludf.DUMMYFUNCTION("""COMPUTED_VALUE"""),"DHHACME1509TQP-PV")</f>
        <v>DHHACME1509TQP-PV</v>
      </c>
      <c r="F1104" s="4" t="str">
        <f>IFERROR(__xludf.DUMMYFUNCTION("""COMPUTED_VALUE"""),"CCTV &gt; CAMARAS ANALOGICAS")</f>
        <v>CCTV &gt; CAMARAS ANALOGICAS</v>
      </c>
      <c r="G1104" s="5"/>
      <c r="H1104" s="6">
        <f>IFERROR(__xludf.DUMMYFUNCTION("""COMPUTED_VALUE"""),93.03)</f>
        <v>93.03</v>
      </c>
      <c r="I1104" s="7">
        <f>IFERROR(__xludf.DUMMYFUNCTION("""COMPUTED_VALUE"""),21.0)</f>
        <v>21</v>
      </c>
      <c r="J1104" s="6">
        <f>IFERROR(__xludf.DUMMYFUNCTION("""COMPUTED_VALUE"""),111.64)</f>
        <v>111.64</v>
      </c>
      <c r="K1104" s="6">
        <f>IFERROR(__xludf.DUMMYFUNCTION("""COMPUTED_VALUE"""),130.24)</f>
        <v>130.24</v>
      </c>
      <c r="L1104" s="3"/>
      <c r="M1104" s="3"/>
    </row>
    <row r="1105" ht="48.0" customHeight="1">
      <c r="A1105" s="3" t="str">
        <f>IFERROR(__xludf.DUMMYFUNCTION("""COMPUTED_VALUE"""),"DHHACHDW1509TLQP-A-LED")</f>
        <v>DHHACHDW1509TLQP-A-LED</v>
      </c>
      <c r="B1105" s="4" t="str">
        <f>IFERROR(__xludf.DUMMYFUNCTION("""COMPUTED_VALUE"""),"DOMO 5MP FULL-COLOR CON AUDIO MAX 25 FPS@5MP (16:9")</f>
        <v>DOMO 5MP FULL-COLOR CON AUDIO MAX 25 FPS@5MP (16:9</v>
      </c>
      <c r="C1105" s="4" t="str">
        <f>IFERROR(__xludf.DUMMYFUNCTION("""COMPUTED_VALUE"""),"Domo 5MP Full-color con audio Max 25 fps@5MP (16:9 video output), 120dB true WDR, 3D NR, 24/7 color imaging, 20 m illumination distance, CVI/CVBS/AHD/TVI switchable, Built-in mic (-A). IP67, 12 V D")</f>
        <v>Domo 5MP Full-color con audio Max 25 fps@5MP (16:9 video output), 120dB true WDR, 3D NR, 24/7 color imaging, 20 m illumination distance, CVI/CVBS/AHD/TVI switchable, Built-in mic (-A). IP67, 12 V D</v>
      </c>
      <c r="D1105" s="4" t="str">
        <f>IFERROR(__xludf.DUMMYFUNCTION("""COMPUTED_VALUE"""),"DAHUA")</f>
        <v>DAHUA</v>
      </c>
      <c r="E1105" s="4" t="str">
        <f>IFERROR(__xludf.DUMMYFUNCTION("""COMPUTED_VALUE"""),"DHHACHDW1509TLQP-A-LED")</f>
        <v>DHHACHDW1509TLQP-A-LED</v>
      </c>
      <c r="F1105" s="4" t="str">
        <f>IFERROR(__xludf.DUMMYFUNCTION("""COMPUTED_VALUE"""),"CONECTIVIDAD &gt; SWITCH")</f>
        <v>CONECTIVIDAD &gt; SWITCH</v>
      </c>
      <c r="G1105" s="5" t="s">
        <v>1</v>
      </c>
      <c r="H1105" s="6">
        <f>IFERROR(__xludf.DUMMYFUNCTION("""COMPUTED_VALUE"""),55.0)</f>
        <v>55</v>
      </c>
      <c r="I1105" s="7">
        <f>IFERROR(__xludf.DUMMYFUNCTION("""COMPUTED_VALUE"""),21.0)</f>
        <v>21</v>
      </c>
      <c r="J1105" s="6">
        <f>IFERROR(__xludf.DUMMYFUNCTION("""COMPUTED_VALUE"""),66.0)</f>
        <v>66</v>
      </c>
      <c r="K1105" s="6">
        <f>IFERROR(__xludf.DUMMYFUNCTION("""COMPUTED_VALUE"""),77.0)</f>
        <v>77</v>
      </c>
      <c r="L1105" s="3"/>
      <c r="M1105" s="3"/>
    </row>
    <row r="1106" ht="48.0" customHeight="1">
      <c r="A1106" s="3" t="str">
        <f>IFERROR(__xludf.DUMMYFUNCTION("""COMPUTED_VALUE"""),"DHHACHDW1800TLPA")</f>
        <v>DHHACHDW1800TLPA</v>
      </c>
      <c r="B1106" s="4" t="str">
        <f>IFERROR(__xludf.DUMMYFUNCTION("""COMPUTED_VALUE"""),"CAMARA DOMO 4K")</f>
        <v>CAMARA DOMO 4K</v>
      </c>
      <c r="C1106" s="4" t="str">
        <f>IFERROR(__xludf.DUMMYFUNCTION("""COMPUTED_VALUE"""),"Domo HDCVI Eyeball de 4K en tiempo real con IR 30m, CMOS de 1/2.7”, lente fijo de 2,8mm, IP67, Micrófono incorporado y carcasa de metálica y plástica")</f>
        <v>Domo HDCVI Eyeball de 4K en tiempo real con IR 30m, CMOS de 1/2.7”, lente fijo de 2,8mm, IP67, Micrófono incorporado y carcasa de metálica y plástica</v>
      </c>
      <c r="D1106" s="4" t="str">
        <f>IFERROR(__xludf.DUMMYFUNCTION("""COMPUTED_VALUE"""),"DAHUA")</f>
        <v>DAHUA</v>
      </c>
      <c r="E1106" s="4" t="str">
        <f>IFERROR(__xludf.DUMMYFUNCTION("""COMPUTED_VALUE"""),"DHHACHDW1800TLPA")</f>
        <v>DHHACHDW1800TLPA</v>
      </c>
      <c r="F1106" s="4" t="str">
        <f>IFERROR(__xludf.DUMMYFUNCTION("""COMPUTED_VALUE"""),"CCTV &gt; CAMARAS ANALOGICAS")</f>
        <v>CCTV &gt; CAMARAS ANALOGICAS</v>
      </c>
      <c r="G1106" s="5"/>
      <c r="H1106" s="6">
        <f>IFERROR(__xludf.DUMMYFUNCTION("""COMPUTED_VALUE"""),53.49)</f>
        <v>53.49</v>
      </c>
      <c r="I1106" s="7">
        <f>IFERROR(__xludf.DUMMYFUNCTION("""COMPUTED_VALUE"""),21.0)</f>
        <v>21</v>
      </c>
      <c r="J1106" s="6">
        <f>IFERROR(__xludf.DUMMYFUNCTION("""COMPUTED_VALUE"""),64.19)</f>
        <v>64.19</v>
      </c>
      <c r="K1106" s="6">
        <f>IFERROR(__xludf.DUMMYFUNCTION("""COMPUTED_VALUE"""),74.89)</f>
        <v>74.89</v>
      </c>
      <c r="L1106" s="3"/>
      <c r="M1106" s="3"/>
    </row>
    <row r="1107" ht="48.0" customHeight="1">
      <c r="A1107" s="3" t="str">
        <f>IFERROR(__xludf.DUMMYFUNCTION("""COMPUTED_VALUE"""),"DHHACB1A51P")</f>
        <v>DHHACB1A51P</v>
      </c>
      <c r="B1107" s="4" t="str">
        <f>IFERROR(__xludf.DUMMYFUNCTION("""COMPUTED_VALUE"""),"BULLET 5EN1 5MP 16:9 IR 20M LENTE 2")</f>
        <v>BULLET 5EN1 5MP 16:9 IR 20M LENTE 2</v>
      </c>
      <c r="C1107" s="4" t="str">
        <f>IFERROR(__xludf.DUMMYFUNCTION("""COMPUTED_VALUE"""),"Bullet 5en1 5MP 16:9 IR 20m lente 2.8mm Max. 25 fps@5MP (16:9 video output) CVI/CVBS/AHD/TVI switchable, Smart IR IP67, DC12V")</f>
        <v>Bullet 5en1 5MP 16:9 IR 20m lente 2.8mm Max. 25 fps@5MP (16:9 video output) CVI/CVBS/AHD/TVI switchable, Smart IR IP67, DC12V</v>
      </c>
      <c r="D1107" s="4" t="str">
        <f>IFERROR(__xludf.DUMMYFUNCTION("""COMPUTED_VALUE"""),"DAHUA")</f>
        <v>DAHUA</v>
      </c>
      <c r="E1107" s="4" t="str">
        <f>IFERROR(__xludf.DUMMYFUNCTION("""COMPUTED_VALUE"""),"DHHACB1A51P")</f>
        <v>DHHACB1A51P</v>
      </c>
      <c r="F1107" s="4" t="str">
        <f>IFERROR(__xludf.DUMMYFUNCTION("""COMPUTED_VALUE"""),"CONECTIVIDAD &gt; SWITCH")</f>
        <v>CONECTIVIDAD &gt; SWITCH</v>
      </c>
      <c r="G1107" s="5"/>
      <c r="H1107" s="6">
        <f>IFERROR(__xludf.DUMMYFUNCTION("""COMPUTED_VALUE"""),27.48)</f>
        <v>27.48</v>
      </c>
      <c r="I1107" s="7">
        <f>IFERROR(__xludf.DUMMYFUNCTION("""COMPUTED_VALUE"""),21.0)</f>
        <v>21</v>
      </c>
      <c r="J1107" s="6">
        <f>IFERROR(__xludf.DUMMYFUNCTION("""COMPUTED_VALUE"""),32.98)</f>
        <v>32.98</v>
      </c>
      <c r="K1107" s="6">
        <f>IFERROR(__xludf.DUMMYFUNCTION("""COMPUTED_VALUE"""),38.47)</f>
        <v>38.47</v>
      </c>
      <c r="L1107" s="3"/>
      <c r="M1107" s="3"/>
    </row>
    <row r="1108" ht="48.0" customHeight="1">
      <c r="A1108" s="3" t="str">
        <f>IFERROR(__xludf.DUMMYFUNCTION("""COMPUTED_VALUE"""),"DHHACB2A51P")</f>
        <v>DHHACB2A51P</v>
      </c>
      <c r="B1108" s="4" t="str">
        <f>IFERROR(__xludf.DUMMYFUNCTION("""COMPUTED_VALUE"""),"BULLET 5EN1 5MP 16:9 IR 20M LENTE 2")</f>
        <v>BULLET 5EN1 5MP 16:9 IR 20M LENTE 2</v>
      </c>
      <c r="C1108" s="4" t="str">
        <f>IFERROR(__xludf.DUMMYFUNCTION("""COMPUTED_VALUE"""),"Bullet 5en1 5MP 16:9 IR 20m lente 2.8mm Max. 25 fps@5MP (16:9 video output) CVI/CVBS/AHD/TVI switchable, Smart IR IP67, DC12V. Metalica")</f>
        <v>Bullet 5en1 5MP 16:9 IR 20m lente 2.8mm Max. 25 fps@5MP (16:9 video output) CVI/CVBS/AHD/TVI switchable, Smart IR IP67, DC12V. Metalica</v>
      </c>
      <c r="D1108" s="4" t="str">
        <f>IFERROR(__xludf.DUMMYFUNCTION("""COMPUTED_VALUE"""),"DAHUA")</f>
        <v>DAHUA</v>
      </c>
      <c r="E1108" s="4" t="str">
        <f>IFERROR(__xludf.DUMMYFUNCTION("""COMPUTED_VALUE"""),"DHHACB2A51P")</f>
        <v>DHHACB2A51P</v>
      </c>
      <c r="F1108" s="4" t="str">
        <f>IFERROR(__xludf.DUMMYFUNCTION("""COMPUTED_VALUE"""),"CONECTIVIDAD &gt; SWITCH")</f>
        <v>CONECTIVIDAD &gt; SWITCH</v>
      </c>
      <c r="G1108" s="5"/>
      <c r="H1108" s="6">
        <f>IFERROR(__xludf.DUMMYFUNCTION("""COMPUTED_VALUE"""),30.54)</f>
        <v>30.54</v>
      </c>
      <c r="I1108" s="7">
        <f>IFERROR(__xludf.DUMMYFUNCTION("""COMPUTED_VALUE"""),21.0)</f>
        <v>21</v>
      </c>
      <c r="J1108" s="6">
        <f>IFERROR(__xludf.DUMMYFUNCTION("""COMPUTED_VALUE"""),36.65)</f>
        <v>36.65</v>
      </c>
      <c r="K1108" s="6">
        <f>IFERROR(__xludf.DUMMYFUNCTION("""COMPUTED_VALUE"""),42.76)</f>
        <v>42.76</v>
      </c>
      <c r="L1108" s="3"/>
      <c r="M1108" s="3"/>
    </row>
    <row r="1109" ht="48.0" customHeight="1">
      <c r="A1109" s="3" t="str">
        <f>IFERROR(__xludf.DUMMYFUNCTION("""COMPUTED_VALUE"""),"DHHACHFW1509TLMPILA0208")</f>
        <v>DHHACHFW1509TLMPILA0208</v>
      </c>
      <c r="B1109" s="4" t="str">
        <f>IFERROR(__xludf.DUMMYFUNCTION("""COMPUTED_VALUE"""),"CAMARA BULLET 5MP")</f>
        <v>CAMARA BULLET 5MP</v>
      </c>
      <c r="C1109" s="4" t="str">
        <f>IFERROR(__xludf.DUMMYFUNCTION("""COMPUTED_VALUE"""),"Cámara Bullet HDCVI de 5Mp con iluminadores duales inteligentes de 40 m, CMOS de 5 Mp, lente fijo de 2,8 mm, micrófono, DWR, IP67 y carcasa metál/plastica")</f>
        <v>Cámara Bullet HDCVI de 5Mp con iluminadores duales inteligentes de 40 m, CMOS de 5 Mp, lente fijo de 2,8 mm, micrófono, DWR, IP67 y carcasa metál/plastica</v>
      </c>
      <c r="D1109" s="4" t="str">
        <f>IFERROR(__xludf.DUMMYFUNCTION("""COMPUTED_VALUE"""),"DAHUA")</f>
        <v>DAHUA</v>
      </c>
      <c r="E1109" s="4" t="str">
        <f>IFERROR(__xludf.DUMMYFUNCTION("""COMPUTED_VALUE"""),"DHHACHFW1509TLMPILA0208")</f>
        <v>DHHACHFW1509TLMPILA0208</v>
      </c>
      <c r="F1109" s="4" t="str">
        <f>IFERROR(__xludf.DUMMYFUNCTION("""COMPUTED_VALUE"""),"CCTV &gt; CAMARAS ANALOGICAS")</f>
        <v>CCTV &gt; CAMARAS ANALOGICAS</v>
      </c>
      <c r="G1109" s="5"/>
      <c r="H1109" s="6">
        <f>IFERROR(__xludf.DUMMYFUNCTION("""COMPUTED_VALUE"""),65.12)</f>
        <v>65.12</v>
      </c>
      <c r="I1109" s="7">
        <f>IFERROR(__xludf.DUMMYFUNCTION("""COMPUTED_VALUE"""),21.0)</f>
        <v>21</v>
      </c>
      <c r="J1109" s="6">
        <f>IFERROR(__xludf.DUMMYFUNCTION("""COMPUTED_VALUE"""),78.14)</f>
        <v>78.14</v>
      </c>
      <c r="K1109" s="6">
        <f>IFERROR(__xludf.DUMMYFUNCTION("""COMPUTED_VALUE"""),91.17)</f>
        <v>91.17</v>
      </c>
      <c r="L1109" s="3"/>
      <c r="M1109" s="3"/>
    </row>
    <row r="1110" ht="48.0" customHeight="1">
      <c r="A1110" s="3" t="str">
        <f>IFERROR(__xludf.DUMMYFUNCTION("""COMPUTED_VALUE"""),"DHHACHFW1400DP0360B")</f>
        <v>DHHACHFW1400DP0360B</v>
      </c>
      <c r="B1110" s="4" t="str">
        <f>IFERROR(__xludf.DUMMYFUNCTION("""COMPUTED_VALUE"""),"CAMARA BULLET 4MP")</f>
        <v>CAMARA BULLET 4MP</v>
      </c>
      <c r="C1110" s="4" t="str">
        <f>IFERROR(__xludf.DUMMYFUNCTION("""COMPUTED_VALUE"""),"Cámara HDCVI Bullet 4Mpx IR 80m marca Dahua lente 3,6")</f>
        <v>Cámara HDCVI Bullet 4Mpx IR 80m marca Dahua lente 3,6</v>
      </c>
      <c r="D1110" s="4" t="str">
        <f>IFERROR(__xludf.DUMMYFUNCTION("""COMPUTED_VALUE"""),"DAHUA")</f>
        <v>DAHUA</v>
      </c>
      <c r="E1110" s="4" t="str">
        <f>IFERROR(__xludf.DUMMYFUNCTION("""COMPUTED_VALUE"""),"DHHACHFW1400DP0360B")</f>
        <v>DHHACHFW1400DP0360B</v>
      </c>
      <c r="F1110" s="4" t="str">
        <f>IFERROR(__xludf.DUMMYFUNCTION("""COMPUTED_VALUE"""),"CCTV &gt; CAMARAS ANALOGICAS")</f>
        <v>CCTV &gt; CAMARAS ANALOGICAS</v>
      </c>
      <c r="G1110" s="5"/>
      <c r="H1110" s="6">
        <f>IFERROR(__xludf.DUMMYFUNCTION("""COMPUTED_VALUE"""),66.0)</f>
        <v>66</v>
      </c>
      <c r="I1110" s="7">
        <f>IFERROR(__xludf.DUMMYFUNCTION("""COMPUTED_VALUE"""),21.0)</f>
        <v>21</v>
      </c>
      <c r="J1110" s="6">
        <f>IFERROR(__xludf.DUMMYFUNCTION("""COMPUTED_VALUE"""),79.2)</f>
        <v>79.2</v>
      </c>
      <c r="K1110" s="6">
        <f>IFERROR(__xludf.DUMMYFUNCTION("""COMPUTED_VALUE"""),92.4)</f>
        <v>92.4</v>
      </c>
      <c r="L1110" s="3"/>
      <c r="M1110" s="3"/>
    </row>
    <row r="1111" ht="48.0" customHeight="1">
      <c r="A1111" s="3" t="str">
        <f>IFERROR(__xludf.DUMMYFUNCTION("""COMPUTED_VALUE"""),"DHHACHFW1500THPI836")</f>
        <v>DHHACHFW1500THPI836</v>
      </c>
      <c r="B1111" s="4" t="str">
        <f>IFERROR(__xludf.DUMMYFUNCTION("""COMPUTED_VALUE"""),"CAMARA BULLET 5MP")</f>
        <v>CAMARA BULLET 5MP</v>
      </c>
      <c r="C1111" s="4" t="str">
        <f>IFERROR(__xludf.DUMMYFUNCTION("""COMPUTED_VALUE"""),"HAC-HFW1500THP-I8 Cámara Bullet de 5 Mp HDCVI con IR 80 m, CMOS 1/2,7"", lente fijo de 3,6 mm, IP67 y carcasa de aluminio y plástico")</f>
        <v>HAC-HFW1500THP-I8 Cámara Bullet de 5 Mp HDCVI con IR 80 m, CMOS 1/2,7", lente fijo de 3,6 mm, IP67 y carcasa de aluminio y plástico</v>
      </c>
      <c r="D1111" s="4" t="str">
        <f>IFERROR(__xludf.DUMMYFUNCTION("""COMPUTED_VALUE"""),"DAHUA")</f>
        <v>DAHUA</v>
      </c>
      <c r="E1111" s="4" t="str">
        <f>IFERROR(__xludf.DUMMYFUNCTION("""COMPUTED_VALUE"""),"DHHACHFW1500THPI836")</f>
        <v>DHHACHFW1500THPI836</v>
      </c>
      <c r="F1111" s="4" t="str">
        <f>IFERROR(__xludf.DUMMYFUNCTION("""COMPUTED_VALUE"""),"CCTV &gt; CAMARAS ANALOGICAS")</f>
        <v>CCTV &gt; CAMARAS ANALOGICAS</v>
      </c>
      <c r="G1111" s="5"/>
      <c r="H1111" s="6">
        <f>IFERROR(__xludf.DUMMYFUNCTION("""COMPUTED_VALUE"""),34.41)</f>
        <v>34.41</v>
      </c>
      <c r="I1111" s="7">
        <f>IFERROR(__xludf.DUMMYFUNCTION("""COMPUTED_VALUE"""),21.0)</f>
        <v>21</v>
      </c>
      <c r="J1111" s="6">
        <f>IFERROR(__xludf.DUMMYFUNCTION("""COMPUTED_VALUE"""),41.29)</f>
        <v>41.29</v>
      </c>
      <c r="K1111" s="6">
        <f>IFERROR(__xludf.DUMMYFUNCTION("""COMPUTED_VALUE"""),48.17)</f>
        <v>48.17</v>
      </c>
      <c r="L1111" s="3"/>
      <c r="M1111" s="3"/>
    </row>
    <row r="1112" ht="48.0" customHeight="1">
      <c r="A1112" s="3" t="str">
        <f>IFERROR(__xludf.DUMMYFUNCTION("""COMPUTED_VALUE"""),"DHACME1509THPPV")</f>
        <v>DHACME1509THPPV</v>
      </c>
      <c r="B1112" s="4" t="str">
        <f>IFERROR(__xludf.DUMMYFUNCTION("""COMPUTED_VALUE"""),"CAMARA BULLET 5MP")</f>
        <v>CAMARA BULLET 5MP</v>
      </c>
      <c r="C1112" s="4" t="str">
        <f>IFERROR(__xludf.DUMMYFUNCTION("""COMPUTED_VALUE"""),"HAC-ME1509THP-PV Cámara Bullet 5 Mpx 3.6mm Full-Color Active Deterrance IP67 Disuasión activa con luz azul roja, interfaz de salida de alarma y sirena Máx. 20 fps a 5 MP Lente fija de 3,6 mm 40 m de distancia de iluminación IP67, 12V ± 30% C")</f>
        <v>HAC-ME1509THP-PV Cámara Bullet 5 Mpx 3.6mm Full-Color Active Deterrance IP67 Disuasión activa con luz azul roja, interfaz de salida de alarma y sirena Máx. 20 fps a 5 MP Lente fija de 3,6 mm 40 m de distancia de iluminación IP67, 12V ± 30% C</v>
      </c>
      <c r="D1112" s="4" t="str">
        <f>IFERROR(__xludf.DUMMYFUNCTION("""COMPUTED_VALUE"""),"DAHUA")</f>
        <v>DAHUA</v>
      </c>
      <c r="E1112" s="4" t="str">
        <f>IFERROR(__xludf.DUMMYFUNCTION("""COMPUTED_VALUE"""),"DHACME1509THPPV")</f>
        <v>DHACME1509THPPV</v>
      </c>
      <c r="F1112" s="4" t="str">
        <f>IFERROR(__xludf.DUMMYFUNCTION("""COMPUTED_VALUE"""),"CCTV &gt; CAMARAS ANALOGICAS")</f>
        <v>CCTV &gt; CAMARAS ANALOGICAS</v>
      </c>
      <c r="G1112" s="5"/>
      <c r="H1112" s="6">
        <f>IFERROR(__xludf.DUMMYFUNCTION("""COMPUTED_VALUE"""),97.68)</f>
        <v>97.68</v>
      </c>
      <c r="I1112" s="7">
        <f>IFERROR(__xludf.DUMMYFUNCTION("""COMPUTED_VALUE"""),21.0)</f>
        <v>21</v>
      </c>
      <c r="J1112" s="6">
        <f>IFERROR(__xludf.DUMMYFUNCTION("""COMPUTED_VALUE"""),117.22)</f>
        <v>117.22</v>
      </c>
      <c r="K1112" s="6">
        <f>IFERROR(__xludf.DUMMYFUNCTION("""COMPUTED_VALUE"""),136.75)</f>
        <v>136.75</v>
      </c>
      <c r="L1112" s="3"/>
      <c r="M1112" s="3"/>
    </row>
    <row r="1113" ht="48.0" customHeight="1">
      <c r="A1113" s="3" t="str">
        <f>IFERROR(__xludf.DUMMYFUNCTION("""COMPUTED_VALUE"""),"DHHACHFW1500RPZIRE6")</f>
        <v>DHHACHFW1500RPZIRE6</v>
      </c>
      <c r="B1113" s="4" t="str">
        <f>IFERROR(__xludf.DUMMYFUNCTION("""COMPUTED_VALUE"""),"CAMARA BULLET 5MP")</f>
        <v>CAMARA BULLET 5MP</v>
      </c>
      <c r="C1113" s="4" t="str">
        <f>IFERROR(__xludf.DUMMYFUNCTION("""COMPUTED_VALUE"""),"HAC-HFW1500RP-Z-IRE6 Cámara Bullet de 5 Mp HDCVI con IR 60 m, CMOS 1/2,7"", lente varifocal motorizado de 2,7 mm~12 mm, IP67 y carcasa de aluminio")</f>
        <v>HAC-HFW1500RP-Z-IRE6 Cámara Bullet de 5 Mp HDCVI con IR 60 m, CMOS 1/2,7", lente varifocal motorizado de 2,7 mm~12 mm, IP67 y carcasa de aluminio</v>
      </c>
      <c r="D1113" s="4" t="str">
        <f>IFERROR(__xludf.DUMMYFUNCTION("""COMPUTED_VALUE"""),"DAHUA")</f>
        <v>DAHUA</v>
      </c>
      <c r="E1113" s="4" t="str">
        <f>IFERROR(__xludf.DUMMYFUNCTION("""COMPUTED_VALUE"""),"DHHACHFW1500RPZIRE6")</f>
        <v>DHHACHFW1500RPZIRE6</v>
      </c>
      <c r="F1113" s="4" t="str">
        <f>IFERROR(__xludf.DUMMYFUNCTION("""COMPUTED_VALUE"""),"CCTV &gt; CAMARAS ANALOGICAS")</f>
        <v>CCTV &gt; CAMARAS ANALOGICAS</v>
      </c>
      <c r="G1113" s="5"/>
      <c r="H1113" s="6">
        <f>IFERROR(__xludf.DUMMYFUNCTION("""COMPUTED_VALUE"""),82.56)</f>
        <v>82.56</v>
      </c>
      <c r="I1113" s="7">
        <f>IFERROR(__xludf.DUMMYFUNCTION("""COMPUTED_VALUE"""),21.0)</f>
        <v>21</v>
      </c>
      <c r="J1113" s="6">
        <f>IFERROR(__xludf.DUMMYFUNCTION("""COMPUTED_VALUE"""),99.07)</f>
        <v>99.07</v>
      </c>
      <c r="K1113" s="6">
        <f>IFERROR(__xludf.DUMMYFUNCTION("""COMPUTED_VALUE"""),115.58)</f>
        <v>115.58</v>
      </c>
      <c r="L1113" s="3"/>
      <c r="M1113" s="3"/>
    </row>
    <row r="1114" ht="48.0" customHeight="1">
      <c r="A1114" s="3" t="str">
        <f>IFERROR(__xludf.DUMMYFUNCTION("""COMPUTED_VALUE"""),"DHHACHFW1800RP028")</f>
        <v>DHHACHFW1800RP028</v>
      </c>
      <c r="B1114" s="4" t="str">
        <f>IFERROR(__xludf.DUMMYFUNCTION("""COMPUTED_VALUE"""),"CAMARA BULLET 8MP")</f>
        <v>CAMARA BULLET 8MP</v>
      </c>
      <c r="C1114" s="4" t="str">
        <f>IFERROR(__xludf.DUMMYFUNCTION("""COMPUTED_VALUE"""),"Bullet 5en1 4K / 8Mpx IR 20m lente de 2.8mm")</f>
        <v>Bullet 5en1 4K / 8Mpx IR 20m lente de 2.8mm</v>
      </c>
      <c r="D1114" s="4" t="str">
        <f>IFERROR(__xludf.DUMMYFUNCTION("""COMPUTED_VALUE"""),"DAHUA")</f>
        <v>DAHUA</v>
      </c>
      <c r="E1114" s="4" t="str">
        <f>IFERROR(__xludf.DUMMYFUNCTION("""COMPUTED_VALUE"""),"DHHACHFW1800RP028")</f>
        <v>DHHACHFW1800RP028</v>
      </c>
      <c r="F1114" s="4" t="str">
        <f>IFERROR(__xludf.DUMMYFUNCTION("""COMPUTED_VALUE"""),"CCTV &gt; CAMARAS ANALOGICAS")</f>
        <v>CCTV &gt; CAMARAS ANALOGICAS</v>
      </c>
      <c r="G1114" s="5"/>
      <c r="H1114" s="6">
        <f>IFERROR(__xludf.DUMMYFUNCTION("""COMPUTED_VALUE"""),40.44)</f>
        <v>40.44</v>
      </c>
      <c r="I1114" s="7">
        <f>IFERROR(__xludf.DUMMYFUNCTION("""COMPUTED_VALUE"""),21.0)</f>
        <v>21</v>
      </c>
      <c r="J1114" s="6">
        <f>IFERROR(__xludf.DUMMYFUNCTION("""COMPUTED_VALUE"""),48.53)</f>
        <v>48.53</v>
      </c>
      <c r="K1114" s="6">
        <f>IFERROR(__xludf.DUMMYFUNCTION("""COMPUTED_VALUE"""),56.62)</f>
        <v>56.62</v>
      </c>
      <c r="L1114" s="3"/>
      <c r="M1114" s="3"/>
    </row>
    <row r="1115" ht="48.0" customHeight="1">
      <c r="A1115" s="3" t="str">
        <f>IFERROR(__xludf.DUMMYFUNCTION("""COMPUTED_VALUE"""),"DHSD40215HCLA")</f>
        <v>DHSD40215HCLA</v>
      </c>
      <c r="B1115" s="4" t="str">
        <f>IFERROR(__xludf.DUMMYFUNCTION("""COMPUTED_VALUE"""),"CAMARA DOMO 2MP")</f>
        <v>CAMARA DOMO 2MP</v>
      </c>
      <c r="C1115" s="4" t="str">
        <f>IFERROR(__xludf.DUMMYFUNCTION("""COMPUTED_VALUE"""),"DH-SD40215-HC-LA Domo PTZ HDCVI 2MP HDCVI STARLIGHT, CMOS 1/2,8"", lente varifocal 5MM~75 MM, IP66, IK10, WDR,AUDIO, Zoom optico X15")</f>
        <v>DH-SD40215-HC-LA Domo PTZ HDCVI 2MP HDCVI STARLIGHT, CMOS 1/2,8", lente varifocal 5MM~75 MM, IP66, IK10, WDR,AUDIO, Zoom optico X15</v>
      </c>
      <c r="D1115" s="4" t="str">
        <f>IFERROR(__xludf.DUMMYFUNCTION("""COMPUTED_VALUE"""),"DAHUA")</f>
        <v>DAHUA</v>
      </c>
      <c r="E1115" s="4" t="str">
        <f>IFERROR(__xludf.DUMMYFUNCTION("""COMPUTED_VALUE"""),"DHSD40215HCLA")</f>
        <v>DHSD40215HCLA</v>
      </c>
      <c r="F1115" s="4" t="str">
        <f>IFERROR(__xludf.DUMMYFUNCTION("""COMPUTED_VALUE"""),"CCTV &gt; CAMARAS ANALOGICAS PTZ")</f>
        <v>CCTV &gt; CAMARAS ANALOGICAS PTZ</v>
      </c>
      <c r="G1115" s="5"/>
      <c r="H1115" s="6">
        <f>IFERROR(__xludf.DUMMYFUNCTION("""COMPUTED_VALUE"""),357.04)</f>
        <v>357.04</v>
      </c>
      <c r="I1115" s="7">
        <f>IFERROR(__xludf.DUMMYFUNCTION("""COMPUTED_VALUE"""),21.0)</f>
        <v>21</v>
      </c>
      <c r="J1115" s="6">
        <f>IFERROR(__xludf.DUMMYFUNCTION("""COMPUTED_VALUE"""),428.45)</f>
        <v>428.45</v>
      </c>
      <c r="K1115" s="6">
        <f>IFERROR(__xludf.DUMMYFUNCTION("""COMPUTED_VALUE"""),499.86)</f>
        <v>499.86</v>
      </c>
      <c r="L1115" s="3"/>
      <c r="M1115" s="3"/>
    </row>
    <row r="1116" ht="48.0" customHeight="1">
      <c r="A1116" s="3" t="str">
        <f>IFERROR(__xludf.DUMMYFUNCTION("""COMPUTED_VALUE"""),"DHSD59230IHC")</f>
        <v>DHSD59230IHC</v>
      </c>
      <c r="B1116" s="4" t="str">
        <f>IFERROR(__xludf.DUMMYFUNCTION("""COMPUTED_VALUE"""),"CAMARA DOMO 2MP")</f>
        <v>CAMARA DOMO 2MP</v>
      </c>
      <c r="C1116" s="4" t="str">
        <f>IFERROR(__xludf.DUMMYFUNCTION("""COMPUTED_VALUE"""),"DH-SD59230I-HC Domo PTZ HDCVI 2MP Zoom 30x Starlight High Speed IR 150m, IP66, WDR,AUDIO")</f>
        <v>DH-SD59230I-HC Domo PTZ HDCVI 2MP Zoom 30x Starlight High Speed IR 150m, IP66, WDR,AUDIO</v>
      </c>
      <c r="D1116" s="4" t="str">
        <f>IFERROR(__xludf.DUMMYFUNCTION("""COMPUTED_VALUE"""),"DAHUA")</f>
        <v>DAHUA</v>
      </c>
      <c r="E1116" s="4" t="str">
        <f>IFERROR(__xludf.DUMMYFUNCTION("""COMPUTED_VALUE"""),"DHSD59230IHC")</f>
        <v>DHSD59230IHC</v>
      </c>
      <c r="F1116" s="4" t="str">
        <f>IFERROR(__xludf.DUMMYFUNCTION("""COMPUTED_VALUE"""),"CCTV &gt; CAMARAS ANALOGICAS PTZ")</f>
        <v>CCTV &gt; CAMARAS ANALOGICAS PTZ</v>
      </c>
      <c r="G1116" s="5"/>
      <c r="H1116" s="6">
        <f>IFERROR(__xludf.DUMMYFUNCTION("""COMPUTED_VALUE"""),336.12)</f>
        <v>336.12</v>
      </c>
      <c r="I1116" s="7">
        <f>IFERROR(__xludf.DUMMYFUNCTION("""COMPUTED_VALUE"""),21.0)</f>
        <v>21</v>
      </c>
      <c r="J1116" s="6">
        <f>IFERROR(__xludf.DUMMYFUNCTION("""COMPUTED_VALUE"""),403.34)</f>
        <v>403.34</v>
      </c>
      <c r="K1116" s="6">
        <f>IFERROR(__xludf.DUMMYFUNCTION("""COMPUTED_VALUE"""),470.57)</f>
        <v>470.57</v>
      </c>
      <c r="L1116" s="3"/>
      <c r="M1116" s="3"/>
    </row>
    <row r="1117" ht="48.0" customHeight="1">
      <c r="A1117" s="3" t="str">
        <f>IFERROR(__xludf.DUMMYFUNCTION("""COMPUTED_VALUE"""),"HCVNVR2104W4KS2")</f>
        <v>HCVNVR2104W4KS2</v>
      </c>
      <c r="B1117" s="4" t="str">
        <f>IFERROR(__xludf.DUMMYFUNCTION("""COMPUTED_VALUE"""),"NVR WIFI 1 CANALES")</f>
        <v>NVR WIFI 1 CANALES</v>
      </c>
      <c r="C1117" s="4" t="str">
        <f>IFERROR(__xludf.DUMMYFUNCTION("""COMPUTED_VALUE"""),"Admite IEEE802.11b / g / n (2.4GHz); Admite dos antenas para intensificar la señal de Wi-Fi; Decodificación de códec H.265 +/H.264 +; Ancho de banda entrante de cable máximo de 80 Mbps; Ancho de banda entrante inalámbrico máximo de 24 Mbps; Decodificación"&amp;" de hasta 1ch @ 8MP/4ch @ 1080P")</f>
        <v>Admite IEEE802.11b / g / n (2.4GHz); Admite dos antenas para intensificar la señal de Wi-Fi; Decodificación de códec H.265 +/H.264 +; Ancho de banda entrante de cable máximo de 80 Mbps; Ancho de banda entrante inalámbrico máximo de 24 Mbps; Decodificación de hasta 1ch @ 8MP/4ch @ 1080P</v>
      </c>
      <c r="D1117" s="4" t="str">
        <f>IFERROR(__xludf.DUMMYFUNCTION("""COMPUTED_VALUE"""),"DAHUA")</f>
        <v>DAHUA</v>
      </c>
      <c r="E1117" s="4" t="str">
        <f>IFERROR(__xludf.DUMMYFUNCTION("""COMPUTED_VALUE"""),"HCVNVR2104W4KS2")</f>
        <v>HCVNVR2104W4KS2</v>
      </c>
      <c r="F1117" s="4" t="str">
        <f>IFERROR(__xludf.DUMMYFUNCTION("""COMPUTED_VALUE"""),"CCTV &gt; GRABADORES NVR")</f>
        <v>CCTV &gt; GRABADORES NVR</v>
      </c>
      <c r="G1117" s="5"/>
      <c r="H1117" s="6">
        <f>IFERROR(__xludf.DUMMYFUNCTION("""COMPUTED_VALUE"""),224.4)</f>
        <v>224.4</v>
      </c>
      <c r="I1117" s="7">
        <f>IFERROR(__xludf.DUMMYFUNCTION("""COMPUTED_VALUE"""),21.0)</f>
        <v>21</v>
      </c>
      <c r="J1117" s="6">
        <f>IFERROR(__xludf.DUMMYFUNCTION("""COMPUTED_VALUE"""),269.28)</f>
        <v>269.28</v>
      </c>
      <c r="K1117" s="6">
        <f>IFERROR(__xludf.DUMMYFUNCTION("""COMPUTED_VALUE"""),314.16)</f>
        <v>314.16</v>
      </c>
      <c r="L1117" s="3"/>
      <c r="M1117" s="3"/>
    </row>
    <row r="1118" ht="48.0" customHeight="1">
      <c r="A1118" s="3" t="str">
        <f>IFERROR(__xludf.DUMMYFUNCTION("""COMPUTED_VALUE"""),"HCNVR1104HSS3H")</f>
        <v>HCNVR1104HSS3H</v>
      </c>
      <c r="B1118" s="4" t="str">
        <f>IFERROR(__xludf.DUMMYFUNCTION("""COMPUTED_VALUE"""),"NVR 4 CANALES")</f>
        <v>NVR 4 CANALES</v>
      </c>
      <c r="C1118" s="4" t="str">
        <f>IFERROR(__xludf.DUMMYFUNCTION("""COMPUTED_VALUE"""),"NVR 4 canales · New 4.0 user interface· P2P remote surveillance, video play on mobile device· 4–ch@1080P(30FPS), self-adaptive decoding capability · Support for mainstream cameras of ONVIF and RTSP protocol · Smart H.265+/Smart H.264+/H.265/H.264 · VGA/HD"&amp;"MI simultaneous video output, maximum resolution of HDMI is 1080P")</f>
        <v>NVR 4 canales · New 4.0 user interface· P2P remote surveillance, video play on mobile device· 4–ch@1080P(30FPS), self-adaptive decoding capability · Support for mainstream cameras of ONVIF and RTSP protocol · Smart H.265+/Smart H.264+/H.265/H.264 · VGA/HDMI simultaneous video output, maximum resolution of HDMI is 1080P</v>
      </c>
      <c r="D1118" s="4" t="str">
        <f>IFERROR(__xludf.DUMMYFUNCTION("""COMPUTED_VALUE"""),"DAHUA")</f>
        <v>DAHUA</v>
      </c>
      <c r="E1118" s="4" t="str">
        <f>IFERROR(__xludf.DUMMYFUNCTION("""COMPUTED_VALUE"""),"HCNVR1104HSS3H")</f>
        <v>HCNVR1104HSS3H</v>
      </c>
      <c r="F1118" s="4" t="str">
        <f>IFERROR(__xludf.DUMMYFUNCTION("""COMPUTED_VALUE"""),"CCTV &gt; GRABADORES NVR")</f>
        <v>CCTV &gt; GRABADORES NVR</v>
      </c>
      <c r="G1118" s="5"/>
      <c r="H1118" s="6">
        <f>IFERROR(__xludf.DUMMYFUNCTION("""COMPUTED_VALUE"""),88.9)</f>
        <v>88.9</v>
      </c>
      <c r="I1118" s="7">
        <f>IFERROR(__xludf.DUMMYFUNCTION("""COMPUTED_VALUE"""),21.0)</f>
        <v>21</v>
      </c>
      <c r="J1118" s="6">
        <f>IFERROR(__xludf.DUMMYFUNCTION("""COMPUTED_VALUE"""),106.68)</f>
        <v>106.68</v>
      </c>
      <c r="K1118" s="6">
        <f>IFERROR(__xludf.DUMMYFUNCTION("""COMPUTED_VALUE"""),124.46)</f>
        <v>124.46</v>
      </c>
      <c r="L1118" s="3"/>
      <c r="M1118" s="3"/>
    </row>
    <row r="1119" ht="48.0" customHeight="1">
      <c r="A1119" s="3" t="str">
        <f>IFERROR(__xludf.DUMMYFUNCTION("""COMPUTED_VALUE"""),"HCNVR1104HS-P-S3-H")</f>
        <v>HCNVR1104HS-P-S3-H</v>
      </c>
      <c r="B1119" s="4" t="str">
        <f>IFERROR(__xludf.DUMMYFUNCTION("""COMPUTED_VALUE"""),"NVR 4 CANALES")</f>
        <v>NVR 4 CANALES</v>
      </c>
      <c r="C1119" s="4" t="str">
        <f>IFERROR(__xludf.DUMMYFUNCTION("""COMPUTED_VALUE"""),"NVR 4ch H.265+ PoE 8Mpx / 80Mbps 1 HDD· New 4.0 user interface· P2P remote surveillance, video play on mobile device· 4–ch@1080P(30FPS), self-adaptive decoding capability · Support for mainstream cameras of ONVIF and RTSP protocol · Smart H.265+/Smart H.2"&amp;"64+/H.265/H.264 · VGA/HDMI simultaneous video output, maximum resolution of HDMI is 1080P")</f>
        <v>NVR 4ch H.265+ PoE 8Mpx / 80Mbps 1 HDD· New 4.0 user interface· P2P remote surveillance, video play on mobile device· 4–ch@1080P(30FPS), self-adaptive decoding capability · Support for mainstream cameras of ONVIF and RTSP protocol · Smart H.265+/Smart H.264+/H.265/H.264 · VGA/HDMI simultaneous video output, maximum resolution of HDMI is 1080P</v>
      </c>
      <c r="D1119" s="4" t="str">
        <f>IFERROR(__xludf.DUMMYFUNCTION("""COMPUTED_VALUE"""),"DAHUA")</f>
        <v>DAHUA</v>
      </c>
      <c r="E1119" s="4" t="str">
        <f>IFERROR(__xludf.DUMMYFUNCTION("""COMPUTED_VALUE"""),"HCNVR1104HS-P-S3-H")</f>
        <v>HCNVR1104HS-P-S3-H</v>
      </c>
      <c r="F1119" s="4" t="str">
        <f>IFERROR(__xludf.DUMMYFUNCTION("""COMPUTED_VALUE"""),"CCTV &gt; GRABADORES NVR")</f>
        <v>CCTV &gt; GRABADORES NVR</v>
      </c>
      <c r="G1119" s="5"/>
      <c r="H1119" s="6">
        <f>IFERROR(__xludf.DUMMYFUNCTION("""COMPUTED_VALUE"""),148.16)</f>
        <v>148.16</v>
      </c>
      <c r="I1119" s="7">
        <f>IFERROR(__xludf.DUMMYFUNCTION("""COMPUTED_VALUE"""),21.0)</f>
        <v>21</v>
      </c>
      <c r="J1119" s="6">
        <f>IFERROR(__xludf.DUMMYFUNCTION("""COMPUTED_VALUE"""),177.79)</f>
        <v>177.79</v>
      </c>
      <c r="K1119" s="6">
        <f>IFERROR(__xludf.DUMMYFUNCTION("""COMPUTED_VALUE"""),207.42)</f>
        <v>207.42</v>
      </c>
      <c r="L1119" s="3"/>
      <c r="M1119" s="3"/>
    </row>
    <row r="1120" ht="48.0" customHeight="1">
      <c r="A1120" s="3" t="str">
        <f>IFERROR(__xludf.DUMMYFUNCTION("""COMPUTED_VALUE"""),"HCVNVR1108HSS3H")</f>
        <v>HCVNVR1108HSS3H</v>
      </c>
      <c r="B1120" s="4" t="str">
        <f>IFERROR(__xludf.DUMMYFUNCTION("""COMPUTED_VALUE"""),"COMPRESIÓN DE VIDEO SMART H")</f>
        <v>COMPRESIÓN DE VIDEO SMART H</v>
      </c>
      <c r="C1120" s="4" t="str">
        <f>IFERROR(__xludf.DUMMYFUNCTION("""COMPUTED_VALUE"""),"Compresión de video smart H.265+/H.264+; ONVIF y admite protocolo RTSP; Decodificación 4ch@1080P, 8ch@720P; Salida simultanea de VGA/HDMI, max resolucion HDMI hasta 1080P; Búsqueda inteligente; Centro de seguridad; Soporta 1 SATA HDD de hasta 8tb.")</f>
        <v>Compresión de video smart H.265+/H.264+; ONVIF y admite protocolo RTSP; Decodificación 4ch@1080P, 8ch@720P; Salida simultanea de VGA/HDMI, max resolucion HDMI hasta 1080P; Búsqueda inteligente; Centro de seguridad; Soporta 1 SATA HDD de hasta 8tb.</v>
      </c>
      <c r="D1120" s="4" t="str">
        <f>IFERROR(__xludf.DUMMYFUNCTION("""COMPUTED_VALUE"""),"DAHUA")</f>
        <v>DAHUA</v>
      </c>
      <c r="E1120" s="4" t="str">
        <f>IFERROR(__xludf.DUMMYFUNCTION("""COMPUTED_VALUE"""),"HCVNVR1108HSS3H")</f>
        <v>HCVNVR1108HSS3H</v>
      </c>
      <c r="F1120" s="4" t="str">
        <f>IFERROR(__xludf.DUMMYFUNCTION("""COMPUTED_VALUE"""),"ALMACENAMIENTO &gt; DISCOS CCTV")</f>
        <v>ALMACENAMIENTO &gt; DISCOS CCTV</v>
      </c>
      <c r="G1120" s="5"/>
      <c r="H1120" s="6">
        <f>IFERROR(__xludf.DUMMYFUNCTION("""COMPUTED_VALUE"""),93.47)</f>
        <v>93.47</v>
      </c>
      <c r="I1120" s="7">
        <f>IFERROR(__xludf.DUMMYFUNCTION("""COMPUTED_VALUE"""),21.0)</f>
        <v>21</v>
      </c>
      <c r="J1120" s="6">
        <f>IFERROR(__xludf.DUMMYFUNCTION("""COMPUTED_VALUE"""),112.16)</f>
        <v>112.16</v>
      </c>
      <c r="K1120" s="6">
        <f>IFERROR(__xludf.DUMMYFUNCTION("""COMPUTED_VALUE"""),130.86)</f>
        <v>130.86</v>
      </c>
      <c r="L1120" s="3"/>
      <c r="M1120" s="3"/>
    </row>
    <row r="1121" ht="48.0" customHeight="1">
      <c r="A1121" s="3" t="str">
        <f>IFERROR(__xludf.DUMMYFUNCTION("""COMPUTED_VALUE"""),"HCVNVR1108HS8PS3H")</f>
        <v>HCVNVR1108HS8PS3H</v>
      </c>
      <c r="B1121" s="4" t="str">
        <f>IFERROR(__xludf.DUMMYFUNCTION("""COMPUTED_VALUE"""),"NVR 8 CANALES")</f>
        <v>NVR 8 CANALES</v>
      </c>
      <c r="C1121" s="4" t="str">
        <f>IFERROR(__xludf.DUMMYFUNCTION("""COMPUTED_VALUE"""),"NVR 8ch H.265+ 8PoE 8Mpx / 80Mbps 1 HDD")</f>
        <v>NVR 8ch H.265+ 8PoE 8Mpx / 80Mbps 1 HDD</v>
      </c>
      <c r="D1121" s="4" t="str">
        <f>IFERROR(__xludf.DUMMYFUNCTION("""COMPUTED_VALUE"""),"DAHUA")</f>
        <v>DAHUA</v>
      </c>
      <c r="E1121" s="4" t="str">
        <f>IFERROR(__xludf.DUMMYFUNCTION("""COMPUTED_VALUE"""),"HCVNVR1108HS8PS3H")</f>
        <v>HCVNVR1108HS8PS3H</v>
      </c>
      <c r="F1121" s="4" t="str">
        <f>IFERROR(__xludf.DUMMYFUNCTION("""COMPUTED_VALUE"""),"CCTV &gt; GRABADORES NVR")</f>
        <v>CCTV &gt; GRABADORES NVR</v>
      </c>
      <c r="G1121" s="5"/>
      <c r="H1121" s="6">
        <f>IFERROR(__xludf.DUMMYFUNCTION("""COMPUTED_VALUE"""),207.43)</f>
        <v>207.43</v>
      </c>
      <c r="I1121" s="7">
        <f>IFERROR(__xludf.DUMMYFUNCTION("""COMPUTED_VALUE"""),21.0)</f>
        <v>21</v>
      </c>
      <c r="J1121" s="6">
        <f>IFERROR(__xludf.DUMMYFUNCTION("""COMPUTED_VALUE"""),248.92)</f>
        <v>248.92</v>
      </c>
      <c r="K1121" s="6">
        <f>IFERROR(__xludf.DUMMYFUNCTION("""COMPUTED_VALUE"""),290.4)</f>
        <v>290.4</v>
      </c>
      <c r="L1121" s="3"/>
      <c r="M1121" s="3"/>
    </row>
    <row r="1122" ht="48.0" customHeight="1">
      <c r="A1122" s="3" t="str">
        <f>IFERROR(__xludf.DUMMYFUNCTION("""COMPUTED_VALUE"""),"HCVNVR2108HSS3")</f>
        <v>HCVNVR2108HSS3</v>
      </c>
      <c r="B1122" s="4" t="str">
        <f>IFERROR(__xludf.DUMMYFUNCTION("""COMPUTED_VALUE"""),"NVR 8 CANALES")</f>
        <v>NVR 8 CANALES</v>
      </c>
      <c r="C1122" s="4" t="str">
        <f>IFERROR(__xludf.DUMMYFUNCTION("""COMPUTED_VALUE"""),"NVR 8ch H.265+; 1080p@30 fps; Protección perimetral; SMD Plus; Soporta 1 SATA HDD de hasta 16tb.")</f>
        <v>NVR 8ch H.265+; 1080p@30 fps; Protección perimetral; SMD Plus; Soporta 1 SATA HDD de hasta 16tb.</v>
      </c>
      <c r="D1122" s="4" t="str">
        <f>IFERROR(__xludf.DUMMYFUNCTION("""COMPUTED_VALUE"""),"DAHUA")</f>
        <v>DAHUA</v>
      </c>
      <c r="E1122" s="4" t="str">
        <f>IFERROR(__xludf.DUMMYFUNCTION("""COMPUTED_VALUE"""),"HCVNVR2108HSS3")</f>
        <v>HCVNVR2108HSS3</v>
      </c>
      <c r="F1122" s="4" t="str">
        <f>IFERROR(__xludf.DUMMYFUNCTION("""COMPUTED_VALUE"""),"CCTV &gt; GRABADORES NVR")</f>
        <v>CCTV &gt; GRABADORES NVR</v>
      </c>
      <c r="G1122" s="5"/>
      <c r="H1122" s="6">
        <f>IFERROR(__xludf.DUMMYFUNCTION("""COMPUTED_VALUE"""),142.79)</f>
        <v>142.79</v>
      </c>
      <c r="I1122" s="7">
        <f>IFERROR(__xludf.DUMMYFUNCTION("""COMPUTED_VALUE"""),21.0)</f>
        <v>21</v>
      </c>
      <c r="J1122" s="6">
        <f>IFERROR(__xludf.DUMMYFUNCTION("""COMPUTED_VALUE"""),171.35)</f>
        <v>171.35</v>
      </c>
      <c r="K1122" s="6">
        <f>IFERROR(__xludf.DUMMYFUNCTION("""COMPUTED_VALUE"""),199.91)</f>
        <v>199.91</v>
      </c>
      <c r="L1122" s="3"/>
      <c r="M1122" s="3"/>
    </row>
    <row r="1123" ht="48.0" customHeight="1">
      <c r="A1123" s="3" t="str">
        <f>IFERROR(__xludf.DUMMYFUNCTION("""COMPUTED_VALUE"""),"HCVNVR2116HS4K")</f>
        <v>HCVNVR2116HS4K</v>
      </c>
      <c r="B1123" s="4" t="str">
        <f>IFERROR(__xludf.DUMMYFUNCTION("""COMPUTED_VALUE"""),"NVR 16 CANALES")</f>
        <v>NVR 16 CANALES</v>
      </c>
      <c r="C1123" s="4" t="str">
        <f>IFERROR(__xludf.DUMMYFUNCTION("""COMPUTED_VALUE"""),"NVR 16 canales de hasta 4K en grabación · Compresión de video H.265/H.264 · Resolución en grabación: 4K · Máximo ancho de banda entrante: 80 Mbps · Resolución de previsualización y reproducción: hasta 8 Mp · Salida de video simultánea HDMI/VGA · Decodific"&amp;"ación de hasta 1 canales@8Mp / 4 canales@1080P")</f>
        <v>NVR 16 canales de hasta 4K en grabación · Compresión de video H.265/H.264 · Resolución en grabación: 4K · Máximo ancho de banda entrante: 80 Mbps · Resolución de previsualización y reproducción: hasta 8 Mp · Salida de video simultánea HDMI/VGA · Decodificación de hasta 1 canales@8Mp / 4 canales@1080P</v>
      </c>
      <c r="D1123" s="4" t="str">
        <f>IFERROR(__xludf.DUMMYFUNCTION("""COMPUTED_VALUE"""),"DAHUA")</f>
        <v>DAHUA</v>
      </c>
      <c r="E1123" s="4" t="str">
        <f>IFERROR(__xludf.DUMMYFUNCTION("""COMPUTED_VALUE"""),"HCVNVR2116HS4K")</f>
        <v>HCVNVR2116HS4K</v>
      </c>
      <c r="F1123" s="4" t="str">
        <f>IFERROR(__xludf.DUMMYFUNCTION("""COMPUTED_VALUE"""),"CCTV &gt; GRABADORES NVR")</f>
        <v>CCTV &gt; GRABADORES NVR</v>
      </c>
      <c r="G1123" s="5"/>
      <c r="H1123" s="6">
        <f>IFERROR(__xludf.DUMMYFUNCTION("""COMPUTED_VALUE"""),173.38)</f>
        <v>173.38</v>
      </c>
      <c r="I1123" s="7">
        <f>IFERROR(__xludf.DUMMYFUNCTION("""COMPUTED_VALUE"""),21.0)</f>
        <v>21</v>
      </c>
      <c r="J1123" s="6">
        <f>IFERROR(__xludf.DUMMYFUNCTION("""COMPUTED_VALUE"""),208.06)</f>
        <v>208.06</v>
      </c>
      <c r="K1123" s="6">
        <f>IFERROR(__xludf.DUMMYFUNCTION("""COMPUTED_VALUE"""),242.73)</f>
        <v>242.73</v>
      </c>
      <c r="L1123" s="3"/>
      <c r="M1123" s="3"/>
    </row>
    <row r="1124" ht="48.0" customHeight="1">
      <c r="A1124" s="3" t="str">
        <f>IFERROR(__xludf.DUMMYFUNCTION("""COMPUTED_VALUE"""),"DHI-NVR4116HS-4KS3")</f>
        <v>DHI-NVR4116HS-4KS3</v>
      </c>
      <c r="B1124" s="4" t="str">
        <f>IFERROR(__xludf.DUMMYFUNCTION("""COMPUTED_VALUE"""),"NVR 16 CANALES")</f>
        <v>NVR 16 CANALES</v>
      </c>
      <c r="C1124" s="4" t="str">
        <f>IFERROR(__xludf.DUMMYFUNCTION("""COMPUTED_VALUE"""),"NVR 16 ch 8 Mpx 1HDD H.265 16CH Compact 1U 1HDD Lite Network Video Recorder. Supports Smart H.265+, H.265, Smart H.264+, H.264 and MJPEG decoding formats.")</f>
        <v>NVR 16 ch 8 Mpx 1HDD H.265 16CH Compact 1U 1HDD Lite Network Video Recorder. Supports Smart H.265+, H.265, Smart H.264+, H.264 and MJPEG decoding formats.</v>
      </c>
      <c r="D1124" s="4" t="str">
        <f>IFERROR(__xludf.DUMMYFUNCTION("""COMPUTED_VALUE"""),"DAHUA")</f>
        <v>DAHUA</v>
      </c>
      <c r="E1124" s="4" t="str">
        <f>IFERROR(__xludf.DUMMYFUNCTION("""COMPUTED_VALUE"""),"DHI-NVR4116HS-4KS3")</f>
        <v>DHI-NVR4116HS-4KS3</v>
      </c>
      <c r="F1124" s="4" t="str">
        <f>IFERROR(__xludf.DUMMYFUNCTION("""COMPUTED_VALUE"""),"CCTV &gt; GRABADORES NVR")</f>
        <v>CCTV &gt; GRABADORES NVR</v>
      </c>
      <c r="G1124" s="5"/>
      <c r="H1124" s="6">
        <f>IFERROR(__xludf.DUMMYFUNCTION("""COMPUTED_VALUE"""),203.98)</f>
        <v>203.98</v>
      </c>
      <c r="I1124" s="7">
        <f>IFERROR(__xludf.DUMMYFUNCTION("""COMPUTED_VALUE"""),21.0)</f>
        <v>21</v>
      </c>
      <c r="J1124" s="6">
        <f>IFERROR(__xludf.DUMMYFUNCTION("""COMPUTED_VALUE"""),244.78)</f>
        <v>244.78</v>
      </c>
      <c r="K1124" s="6">
        <f>IFERROR(__xludf.DUMMYFUNCTION("""COMPUTED_VALUE"""),285.57)</f>
        <v>285.57</v>
      </c>
      <c r="L1124" s="3"/>
      <c r="M1124" s="3"/>
    </row>
    <row r="1125" ht="48.0" customHeight="1">
      <c r="A1125" s="3" t="str">
        <f>IFERROR(__xludf.DUMMYFUNCTION("""COMPUTED_VALUE"""),"HCVNVR42164K2SL")</f>
        <v>HCVNVR42164K2SL</v>
      </c>
      <c r="B1125" s="4" t="str">
        <f>IFERROR(__xludf.DUMMYFUNCTION("""COMPUTED_VALUE"""),"NVR 16 CANALES")</f>
        <v>NVR 16 CANALES</v>
      </c>
      <c r="C1125" s="4" t="str">
        <f>IFERROR(__xludf.DUMMYFUNCTION("""COMPUTED_VALUE"""),"NVR de 16 canales 8MPX 4K")</f>
        <v>NVR de 16 canales 8MPX 4K</v>
      </c>
      <c r="D1125" s="4" t="str">
        <f>IFERROR(__xludf.DUMMYFUNCTION("""COMPUTED_VALUE"""),"DAHUA")</f>
        <v>DAHUA</v>
      </c>
      <c r="E1125" s="4" t="str">
        <f>IFERROR(__xludf.DUMMYFUNCTION("""COMPUTED_VALUE"""),"HCVNVR42164K2SL")</f>
        <v>HCVNVR42164K2SL</v>
      </c>
      <c r="F1125" s="4" t="str">
        <f>IFERROR(__xludf.DUMMYFUNCTION("""COMPUTED_VALUE"""),"CCTV &gt; GRABADORES NVR")</f>
        <v>CCTV &gt; GRABADORES NVR</v>
      </c>
      <c r="G1125" s="5"/>
      <c r="H1125" s="6">
        <f>IFERROR(__xludf.DUMMYFUNCTION("""COMPUTED_VALUE"""),292.36)</f>
        <v>292.36</v>
      </c>
      <c r="I1125" s="7">
        <f>IFERROR(__xludf.DUMMYFUNCTION("""COMPUTED_VALUE"""),21.0)</f>
        <v>21</v>
      </c>
      <c r="J1125" s="6">
        <f>IFERROR(__xludf.DUMMYFUNCTION("""COMPUTED_VALUE"""),350.83)</f>
        <v>350.83</v>
      </c>
      <c r="K1125" s="6">
        <f>IFERROR(__xludf.DUMMYFUNCTION("""COMPUTED_VALUE"""),409.3)</f>
        <v>409.3</v>
      </c>
      <c r="L1125" s="3"/>
      <c r="M1125" s="3"/>
    </row>
    <row r="1126" ht="48.0" customHeight="1">
      <c r="A1126" s="3" t="str">
        <f>IFERROR(__xludf.DUMMYFUNCTION("""COMPUTED_VALUE"""),"HCVNVR421616P4KS2")</f>
        <v>HCVNVR421616P4KS2</v>
      </c>
      <c r="B1126" s="4" t="str">
        <f>IFERROR(__xludf.DUMMYFUNCTION("""COMPUTED_VALUE"""),"NVR 16 CANALES")</f>
        <v>NVR 16 CANALES</v>
      </c>
      <c r="C1126" s="4" t="str">
        <f>IFERROR(__xludf.DUMMYFUNCTION("""COMPUTED_VALUE"""),"NVR de 16 canales POE · Resolución en grabación: 4K · Compresión de video H.265/H.264 · Máximo ancho de banda entrante: 200 Mbps · Resolución de previsualización y reproducción: hasta 8 Mp · Salida de video simultánea HDMI/VGA Soporta IPC UPnP, 16 puertos"&amp;" PoE · Soporta tecnología ANR, garantiza la confiabilidad cuando se pierde la conexión de red")</f>
        <v>NVR de 16 canales POE · Resolución en grabación: 4K · Compresión de video H.265/H.264 · Máximo ancho de banda entrante: 200 Mbps · Resolución de previsualización y reproducción: hasta 8 Mp · Salida de video simultánea HDMI/VGA Soporta IPC UPnP, 16 puertos PoE · Soporta tecnología ANR, garantiza la confiabilidad cuando se pierde la conexión de red</v>
      </c>
      <c r="D1126" s="4" t="str">
        <f>IFERROR(__xludf.DUMMYFUNCTION("""COMPUTED_VALUE"""),"DAHUA")</f>
        <v>DAHUA</v>
      </c>
      <c r="E1126" s="4" t="str">
        <f>IFERROR(__xludf.DUMMYFUNCTION("""COMPUTED_VALUE"""),"HCVNVR421616P4KS2")</f>
        <v>HCVNVR421616P4KS2</v>
      </c>
      <c r="F1126" s="4" t="str">
        <f>IFERROR(__xludf.DUMMYFUNCTION("""COMPUTED_VALUE"""),"CCTV &gt; GRABADORES NVR")</f>
        <v>CCTV &gt; GRABADORES NVR</v>
      </c>
      <c r="G1126" s="5"/>
      <c r="H1126" s="6">
        <f>IFERROR(__xludf.DUMMYFUNCTION("""COMPUTED_VALUE"""),517.0)</f>
        <v>517</v>
      </c>
      <c r="I1126" s="7">
        <f>IFERROR(__xludf.DUMMYFUNCTION("""COMPUTED_VALUE"""),21.0)</f>
        <v>21</v>
      </c>
      <c r="J1126" s="6">
        <f>IFERROR(__xludf.DUMMYFUNCTION("""COMPUTED_VALUE"""),620.4)</f>
        <v>620.4</v>
      </c>
      <c r="K1126" s="6">
        <f>IFERROR(__xludf.DUMMYFUNCTION("""COMPUTED_VALUE"""),723.8)</f>
        <v>723.8</v>
      </c>
      <c r="L1126" s="3"/>
      <c r="M1126" s="3"/>
    </row>
    <row r="1127" ht="48.0" customHeight="1">
      <c r="A1127" s="3" t="str">
        <f>IFERROR(__xludf.DUMMYFUNCTION("""COMPUTED_VALUE"""),"HCVNVR42324K")</f>
        <v>HCVNVR42324K</v>
      </c>
      <c r="B1127" s="4" t="str">
        <f>IFERROR(__xludf.DUMMYFUNCTION("""COMPUTED_VALUE"""),"NVR 32 CANALES")</f>
        <v>NVR 32 CANALES</v>
      </c>
      <c r="C1127" s="4" t="str">
        <f>IFERROR(__xludf.DUMMYFUNCTION("""COMPUTED_VALUE"""),"NVR 32Ch 12Mpx 2HDD H.265 marca Dahua")</f>
        <v>NVR 32Ch 12Mpx 2HDD H.265 marca Dahua</v>
      </c>
      <c r="D1127" s="4" t="str">
        <f>IFERROR(__xludf.DUMMYFUNCTION("""COMPUTED_VALUE"""),"DAHUA")</f>
        <v>DAHUA</v>
      </c>
      <c r="E1127" s="4" t="str">
        <f>IFERROR(__xludf.DUMMYFUNCTION("""COMPUTED_VALUE"""),"HCVNVR42324K")</f>
        <v>HCVNVR42324K</v>
      </c>
      <c r="F1127" s="4" t="str">
        <f>IFERROR(__xludf.DUMMYFUNCTION("""COMPUTED_VALUE"""),"CCTV &gt; GRABADORES NVR")</f>
        <v>CCTV &gt; GRABADORES NVR</v>
      </c>
      <c r="G1127" s="5"/>
      <c r="H1127" s="6">
        <f>IFERROR(__xludf.DUMMYFUNCTION("""COMPUTED_VALUE"""),390.95)</f>
        <v>390.95</v>
      </c>
      <c r="I1127" s="7">
        <f>IFERROR(__xludf.DUMMYFUNCTION("""COMPUTED_VALUE"""),21.0)</f>
        <v>21</v>
      </c>
      <c r="J1127" s="6">
        <f>IFERROR(__xludf.DUMMYFUNCTION("""COMPUTED_VALUE"""),469.14)</f>
        <v>469.14</v>
      </c>
      <c r="K1127" s="6">
        <f>IFERROR(__xludf.DUMMYFUNCTION("""COMPUTED_VALUE"""),547.33)</f>
        <v>547.33</v>
      </c>
      <c r="L1127" s="3"/>
      <c r="M1127" s="3"/>
    </row>
    <row r="1128" ht="48.0" customHeight="1">
      <c r="A1128" s="3" t="str">
        <f>IFERROR(__xludf.DUMMYFUNCTION("""COMPUTED_VALUE"""),"HCNVR5216-EI")</f>
        <v>HCNVR5216-EI</v>
      </c>
      <c r="B1128" s="4" t="str">
        <f>IFERROR(__xludf.DUMMYFUNCTION("""COMPUTED_VALUE"""),"NVR 16 CANALES")</f>
        <v>NVR 16 CANALES</v>
      </c>
      <c r="C1128" s="4" t="str">
        <f>IFERROR(__xludf.DUMMYFUNCTION("""COMPUTED_VALUE"""),"NVR de 16 canales")</f>
        <v>NVR de 16 canales</v>
      </c>
      <c r="D1128" s="4" t="str">
        <f>IFERROR(__xludf.DUMMYFUNCTION("""COMPUTED_VALUE"""),"DAHUA")</f>
        <v>DAHUA</v>
      </c>
      <c r="E1128" s="4" t="str">
        <f>IFERROR(__xludf.DUMMYFUNCTION("""COMPUTED_VALUE"""),"HCNVR5216-EI")</f>
        <v>HCNVR5216-EI</v>
      </c>
      <c r="F1128" s="4" t="str">
        <f>IFERROR(__xludf.DUMMYFUNCTION("""COMPUTED_VALUE"""),"CCTV &gt; GRABADORES NVR")</f>
        <v>CCTV &gt; GRABADORES NVR</v>
      </c>
      <c r="G1128" s="5"/>
      <c r="H1128" s="6">
        <f>IFERROR(__xludf.DUMMYFUNCTION("""COMPUTED_VALUE"""),857.82)</f>
        <v>857.82</v>
      </c>
      <c r="I1128" s="7">
        <f>IFERROR(__xludf.DUMMYFUNCTION("""COMPUTED_VALUE"""),21.0)</f>
        <v>21</v>
      </c>
      <c r="J1128" s="6">
        <f>IFERROR(__xludf.DUMMYFUNCTION("""COMPUTED_VALUE"""),1029.38)</f>
        <v>1029.38</v>
      </c>
      <c r="K1128" s="6">
        <f>IFERROR(__xludf.DUMMYFUNCTION("""COMPUTED_VALUE"""),1200.95)</f>
        <v>1200.95</v>
      </c>
      <c r="L1128" s="3"/>
      <c r="M1128" s="3"/>
    </row>
    <row r="1129" ht="48.0" customHeight="1">
      <c r="A1129" s="3" t="str">
        <f>IFERROR(__xludf.DUMMYFUNCTION("""COMPUTED_VALUE"""),"DHI-NVR5232-EI2")</f>
        <v>DHI-NVR5232-EI2</v>
      </c>
      <c r="B1129" s="4" t="str">
        <f>IFERROR(__xludf.DUMMYFUNCTION("""COMPUTED_VALUE"""),"NVR 32 CANALES")</f>
        <v>NVR 32 CANALES</v>
      </c>
      <c r="C1129" s="4" t="str">
        <f>IFERROR(__xludf.DUMMYFUNCTION("""COMPUTED_VALUE"""),"NVR 32Ch 12Mpx 2HDD H.265 IVS marca Dahua")</f>
        <v>NVR 32Ch 12Mpx 2HDD H.265 IVS marca Dahua</v>
      </c>
      <c r="D1129" s="4" t="str">
        <f>IFERROR(__xludf.DUMMYFUNCTION("""COMPUTED_VALUE"""),"DAHUA")</f>
        <v>DAHUA</v>
      </c>
      <c r="E1129" s="4" t="str">
        <f>IFERROR(__xludf.DUMMYFUNCTION("""COMPUTED_VALUE"""),"DHI-NVR5232-EI2")</f>
        <v>DHI-NVR5232-EI2</v>
      </c>
      <c r="F1129" s="4" t="str">
        <f>IFERROR(__xludf.DUMMYFUNCTION("""COMPUTED_VALUE"""),"CCTV &gt; GRABADORES NVR")</f>
        <v>CCTV &gt; GRABADORES NVR</v>
      </c>
      <c r="G1129" s="5"/>
      <c r="H1129" s="6">
        <f>IFERROR(__xludf.DUMMYFUNCTION("""COMPUTED_VALUE"""),1030.7)</f>
        <v>1030.7</v>
      </c>
      <c r="I1129" s="7">
        <f>IFERROR(__xludf.DUMMYFUNCTION("""COMPUTED_VALUE"""),21.0)</f>
        <v>21</v>
      </c>
      <c r="J1129" s="6">
        <f>IFERROR(__xludf.DUMMYFUNCTION("""COMPUTED_VALUE"""),1236.84)</f>
        <v>1236.84</v>
      </c>
      <c r="K1129" s="6">
        <f>IFERROR(__xludf.DUMMYFUNCTION("""COMPUTED_VALUE"""),1442.98)</f>
        <v>1442.98</v>
      </c>
      <c r="L1129" s="3"/>
      <c r="M1129" s="3"/>
    </row>
    <row r="1130" ht="48.0" customHeight="1">
      <c r="A1130" s="3" t="str">
        <f>IFERROR(__xludf.DUMMYFUNCTION("""COMPUTED_VALUE"""),"HCVNVR608H32XI")</f>
        <v>HCVNVR608H32XI</v>
      </c>
      <c r="B1130" s="4" t="str">
        <f>IFERROR(__xludf.DUMMYFUNCTION("""COMPUTED_VALUE"""),"NVR 32 CANALES")</f>
        <v>NVR 32 CANALES</v>
      </c>
      <c r="C1130" s="4" t="str">
        <f>IFERROR(__xludf.DUMMYFUNCTION("""COMPUTED_VALUE"""),"NVR 32ch 12Mpx 8HDD H.265 RAID iSCSI marca Dahua")</f>
        <v>NVR 32ch 12Mpx 8HDD H.265 RAID iSCSI marca Dahua</v>
      </c>
      <c r="D1130" s="4" t="str">
        <f>IFERROR(__xludf.DUMMYFUNCTION("""COMPUTED_VALUE"""),"DAHUA")</f>
        <v>DAHUA</v>
      </c>
      <c r="E1130" s="4" t="str">
        <f>IFERROR(__xludf.DUMMYFUNCTION("""COMPUTED_VALUE"""),"HCVNVR608H32XI")</f>
        <v>HCVNVR608H32XI</v>
      </c>
      <c r="F1130" s="4" t="str">
        <f>IFERROR(__xludf.DUMMYFUNCTION("""COMPUTED_VALUE"""),"CCTV &gt; GRABADORES NVR")</f>
        <v>CCTV &gt; GRABADORES NVR</v>
      </c>
      <c r="G1130" s="5"/>
      <c r="H1130" s="6">
        <f>IFERROR(__xludf.DUMMYFUNCTION("""COMPUTED_VALUE"""),3635.65)</f>
        <v>3635.65</v>
      </c>
      <c r="I1130" s="7">
        <f>IFERROR(__xludf.DUMMYFUNCTION("""COMPUTED_VALUE"""),21.0)</f>
        <v>21</v>
      </c>
      <c r="J1130" s="6">
        <f>IFERROR(__xludf.DUMMYFUNCTION("""COMPUTED_VALUE"""),4362.78)</f>
        <v>4362.78</v>
      </c>
      <c r="K1130" s="6">
        <f>IFERROR(__xludf.DUMMYFUNCTION("""COMPUTED_VALUE"""),5089.91)</f>
        <v>5089.91</v>
      </c>
      <c r="L1130" s="3"/>
      <c r="M1130" s="3"/>
    </row>
    <row r="1131" ht="48.0" customHeight="1">
      <c r="A1131" s="3" t="str">
        <f>IFERROR(__xludf.DUMMYFUNCTION("""COMPUTED_VALUE"""),"HCVNVR5864-EI")</f>
        <v>HCVNVR5864-EI</v>
      </c>
      <c r="B1131" s="4" t="str">
        <f>IFERROR(__xludf.DUMMYFUNCTION("""COMPUTED_VALUE"""),"NVR 64 CANALES")</f>
        <v>NVR 64 CANALES</v>
      </c>
      <c r="C1131" s="4" t="str">
        <f>IFERROR(__xludf.DUMMYFUNCTION("""COMPUTED_VALUE"""),"NVR 64Ch con I.A. 64 canales IP · Resolución en grabación: 16 Mp· H.265+ inteligente /H.265/Smart H.264+ inteligente /H.264/MJPEG· Hasta 16 canales de protección perimetral· Hasta 4 canales de reconocimiento facial· Procesa hasta 24 imágenes de rostros/se"&amp;"gundo· Hasta 20 bases de datos de rostros con 100.000 imágenes de caras en total")</f>
        <v>NVR 64Ch con I.A. 64 canales IP · Resolución en grabación: 16 Mp· H.265+ inteligente /H.265/Smart H.264+ inteligente /H.264/MJPEG· Hasta 16 canales de protección perimetral· Hasta 4 canales de reconocimiento facial· Procesa hasta 24 imágenes de rostros/segundo· Hasta 20 bases de datos de rostros con 100.000 imágenes de caras en total</v>
      </c>
      <c r="D1131" s="4" t="str">
        <f>IFERROR(__xludf.DUMMYFUNCTION("""COMPUTED_VALUE"""),"DAHUA")</f>
        <v>DAHUA</v>
      </c>
      <c r="E1131" s="4" t="str">
        <f>IFERROR(__xludf.DUMMYFUNCTION("""COMPUTED_VALUE"""),"HCVNVR5864-EI")</f>
        <v>HCVNVR5864-EI</v>
      </c>
      <c r="F1131" s="4" t="str">
        <f>IFERROR(__xludf.DUMMYFUNCTION("""COMPUTED_VALUE"""),"CCTV &gt; GRABADORES NVR")</f>
        <v>CCTV &gt; GRABADORES NVR</v>
      </c>
      <c r="G1131" s="5"/>
      <c r="H1131" s="6">
        <f>IFERROR(__xludf.DUMMYFUNCTION("""COMPUTED_VALUE"""),2236.76)</f>
        <v>2236.76</v>
      </c>
      <c r="I1131" s="7">
        <f>IFERROR(__xludf.DUMMYFUNCTION("""COMPUTED_VALUE"""),21.0)</f>
        <v>21</v>
      </c>
      <c r="J1131" s="6">
        <f>IFERROR(__xludf.DUMMYFUNCTION("""COMPUTED_VALUE"""),2684.11)</f>
        <v>2684.11</v>
      </c>
      <c r="K1131" s="6">
        <f>IFERROR(__xludf.DUMMYFUNCTION("""COMPUTED_VALUE"""),3131.46)</f>
        <v>3131.46</v>
      </c>
      <c r="L1131" s="3"/>
      <c r="M1131" s="3"/>
    </row>
    <row r="1132" ht="48.0" customHeight="1">
      <c r="A1132" s="3" t="str">
        <f>IFERROR(__xludf.DUMMYFUNCTION("""COMPUTED_VALUE"""),"HCNVR608H-64-XI")</f>
        <v>HCNVR608H-64-XI</v>
      </c>
      <c r="B1132" s="4" t="str">
        <f>IFERROR(__xludf.DUMMYFUNCTION("""COMPUTED_VALUE"""),"NVR 64 CANALES")</f>
        <v>NVR 64 CANALES</v>
      </c>
      <c r="C1132" s="4" t="str">
        <f>IFERROR(__xludf.DUMMYFUNCTION("""COMPUTED_VALUE"""),"NVR 64Ch WIZSENSE Resolución en grabación: 16 Mp · H.265+ inteligente /H.265/Smart H.264+ inteligente")</f>
        <v>NVR 64Ch WIZSENSE Resolución en grabación: 16 Mp · H.265+ inteligente /H.265/Smart H.264+ inteligente</v>
      </c>
      <c r="D1132" s="4" t="str">
        <f>IFERROR(__xludf.DUMMYFUNCTION("""COMPUTED_VALUE"""),"DAHUA")</f>
        <v>DAHUA</v>
      </c>
      <c r="E1132" s="4" t="str">
        <f>IFERROR(__xludf.DUMMYFUNCTION("""COMPUTED_VALUE"""),"HCNVR608H-64-XI")</f>
        <v>HCNVR608H-64-XI</v>
      </c>
      <c r="F1132" s="4" t="str">
        <f>IFERROR(__xludf.DUMMYFUNCTION("""COMPUTED_VALUE"""),"CCTV &gt; GRABADORES NVR")</f>
        <v>CCTV &gt; GRABADORES NVR</v>
      </c>
      <c r="G1132" s="5"/>
      <c r="H1132" s="6">
        <f>IFERROR(__xludf.DUMMYFUNCTION("""COMPUTED_VALUE"""),4493.62)</f>
        <v>4493.62</v>
      </c>
      <c r="I1132" s="7">
        <f>IFERROR(__xludf.DUMMYFUNCTION("""COMPUTED_VALUE"""),21.0)</f>
        <v>21</v>
      </c>
      <c r="J1132" s="6">
        <f>IFERROR(__xludf.DUMMYFUNCTION("""COMPUTED_VALUE"""),5392.34)</f>
        <v>5392.34</v>
      </c>
      <c r="K1132" s="6">
        <f>IFERROR(__xludf.DUMMYFUNCTION("""COMPUTED_VALUE"""),6291.07)</f>
        <v>6291.07</v>
      </c>
      <c r="L1132" s="3"/>
      <c r="M1132" s="3"/>
    </row>
    <row r="1133" ht="48.0" customHeight="1">
      <c r="A1133" s="3" t="str">
        <f>IFERROR(__xludf.DUMMYFUNCTION("""COMPUTED_VALUE"""),"DH-IPC-H3A")</f>
        <v>DH-IPC-H3A</v>
      </c>
      <c r="B1133" s="4" t="str">
        <f>IFERROR(__xludf.DUMMYFUNCTION("""COMPUTED_VALUE"""),"CAMARA DOMO WIFI 3MP")</f>
        <v>CAMARA DOMO WIFI 3MP</v>
      </c>
      <c r="C1133" s="4" t="str">
        <f>IFERROR(__xludf.DUMMYFUNCTION("""COMPUTED_VALUE"""),"Mini Domo IP PT 3MP Wi-Fi 6 con audio bidireccional IR 10 M lente 3.6mm. Soporta tarjeta SD HERO A1")</f>
        <v>Mini Domo IP PT 3MP Wi-Fi 6 con audio bidireccional IR 10 M lente 3.6mm. Soporta tarjeta SD HERO A1</v>
      </c>
      <c r="D1133" s="4" t="str">
        <f>IFERROR(__xludf.DUMMYFUNCTION("""COMPUTED_VALUE"""),"DAHUA")</f>
        <v>DAHUA</v>
      </c>
      <c r="E1133" s="4" t="str">
        <f>IFERROR(__xludf.DUMMYFUNCTION("""COMPUTED_VALUE"""),"DH-IPC-H3A")</f>
        <v>DH-IPC-H3A</v>
      </c>
      <c r="F1133" s="4" t="str">
        <f>IFERROR(__xludf.DUMMYFUNCTION("""COMPUTED_VALUE"""),"CCTV &gt; CAMARAS IP WIFI")</f>
        <v>CCTV &gt; CAMARAS IP WIFI</v>
      </c>
      <c r="G1133" s="5"/>
      <c r="H1133" s="6">
        <f>IFERROR(__xludf.DUMMYFUNCTION("""COMPUTED_VALUE"""),31.48)</f>
        <v>31.48</v>
      </c>
      <c r="I1133" s="7">
        <f>IFERROR(__xludf.DUMMYFUNCTION("""COMPUTED_VALUE"""),21.0)</f>
        <v>21</v>
      </c>
      <c r="J1133" s="6">
        <f>IFERROR(__xludf.DUMMYFUNCTION("""COMPUTED_VALUE"""),37.78)</f>
        <v>37.78</v>
      </c>
      <c r="K1133" s="6">
        <f>IFERROR(__xludf.DUMMYFUNCTION("""COMPUTED_VALUE"""),44.07)</f>
        <v>44.07</v>
      </c>
      <c r="L1133" s="3"/>
      <c r="M1133" s="3"/>
    </row>
    <row r="1134" ht="48.0" customHeight="1">
      <c r="A1134" s="3" t="str">
        <f>IFERROR(__xludf.DUMMYFUNCTION("""COMPUTED_VALUE"""),"DH-IPC-H5BP")</f>
        <v>DH-IPC-H5BP</v>
      </c>
      <c r="B1134" s="4" t="str">
        <f>IFERROR(__xludf.DUMMYFUNCTION("""COMPUTED_VALUE"""),"CAMARA DOMO WIFI 5MP")</f>
        <v>CAMARA DOMO WIFI 5MP</v>
      </c>
      <c r="C1134" s="4" t="str">
        <f>IFERROR(__xludf.DUMMYFUNCTION("""COMPUTED_VALUE"""),"Mini Domo IP PT 5MP Wi-Fi 6 con audio bidireccional IR 10 M lente 3.6mm. Soporta tarjeta SD HERO B1")</f>
        <v>Mini Domo IP PT 5MP Wi-Fi 6 con audio bidireccional IR 10 M lente 3.6mm. Soporta tarjeta SD HERO B1</v>
      </c>
      <c r="D1134" s="4" t="str">
        <f>IFERROR(__xludf.DUMMYFUNCTION("""COMPUTED_VALUE"""),"DAHUA")</f>
        <v>DAHUA</v>
      </c>
      <c r="E1134" s="4" t="str">
        <f>IFERROR(__xludf.DUMMYFUNCTION("""COMPUTED_VALUE"""),"DH-IPC-H5BP")</f>
        <v>DH-IPC-H5BP</v>
      </c>
      <c r="F1134" s="4" t="str">
        <f>IFERROR(__xludf.DUMMYFUNCTION("""COMPUTED_VALUE"""),"CCTV &gt; CAMARAS IP WIFI")</f>
        <v>CCTV &gt; CAMARAS IP WIFI</v>
      </c>
      <c r="G1134" s="5"/>
      <c r="H1134" s="6">
        <f>IFERROR(__xludf.DUMMYFUNCTION("""COMPUTED_VALUE"""),48.27)</f>
        <v>48.27</v>
      </c>
      <c r="I1134" s="7">
        <f>IFERROR(__xludf.DUMMYFUNCTION("""COMPUTED_VALUE"""),21.0)</f>
        <v>21</v>
      </c>
      <c r="J1134" s="6">
        <f>IFERROR(__xludf.DUMMYFUNCTION("""COMPUTED_VALUE"""),57.92)</f>
        <v>57.92</v>
      </c>
      <c r="K1134" s="6">
        <f>IFERROR(__xludf.DUMMYFUNCTION("""COMPUTED_VALUE"""),67.58)</f>
        <v>67.58</v>
      </c>
      <c r="L1134" s="3"/>
      <c r="M1134" s="3"/>
    </row>
    <row r="1135" ht="48.0" customHeight="1">
      <c r="A1135" s="3" t="str">
        <f>IFERROR(__xludf.DUMMYFUNCTION("""COMPUTED_VALUE"""),"DHIPCHDW1230DTPSTW")</f>
        <v>DHIPCHDW1230DTPSTW</v>
      </c>
      <c r="B1135" s="4" t="str">
        <f>IFERROR(__xludf.DUMMYFUNCTION("""COMPUTED_VALUE"""),"CAMARA TURRET WIFI 2MP")</f>
        <v>CAMARA TURRET WIFI 2MP</v>
      </c>
      <c r="C1135" s="4" t="str">
        <f>IFERROR(__xludf.DUMMYFUNCTION("""COMPUTED_VALUE"""),"Domo Turret IP 2 MP WiFi (1920 × 1080) a 25/30 fps. H.265, IR 30 m. Soporta tarjeta SD, tarjeta SD de hasta 256 G. Micrófono y altavoz integrados. Protección IP67.")</f>
        <v>Domo Turret IP 2 MP WiFi (1920 × 1080) a 25/30 fps. H.265, IR 30 m. Soporta tarjeta SD, tarjeta SD de hasta 256 G. Micrófono y altavoz integrados. Protección IP67.</v>
      </c>
      <c r="D1135" s="4" t="str">
        <f>IFERROR(__xludf.DUMMYFUNCTION("""COMPUTED_VALUE"""),"DAHUA")</f>
        <v>DAHUA</v>
      </c>
      <c r="E1135" s="4" t="str">
        <f>IFERROR(__xludf.DUMMYFUNCTION("""COMPUTED_VALUE"""),"DHIPCHDW1230DTPSTW")</f>
        <v>DHIPCHDW1230DTPSTW</v>
      </c>
      <c r="F1135" s="4" t="str">
        <f>IFERROR(__xludf.DUMMYFUNCTION("""COMPUTED_VALUE"""),"CCTV &gt; CAMARAS IP WIFI")</f>
        <v>CCTV &gt; CAMARAS IP WIFI</v>
      </c>
      <c r="G1135" s="5"/>
      <c r="H1135" s="6">
        <f>IFERROR(__xludf.DUMMYFUNCTION("""COMPUTED_VALUE"""),52.8)</f>
        <v>52.8</v>
      </c>
      <c r="I1135" s="7">
        <f>IFERROR(__xludf.DUMMYFUNCTION("""COMPUTED_VALUE"""),21.0)</f>
        <v>21</v>
      </c>
      <c r="J1135" s="6">
        <f>IFERROR(__xludf.DUMMYFUNCTION("""COMPUTED_VALUE"""),63.36)</f>
        <v>63.36</v>
      </c>
      <c r="K1135" s="6">
        <f>IFERROR(__xludf.DUMMYFUNCTION("""COMPUTED_VALUE"""),73.92)</f>
        <v>73.92</v>
      </c>
      <c r="L1135" s="3"/>
      <c r="M1135" s="3"/>
    </row>
    <row r="1136" ht="48.0" customHeight="1">
      <c r="A1136" s="3" t="str">
        <f>IFERROR(__xludf.DUMMYFUNCTION("""COMPUTED_VALUE"""),"IPC-T2AP-LED")</f>
        <v>IPC-T2AP-LED</v>
      </c>
      <c r="B1136" s="4" t="str">
        <f>IFERROR(__xludf.DUMMYFUNCTION("""COMPUTED_VALUE"""),"CAMARA TURRET WIFI 2MP")</f>
        <v>CAMARA TURRET WIFI 2MP</v>
      </c>
      <c r="C1136" s="4" t="str">
        <f>IFERROR(__xludf.DUMMYFUNCTION("""COMPUTED_VALUE"""),"Domo Turret IP 2MP Wi-Fi Turret Network Built-in Mic AI Human Detection IP67 Protection. Micro SD Card")</f>
        <v>Domo Turret IP 2MP Wi-Fi Turret Network Built-in Mic AI Human Detection IP67 Protection. Micro SD Card</v>
      </c>
      <c r="D1136" s="4" t="str">
        <f>IFERROR(__xludf.DUMMYFUNCTION("""COMPUTED_VALUE"""),"DAHUA")</f>
        <v>DAHUA</v>
      </c>
      <c r="E1136" s="4" t="str">
        <f>IFERROR(__xludf.DUMMYFUNCTION("""COMPUTED_VALUE"""),"IPC-T2AP-LED")</f>
        <v>IPC-T2AP-LED</v>
      </c>
      <c r="F1136" s="4" t="str">
        <f>IFERROR(__xludf.DUMMYFUNCTION("""COMPUTED_VALUE"""),"CCTV &gt; CAMARAS IP WIFI")</f>
        <v>CCTV &gt; CAMARAS IP WIFI</v>
      </c>
      <c r="G1136" s="5"/>
      <c r="H1136" s="6">
        <f>IFERROR(__xludf.DUMMYFUNCTION("""COMPUTED_VALUE"""),62.95)</f>
        <v>62.95</v>
      </c>
      <c r="I1136" s="7">
        <f>IFERROR(__xludf.DUMMYFUNCTION("""COMPUTED_VALUE"""),21.0)</f>
        <v>21</v>
      </c>
      <c r="J1136" s="6">
        <f>IFERROR(__xludf.DUMMYFUNCTION("""COMPUTED_VALUE"""),75.54)</f>
        <v>75.54</v>
      </c>
      <c r="K1136" s="6">
        <f>IFERROR(__xludf.DUMMYFUNCTION("""COMPUTED_VALUE"""),88.13)</f>
        <v>88.13</v>
      </c>
      <c r="L1136" s="3"/>
      <c r="M1136" s="3"/>
    </row>
    <row r="1137" ht="48.0" customHeight="1">
      <c r="A1137" s="3" t="str">
        <f>IFERROR(__xludf.DUMMYFUNCTION("""COMPUTED_VALUE"""),"IPC-T2AP-PV-0280B")</f>
        <v>IPC-T2AP-PV-0280B</v>
      </c>
      <c r="B1137" s="4" t="str">
        <f>IFERROR(__xludf.DUMMYFUNCTION("""COMPUTED_VALUE"""),"CAMARA TURRET WIFI 2MP")</f>
        <v>CAMARA TURRET WIFI 2MP</v>
      </c>
      <c r="C1137" s="4" t="str">
        <f>IFERROR(__xludf.DUMMYFUNCTION("""COMPUTED_VALUE"""),"Domo Turret IP 2MP Wi-Fi Turret Network Camera 2MP Clear images with sharp details Sound and Light Alarm Provides instant alarms to deter intruders H.265 Advanced H.265 compression technology AI Human Detection Focuses on what matters and reduces false al"&amp;"arms Two-way Talk Communication anytime, anywhere DMSS App Easy to use Smart Dual Light Captures color details for post-event review IP67 Protection Withstands harsh environments Micro SD Card")</f>
        <v>Domo Turret IP 2MP Wi-Fi Turret Network Camera 2MP Clear images with sharp details Sound and Light Alarm Provides instant alarms to deter intruders H.265 Advanced H.265 compression technology AI Human Detection Focuses on what matters and reduces false alarms Two-way Talk Communication anytime, anywhere DMSS App Easy to use Smart Dual Light Captures color details for post-event review IP67 Protection Withstands harsh environments Micro SD Card</v>
      </c>
      <c r="D1137" s="4" t="str">
        <f>IFERROR(__xludf.DUMMYFUNCTION("""COMPUTED_VALUE"""),"DAHUA")</f>
        <v>DAHUA</v>
      </c>
      <c r="E1137" s="4" t="str">
        <f>IFERROR(__xludf.DUMMYFUNCTION("""COMPUTED_VALUE"""),"IPC-T2AP-PV-0280B")</f>
        <v>IPC-T2AP-PV-0280B</v>
      </c>
      <c r="F1137" s="4" t="str">
        <f>IFERROR(__xludf.DUMMYFUNCTION("""COMPUTED_VALUE"""),"CCTV &gt; CAMARAS IP WIFI")</f>
        <v>CCTV &gt; CAMARAS IP WIFI</v>
      </c>
      <c r="G1137" s="5"/>
      <c r="H1137" s="6">
        <f>IFERROR(__xludf.DUMMYFUNCTION("""COMPUTED_VALUE"""),69.26)</f>
        <v>69.26</v>
      </c>
      <c r="I1137" s="7">
        <f>IFERROR(__xludf.DUMMYFUNCTION("""COMPUTED_VALUE"""),21.0)</f>
        <v>21</v>
      </c>
      <c r="J1137" s="6">
        <f>IFERROR(__xludf.DUMMYFUNCTION("""COMPUTED_VALUE"""),83.11)</f>
        <v>83.11</v>
      </c>
      <c r="K1137" s="6">
        <f>IFERROR(__xludf.DUMMYFUNCTION("""COMPUTED_VALUE"""),96.96)</f>
        <v>96.96</v>
      </c>
      <c r="L1137" s="3"/>
      <c r="M1137" s="3"/>
    </row>
    <row r="1138" ht="48.0" customHeight="1">
      <c r="A1138" s="3" t="str">
        <f>IFERROR(__xludf.DUMMYFUNCTION("""COMPUTED_VALUE"""),"IPC-T4AN-LED")</f>
        <v>IPC-T4AN-LED</v>
      </c>
      <c r="B1138" s="4" t="str">
        <f>IFERROR(__xludf.DUMMYFUNCTION("""COMPUTED_VALUE"""),"CAMARA TURRET WIFI 4MP")</f>
        <v>CAMARA TURRET WIFI 4MP</v>
      </c>
      <c r="C1138" s="4" t="str">
        <f>IFERROR(__xludf.DUMMYFUNCTION("""COMPUTED_VALUE"""),"Domo Turret IP 4MP Wi-Fi Turret Network Camera Microfono incorporado Full color")</f>
        <v>Domo Turret IP 4MP Wi-Fi Turret Network Camera Microfono incorporado Full color</v>
      </c>
      <c r="D1138" s="4" t="str">
        <f>IFERROR(__xludf.DUMMYFUNCTION("""COMPUTED_VALUE"""),"DAHUA")</f>
        <v>DAHUA</v>
      </c>
      <c r="E1138" s="4" t="str">
        <f>IFERROR(__xludf.DUMMYFUNCTION("""COMPUTED_VALUE"""),"IPC-T4AN-LED")</f>
        <v>IPC-T4AN-LED</v>
      </c>
      <c r="F1138" s="4" t="str">
        <f>IFERROR(__xludf.DUMMYFUNCTION("""COMPUTED_VALUE"""),"CCTV &gt; CAMARAS IP WIFI")</f>
        <v>CCTV &gt; CAMARAS IP WIFI</v>
      </c>
      <c r="G1138" s="5"/>
      <c r="H1138" s="6">
        <f>IFERROR(__xludf.DUMMYFUNCTION("""COMPUTED_VALUE"""),88.37)</f>
        <v>88.37</v>
      </c>
      <c r="I1138" s="7">
        <f>IFERROR(__xludf.DUMMYFUNCTION("""COMPUTED_VALUE"""),21.0)</f>
        <v>21</v>
      </c>
      <c r="J1138" s="6">
        <f>IFERROR(__xludf.DUMMYFUNCTION("""COMPUTED_VALUE"""),106.04)</f>
        <v>106.04</v>
      </c>
      <c r="K1138" s="6">
        <f>IFERROR(__xludf.DUMMYFUNCTION("""COMPUTED_VALUE"""),123.72)</f>
        <v>123.72</v>
      </c>
      <c r="L1138" s="3"/>
      <c r="M1138" s="3"/>
    </row>
    <row r="1139" ht="48.0" customHeight="1">
      <c r="A1139" s="3" t="str">
        <f>IFERROR(__xludf.DUMMYFUNCTION("""COMPUTED_VALUE"""),"IPC-T4AP-PV")</f>
        <v>IPC-T4AP-PV</v>
      </c>
      <c r="B1139" s="4" t="str">
        <f>IFERROR(__xludf.DUMMYFUNCTION("""COMPUTED_VALUE"""),"CAMARA DOMO WIFI 4MP")</f>
        <v>CAMARA DOMO WIFI 4MP</v>
      </c>
      <c r="C1139" s="4" t="str">
        <f>IFERROR(__xludf.DUMMYFUNCTION("""COMPUTED_VALUE"""),"Domo Wi-Fi de 4Mp con IR 30 m, CMOS 1/3"", lente fijo de 3,6 mm, IP67 y audio bidireccional")</f>
        <v>Domo Wi-Fi de 4Mp con IR 30 m, CMOS 1/3", lente fijo de 3,6 mm, IP67 y audio bidireccional</v>
      </c>
      <c r="D1139" s="4" t="str">
        <f>IFERROR(__xludf.DUMMYFUNCTION("""COMPUTED_VALUE"""),"DAHUA")</f>
        <v>DAHUA</v>
      </c>
      <c r="E1139" s="4" t="str">
        <f>IFERROR(__xludf.DUMMYFUNCTION("""COMPUTED_VALUE"""),"IPC-T4AP-PV")</f>
        <v>IPC-T4AP-PV</v>
      </c>
      <c r="F1139" s="4" t="str">
        <f>IFERROR(__xludf.DUMMYFUNCTION("""COMPUTED_VALUE"""),"CCTV &gt; CAMARAS IP WIFI")</f>
        <v>CCTV &gt; CAMARAS IP WIFI</v>
      </c>
      <c r="G1139" s="5"/>
      <c r="H1139" s="6">
        <f>IFERROR(__xludf.DUMMYFUNCTION("""COMPUTED_VALUE"""),83.84)</f>
        <v>83.84</v>
      </c>
      <c r="I1139" s="7">
        <f>IFERROR(__xludf.DUMMYFUNCTION("""COMPUTED_VALUE"""),21.0)</f>
        <v>21</v>
      </c>
      <c r="J1139" s="6">
        <f>IFERROR(__xludf.DUMMYFUNCTION("""COMPUTED_VALUE"""),100.61)</f>
        <v>100.61</v>
      </c>
      <c r="K1139" s="6">
        <f>IFERROR(__xludf.DUMMYFUNCTION("""COMPUTED_VALUE"""),117.38)</f>
        <v>117.38</v>
      </c>
      <c r="L1139" s="3"/>
      <c r="M1139" s="3"/>
    </row>
    <row r="1140" ht="48.0" customHeight="1">
      <c r="A1140" s="3" t="str">
        <f>IFERROR(__xludf.DUMMYFUNCTION("""COMPUTED_VALUE"""),"DH-P3B-PV")</f>
        <v>DH-P3B-PV</v>
      </c>
      <c r="B1140" s="4" t="str">
        <f>IFERROR(__xludf.DUMMYFUNCTION("""COMPUTED_VALUE"""),"CAMARA WIFI")</f>
        <v>CAMARA WIFI</v>
      </c>
      <c r="C1140" s="4" t="str">
        <f>IFERROR(__xludf.DUMMYFUNCTION("""COMPUTED_VALUE"""),"Cámara IP PT WiFi de 3 Megapíxeles con audio bidireccional (micrófono y altavoz), sirena de 110 dB, WiFi 6, detección de personas y vehículos, IP65 y ranura MicroSD - PICOO B1")</f>
        <v>Cámara IP PT WiFi de 3 Megapíxeles con audio bidireccional (micrófono y altavoz), sirena de 110 dB, WiFi 6, detección de personas y vehículos, IP65 y ranura MicroSD - PICOO B1</v>
      </c>
      <c r="D1140" s="4" t="str">
        <f>IFERROR(__xludf.DUMMYFUNCTION("""COMPUTED_VALUE"""),"DAHUA")</f>
        <v>DAHUA</v>
      </c>
      <c r="E1140" s="4" t="str">
        <f>IFERROR(__xludf.DUMMYFUNCTION("""COMPUTED_VALUE"""),"DH-P3B-PV")</f>
        <v>DH-P3B-PV</v>
      </c>
      <c r="F1140" s="4" t="str">
        <f>IFERROR(__xludf.DUMMYFUNCTION("""COMPUTED_VALUE"""),"CCTV &gt; CAMARAS IP WIFI")</f>
        <v>CCTV &gt; CAMARAS IP WIFI</v>
      </c>
      <c r="G1140" s="5"/>
      <c r="H1140" s="6">
        <f>IFERROR(__xludf.DUMMYFUNCTION("""COMPUTED_VALUE"""),54.56)</f>
        <v>54.56</v>
      </c>
      <c r="I1140" s="7">
        <f>IFERROR(__xludf.DUMMYFUNCTION("""COMPUTED_VALUE"""),21.0)</f>
        <v>21</v>
      </c>
      <c r="J1140" s="6">
        <f>IFERROR(__xludf.DUMMYFUNCTION("""COMPUTED_VALUE"""),65.47)</f>
        <v>65.47</v>
      </c>
      <c r="K1140" s="6">
        <f>IFERROR(__xludf.DUMMYFUNCTION("""COMPUTED_VALUE"""),76.38)</f>
        <v>76.38</v>
      </c>
      <c r="L1140" s="3"/>
      <c r="M1140" s="3"/>
    </row>
    <row r="1141" ht="48.0" customHeight="1">
      <c r="A1141" s="3" t="str">
        <f>IFERROR(__xludf.DUMMYFUNCTION("""COMPUTED_VALUE"""),"IPC-T5A-IL-0280B")</f>
        <v>IPC-T5A-IL-0280B</v>
      </c>
      <c r="B1141" s="4" t="str">
        <f>IFERROR(__xludf.DUMMYFUNCTION("""COMPUTED_VALUE"""),"CAMARA TURRET WIFI EXTERIOR 5MP")</f>
        <v>CAMARA TURRET WIFI EXTERIOR 5MP</v>
      </c>
      <c r="C1141" s="4" t="str">
        <f>IFERROR(__xludf.DUMMYFUNCTION("""COMPUTED_VALUE"""),"Domo Turret IP 5MP WiFi 6 Tecnología Smart Dual Light (IR y Luz Blanca), detección IA de humanos y vehículos, y micrófono integrado. Protección IP67 para exterior, ranura MicroSD (256GB) y emparejamiento por Bluetooth.")</f>
        <v>Domo Turret IP 5MP WiFi 6 Tecnología Smart Dual Light (IR y Luz Blanca), detección IA de humanos y vehículos, y micrófono integrado. Protección IP67 para exterior, ranura MicroSD (256GB) y emparejamiento por Bluetooth.</v>
      </c>
      <c r="D1141" s="4" t="str">
        <f>IFERROR(__xludf.DUMMYFUNCTION("""COMPUTED_VALUE"""),"DAHUA")</f>
        <v>DAHUA</v>
      </c>
      <c r="E1141" s="4" t="str">
        <f>IFERROR(__xludf.DUMMYFUNCTION("""COMPUTED_VALUE"""),"IPC-T5A-IL-0280B")</f>
        <v>IPC-T5A-IL-0280B</v>
      </c>
      <c r="F1141" s="4" t="str">
        <f>IFERROR(__xludf.DUMMYFUNCTION("""COMPUTED_VALUE"""),"CCTV &gt; CAMARAS IP WIFI")</f>
        <v>CCTV &gt; CAMARAS IP WIFI</v>
      </c>
      <c r="G1141" s="5"/>
      <c r="H1141" s="6">
        <f>IFERROR(__xludf.DUMMYFUNCTION("""COMPUTED_VALUE"""),60.85)</f>
        <v>60.85</v>
      </c>
      <c r="I1141" s="7">
        <f>IFERROR(__xludf.DUMMYFUNCTION("""COMPUTED_VALUE"""),21.0)</f>
        <v>21</v>
      </c>
      <c r="J1141" s="6">
        <f>IFERROR(__xludf.DUMMYFUNCTION("""COMPUTED_VALUE"""),73.02)</f>
        <v>73.02</v>
      </c>
      <c r="K1141" s="6">
        <f>IFERROR(__xludf.DUMMYFUNCTION("""COMPUTED_VALUE"""),85.19)</f>
        <v>85.19</v>
      </c>
      <c r="L1141" s="3"/>
      <c r="M1141" s="3"/>
    </row>
    <row r="1142" ht="48.0" customHeight="1">
      <c r="A1142" s="3" t="str">
        <f>IFERROR(__xludf.DUMMYFUNCTION("""COMPUTED_VALUE"""),"DH-IPC-P3DP-3F-PV")</f>
        <v>DH-IPC-P3DP-3F-PV</v>
      </c>
      <c r="B1142" s="4" t="str">
        <f>IFERROR(__xludf.DUMMYFUNCTION("""COMPUTED_VALUE"""),"CAMARA TURRET WIFI 5MP")</f>
        <v>CAMARA TURRET WIFI 5MP</v>
      </c>
      <c r="C1142" s="4" t="str">
        <f>IFERROR(__xludf.DUMMYFUNCTION("""COMPUTED_VALUE"""),"Domo Turret IP 5MP Cámara WIFI Dual con resolución 3 + 3MP panorámica Pan &amp; Tilt, lente fijo 2.8mm, visión con por IR y LUZ blanca, audio bidireccional, compresión H.265, detección con IA, protección IP67, ideal para detección perimetral. PICCO DUAL D1")</f>
        <v>Domo Turret IP 5MP Cámara WIFI Dual con resolución 3 + 3MP panorámica Pan &amp; Tilt, lente fijo 2.8mm, visión con por IR y LUZ blanca, audio bidireccional, compresión H.265, detección con IA, protección IP67, ideal para detección perimetral. PICCO DUAL D1</v>
      </c>
      <c r="D1142" s="4" t="str">
        <f>IFERROR(__xludf.DUMMYFUNCTION("""COMPUTED_VALUE"""),"DAHUA")</f>
        <v>DAHUA</v>
      </c>
      <c r="E1142" s="4" t="str">
        <f>IFERROR(__xludf.DUMMYFUNCTION("""COMPUTED_VALUE"""),"DH-IPC-P3DP-3F-PV")</f>
        <v>DH-IPC-P3DP-3F-PV</v>
      </c>
      <c r="F1142" s="4" t="str">
        <f>IFERROR(__xludf.DUMMYFUNCTION("""COMPUTED_VALUE"""),"CCTV &gt; CAMARAS IP WIFI")</f>
        <v>CCTV &gt; CAMARAS IP WIFI</v>
      </c>
      <c r="G1142" s="5"/>
      <c r="H1142" s="6">
        <f>IFERROR(__xludf.DUMMYFUNCTION("""COMPUTED_VALUE"""),83.94)</f>
        <v>83.94</v>
      </c>
      <c r="I1142" s="7">
        <f>IFERROR(__xludf.DUMMYFUNCTION("""COMPUTED_VALUE"""),21.0)</f>
        <v>21</v>
      </c>
      <c r="J1142" s="6">
        <f>IFERROR(__xludf.DUMMYFUNCTION("""COMPUTED_VALUE"""),100.73)</f>
        <v>100.73</v>
      </c>
      <c r="K1142" s="6">
        <f>IFERROR(__xludf.DUMMYFUNCTION("""COMPUTED_VALUE"""),117.52)</f>
        <v>117.52</v>
      </c>
      <c r="L1142" s="3"/>
      <c r="M1142" s="3"/>
    </row>
    <row r="1143" ht="48.0" customHeight="1">
      <c r="A1143" s="3" t="str">
        <f>IFERROR(__xludf.DUMMYFUNCTION("""COMPUTED_VALUE"""),"DH-IPC-HFW1539DTK1P-SAW-IL")</f>
        <v>DH-IPC-HFW1539DTK1P-SAW-IL</v>
      </c>
      <c r="B1143" s="4" t="str">
        <f>IFERROR(__xludf.DUMMYFUNCTION("""COMPUTED_VALUE"""),"CAMARA WIFI 5MP")</f>
        <v>CAMARA WIFI 5MP</v>
      </c>
      <c r="C1143" s="4" t="str">
        <f>IFERROR(__xludf.DUMMYFUNCTION("""COMPUTED_VALUE"""),"Cámara WiFi de 5Mp con IR 30 m, CMOS 1/2.7"", lente fijo de 2,8 mm, IP67 y micrófono incorporado")</f>
        <v>Cámara WiFi de 5Mp con IR 30 m, CMOS 1/2.7", lente fijo de 2,8 mm, IP67 y micrófono incorporado</v>
      </c>
      <c r="D1143" s="4" t="str">
        <f>IFERROR(__xludf.DUMMYFUNCTION("""COMPUTED_VALUE"""),"DAHUA")</f>
        <v>DAHUA</v>
      </c>
      <c r="E1143" s="4" t="str">
        <f>IFERROR(__xludf.DUMMYFUNCTION("""COMPUTED_VALUE"""),"DH-IPC-HFW1539DTK1P-SAW-IL")</f>
        <v>DH-IPC-HFW1539DTK1P-SAW-IL</v>
      </c>
      <c r="F1143" s="4" t="str">
        <f>IFERROR(__xludf.DUMMYFUNCTION("""COMPUTED_VALUE"""),"CCTV &gt; CAMARAS IP WIFI")</f>
        <v>CCTV &gt; CAMARAS IP WIFI</v>
      </c>
      <c r="G1143" s="5"/>
      <c r="H1143" s="6">
        <f>IFERROR(__xludf.DUMMYFUNCTION("""COMPUTED_VALUE"""),56.66)</f>
        <v>56.66</v>
      </c>
      <c r="I1143" s="7">
        <f>IFERROR(__xludf.DUMMYFUNCTION("""COMPUTED_VALUE"""),21.0)</f>
        <v>21</v>
      </c>
      <c r="J1143" s="6">
        <f>IFERROR(__xludf.DUMMYFUNCTION("""COMPUTED_VALUE"""),67.99)</f>
        <v>67.99</v>
      </c>
      <c r="K1143" s="6">
        <f>IFERROR(__xludf.DUMMYFUNCTION("""COMPUTED_VALUE"""),79.32)</f>
        <v>79.32</v>
      </c>
      <c r="L1143" s="3"/>
      <c r="M1143" s="3"/>
    </row>
    <row r="1144" ht="48.0" customHeight="1">
      <c r="A1144" s="3" t="str">
        <f>IFERROR(__xludf.DUMMYFUNCTION("""COMPUTED_VALUE"""),"DHIPCHFW1230TC1P-SA")</f>
        <v>DHIPCHFW1230TC1P-SA</v>
      </c>
      <c r="B1144" s="4" t="str">
        <f>IFERROR(__xludf.DUMMYFUNCTION("""COMPUTED_VALUE"""),"CAMARA BULLET 2MP")</f>
        <v>CAMARA BULLET 2MP</v>
      </c>
      <c r="C1144" s="4" t="str">
        <f>IFERROR(__xludf.DUMMYFUNCTION("""COMPUTED_VALUE"""),"Cámara Bullet de 2Mp Lente 2,8 mm, IR 30 mts, SMART DUAL LIGHT (IR+Luz Banca), Detección de Humano, SD Card 256G, IP 67, Micrófono, Gabinete Metal/Plástico")</f>
        <v>Cámara Bullet de 2Mp Lente 2,8 mm, IR 30 mts, SMART DUAL LIGHT (IR+Luz Banca), Detección de Humano, SD Card 256G, IP 67, Micrófono, Gabinete Metal/Plástico</v>
      </c>
      <c r="D1144" s="4" t="str">
        <f>IFERROR(__xludf.DUMMYFUNCTION("""COMPUTED_VALUE"""),"DAHUA")</f>
        <v>DAHUA</v>
      </c>
      <c r="E1144" s="4" t="str">
        <f>IFERROR(__xludf.DUMMYFUNCTION("""COMPUTED_VALUE"""),"DHIPCHFW1230TC1P-SA")</f>
        <v>DHIPCHFW1230TC1P-SA</v>
      </c>
      <c r="F1144" s="4" t="str">
        <f>IFERROR(__xludf.DUMMYFUNCTION("""COMPUTED_VALUE"""),"CCTV &gt; CAMARAS IP")</f>
        <v>CCTV &gt; CAMARAS IP</v>
      </c>
      <c r="G1144" s="5"/>
      <c r="H1144" s="6">
        <f>IFERROR(__xludf.DUMMYFUNCTION("""COMPUTED_VALUE"""),53.14)</f>
        <v>53.14</v>
      </c>
      <c r="I1144" s="7">
        <f>IFERROR(__xludf.DUMMYFUNCTION("""COMPUTED_VALUE"""),21.0)</f>
        <v>21</v>
      </c>
      <c r="J1144" s="6">
        <f>IFERROR(__xludf.DUMMYFUNCTION("""COMPUTED_VALUE"""),63.77)</f>
        <v>63.77</v>
      </c>
      <c r="K1144" s="6">
        <f>IFERROR(__xludf.DUMMYFUNCTION("""COMPUTED_VALUE"""),74.4)</f>
        <v>74.4</v>
      </c>
      <c r="L1144" s="3"/>
      <c r="M1144" s="3"/>
    </row>
    <row r="1145" ht="48.0" customHeight="1">
      <c r="A1145" s="3" t="str">
        <f>IFERROR(__xludf.DUMMYFUNCTION("""COMPUTED_VALUE"""),"DHHACIPC1MFZ")</f>
        <v>DHHACIPC1MFZ</v>
      </c>
      <c r="B1145" s="4" t="str">
        <f>IFERROR(__xludf.DUMMYFUNCTION("""COMPUTED_VALUE"""),"CAMARA BULLET 1.3MP")</f>
        <v>CAMARA BULLET 1.3MP</v>
      </c>
      <c r="C1145" s="4" t="str">
        <f>IFERROR(__xludf.DUMMYFUNCTION("""COMPUTED_VALUE"""),"Cámara Smart Pixel IP Bullet 1.3 Mpx IR 60m Zoom 4x marca Cygnus")</f>
        <v>Cámara Smart Pixel IP Bullet 1.3 Mpx IR 60m Zoom 4x marca Cygnus</v>
      </c>
      <c r="D1145" s="4" t="str">
        <f>IFERROR(__xludf.DUMMYFUNCTION("""COMPUTED_VALUE"""),"DAHUA")</f>
        <v>DAHUA</v>
      </c>
      <c r="E1145" s="4" t="str">
        <f>IFERROR(__xludf.DUMMYFUNCTION("""COMPUTED_VALUE"""),"DHHACIPC1MFZ")</f>
        <v>DHHACIPC1MFZ</v>
      </c>
      <c r="F1145" s="4" t="str">
        <f>IFERROR(__xludf.DUMMYFUNCTION("""COMPUTED_VALUE"""),"CCTV &gt; CAMARAS IP")</f>
        <v>CCTV &gt; CAMARAS IP</v>
      </c>
      <c r="G1145" s="5"/>
      <c r="H1145" s="6">
        <f>IFERROR(__xludf.DUMMYFUNCTION("""COMPUTED_VALUE"""),38.5)</f>
        <v>38.5</v>
      </c>
      <c r="I1145" s="7">
        <f>IFERROR(__xludf.DUMMYFUNCTION("""COMPUTED_VALUE"""),21.0)</f>
        <v>21</v>
      </c>
      <c r="J1145" s="6">
        <f>IFERROR(__xludf.DUMMYFUNCTION("""COMPUTED_VALUE"""),46.2)</f>
        <v>46.2</v>
      </c>
      <c r="K1145" s="6">
        <f>IFERROR(__xludf.DUMMYFUNCTION("""COMPUTED_VALUE"""),53.9)</f>
        <v>53.9</v>
      </c>
      <c r="L1145" s="3"/>
      <c r="M1145" s="3"/>
    </row>
    <row r="1146" ht="48.0" customHeight="1">
      <c r="A1146" s="3" t="str">
        <f>IFERROR(__xludf.DUMMYFUNCTION("""COMPUTED_VALUE"""),"DHIPCHFW1020SP")</f>
        <v>DHIPCHFW1020SP</v>
      </c>
      <c r="B1146" s="4" t="str">
        <f>IFERROR(__xludf.DUMMYFUNCTION("""COMPUTED_VALUE"""),"CAMARA BULLET 1MP")</f>
        <v>CAMARA BULLET 1MP</v>
      </c>
      <c r="C1146" s="4" t="str">
        <f>IFERROR(__xludf.DUMMYFUNCTION("""COMPUTED_VALUE"""),"Cámara IPC Bullet 1 Mpx IR CMOS de 1/1.4” 1 Mp escaneo progresivo. · Soporta doble stream H.264+ &amp; H.264")</f>
        <v>Cámara IPC Bullet 1 Mpx IR CMOS de 1/1.4” 1 Mp escaneo progresivo. · Soporta doble stream H.264+ &amp; H.264</v>
      </c>
      <c r="D1146" s="4" t="str">
        <f>IFERROR(__xludf.DUMMYFUNCTION("""COMPUTED_VALUE"""),"DAHUA")</f>
        <v>DAHUA</v>
      </c>
      <c r="E1146" s="4" t="str">
        <f>IFERROR(__xludf.DUMMYFUNCTION("""COMPUTED_VALUE"""),"DHIPCHFW1020SP")</f>
        <v>DHIPCHFW1020SP</v>
      </c>
      <c r="F1146" s="4" t="str">
        <f>IFERROR(__xludf.DUMMYFUNCTION("""COMPUTED_VALUE"""),"CCTV &gt; CAMARAS IP")</f>
        <v>CCTV &gt; CAMARAS IP</v>
      </c>
      <c r="G1146" s="5"/>
      <c r="H1146" s="6">
        <f>IFERROR(__xludf.DUMMYFUNCTION("""COMPUTED_VALUE"""),33.0)</f>
        <v>33</v>
      </c>
      <c r="I1146" s="7">
        <f>IFERROR(__xludf.DUMMYFUNCTION("""COMPUTED_VALUE"""),21.0)</f>
        <v>21</v>
      </c>
      <c r="J1146" s="6">
        <f>IFERROR(__xludf.DUMMYFUNCTION("""COMPUTED_VALUE"""),39.6)</f>
        <v>39.6</v>
      </c>
      <c r="K1146" s="6">
        <f>IFERROR(__xludf.DUMMYFUNCTION("""COMPUTED_VALUE"""),46.2)</f>
        <v>46.2</v>
      </c>
      <c r="L1146" s="3"/>
      <c r="M1146" s="3"/>
    </row>
    <row r="1147" ht="48.0" customHeight="1">
      <c r="A1147" s="3" t="str">
        <f>IFERROR(__xludf.DUMMYFUNCTION("""COMPUTED_VALUE"""),"DHIPHFW1230S1P")</f>
        <v>DHIPHFW1230S1P</v>
      </c>
      <c r="B1147" s="4" t="str">
        <f>IFERROR(__xludf.DUMMYFUNCTION("""COMPUTED_VALUE"""),"CAMARA BULLET 2MP")</f>
        <v>CAMARA BULLET 2MP</v>
      </c>
      <c r="C1147" s="4" t="str">
        <f>IFERROR(__xludf.DUMMYFUNCTION("""COMPUTED_VALUE"""),"Cámara Bullet de 2Mp con IR 30 m, CMOS 1/2,8"", lente fijo de 2,8 mm, IP67, PoE")</f>
        <v>Cámara Bullet de 2Mp con IR 30 m, CMOS 1/2,8", lente fijo de 2,8 mm, IP67, PoE</v>
      </c>
      <c r="D1147" s="4" t="str">
        <f>IFERROR(__xludf.DUMMYFUNCTION("""COMPUTED_VALUE"""),"DAHUA")</f>
        <v>DAHUA</v>
      </c>
      <c r="E1147" s="4" t="str">
        <f>IFERROR(__xludf.DUMMYFUNCTION("""COMPUTED_VALUE"""),"DHIPHFW1230S1P")</f>
        <v>DHIPHFW1230S1P</v>
      </c>
      <c r="F1147" s="4" t="str">
        <f>IFERROR(__xludf.DUMMYFUNCTION("""COMPUTED_VALUE"""),"CCTV &gt; CAMARAS IP")</f>
        <v>CCTV &gt; CAMARAS IP</v>
      </c>
      <c r="G1147" s="5"/>
      <c r="H1147" s="6">
        <f>IFERROR(__xludf.DUMMYFUNCTION("""COMPUTED_VALUE"""),49.79)</f>
        <v>49.79</v>
      </c>
      <c r="I1147" s="7">
        <f>IFERROR(__xludf.DUMMYFUNCTION("""COMPUTED_VALUE"""),21.0)</f>
        <v>21</v>
      </c>
      <c r="J1147" s="6">
        <f>IFERROR(__xludf.DUMMYFUNCTION("""COMPUTED_VALUE"""),59.75)</f>
        <v>59.75</v>
      </c>
      <c r="K1147" s="6">
        <f>IFERROR(__xludf.DUMMYFUNCTION("""COMPUTED_VALUE"""),69.71)</f>
        <v>69.71</v>
      </c>
      <c r="L1147" s="3"/>
      <c r="M1147" s="3"/>
    </row>
    <row r="1148" ht="48.0" customHeight="1">
      <c r="A1148" s="3" t="str">
        <f>IFERROR(__xludf.DUMMYFUNCTION("""COMPUTED_VALUE"""),"DHIPHFW1230S1P-A")</f>
        <v>DHIPHFW1230S1P-A</v>
      </c>
      <c r="B1148" s="4" t="str">
        <f>IFERROR(__xludf.DUMMYFUNCTION("""COMPUTED_VALUE"""),"CAMARA BULLET 2MP")</f>
        <v>CAMARA BULLET 2MP</v>
      </c>
      <c r="C1148" s="4" t="str">
        <f>IFERROR(__xludf.DUMMYFUNCTION("""COMPUTED_VALUE"""),"Cámara Bullet de 2Mp con IR 30 m, CMOS 1/2,8"", lente fijo de 2,8 mm, IP67, PoE y micrófono incorporado")</f>
        <v>Cámara Bullet de 2Mp con IR 30 m, CMOS 1/2,8", lente fijo de 2,8 mm, IP67, PoE y micrófono incorporado</v>
      </c>
      <c r="D1148" s="4" t="str">
        <f>IFERROR(__xludf.DUMMYFUNCTION("""COMPUTED_VALUE"""),"DAHUA")</f>
        <v>DAHUA</v>
      </c>
      <c r="E1148" s="4" t="str">
        <f>IFERROR(__xludf.DUMMYFUNCTION("""COMPUTED_VALUE"""),"DHIPHFW1230S1P-A")</f>
        <v>DHIPHFW1230S1P-A</v>
      </c>
      <c r="F1148" s="4" t="str">
        <f>IFERROR(__xludf.DUMMYFUNCTION("""COMPUTED_VALUE"""),"CCTV &gt; CAMARAS IP")</f>
        <v>CCTV &gt; CAMARAS IP</v>
      </c>
      <c r="G1148" s="5"/>
      <c r="H1148" s="6">
        <f>IFERROR(__xludf.DUMMYFUNCTION("""COMPUTED_VALUE"""),59.9)</f>
        <v>59.9</v>
      </c>
      <c r="I1148" s="7">
        <f>IFERROR(__xludf.DUMMYFUNCTION("""COMPUTED_VALUE"""),21.0)</f>
        <v>21</v>
      </c>
      <c r="J1148" s="6">
        <f>IFERROR(__xludf.DUMMYFUNCTION("""COMPUTED_VALUE"""),71.88)</f>
        <v>71.88</v>
      </c>
      <c r="K1148" s="6">
        <f>IFERROR(__xludf.DUMMYFUNCTION("""COMPUTED_VALUE"""),83.86)</f>
        <v>83.86</v>
      </c>
      <c r="L1148" s="3"/>
      <c r="M1148" s="3"/>
    </row>
    <row r="1149" ht="48.0" customHeight="1">
      <c r="A1149" s="3" t="str">
        <f>IFERROR(__xludf.DUMMYFUNCTION("""COMPUTED_VALUE"""),"DHIPCHFW1239S1PLED0280B")</f>
        <v>DHIPCHFW1239S1PLED0280B</v>
      </c>
      <c r="B1149" s="4" t="str">
        <f>IFERROR(__xludf.DUMMYFUNCTION("""COMPUTED_VALUE"""),"CAMARA BULLET 2MP")</f>
        <v>CAMARA BULLET 2MP</v>
      </c>
      <c r="C1149" s="4" t="str">
        <f>IFERROR(__xludf.DUMMYFUNCTION("""COMPUTED_VALUE"""),"Bullet IP 2 Mpx Lente 2.8mm Full-Color LED 15m IP67 PoE · Sensor de imagen CMOS de 2MP, 1/2.7”, baja iluminancia, alta definición de imagen · Salidas máx. 2 MP (1920 × 1080) a 25/30 fps· Códec H.265, LED incorporados, distancia máxima de LED: 15 m· 12 V D"&amp;"C/PoE· Protección IP67")</f>
        <v>Bullet IP 2 Mpx Lente 2.8mm Full-Color LED 15m IP67 PoE · Sensor de imagen CMOS de 2MP, 1/2.7”, baja iluminancia, alta definición de imagen · Salidas máx. 2 MP (1920 × 1080) a 25/30 fps· Códec H.265, LED incorporados, distancia máxima de LED: 15 m· 12 V DC/PoE· Protección IP67</v>
      </c>
      <c r="D1149" s="4" t="str">
        <f>IFERROR(__xludf.DUMMYFUNCTION("""COMPUTED_VALUE"""),"DAHUA")</f>
        <v>DAHUA</v>
      </c>
      <c r="E1149" s="4" t="str">
        <f>IFERROR(__xludf.DUMMYFUNCTION("""COMPUTED_VALUE"""),"DHIPCHFW1239S1PLED0280B")</f>
        <v>DHIPCHFW1239S1PLED0280B</v>
      </c>
      <c r="F1149" s="4" t="str">
        <f>IFERROR(__xludf.DUMMYFUNCTION("""COMPUTED_VALUE"""),"CCTV &gt; CAMARAS IP")</f>
        <v>CCTV &gt; CAMARAS IP</v>
      </c>
      <c r="G1149" s="5"/>
      <c r="H1149" s="6">
        <f>IFERROR(__xludf.DUMMYFUNCTION("""COMPUTED_VALUE"""),55.44)</f>
        <v>55.44</v>
      </c>
      <c r="I1149" s="7">
        <f>IFERROR(__xludf.DUMMYFUNCTION("""COMPUTED_VALUE"""),21.0)</f>
        <v>21</v>
      </c>
      <c r="J1149" s="6">
        <f>IFERROR(__xludf.DUMMYFUNCTION("""COMPUTED_VALUE"""),66.53)</f>
        <v>66.53</v>
      </c>
      <c r="K1149" s="6">
        <f>IFERROR(__xludf.DUMMYFUNCTION("""COMPUTED_VALUE"""),77.62)</f>
        <v>77.62</v>
      </c>
      <c r="L1149" s="3"/>
      <c r="M1149" s="3"/>
    </row>
    <row r="1150" ht="48.0" customHeight="1">
      <c r="A1150" s="3" t="str">
        <f>IFERROR(__xludf.DUMMYFUNCTION("""COMPUTED_VALUE"""),"DHIPCHFW2231TPZASS2QH")</f>
        <v>DHIPCHFW2231TPZASS2QH</v>
      </c>
      <c r="B1150" s="4" t="str">
        <f>IFERROR(__xludf.DUMMYFUNCTION("""COMPUTED_VALUE"""),"CAMARA BULLET 2MP")</f>
        <v>CAMARA BULLET 2MP</v>
      </c>
      <c r="C1150" s="4" t="str">
        <f>IFERROR(__xludf.DUMMYFUNCTION("""COMPUTED_VALUE"""),"Cámara Bullet de 2Mp con IR 60 m, CMOS 1/2,8"", lente varifocal motorizado 2,7 mm~13,5 mm, WDR, IP67, Audio, PoE")</f>
        <v>Cámara Bullet de 2Mp con IR 60 m, CMOS 1/2,8", lente varifocal motorizado 2,7 mm~13,5 mm, WDR, IP67, Audio, PoE</v>
      </c>
      <c r="D1150" s="4" t="str">
        <f>IFERROR(__xludf.DUMMYFUNCTION("""COMPUTED_VALUE"""),"DAHUA")</f>
        <v>DAHUA</v>
      </c>
      <c r="E1150" s="4" t="str">
        <f>IFERROR(__xludf.DUMMYFUNCTION("""COMPUTED_VALUE"""),"DHIPCHFW2231TPZASS2QH")</f>
        <v>DHIPCHFW2231TPZASS2QH</v>
      </c>
      <c r="F1150" s="4" t="str">
        <f>IFERROR(__xludf.DUMMYFUNCTION("""COMPUTED_VALUE"""),"CCTV &gt; CAMARAS IP")</f>
        <v>CCTV &gt; CAMARAS IP</v>
      </c>
      <c r="G1150" s="5"/>
      <c r="H1150" s="6">
        <f>IFERROR(__xludf.DUMMYFUNCTION("""COMPUTED_VALUE"""),159.5)</f>
        <v>159.5</v>
      </c>
      <c r="I1150" s="7">
        <f>IFERROR(__xludf.DUMMYFUNCTION("""COMPUTED_VALUE"""),21.0)</f>
        <v>21</v>
      </c>
      <c r="J1150" s="6">
        <f>IFERROR(__xludf.DUMMYFUNCTION("""COMPUTED_VALUE"""),191.4)</f>
        <v>191.4</v>
      </c>
      <c r="K1150" s="6">
        <f>IFERROR(__xludf.DUMMYFUNCTION("""COMPUTED_VALUE"""),223.3)</f>
        <v>223.3</v>
      </c>
      <c r="L1150" s="3"/>
      <c r="M1150" s="3"/>
    </row>
    <row r="1151" ht="48.0" customHeight="1">
      <c r="A1151" s="3" t="str">
        <f>IFERROR(__xludf.DUMMYFUNCTION("""COMPUTED_VALUE"""),"DHIPCHFW2241TP-ZAS")</f>
        <v>DHIPCHFW2241TP-ZAS</v>
      </c>
      <c r="B1151" s="4" t="str">
        <f>IFERROR(__xludf.DUMMYFUNCTION("""COMPUTED_VALUE"""),"CAMARA BULLET WIZSENSE 2MP")</f>
        <v>CAMARA BULLET WIZSENSE 2MP</v>
      </c>
      <c r="C1151" s="4" t="str">
        <f>IFERROR(__xludf.DUMMYFUNCTION("""COMPUTED_VALUE"""),"Cámara Bullet de 2Mp con IR 60 m, CMOS 1/2,8"", lente varifocal motorizado 2,7 mm~13,5 mm, WDR, IP67, Audio, PoE WizSense")</f>
        <v>Cámara Bullet de 2Mp con IR 60 m, CMOS 1/2,8", lente varifocal motorizado 2,7 mm~13,5 mm, WDR, IP67, Audio, PoE WizSense</v>
      </c>
      <c r="D1151" s="4" t="str">
        <f>IFERROR(__xludf.DUMMYFUNCTION("""COMPUTED_VALUE"""),"DAHUA")</f>
        <v>DAHUA</v>
      </c>
      <c r="E1151" s="4" t="str">
        <f>IFERROR(__xludf.DUMMYFUNCTION("""COMPUTED_VALUE"""),"DHIPCHFW2241TP-ZAS")</f>
        <v>DHIPCHFW2241TP-ZAS</v>
      </c>
      <c r="F1151" s="4" t="str">
        <f>IFERROR(__xludf.DUMMYFUNCTION("""COMPUTED_VALUE"""),"CCTV &gt; CAMARAS IP")</f>
        <v>CCTV &gt; CAMARAS IP</v>
      </c>
      <c r="G1151" s="5"/>
      <c r="H1151" s="6">
        <f>IFERROR(__xludf.DUMMYFUNCTION("""COMPUTED_VALUE"""),239.8)</f>
        <v>239.8</v>
      </c>
      <c r="I1151" s="7">
        <f>IFERROR(__xludf.DUMMYFUNCTION("""COMPUTED_VALUE"""),21.0)</f>
        <v>21</v>
      </c>
      <c r="J1151" s="6">
        <f>IFERROR(__xludf.DUMMYFUNCTION("""COMPUTED_VALUE"""),287.76)</f>
        <v>287.76</v>
      </c>
      <c r="K1151" s="6">
        <f>IFERROR(__xludf.DUMMYFUNCTION("""COMPUTED_VALUE"""),335.72)</f>
        <v>335.72</v>
      </c>
      <c r="L1151" s="3"/>
      <c r="M1151" s="3"/>
    </row>
    <row r="1152" ht="48.0" customHeight="1">
      <c r="A1152" s="3" t="str">
        <f>IFERROR(__xludf.DUMMYFUNCTION("""COMPUTED_VALUE"""),"DHIPCHFW2439MPA")</f>
        <v>DHIPCHFW2439MPA</v>
      </c>
      <c r="B1152" s="4" t="str">
        <f>IFERROR(__xludf.DUMMYFUNCTION("""COMPUTED_VALUE"""),"CAMARA BULLET 4MP")</f>
        <v>CAMARA BULLET 4MP</v>
      </c>
      <c r="C1152" s="4" t="str">
        <f>IFERROR(__xludf.DUMMYFUNCTION("""COMPUTED_VALUE"""),"IPC-HFW2439M-AS-LED-B-S2 Bullet IP 4Mpx Full-Color IVS Mic incorporado LED 30m")</f>
        <v>IPC-HFW2439M-AS-LED-B-S2 Bullet IP 4Mpx Full-Color IVS Mic incorporado LED 30m</v>
      </c>
      <c r="D1152" s="4" t="str">
        <f>IFERROR(__xludf.DUMMYFUNCTION("""COMPUTED_VALUE"""),"DAHUA")</f>
        <v>DAHUA</v>
      </c>
      <c r="E1152" s="4" t="str">
        <f>IFERROR(__xludf.DUMMYFUNCTION("""COMPUTED_VALUE"""),"DHIPCHFW2439MPA")</f>
        <v>DHIPCHFW2439MPA</v>
      </c>
      <c r="F1152" s="4" t="str">
        <f>IFERROR(__xludf.DUMMYFUNCTION("""COMPUTED_VALUE"""),"CCTV &gt; CAMARAS IP")</f>
        <v>CCTV &gt; CAMARAS IP</v>
      </c>
      <c r="G1152" s="5"/>
      <c r="H1152" s="6">
        <f>IFERROR(__xludf.DUMMYFUNCTION("""COMPUTED_VALUE"""),173.8)</f>
        <v>173.8</v>
      </c>
      <c r="I1152" s="7">
        <f>IFERROR(__xludf.DUMMYFUNCTION("""COMPUTED_VALUE"""),21.0)</f>
        <v>21</v>
      </c>
      <c r="J1152" s="6">
        <f>IFERROR(__xludf.DUMMYFUNCTION("""COMPUTED_VALUE"""),208.56)</f>
        <v>208.56</v>
      </c>
      <c r="K1152" s="6">
        <f>IFERROR(__xludf.DUMMYFUNCTION("""COMPUTED_VALUE"""),243.32)</f>
        <v>243.32</v>
      </c>
      <c r="L1152" s="3"/>
      <c r="M1152" s="3"/>
    </row>
    <row r="1153" ht="48.0" customHeight="1">
      <c r="A1153" s="3" t="str">
        <f>IFERROR(__xludf.DUMMYFUNCTION("""COMPUTED_VALUE"""),"DHIPCHFW1431S1P")</f>
        <v>DHIPCHFW1431S1P</v>
      </c>
      <c r="B1153" s="4" t="str">
        <f>IFERROR(__xludf.DUMMYFUNCTION("""COMPUTED_VALUE"""),"CAMARA BULLET")</f>
        <v>CAMARA BULLET</v>
      </c>
      <c r="C1153" s="4" t="str">
        <f>IFERROR(__xludf.DUMMYFUNCTION("""COMPUTED_VALUE"""),"Cámara IP Bullet de 4 Megapixeles H.265+ Lente de 2.8mm IR de 30 Metros WDR. IP67")</f>
        <v>Cámara IP Bullet de 4 Megapixeles H.265+ Lente de 2.8mm IR de 30 Metros WDR. IP67</v>
      </c>
      <c r="D1153" s="4" t="str">
        <f>IFERROR(__xludf.DUMMYFUNCTION("""COMPUTED_VALUE"""),"DAHUA")</f>
        <v>DAHUA</v>
      </c>
      <c r="E1153" s="4" t="str">
        <f>IFERROR(__xludf.DUMMYFUNCTION("""COMPUTED_VALUE"""),"DHIPCHFW1431S1P")</f>
        <v>DHIPCHFW1431S1P</v>
      </c>
      <c r="F1153" s="4" t="str">
        <f>IFERROR(__xludf.DUMMYFUNCTION("""COMPUTED_VALUE"""),"CCTV &gt; CAMARAS IP")</f>
        <v>CCTV &gt; CAMARAS IP</v>
      </c>
      <c r="G1153" s="5"/>
      <c r="H1153" s="6">
        <f>IFERROR(__xludf.DUMMYFUNCTION("""COMPUTED_VALUE"""),81.05)</f>
        <v>81.05</v>
      </c>
      <c r="I1153" s="7">
        <f>IFERROR(__xludf.DUMMYFUNCTION("""COMPUTED_VALUE"""),21.0)</f>
        <v>21</v>
      </c>
      <c r="J1153" s="6">
        <f>IFERROR(__xludf.DUMMYFUNCTION("""COMPUTED_VALUE"""),97.26)</f>
        <v>97.26</v>
      </c>
      <c r="K1153" s="6">
        <f>IFERROR(__xludf.DUMMYFUNCTION("""COMPUTED_VALUE"""),113.47)</f>
        <v>113.47</v>
      </c>
      <c r="L1153" s="3"/>
      <c r="M1153" s="3"/>
    </row>
    <row r="1154" ht="48.0" customHeight="1">
      <c r="A1154" s="3" t="str">
        <f>IFERROR(__xludf.DUMMYFUNCTION("""COMPUTED_VALUE"""),"DHIPCHFW1431TC1P-SA")</f>
        <v>DHIPCHFW1431TC1P-SA</v>
      </c>
      <c r="B1154" s="4" t="str">
        <f>IFERROR(__xludf.DUMMYFUNCTION("""COMPUTED_VALUE"""),"CAMARA BULLET 4MP")</f>
        <v>CAMARA BULLET 4MP</v>
      </c>
      <c r="C1154" s="4" t="str">
        <f>IFERROR(__xludf.DUMMYFUNCTION("""COMPUTED_VALUE"""),"Bullet IP 4 Mpx Lente 2.8 mm IR30m Micrófono IP67 PoE")</f>
        <v>Bullet IP 4 Mpx Lente 2.8 mm IR30m Micrófono IP67 PoE</v>
      </c>
      <c r="D1154" s="4" t="str">
        <f>IFERROR(__xludf.DUMMYFUNCTION("""COMPUTED_VALUE"""),"DAHUA")</f>
        <v>DAHUA</v>
      </c>
      <c r="E1154" s="4" t="str">
        <f>IFERROR(__xludf.DUMMYFUNCTION("""COMPUTED_VALUE"""),"DHIPCHFW1431TC1P-SA")</f>
        <v>DHIPCHFW1431TC1P-SA</v>
      </c>
      <c r="F1154" s="4" t="str">
        <f>IFERROR(__xludf.DUMMYFUNCTION("""COMPUTED_VALUE"""),"CCTV &gt; CAMARAS IP")</f>
        <v>CCTV &gt; CAMARAS IP</v>
      </c>
      <c r="G1154" s="5"/>
      <c r="H1154" s="6">
        <f>IFERROR(__xludf.DUMMYFUNCTION("""COMPUTED_VALUE"""),91.91)</f>
        <v>91.91</v>
      </c>
      <c r="I1154" s="7">
        <f>IFERROR(__xludf.DUMMYFUNCTION("""COMPUTED_VALUE"""),21.0)</f>
        <v>21</v>
      </c>
      <c r="J1154" s="6">
        <f>IFERROR(__xludf.DUMMYFUNCTION("""COMPUTED_VALUE"""),110.29)</f>
        <v>110.29</v>
      </c>
      <c r="K1154" s="6">
        <f>IFERROR(__xludf.DUMMYFUNCTION("""COMPUTED_VALUE"""),128.67)</f>
        <v>128.67</v>
      </c>
      <c r="L1154" s="3"/>
      <c r="M1154" s="3"/>
    </row>
    <row r="1155" ht="48.0" customHeight="1">
      <c r="A1155" s="3" t="str">
        <f>IFERROR(__xludf.DUMMYFUNCTION("""COMPUTED_VALUE"""),"DHIPCHFW1431T1PZS")</f>
        <v>DHIPCHFW1431T1PZS</v>
      </c>
      <c r="B1155" s="4" t="str">
        <f>IFERROR(__xludf.DUMMYFUNCTION("""COMPUTED_VALUE"""),"CAMARA BULLET 4MP")</f>
        <v>CAMARA BULLET 4MP</v>
      </c>
      <c r="C1155" s="4" t="str">
        <f>IFERROR(__xludf.DUMMYFUNCTION("""COMPUTED_VALUE"""),"Camara Bullet 4MP (2560 × 1440) @25/30 fps, and supports max. 4MP (2688 × 1520) @20 fps. H.265. Built-in IR LED 50 m. ROI, SMART H.264/H.265, flexible coding, applicable to various bandwidth and storage environments. Image Rotation, WDR, 3D DNR, HLC, BLC,"&amp;" digital watermarking, applicable to various monitoring scenes. Abnormality detection: Motion detection, video tampering, no SD card, SD card full, SD card error, network disconnection, IP conflict, illegal access, voltage detection. Supports max. 256 GB "&amp;"SD card 12V DC/PoE power support. IP67 protection")</f>
        <v>Camara Bullet 4MP (2560 × 1440) @25/30 fps, and supports max. 4MP (2688 × 1520) @20 fps. H.265. Built-in IR LED 50 m. ROI, SMART H.264/H.265, flexible coding, applicable to various bandwidth and storage environments. Image Rotation, WDR, 3D DNR, HLC, BLC, digital watermarking, applicable to various monitoring scenes. Abnormality detection: Motion detection, video tampering, no SD card, SD card full, SD card error, network disconnection, IP conflict, illegal access, voltage detection. Supports max. 256 GB SD card 12V DC/PoE power support. IP67 protection</v>
      </c>
      <c r="D1155" s="4" t="str">
        <f>IFERROR(__xludf.DUMMYFUNCTION("""COMPUTED_VALUE"""),"DAHUA")</f>
        <v>DAHUA</v>
      </c>
      <c r="E1155" s="4" t="str">
        <f>IFERROR(__xludf.DUMMYFUNCTION("""COMPUTED_VALUE"""),"DHIPCHFW1431T1PZS")</f>
        <v>DHIPCHFW1431T1PZS</v>
      </c>
      <c r="F1155" s="4" t="str">
        <f>IFERROR(__xludf.DUMMYFUNCTION("""COMPUTED_VALUE"""),"CCTV &gt; CAMARAS IP")</f>
        <v>CCTV &gt; CAMARAS IP</v>
      </c>
      <c r="G1155" s="5"/>
      <c r="H1155" s="6">
        <f>IFERROR(__xludf.DUMMYFUNCTION("""COMPUTED_VALUE"""),147.98)</f>
        <v>147.98</v>
      </c>
      <c r="I1155" s="7">
        <f>IFERROR(__xludf.DUMMYFUNCTION("""COMPUTED_VALUE"""),21.0)</f>
        <v>21</v>
      </c>
      <c r="J1155" s="6">
        <f>IFERROR(__xludf.DUMMYFUNCTION("""COMPUTED_VALUE"""),177.58)</f>
        <v>177.58</v>
      </c>
      <c r="K1155" s="6">
        <f>IFERROR(__xludf.DUMMYFUNCTION("""COMPUTED_VALUE"""),207.17)</f>
        <v>207.17</v>
      </c>
      <c r="L1155" s="3"/>
      <c r="M1155" s="3"/>
    </row>
    <row r="1156" ht="48.0" customHeight="1">
      <c r="A1156" s="3" t="str">
        <f>IFERROR(__xludf.DUMMYFUNCTION("""COMPUTED_VALUE"""),"DHIPCHFW3441EPAS")</f>
        <v>DHIPCHFW3441EPAS</v>
      </c>
      <c r="B1156" s="4" t="str">
        <f>IFERROR(__xludf.DUMMYFUNCTION("""COMPUTED_VALUE"""),"CAMARA BULLET WIZSENSE 4MP")</f>
        <v>CAMARA BULLET WIZSENSE 4MP</v>
      </c>
      <c r="C1156" s="4" t="str">
        <f>IFERROR(__xludf.DUMMYFUNCTION("""COMPUTED_VALUE"""),"Bullet IP 4Mpx WizSenseSMD Plus IVS Mic incorporado Alarm+Audio in/out IR 50m lente 2,8mm")</f>
        <v>Bullet IP 4Mpx WizSenseSMD Plus IVS Mic incorporado Alarm+Audio in/out IR 50m lente 2,8mm</v>
      </c>
      <c r="D1156" s="4" t="str">
        <f>IFERROR(__xludf.DUMMYFUNCTION("""COMPUTED_VALUE"""),"DAHUA")</f>
        <v>DAHUA</v>
      </c>
      <c r="E1156" s="4" t="str">
        <f>IFERROR(__xludf.DUMMYFUNCTION("""COMPUTED_VALUE"""),"DHIPCHFW3441EPAS")</f>
        <v>DHIPCHFW3441EPAS</v>
      </c>
      <c r="F1156" s="4" t="str">
        <f>IFERROR(__xludf.DUMMYFUNCTION("""COMPUTED_VALUE"""),"CCTV &gt; CAMARAS IP")</f>
        <v>CCTV &gt; CAMARAS IP</v>
      </c>
      <c r="G1156" s="5"/>
      <c r="H1156" s="6">
        <f>IFERROR(__xludf.DUMMYFUNCTION("""COMPUTED_VALUE"""),211.56)</f>
        <v>211.56</v>
      </c>
      <c r="I1156" s="7">
        <f>IFERROR(__xludf.DUMMYFUNCTION("""COMPUTED_VALUE"""),21.0)</f>
        <v>21</v>
      </c>
      <c r="J1156" s="6">
        <f>IFERROR(__xludf.DUMMYFUNCTION("""COMPUTED_VALUE"""),253.87)</f>
        <v>253.87</v>
      </c>
      <c r="K1156" s="6">
        <f>IFERROR(__xludf.DUMMYFUNCTION("""COMPUTED_VALUE"""),296.18)</f>
        <v>296.18</v>
      </c>
      <c r="L1156" s="3"/>
      <c r="M1156" s="3"/>
    </row>
    <row r="1157" ht="48.0" customHeight="1">
      <c r="A1157" s="3" t="str">
        <f>IFERROR(__xludf.DUMMYFUNCTION("""COMPUTED_VALUE"""),"DHIPCHFW3441T-ZAS")</f>
        <v>DHIPCHFW3441T-ZAS</v>
      </c>
      <c r="B1157" s="4" t="str">
        <f>IFERROR(__xludf.DUMMYFUNCTION("""COMPUTED_VALUE"""),"CAMARA BULLET WIZSENSE 4MP")</f>
        <v>CAMARA BULLET WIZSENSE 4MP</v>
      </c>
      <c r="C1157" s="4" t="str">
        <f>IFERROR(__xludf.DUMMYFUNCTION("""COMPUTED_VALUE"""),"Bullet IP 4Mpx WizSenseSMD Plus IVS Mic incorporado Alarm+Audio in/out IR 60m lente motorizado 2,7mm a 13.5 mm, IP67, WDR, POE.")</f>
        <v>Bullet IP 4Mpx WizSenseSMD Plus IVS Mic incorporado Alarm+Audio in/out IR 60m lente motorizado 2,7mm a 13.5 mm, IP67, WDR, POE.</v>
      </c>
      <c r="D1157" s="4" t="str">
        <f>IFERROR(__xludf.DUMMYFUNCTION("""COMPUTED_VALUE"""),"DAHUA")</f>
        <v>DAHUA</v>
      </c>
      <c r="E1157" s="4" t="str">
        <f>IFERROR(__xludf.DUMMYFUNCTION("""COMPUTED_VALUE"""),"DHIPCHFW3441T-ZAS")</f>
        <v>DHIPCHFW3441T-ZAS</v>
      </c>
      <c r="F1157" s="4" t="str">
        <f>IFERROR(__xludf.DUMMYFUNCTION("""COMPUTED_VALUE"""),"CCTV &gt; CAMARAS IP")</f>
        <v>CCTV &gt; CAMARAS IP</v>
      </c>
      <c r="G1157" s="5"/>
      <c r="H1157" s="6">
        <f>IFERROR(__xludf.DUMMYFUNCTION("""COMPUTED_VALUE"""),333.3)</f>
        <v>333.3</v>
      </c>
      <c r="I1157" s="7">
        <f>IFERROR(__xludf.DUMMYFUNCTION("""COMPUTED_VALUE"""),21.0)</f>
        <v>21</v>
      </c>
      <c r="J1157" s="6">
        <f>IFERROR(__xludf.DUMMYFUNCTION("""COMPUTED_VALUE"""),399.96)</f>
        <v>399.96</v>
      </c>
      <c r="K1157" s="6">
        <f>IFERROR(__xludf.DUMMYFUNCTION("""COMPUTED_VALUE"""),466.62)</f>
        <v>466.62</v>
      </c>
      <c r="L1157" s="3"/>
      <c r="M1157" s="3"/>
    </row>
    <row r="1158" ht="48.0" customHeight="1">
      <c r="A1158" s="3" t="str">
        <f>IFERROR(__xludf.DUMMYFUNCTION("""COMPUTED_VALUE"""),"DHIPCHDW1230VP-SA")</f>
        <v>DHIPCHDW1230VP-SA</v>
      </c>
      <c r="B1158" s="4" t="str">
        <f>IFERROR(__xludf.DUMMYFUNCTION("""COMPUTED_VALUE"""),"CAMARA DOMO 2MP")</f>
        <v>CAMARA DOMO 2MP</v>
      </c>
      <c r="C1158" s="4" t="str">
        <f>IFERROR(__xludf.DUMMYFUNCTION("""COMPUTED_VALUE"""),"Domo IP 2Mpx lente 2.8mm IR 30 M, CMOS 1/2,8"", IP67, POE y Microfono incorporado")</f>
        <v>Domo IP 2Mpx lente 2.8mm IR 30 M, CMOS 1/2,8", IP67, POE y Microfono incorporado</v>
      </c>
      <c r="D1158" s="4" t="str">
        <f>IFERROR(__xludf.DUMMYFUNCTION("""COMPUTED_VALUE"""),"DAHUA")</f>
        <v>DAHUA</v>
      </c>
      <c r="E1158" s="4" t="str">
        <f>IFERROR(__xludf.DUMMYFUNCTION("""COMPUTED_VALUE"""),"DHIPCHDW1230VP-SA")</f>
        <v>DHIPCHDW1230VP-SA</v>
      </c>
      <c r="F1158" s="4" t="str">
        <f>IFERROR(__xludf.DUMMYFUNCTION("""COMPUTED_VALUE"""),"CCTV &gt; CAMARAS IP")</f>
        <v>CCTV &gt; CAMARAS IP</v>
      </c>
      <c r="G1158" s="5"/>
      <c r="H1158" s="6">
        <f>IFERROR(__xludf.DUMMYFUNCTION("""COMPUTED_VALUE"""),53.14)</f>
        <v>53.14</v>
      </c>
      <c r="I1158" s="7">
        <f>IFERROR(__xludf.DUMMYFUNCTION("""COMPUTED_VALUE"""),21.0)</f>
        <v>21</v>
      </c>
      <c r="J1158" s="6">
        <f>IFERROR(__xludf.DUMMYFUNCTION("""COMPUTED_VALUE"""),63.77)</f>
        <v>63.77</v>
      </c>
      <c r="K1158" s="6">
        <f>IFERROR(__xludf.DUMMYFUNCTION("""COMPUTED_VALUE"""),74.4)</f>
        <v>74.4</v>
      </c>
      <c r="L1158" s="3"/>
      <c r="M1158" s="3"/>
    </row>
    <row r="1159" ht="48.0" customHeight="1">
      <c r="A1159" s="3" t="str">
        <f>IFERROR(__xludf.DUMMYFUNCTION("""COMPUTED_VALUE"""),"DHIPCHDW1230T1P")</f>
        <v>DHIPCHDW1230T1P</v>
      </c>
      <c r="B1159" s="4" t="str">
        <f>IFERROR(__xludf.DUMMYFUNCTION("""COMPUTED_VALUE"""),"CAMARA DOMO 2MP")</f>
        <v>CAMARA DOMO 2MP</v>
      </c>
      <c r="C1159" s="4" t="str">
        <f>IFERROR(__xludf.DUMMYFUNCTION("""COMPUTED_VALUE"""),"Domo IP 2Mpx lente 2.8mm 2MP, 1/2.8” CMOS, low illuminance, Outputs max. 2MP (1920 × 1080) @25/30 fps · H.265 codec, ultra-low bit rate. IR illuminator 30 m ROI, SMART H.264+/H.265+ DWDR, 3D NR, HLC, BLC, digital watermarking, 12V DC/PoE power supply · IP"&amp;"67 protection")</f>
        <v>Domo IP 2Mpx lente 2.8mm 2MP, 1/2.8” CMOS, low illuminance, Outputs max. 2MP (1920 × 1080) @25/30 fps · H.265 codec, ultra-low bit rate. IR illuminator 30 m ROI, SMART H.264+/H.265+ DWDR, 3D NR, HLC, BLC, digital watermarking, 12V DC/PoE power supply · IP67 protection</v>
      </c>
      <c r="D1159" s="4" t="str">
        <f>IFERROR(__xludf.DUMMYFUNCTION("""COMPUTED_VALUE"""),"DAHUA")</f>
        <v>DAHUA</v>
      </c>
      <c r="E1159" s="4" t="str">
        <f>IFERROR(__xludf.DUMMYFUNCTION("""COMPUTED_VALUE"""),"DHIPCHDW1230T1P")</f>
        <v>DHIPCHDW1230T1P</v>
      </c>
      <c r="F1159" s="4" t="str">
        <f>IFERROR(__xludf.DUMMYFUNCTION("""COMPUTED_VALUE"""),"CCTV &gt; CAMARAS IP")</f>
        <v>CCTV &gt; CAMARAS IP</v>
      </c>
      <c r="G1159" s="5"/>
      <c r="H1159" s="6">
        <f>IFERROR(__xludf.DUMMYFUNCTION("""COMPUTED_VALUE"""),49.79)</f>
        <v>49.79</v>
      </c>
      <c r="I1159" s="7">
        <f>IFERROR(__xludf.DUMMYFUNCTION("""COMPUTED_VALUE"""),21.0)</f>
        <v>21</v>
      </c>
      <c r="J1159" s="6">
        <f>IFERROR(__xludf.DUMMYFUNCTION("""COMPUTED_VALUE"""),59.75)</f>
        <v>59.75</v>
      </c>
      <c r="K1159" s="6">
        <f>IFERROR(__xludf.DUMMYFUNCTION("""COMPUTED_VALUE"""),69.71)</f>
        <v>69.71</v>
      </c>
      <c r="L1159" s="3"/>
      <c r="M1159" s="3"/>
    </row>
    <row r="1160" ht="48.0" customHeight="1">
      <c r="A1160" s="3" t="str">
        <f>IFERROR(__xludf.DUMMYFUNCTION("""COMPUTED_VALUE"""),"DHIPCHDW3241TMPAS")</f>
        <v>DHIPCHDW3241TMPAS</v>
      </c>
      <c r="B1160" s="4" t="str">
        <f>IFERROR(__xludf.DUMMYFUNCTION("""COMPUTED_VALUE"""),"CAMARA DOMO WIZSENSE 2MP")</f>
        <v>CAMARA DOMO WIZSENSE 2MP</v>
      </c>
      <c r="C1160" s="4" t="str">
        <f>IFERROR(__xludf.DUMMYFUNCTION("""COMPUTED_VALUE"""),"Domo IP 2Mpx Lente 2.8mm WizSenseSMD Plus IVS Mic incorporado IR 50m")</f>
        <v>Domo IP 2Mpx Lente 2.8mm WizSenseSMD Plus IVS Mic incorporado IR 50m</v>
      </c>
      <c r="D1160" s="4" t="str">
        <f>IFERROR(__xludf.DUMMYFUNCTION("""COMPUTED_VALUE"""),"DAHUA")</f>
        <v>DAHUA</v>
      </c>
      <c r="E1160" s="4" t="str">
        <f>IFERROR(__xludf.DUMMYFUNCTION("""COMPUTED_VALUE"""),"DHIPCHDW3241TMPAS")</f>
        <v>DHIPCHDW3241TMPAS</v>
      </c>
      <c r="F1160" s="4" t="str">
        <f>IFERROR(__xludf.DUMMYFUNCTION("""COMPUTED_VALUE"""),"CCTV &gt; CAMARAS IP")</f>
        <v>CCTV &gt; CAMARAS IP</v>
      </c>
      <c r="G1160" s="5"/>
      <c r="H1160" s="6">
        <f>IFERROR(__xludf.DUMMYFUNCTION("""COMPUTED_VALUE"""),187.0)</f>
        <v>187</v>
      </c>
      <c r="I1160" s="7">
        <f>IFERROR(__xludf.DUMMYFUNCTION("""COMPUTED_VALUE"""),21.0)</f>
        <v>21</v>
      </c>
      <c r="J1160" s="6">
        <f>IFERROR(__xludf.DUMMYFUNCTION("""COMPUTED_VALUE"""),224.4)</f>
        <v>224.4</v>
      </c>
      <c r="K1160" s="6">
        <f>IFERROR(__xludf.DUMMYFUNCTION("""COMPUTED_VALUE"""),261.8)</f>
        <v>261.8</v>
      </c>
      <c r="L1160" s="3"/>
      <c r="M1160" s="3"/>
    </row>
    <row r="1161" ht="48.0" customHeight="1">
      <c r="A1161" s="3" t="str">
        <f>IFERROR(__xludf.DUMMYFUNCTION("""COMPUTED_VALUE"""),"DHIPCHDW1239T1P-LED")</f>
        <v>DHIPCHDW1239T1P-LED</v>
      </c>
      <c r="B1161" s="4" t="str">
        <f>IFERROR(__xludf.DUMMYFUNCTION("""COMPUTED_VALUE"""),"CAMARA DOMO 2MP")</f>
        <v>CAMARA DOMO 2MP</v>
      </c>
      <c r="C1161" s="4" t="str">
        <f>IFERROR(__xludf.DUMMYFUNCTION("""COMPUTED_VALUE"""),"Domo metálico + plástico; Full color; Sensor de imagen CMOS 1/2.7”, 2MP; Lente fijo 2.8mm; Salida max. 25/30 fps @ 2mp; Codificación H.264+/H.265+; Modo rotación, DWDR, 3D DNR, HLC, BLC; Detección de anomalías; Fuente de alimentación 12V DC/PoE; Protecció"&amp;"n IP67.")</f>
        <v>Domo metálico + plástico; Full color; Sensor de imagen CMOS 1/2.7”, 2MP; Lente fijo 2.8mm; Salida max. 25/30 fps @ 2mp; Codificación H.264+/H.265+; Modo rotación, DWDR, 3D DNR, HLC, BLC; Detección de anomalías; Fuente de alimentación 12V DC/PoE; Protección IP67.</v>
      </c>
      <c r="D1161" s="4" t="str">
        <f>IFERROR(__xludf.DUMMYFUNCTION("""COMPUTED_VALUE"""),"DAHUA")</f>
        <v>DAHUA</v>
      </c>
      <c r="E1161" s="4" t="str">
        <f>IFERROR(__xludf.DUMMYFUNCTION("""COMPUTED_VALUE"""),"DHIPCHDW1239T1P-LED")</f>
        <v>DHIPCHDW1239T1P-LED</v>
      </c>
      <c r="F1161" s="4" t="str">
        <f>IFERROR(__xludf.DUMMYFUNCTION("""COMPUTED_VALUE"""),"CCTV &gt; CAMARAS IP")</f>
        <v>CCTV &gt; CAMARAS IP</v>
      </c>
      <c r="G1161" s="5"/>
      <c r="H1161" s="6">
        <f>IFERROR(__xludf.DUMMYFUNCTION("""COMPUTED_VALUE"""),55.44)</f>
        <v>55.44</v>
      </c>
      <c r="I1161" s="7">
        <f>IFERROR(__xludf.DUMMYFUNCTION("""COMPUTED_VALUE"""),21.0)</f>
        <v>21</v>
      </c>
      <c r="J1161" s="6">
        <f>IFERROR(__xludf.DUMMYFUNCTION("""COMPUTED_VALUE"""),66.53)</f>
        <v>66.53</v>
      </c>
      <c r="K1161" s="6">
        <f>IFERROR(__xludf.DUMMYFUNCTION("""COMPUTED_VALUE"""),77.62)</f>
        <v>77.62</v>
      </c>
      <c r="L1161" s="3"/>
      <c r="M1161" s="3"/>
    </row>
    <row r="1162" ht="48.0" customHeight="1">
      <c r="A1162" s="3" t="str">
        <f>IFERROR(__xludf.DUMMYFUNCTION("""COMPUTED_VALUE"""),"DHIPCHDW1239T1P-A-LED")</f>
        <v>DHIPCHDW1239T1P-A-LED</v>
      </c>
      <c r="B1162" s="4" t="str">
        <f>IFERROR(__xludf.DUMMYFUNCTION("""COMPUTED_VALUE"""),"CAMARA DOMO 2MP")</f>
        <v>CAMARA DOMO 2MP</v>
      </c>
      <c r="C1162" s="4" t="str">
        <f>IFERROR(__xludf.DUMMYFUNCTION("""COMPUTED_VALUE"""),"Domo metálico + plástico; Full color; Sensor de imagen CMOS 1/2.7”, 2MP; Lente fijo 2.8mm; Salida max. 25/30 fps @ 2mp; Codificación H.264+/H.265+; Modo rotación, DWDR, 3D DNR, HLC, BLC; Detección de anomalías; Fuente de alimentación 12V DC/PoE; Protecció"&amp;"n IP67. Audio")</f>
        <v>Domo metálico + plástico; Full color; Sensor de imagen CMOS 1/2.7”, 2MP; Lente fijo 2.8mm; Salida max. 25/30 fps @ 2mp; Codificación H.264+/H.265+; Modo rotación, DWDR, 3D DNR, HLC, BLC; Detección de anomalías; Fuente de alimentación 12V DC/PoE; Protección IP67. Audio</v>
      </c>
      <c r="D1162" s="4" t="str">
        <f>IFERROR(__xludf.DUMMYFUNCTION("""COMPUTED_VALUE"""),"DAHUA")</f>
        <v>DAHUA</v>
      </c>
      <c r="E1162" s="4" t="str">
        <f>IFERROR(__xludf.DUMMYFUNCTION("""COMPUTED_VALUE"""),"DHIPCHDW1239T1P-A-LED")</f>
        <v>DHIPCHDW1239T1P-A-LED</v>
      </c>
      <c r="F1162" s="4" t="str">
        <f>IFERROR(__xludf.DUMMYFUNCTION("""COMPUTED_VALUE"""),"CCTV &gt; CAMARAS IP")</f>
        <v>CCTV &gt; CAMARAS IP</v>
      </c>
      <c r="G1162" s="5"/>
      <c r="H1162" s="6">
        <f>IFERROR(__xludf.DUMMYFUNCTION("""COMPUTED_VALUE"""),72.09)</f>
        <v>72.09</v>
      </c>
      <c r="I1162" s="7">
        <f>IFERROR(__xludf.DUMMYFUNCTION("""COMPUTED_VALUE"""),21.0)</f>
        <v>21</v>
      </c>
      <c r="J1162" s="6">
        <f>IFERROR(__xludf.DUMMYFUNCTION("""COMPUTED_VALUE"""),86.51)</f>
        <v>86.51</v>
      </c>
      <c r="K1162" s="6">
        <f>IFERROR(__xludf.DUMMYFUNCTION("""COMPUTED_VALUE"""),100.93)</f>
        <v>100.93</v>
      </c>
      <c r="L1162" s="3"/>
      <c r="M1162" s="3"/>
    </row>
    <row r="1163" ht="48.0" customHeight="1">
      <c r="A1163" s="3" t="str">
        <f>IFERROR(__xludf.DUMMYFUNCTION("""COMPUTED_VALUE"""),"DHIPCHDPW1230R1P028")</f>
        <v>DHIPCHDPW1230R1P028</v>
      </c>
      <c r="B1163" s="4" t="str">
        <f>IFERROR(__xludf.DUMMYFUNCTION("""COMPUTED_VALUE"""),"CAMARA DOMO 2MP")</f>
        <v>CAMARA DOMO 2MP</v>
      </c>
      <c r="C1163" s="4" t="str">
        <f>IFERROR(__xludf.DUMMYFUNCTION("""COMPUTED_VALUE"""),"Domo burbuja IP 2Mpx H.265+ IR 30m 2MP, 1/2.7” CMOS image sensor, low illuminance, high image definition. Outputs max. 2MP (1920 × 1080p) @25/30 fps. H.265 codec, high compression rate, ultra-low bit rate. Built-in IR LED, max. IR distance: 30 m. ROI, SMA"&amp;"RT H.264/H.265, flexible coding, applicable to various bandwidth and storage environments. Rotation mode, DWDR, 3D DNR, HLC, BLC, digital watermarking, applicable to various monitoring scenes. Abnormality detection: Motion detection, video tampering, netw"&amp;"ork disconnection, IP conflict, illegal access. 12V DC/PoE power support IP67 protection")</f>
        <v>Domo burbuja IP 2Mpx H.265+ IR 30m 2MP, 1/2.7” CMOS image sensor, low illuminance, high image definition. Outputs max. 2MP (1920 × 1080p) @25/30 fps. H.265 codec, high compression rate, ultra-low bit rate. Built-in IR LED, max. IR distance: 30 m. ROI, SMART H.264/H.265, flexible coding, applicable to various bandwidth and storage environments. Rotation mode, DWDR, 3D DNR, HLC, BLC, digital watermarking, applicable to various monitoring scenes. Abnormality detection: Motion detection, video tampering, network disconnection, IP conflict, illegal access. 12V DC/PoE power support IP67 protection</v>
      </c>
      <c r="D1163" s="4" t="str">
        <f>IFERROR(__xludf.DUMMYFUNCTION("""COMPUTED_VALUE"""),"DAHUA")</f>
        <v>DAHUA</v>
      </c>
      <c r="E1163" s="4" t="str">
        <f>IFERROR(__xludf.DUMMYFUNCTION("""COMPUTED_VALUE"""),"DHIPCHDPW1230R1P028")</f>
        <v>DHIPCHDPW1230R1P028</v>
      </c>
      <c r="F1163" s="4" t="str">
        <f>IFERROR(__xludf.DUMMYFUNCTION("""COMPUTED_VALUE"""),"CCTV &gt; CAMARAS IP")</f>
        <v>CCTV &gt; CAMARAS IP</v>
      </c>
      <c r="G1163" s="5"/>
      <c r="H1163" s="6">
        <f>IFERROR(__xludf.DUMMYFUNCTION("""COMPUTED_VALUE"""),56.57)</f>
        <v>56.57</v>
      </c>
      <c r="I1163" s="7">
        <f>IFERROR(__xludf.DUMMYFUNCTION("""COMPUTED_VALUE"""),21.0)</f>
        <v>21</v>
      </c>
      <c r="J1163" s="6">
        <f>IFERROR(__xludf.DUMMYFUNCTION("""COMPUTED_VALUE"""),67.88)</f>
        <v>67.88</v>
      </c>
      <c r="K1163" s="6">
        <f>IFERROR(__xludf.DUMMYFUNCTION("""COMPUTED_VALUE"""),79.2)</f>
        <v>79.2</v>
      </c>
      <c r="L1163" s="3"/>
      <c r="M1163" s="3"/>
    </row>
    <row r="1164" ht="48.0" customHeight="1">
      <c r="A1164" s="3" t="str">
        <f>IFERROR(__xludf.DUMMYFUNCTION("""COMPUTED_VALUE"""),"DHIPCHDW1439T1PLED0280B")</f>
        <v>DHIPCHDW1439T1PLED0280B</v>
      </c>
      <c r="B1164" s="4" t="str">
        <f>IFERROR(__xludf.DUMMYFUNCTION("""COMPUTED_VALUE"""),"CAMARA DOMO 4MP")</f>
        <v>CAMARA DOMO 4MP</v>
      </c>
      <c r="C1164" s="4" t="str">
        <f>IFERROR(__xludf.DUMMYFUNCTION("""COMPUTED_VALUE"""),"Minidomo IP 4MP Full-color 1/3” CMOS image sensor, low illuminance (2560 × 1440) @25/30 fps, and supports max. 4MP (2688 × 1520) @20 fps · H.265. Built-in IR LED 30 m. WDR, 3D DNR, HLC, BLC 12V DC/PoE power support IP67")</f>
        <v>Minidomo IP 4MP Full-color 1/3” CMOS image sensor, low illuminance (2560 × 1440) @25/30 fps, and supports max. 4MP (2688 × 1520) @20 fps · H.265. Built-in IR LED 30 m. WDR, 3D DNR, HLC, BLC 12V DC/PoE power support IP67</v>
      </c>
      <c r="D1164" s="4" t="str">
        <f>IFERROR(__xludf.DUMMYFUNCTION("""COMPUTED_VALUE"""),"DAHUA")</f>
        <v>DAHUA</v>
      </c>
      <c r="E1164" s="4" t="str">
        <f>IFERROR(__xludf.DUMMYFUNCTION("""COMPUTED_VALUE"""),"DHIPCHDW1439T1PLED0280B")</f>
        <v>DHIPCHDW1439T1PLED0280B</v>
      </c>
      <c r="F1164" s="4" t="str">
        <f>IFERROR(__xludf.DUMMYFUNCTION("""COMPUTED_VALUE"""),"CCTV &gt; CAMARAS IP")</f>
        <v>CCTV &gt; CAMARAS IP</v>
      </c>
      <c r="G1164" s="5"/>
      <c r="H1164" s="6">
        <f>IFERROR(__xludf.DUMMYFUNCTION("""COMPUTED_VALUE"""),72.41)</f>
        <v>72.41</v>
      </c>
      <c r="I1164" s="7">
        <f>IFERROR(__xludf.DUMMYFUNCTION("""COMPUTED_VALUE"""),21.0)</f>
        <v>21</v>
      </c>
      <c r="J1164" s="6">
        <f>IFERROR(__xludf.DUMMYFUNCTION("""COMPUTED_VALUE"""),86.89)</f>
        <v>86.89</v>
      </c>
      <c r="K1164" s="6">
        <f>IFERROR(__xludf.DUMMYFUNCTION("""COMPUTED_VALUE"""),101.37)</f>
        <v>101.37</v>
      </c>
      <c r="L1164" s="3"/>
      <c r="M1164" s="3"/>
    </row>
    <row r="1165" ht="48.0" customHeight="1">
      <c r="A1165" s="3" t="str">
        <f>IFERROR(__xludf.DUMMYFUNCTION("""COMPUTED_VALUE"""),"DHIPCHDW1439VP-SA-IL")</f>
        <v>DHIPCHDW1439VP-SA-IL</v>
      </c>
      <c r="B1165" s="4" t="str">
        <f>IFERROR(__xludf.DUMMYFUNCTION("""COMPUTED_VALUE"""),"CAMARA DOMO 4MP")</f>
        <v>CAMARA DOMO 4MP</v>
      </c>
      <c r="C1165" s="4" t="str">
        <f>IFERROR(__xludf.DUMMYFUNCTION("""COMPUTED_VALUE"""),"Minidomo IP 4MP Full-color IR Upto30m IP67 POE. High-Quality Imaging with 4 MP Resolution. Smart Dual Light: Built-in IR and LED Lights with 3 Illumination Modes Supported. AI Human Detection for High Accuracy")</f>
        <v>Minidomo IP 4MP Full-color IR Upto30m IP67 POE. High-Quality Imaging with 4 MP Resolution. Smart Dual Light: Built-in IR and LED Lights with 3 Illumination Modes Supported. AI Human Detection for High Accuracy</v>
      </c>
      <c r="D1165" s="4" t="str">
        <f>IFERROR(__xludf.DUMMYFUNCTION("""COMPUTED_VALUE"""),"DAHUA")</f>
        <v>DAHUA</v>
      </c>
      <c r="E1165" s="4" t="str">
        <f>IFERROR(__xludf.DUMMYFUNCTION("""COMPUTED_VALUE"""),"DHIPCHDW1439VP-SA-IL")</f>
        <v>DHIPCHDW1439VP-SA-IL</v>
      </c>
      <c r="F1165" s="4" t="str">
        <f>IFERROR(__xludf.DUMMYFUNCTION("""COMPUTED_VALUE"""),"CCTV &gt; CAMARAS IP")</f>
        <v>CCTV &gt; CAMARAS IP</v>
      </c>
      <c r="G1165" s="5"/>
      <c r="H1165" s="6">
        <f>IFERROR(__xludf.DUMMYFUNCTION("""COMPUTED_VALUE"""),94.28)</f>
        <v>94.28</v>
      </c>
      <c r="I1165" s="7">
        <f>IFERROR(__xludf.DUMMYFUNCTION("""COMPUTED_VALUE"""),21.0)</f>
        <v>21</v>
      </c>
      <c r="J1165" s="6">
        <f>IFERROR(__xludf.DUMMYFUNCTION("""COMPUTED_VALUE"""),113.14)</f>
        <v>113.14</v>
      </c>
      <c r="K1165" s="6">
        <f>IFERROR(__xludf.DUMMYFUNCTION("""COMPUTED_VALUE"""),131.99)</f>
        <v>131.99</v>
      </c>
      <c r="L1165" s="3"/>
      <c r="M1165" s="3"/>
    </row>
    <row r="1166" ht="48.0" customHeight="1">
      <c r="A1166" s="3" t="str">
        <f>IFERROR(__xludf.DUMMYFUNCTION("""COMPUTED_VALUE"""),"DHIPCHDW1431TP0280B")</f>
        <v>DHIPCHDW1431TP0280B</v>
      </c>
      <c r="B1166" s="4" t="str">
        <f>IFERROR(__xludf.DUMMYFUNCTION("""COMPUTED_VALUE"""),"CAMARA DOMO 4MP")</f>
        <v>CAMARA DOMO 4MP</v>
      </c>
      <c r="C1166" s="4" t="str">
        <f>IFERROR(__xludf.DUMMYFUNCTION("""COMPUTED_VALUE"""),"Entry Series; Domo metalico + plástico; Sensor de imagen CMOS 1/3 ”, 4mp; Codificación H.265; Lente fija 2.8mm, distancia IR LED 30m; ROI, SMART H.264/H.265; Modo rotación, WDR, 3D DNR, HLC, BLC; Detección de anomalías; Protección IP67.")</f>
        <v>Entry Series; Domo metalico + plástico; Sensor de imagen CMOS 1/3 ”, 4mp; Codificación H.265; Lente fija 2.8mm, distancia IR LED 30m; ROI, SMART H.264/H.265; Modo rotación, WDR, 3D DNR, HLC, BLC; Detección de anomalías; Protección IP67.</v>
      </c>
      <c r="D1166" s="4" t="str">
        <f>IFERROR(__xludf.DUMMYFUNCTION("""COMPUTED_VALUE"""),"DAHUA")</f>
        <v>DAHUA</v>
      </c>
      <c r="E1166" s="4" t="str">
        <f>IFERROR(__xludf.DUMMYFUNCTION("""COMPUTED_VALUE"""),"DHIPCHDW1431TP0280B")</f>
        <v>DHIPCHDW1431TP0280B</v>
      </c>
      <c r="F1166" s="4" t="str">
        <f>IFERROR(__xludf.DUMMYFUNCTION("""COMPUTED_VALUE"""),"CCTV &gt; CAMARAS IP")</f>
        <v>CCTV &gt; CAMARAS IP</v>
      </c>
      <c r="G1166" s="5"/>
      <c r="H1166" s="6">
        <f>IFERROR(__xludf.DUMMYFUNCTION("""COMPUTED_VALUE"""),70.15)</f>
        <v>70.15</v>
      </c>
      <c r="I1166" s="7">
        <f>IFERROR(__xludf.DUMMYFUNCTION("""COMPUTED_VALUE"""),21.0)</f>
        <v>21</v>
      </c>
      <c r="J1166" s="6">
        <f>IFERROR(__xludf.DUMMYFUNCTION("""COMPUTED_VALUE"""),84.18)</f>
        <v>84.18</v>
      </c>
      <c r="K1166" s="6">
        <f>IFERROR(__xludf.DUMMYFUNCTION("""COMPUTED_VALUE"""),98.21)</f>
        <v>98.21</v>
      </c>
      <c r="L1166" s="3"/>
      <c r="M1166" s="3"/>
    </row>
    <row r="1167" ht="48.0" customHeight="1">
      <c r="A1167" s="3" t="str">
        <f>IFERROR(__xludf.DUMMYFUNCTION("""COMPUTED_VALUE"""),"DHIPCHDW2439TPASLED36")</f>
        <v>DHIPCHDW2439TPASLED36</v>
      </c>
      <c r="B1167" s="4" t="str">
        <f>IFERROR(__xludf.DUMMYFUNCTION("""COMPUTED_VALUE"""),"CAMARA DOMO 4MP")</f>
        <v>CAMARA DOMO 4MP</v>
      </c>
      <c r="C1167" s="4" t="str">
        <f>IFERROR(__xludf.DUMMYFUNCTION("""COMPUTED_VALUE"""),"Domo metálico + plástico; 4Mp, sensor de imagen CMOS 1/3”; Full-Color; Lente fija 3.6mm; Codificación H.265; Modo de rotación, WDR, 3D DNR, HLC, BLC; Micrófono incorporado; Detección inteligente y anomalías; Ranura para tarjeta micro SD; Alarma; Fuente de"&amp;" alimentación 12V DC/PoE; Protección IP67.")</f>
        <v>Domo metálico + plástico; 4Mp, sensor de imagen CMOS 1/3”; Full-Color; Lente fija 3.6mm; Codificación H.265; Modo de rotación, WDR, 3D DNR, HLC, BLC; Micrófono incorporado; Detección inteligente y anomalías; Ranura para tarjeta micro SD; Alarma; Fuente de alimentación 12V DC/PoE; Protección IP67.</v>
      </c>
      <c r="D1167" s="4" t="str">
        <f>IFERROR(__xludf.DUMMYFUNCTION("""COMPUTED_VALUE"""),"DAHUA")</f>
        <v>DAHUA</v>
      </c>
      <c r="E1167" s="4" t="str">
        <f>IFERROR(__xludf.DUMMYFUNCTION("""COMPUTED_VALUE"""),"DHIPCHDW2439TPASLED36")</f>
        <v>DHIPCHDW2439TPASLED36</v>
      </c>
      <c r="F1167" s="4" t="str">
        <f>IFERROR(__xludf.DUMMYFUNCTION("""COMPUTED_VALUE"""),"CCTV &gt; CAMARAS IP")</f>
        <v>CCTV &gt; CAMARAS IP</v>
      </c>
      <c r="G1167" s="5"/>
      <c r="H1167" s="6">
        <f>IFERROR(__xludf.DUMMYFUNCTION("""COMPUTED_VALUE"""),158.4)</f>
        <v>158.4</v>
      </c>
      <c r="I1167" s="7">
        <f>IFERROR(__xludf.DUMMYFUNCTION("""COMPUTED_VALUE"""),21.0)</f>
        <v>21</v>
      </c>
      <c r="J1167" s="6">
        <f>IFERROR(__xludf.DUMMYFUNCTION("""COMPUTED_VALUE"""),190.08)</f>
        <v>190.08</v>
      </c>
      <c r="K1167" s="6">
        <f>IFERROR(__xludf.DUMMYFUNCTION("""COMPUTED_VALUE"""),221.76)</f>
        <v>221.76</v>
      </c>
      <c r="L1167" s="3"/>
      <c r="M1167" s="3"/>
    </row>
    <row r="1168" ht="48.0" customHeight="1">
      <c r="A1168" s="3" t="str">
        <f>IFERROR(__xludf.DUMMYFUNCTION("""COMPUTED_VALUE"""),"DHIPHDPW1431RZ")</f>
        <v>DHIPHDPW1431RZ</v>
      </c>
      <c r="B1168" s="4" t="str">
        <f>IFERROR(__xludf.DUMMYFUNCTION("""COMPUTED_VALUE"""),"CAMARA DOMO 4MP")</f>
        <v>CAMARA DOMO 4MP</v>
      </c>
      <c r="C1168" s="4" t="str">
        <f>IFERROR(__xludf.DUMMYFUNCTION("""COMPUTED_VALUE"""),"Domo IP; Sensor de imagen CMOS 1/3 ”, 4mp; Codificación H.265/H.265; Lente motorizada 2.8mm-12mm, distancia IR LED 40m; ROI, SMART H.264/H.265; Modo rotación, WDR, 3D DNR, HLC, BLC; Detección de anomalías; Ranura para tarjeta micro SD; Protección IP67.")</f>
        <v>Domo IP; Sensor de imagen CMOS 1/3 ”, 4mp; Codificación H.265/H.265; Lente motorizada 2.8mm-12mm, distancia IR LED 40m; ROI, SMART H.264/H.265; Modo rotación, WDR, 3D DNR, HLC, BLC; Detección de anomalías; Ranura para tarjeta micro SD; Protección IP67.</v>
      </c>
      <c r="D1168" s="4" t="str">
        <f>IFERROR(__xludf.DUMMYFUNCTION("""COMPUTED_VALUE"""),"DAHUA")</f>
        <v>DAHUA</v>
      </c>
      <c r="E1168" s="4" t="str">
        <f>IFERROR(__xludf.DUMMYFUNCTION("""COMPUTED_VALUE"""),"DHIPHDPW1431RZ")</f>
        <v>DHIPHDPW1431RZ</v>
      </c>
      <c r="F1168" s="4" t="str">
        <f>IFERROR(__xludf.DUMMYFUNCTION("""COMPUTED_VALUE"""),"CCTV &gt; CAMARAS IP")</f>
        <v>CCTV &gt; CAMARAS IP</v>
      </c>
      <c r="G1168" s="5"/>
      <c r="H1168" s="6">
        <f>IFERROR(__xludf.DUMMYFUNCTION("""COMPUTED_VALUE"""),147.98)</f>
        <v>147.98</v>
      </c>
      <c r="I1168" s="7">
        <f>IFERROR(__xludf.DUMMYFUNCTION("""COMPUTED_VALUE"""),21.0)</f>
        <v>21</v>
      </c>
      <c r="J1168" s="6">
        <f>IFERROR(__xludf.DUMMYFUNCTION("""COMPUTED_VALUE"""),177.58)</f>
        <v>177.58</v>
      </c>
      <c r="K1168" s="6">
        <f>IFERROR(__xludf.DUMMYFUNCTION("""COMPUTED_VALUE"""),207.17)</f>
        <v>207.17</v>
      </c>
      <c r="L1168" s="3"/>
      <c r="M1168" s="3"/>
    </row>
    <row r="1169" ht="48.0" customHeight="1">
      <c r="A1169" s="3" t="str">
        <f>IFERROR(__xludf.DUMMYFUNCTION("""COMPUTED_VALUE"""),"DHIPCEB5541PAS")</f>
        <v>DHIPCEB5541PAS</v>
      </c>
      <c r="B1169" s="4" t="str">
        <f>IFERROR(__xludf.DUMMYFUNCTION("""COMPUTED_VALUE"""),"CAMARA 5MP")</f>
        <v>CAMARA 5MP</v>
      </c>
      <c r="C1169" s="4" t="str">
        <f>IFERROR(__xludf.DUMMYFUNCTION("""COMPUTED_VALUE"""),"Ojo de Pez IP 5Mpx Starlight WizMind IVS+ Mic inc Alarm+Audio in/out")</f>
        <v>Ojo de Pez IP 5Mpx Starlight WizMind IVS+ Mic inc Alarm+Audio in/out</v>
      </c>
      <c r="D1169" s="4" t="str">
        <f>IFERROR(__xludf.DUMMYFUNCTION("""COMPUTED_VALUE"""),"DAHUA")</f>
        <v>DAHUA</v>
      </c>
      <c r="E1169" s="4" t="str">
        <f>IFERROR(__xludf.DUMMYFUNCTION("""COMPUTED_VALUE"""),"DHIPCEB5541PAS")</f>
        <v>DHIPCEB5541PAS</v>
      </c>
      <c r="F1169" s="4" t="str">
        <f>IFERROR(__xludf.DUMMYFUNCTION("""COMPUTED_VALUE"""),"CCTV &gt; CAMARAS IP")</f>
        <v>CCTV &gt; CAMARAS IP</v>
      </c>
      <c r="G1169" s="5"/>
      <c r="H1169" s="6">
        <f>IFERROR(__xludf.DUMMYFUNCTION("""COMPUTED_VALUE"""),314.78)</f>
        <v>314.78</v>
      </c>
      <c r="I1169" s="7">
        <f>IFERROR(__xludf.DUMMYFUNCTION("""COMPUTED_VALUE"""),21.0)</f>
        <v>21</v>
      </c>
      <c r="J1169" s="6">
        <f>IFERROR(__xludf.DUMMYFUNCTION("""COMPUTED_VALUE"""),377.74)</f>
        <v>377.74</v>
      </c>
      <c r="K1169" s="6">
        <f>IFERROR(__xludf.DUMMYFUNCTION("""COMPUTED_VALUE"""),440.69)</f>
        <v>440.69</v>
      </c>
      <c r="L1169" s="3"/>
      <c r="M1169" s="3"/>
    </row>
    <row r="1170" ht="48.0" customHeight="1">
      <c r="A1170" s="3" t="str">
        <f>IFERROR(__xludf.DUMMYFUNCTION("""COMPUTED_VALUE"""),"DHSD22204DB-GNY")</f>
        <v>DHSD22204DB-GNY</v>
      </c>
      <c r="B1170" s="4" t="str">
        <f>IFERROR(__xludf.DUMMYFUNCTION("""COMPUTED_VALUE"""),"CAMARA DOMO WIZSENSE 2MP")</f>
        <v>CAMARA DOMO WIZSENSE 2MP</v>
      </c>
      <c r="C1170" s="4" t="str">
        <f>IFERROR(__xludf.DUMMYFUNCTION("""COMPUTED_VALUE"""),"Domo IP PTZ metálico WIZSENSE 2MP Potente zoom óptica 4x; Admite codificación de triple flujo, dia/noche, Ultra DNR; Max. 25/30@1080P; IVS; Ademite PoE; IP66, IK10")</f>
        <v>Domo IP PTZ metálico WIZSENSE 2MP Potente zoom óptica 4x; Admite codificación de triple flujo, dia/noche, Ultra DNR; Max. 25/30@1080P; IVS; Ademite PoE; IP66, IK10</v>
      </c>
      <c r="D1170" s="4" t="str">
        <f>IFERROR(__xludf.DUMMYFUNCTION("""COMPUTED_VALUE"""),"DAHUA")</f>
        <v>DAHUA</v>
      </c>
      <c r="E1170" s="4" t="str">
        <f>IFERROR(__xludf.DUMMYFUNCTION("""COMPUTED_VALUE"""),"DHSD22204DB-GNY")</f>
        <v>DHSD22204DB-GNY</v>
      </c>
      <c r="F1170" s="4" t="str">
        <f>IFERROR(__xludf.DUMMYFUNCTION("""COMPUTED_VALUE"""),"CCTV &gt; CAMARAS IP PTZ")</f>
        <v>CCTV &gt; CAMARAS IP PTZ</v>
      </c>
      <c r="G1170" s="5"/>
      <c r="H1170" s="6">
        <f>IFERROR(__xludf.DUMMYFUNCTION("""COMPUTED_VALUE"""),188.35)</f>
        <v>188.35</v>
      </c>
      <c r="I1170" s="7">
        <f>IFERROR(__xludf.DUMMYFUNCTION("""COMPUTED_VALUE"""),21.0)</f>
        <v>21</v>
      </c>
      <c r="J1170" s="6">
        <f>IFERROR(__xludf.DUMMYFUNCTION("""COMPUTED_VALUE"""),226.02)</f>
        <v>226.02</v>
      </c>
      <c r="K1170" s="6">
        <f>IFERROR(__xludf.DUMMYFUNCTION("""COMPUTED_VALUE"""),263.69)</f>
        <v>263.69</v>
      </c>
      <c r="L1170" s="3"/>
      <c r="M1170" s="3"/>
    </row>
    <row r="1171" ht="48.0" customHeight="1">
      <c r="A1171" s="3" t="str">
        <f>IFERROR(__xludf.DUMMYFUNCTION("""COMPUTED_VALUE"""),"DHHACSD40212THN")</f>
        <v>DHHACSD40212THN</v>
      </c>
      <c r="B1171" s="4" t="str">
        <f>IFERROR(__xludf.DUMMYFUNCTION("""COMPUTED_VALUE"""),"CAMARA DOMO 2MP")</f>
        <v>CAMARA DOMO 2MP</v>
      </c>
      <c r="C1171" s="4" t="str">
        <f>IFERROR(__xludf.DUMMYFUNCTION("""COMPUTED_VALUE"""),"Domo IP 2Mpx PTZ Starlight con zoom x12 · Lente CMOS STARVIS de 1/2.8 de 2 Mpc. Poderoso zoom óptico x12 Soporta codificación de triple stream. Máximo 25/30 cps@1080P. IVS. Soporta PoE+· IP66, IK10")</f>
        <v>Domo IP 2Mpx PTZ Starlight con zoom x12 · Lente CMOS STARVIS de 1/2.8 de 2 Mpc. Poderoso zoom óptico x12 Soporta codificación de triple stream. Máximo 25/30 cps@1080P. IVS. Soporta PoE+· IP66, IK10</v>
      </c>
      <c r="D1171" s="4" t="str">
        <f>IFERROR(__xludf.DUMMYFUNCTION("""COMPUTED_VALUE"""),"DAHUA")</f>
        <v>DAHUA</v>
      </c>
      <c r="E1171" s="4" t="str">
        <f>IFERROR(__xludf.DUMMYFUNCTION("""COMPUTED_VALUE"""),"DHHACSD40212THN")</f>
        <v>DHHACSD40212THN</v>
      </c>
      <c r="F1171" s="4" t="str">
        <f>IFERROR(__xludf.DUMMYFUNCTION("""COMPUTED_VALUE"""),"CCTV &gt; CAMARAS IP PTZ")</f>
        <v>CCTV &gt; CAMARAS IP PTZ</v>
      </c>
      <c r="G1171" s="5"/>
      <c r="H1171" s="6">
        <f>IFERROR(__xludf.DUMMYFUNCTION("""COMPUTED_VALUE"""),231.23)</f>
        <v>231.23</v>
      </c>
      <c r="I1171" s="7">
        <f>IFERROR(__xludf.DUMMYFUNCTION("""COMPUTED_VALUE"""),21.0)</f>
        <v>21</v>
      </c>
      <c r="J1171" s="6">
        <f>IFERROR(__xludf.DUMMYFUNCTION("""COMPUTED_VALUE"""),277.48)</f>
        <v>277.48</v>
      </c>
      <c r="K1171" s="6">
        <f>IFERROR(__xludf.DUMMYFUNCTION("""COMPUTED_VALUE"""),323.72)</f>
        <v>323.72</v>
      </c>
      <c r="L1171" s="3"/>
      <c r="M1171" s="3"/>
    </row>
    <row r="1172" ht="48.0" customHeight="1">
      <c r="A1172" s="3" t="str">
        <f>IFERROR(__xludf.DUMMYFUNCTION("""COMPUTED_VALUE"""),"DHHACSD49225XAHNR")</f>
        <v>DHHACSD49225XAHNR</v>
      </c>
      <c r="B1172" s="4" t="str">
        <f>IFERROR(__xludf.DUMMYFUNCTION("""COMPUTED_VALUE"""),"CAMARA DOMO WIZSENSE 2MP")</f>
        <v>CAMARA DOMO WIZSENSE 2MP</v>
      </c>
      <c r="C1172" s="4" t="str">
        <f>IFERROR(__xludf.DUMMYFUNCTION("""COMPUTED_VALUE"""),"Domo IP 2Mpx PTZ Starlight con zoom de 25x IR de 100m WizSense con SMD Plus")</f>
        <v>Domo IP 2Mpx PTZ Starlight con zoom de 25x IR de 100m WizSense con SMD Plus</v>
      </c>
      <c r="D1172" s="4" t="str">
        <f>IFERROR(__xludf.DUMMYFUNCTION("""COMPUTED_VALUE"""),"DAHUA")</f>
        <v>DAHUA</v>
      </c>
      <c r="E1172" s="4" t="str">
        <f>IFERROR(__xludf.DUMMYFUNCTION("""COMPUTED_VALUE"""),"DHHACSD49225XAHNR")</f>
        <v>DHHACSD49225XAHNR</v>
      </c>
      <c r="F1172" s="4" t="str">
        <f>IFERROR(__xludf.DUMMYFUNCTION("""COMPUTED_VALUE"""),"CCTV &gt; CAMARAS IP PTZ")</f>
        <v>CCTV &gt; CAMARAS IP PTZ</v>
      </c>
      <c r="G1172" s="5"/>
      <c r="H1172" s="6">
        <f>IFERROR(__xludf.DUMMYFUNCTION("""COMPUTED_VALUE"""),502.7)</f>
        <v>502.7</v>
      </c>
      <c r="I1172" s="7">
        <f>IFERROR(__xludf.DUMMYFUNCTION("""COMPUTED_VALUE"""),21.0)</f>
        <v>21</v>
      </c>
      <c r="J1172" s="6">
        <f>IFERROR(__xludf.DUMMYFUNCTION("""COMPUTED_VALUE"""),603.24)</f>
        <v>603.24</v>
      </c>
      <c r="K1172" s="6">
        <f>IFERROR(__xludf.DUMMYFUNCTION("""COMPUTED_VALUE"""),703.78)</f>
        <v>703.78</v>
      </c>
      <c r="L1172" s="3"/>
      <c r="M1172" s="3"/>
    </row>
    <row r="1173" ht="48.0" customHeight="1">
      <c r="A1173" s="3" t="str">
        <f>IFERROR(__xludf.DUMMYFUNCTION("""COMPUTED_VALUE"""),"DHTPC-BF1241B7F8DW")</f>
        <v>DHTPC-BF1241B7F8DW</v>
      </c>
      <c r="B1173" s="4" t="str">
        <f>IFERROR(__xludf.DUMMYFUNCTION("""COMPUTED_VALUE"""),"CAMARA 4MP")</f>
        <v>CAMARA 4MP</v>
      </c>
      <c r="C1173" s="4" t="str">
        <f>IFERROR(__xludf.DUMMYFUNCTION("""COMPUTED_VALUE"""),"Camara hibrida 256x192 7mm 4Mpx 8mm. Tecnología de sensor térmico VOx 256x192 pixels no refrigerado Lente atermalizada (cámara térmica), sin enfoque CMOS de barrido progresivo de 1/2,7'' y 4 megapíxeles Admite ROI, detección de movimiento, paletas de colo"&amp;"res Fumar y detección de comportamiento de llamadas. Admite detección de incendios y alarma Entrada/salida de alarma 1/1 incorporada Memoria Micro SD")</f>
        <v>Camara hibrida 256x192 7mm 4Mpx 8mm. Tecnología de sensor térmico VOx 256x192 pixels no refrigerado Lente atermalizada (cámara térmica), sin enfoque CMOS de barrido progresivo de 1/2,7'' y 4 megapíxeles Admite ROI, detección de movimiento, paletas de colores Fumar y detección de comportamiento de llamadas. Admite detección de incendios y alarma Entrada/salida de alarma 1/1 incorporada Memoria Micro SD</v>
      </c>
      <c r="D1173" s="4" t="str">
        <f>IFERROR(__xludf.DUMMYFUNCTION("""COMPUTED_VALUE"""),"DAHUA")</f>
        <v>DAHUA</v>
      </c>
      <c r="E1173" s="4" t="str">
        <f>IFERROR(__xludf.DUMMYFUNCTION("""COMPUTED_VALUE"""),"DHTPC-BF1241B7F8DW")</f>
        <v>DHTPC-BF1241B7F8DW</v>
      </c>
      <c r="F1173" s="4" t="str">
        <f>IFERROR(__xludf.DUMMYFUNCTION("""COMPUTED_VALUE"""),"CCTV &gt; CAMARAS TERMICAS")</f>
        <v>CCTV &gt; CAMARAS TERMICAS</v>
      </c>
      <c r="G1173" s="5"/>
      <c r="H1173" s="6">
        <f>IFERROR(__xludf.DUMMYFUNCTION("""COMPUTED_VALUE"""),510.1)</f>
        <v>510.1</v>
      </c>
      <c r="I1173" s="7">
        <f>IFERROR(__xludf.DUMMYFUNCTION("""COMPUTED_VALUE"""),21.0)</f>
        <v>21</v>
      </c>
      <c r="J1173" s="6">
        <f>IFERROR(__xludf.DUMMYFUNCTION("""COMPUTED_VALUE"""),612.12)</f>
        <v>612.12</v>
      </c>
      <c r="K1173" s="6">
        <f>IFERROR(__xludf.DUMMYFUNCTION("""COMPUTED_VALUE"""),714.14)</f>
        <v>714.14</v>
      </c>
      <c r="L1173" s="3"/>
      <c r="M1173" s="3"/>
    </row>
    <row r="1174" ht="48.0" customHeight="1">
      <c r="A1174" s="3" t="str">
        <f>IFERROR(__xludf.DUMMYFUNCTION("""COMPUTED_VALUE"""),"DHTPC-BF5401-B35-BM-S2")</f>
        <v>DHTPC-BF5401-B35-BM-S2</v>
      </c>
      <c r="B1174" s="4" t="str">
        <f>IFERROR(__xludf.DUMMYFUNCTION("""COMPUTED_VALUE"""),"CAMARA BULLET")</f>
        <v>CAMARA BULLET</v>
      </c>
      <c r="C1174" s="4" t="str">
        <f>IFERROR(__xludf.DUMMYFUNCTION("""COMPUTED_VALUE"""),"Camara Térmica 336x256 35mm Bullet IVS Micro SD memory, IP67, PoE, ePoE")</f>
        <v>Camara Térmica 336x256 35mm Bullet IVS Micro SD memory, IP67, PoE, ePoE</v>
      </c>
      <c r="D1174" s="4" t="str">
        <f>IFERROR(__xludf.DUMMYFUNCTION("""COMPUTED_VALUE"""),"DAHUA")</f>
        <v>DAHUA</v>
      </c>
      <c r="E1174" s="4" t="str">
        <f>IFERROR(__xludf.DUMMYFUNCTION("""COMPUTED_VALUE"""),"DHTPC-BF5401-B35-BM-S2")</f>
        <v>DHTPC-BF5401-B35-BM-S2</v>
      </c>
      <c r="F1174" s="4" t="str">
        <f>IFERROR(__xludf.DUMMYFUNCTION("""COMPUTED_VALUE"""),"CCTV &gt; CAMARAS TERMICAS")</f>
        <v>CCTV &gt; CAMARAS TERMICAS</v>
      </c>
      <c r="G1174" s="5"/>
      <c r="H1174" s="6">
        <f>IFERROR(__xludf.DUMMYFUNCTION("""COMPUTED_VALUE"""),4176.7)</f>
        <v>4176.7</v>
      </c>
      <c r="I1174" s="7">
        <f>IFERROR(__xludf.DUMMYFUNCTION("""COMPUTED_VALUE"""),21.0)</f>
        <v>21</v>
      </c>
      <c r="J1174" s="6">
        <f>IFERROR(__xludf.DUMMYFUNCTION("""COMPUTED_VALUE"""),5012.04)</f>
        <v>5012.04</v>
      </c>
      <c r="K1174" s="6">
        <f>IFERROR(__xludf.DUMMYFUNCTION("""COMPUTED_VALUE"""),5847.38)</f>
        <v>5847.38</v>
      </c>
      <c r="L1174" s="3"/>
      <c r="M1174" s="3"/>
    </row>
    <row r="1175" ht="48.0" customHeight="1">
      <c r="A1175" s="3" t="str">
        <f>IFERROR(__xludf.DUMMYFUNCTION("""COMPUTED_VALUE"""),"HCPFA12A")</f>
        <v>HCPFA12A</v>
      </c>
      <c r="B1175" s="4" t="str">
        <f>IFERROR(__xludf.DUMMYFUNCTION("""COMPUTED_VALUE"""),"CAJA DE CONEXIÓN DE PLÁSTICO")</f>
        <v>CAJA DE CONEXIÓN DE PLÁSTICO</v>
      </c>
      <c r="C1175" s="4" t="str">
        <f>IFERROR(__xludf.DUMMYFUNCTION("""COMPUTED_VALUE"""),"Caja de conexión de plástico")</f>
        <v>Caja de conexión de plástico</v>
      </c>
      <c r="D1175" s="4" t="str">
        <f>IFERROR(__xludf.DUMMYFUNCTION("""COMPUTED_VALUE"""),"DAHUA")</f>
        <v>DAHUA</v>
      </c>
      <c r="E1175" s="4" t="str">
        <f>IFERROR(__xludf.DUMMYFUNCTION("""COMPUTED_VALUE"""),"HCPFA12A")</f>
        <v>HCPFA12A</v>
      </c>
      <c r="F1175" s="4" t="str">
        <f>IFERROR(__xludf.DUMMYFUNCTION("""COMPUTED_VALUE"""),"CCTV &gt; SOPORTES / ALOJAMIENTOS")</f>
        <v>CCTV &gt; SOPORTES / ALOJAMIENTOS</v>
      </c>
      <c r="G1175" s="5"/>
      <c r="H1175" s="6">
        <f>IFERROR(__xludf.DUMMYFUNCTION("""COMPUTED_VALUE"""),3.09)</f>
        <v>3.09</v>
      </c>
      <c r="I1175" s="7">
        <f>IFERROR(__xludf.DUMMYFUNCTION("""COMPUTED_VALUE"""),21.0)</f>
        <v>21</v>
      </c>
      <c r="J1175" s="6">
        <f>IFERROR(__xludf.DUMMYFUNCTION("""COMPUTED_VALUE"""),3.71)</f>
        <v>3.71</v>
      </c>
      <c r="K1175" s="6">
        <f>IFERROR(__xludf.DUMMYFUNCTION("""COMPUTED_VALUE"""),4.33)</f>
        <v>4.33</v>
      </c>
      <c r="L1175" s="3"/>
      <c r="M1175" s="3"/>
    </row>
    <row r="1176" ht="48.0" customHeight="1">
      <c r="A1176" s="3" t="str">
        <f>IFERROR(__xludf.DUMMYFUNCTION("""COMPUTED_VALUE"""),"HCPFB203W")</f>
        <v>HCPFB203W</v>
      </c>
      <c r="B1176" s="4" t="str">
        <f>IFERROR(__xludf.DUMMYFUNCTION("""COMPUTED_VALUE"""),"SOPORTE DE PARED PARA MINIDOMOS")</f>
        <v>SOPORTE DE PARED PARA MINIDOMOS</v>
      </c>
      <c r="C1176" s="4" t="str">
        <f>IFERROR(__xludf.DUMMYFUNCTION("""COMPUTED_VALUE"""),"Soporte de pared para minidomos")</f>
        <v>Soporte de pared para minidomos</v>
      </c>
      <c r="D1176" s="4" t="str">
        <f>IFERROR(__xludf.DUMMYFUNCTION("""COMPUTED_VALUE"""),"DAHUA")</f>
        <v>DAHUA</v>
      </c>
      <c r="E1176" s="4" t="str">
        <f>IFERROR(__xludf.DUMMYFUNCTION("""COMPUTED_VALUE"""),"HCPFB203W")</f>
        <v>HCPFB203W</v>
      </c>
      <c r="F1176" s="4" t="str">
        <f>IFERROR(__xludf.DUMMYFUNCTION("""COMPUTED_VALUE"""),"CCTV &gt; SOPORTES / ALOJAMIENTOS")</f>
        <v>CCTV &gt; SOPORTES / ALOJAMIENTOS</v>
      </c>
      <c r="G1176" s="5"/>
      <c r="H1176" s="6">
        <f>IFERROR(__xludf.DUMMYFUNCTION("""COMPUTED_VALUE"""),14.85)</f>
        <v>14.85</v>
      </c>
      <c r="I1176" s="7">
        <f>IFERROR(__xludf.DUMMYFUNCTION("""COMPUTED_VALUE"""),21.0)</f>
        <v>21</v>
      </c>
      <c r="J1176" s="6">
        <f>IFERROR(__xludf.DUMMYFUNCTION("""COMPUTED_VALUE"""),17.82)</f>
        <v>17.82</v>
      </c>
      <c r="K1176" s="6">
        <f>IFERROR(__xludf.DUMMYFUNCTION("""COMPUTED_VALUE"""),20.79)</f>
        <v>20.79</v>
      </c>
      <c r="L1176" s="3"/>
      <c r="M1176" s="3"/>
    </row>
    <row r="1177" ht="48.0" customHeight="1">
      <c r="A1177" s="3" t="str">
        <f>IFERROR(__xludf.DUMMYFUNCTION("""COMPUTED_VALUE"""),"HCPFB201W")</f>
        <v>HCPFB201W</v>
      </c>
      <c r="B1177" s="4" t="str">
        <f>IFERROR(__xludf.DUMMYFUNCTION("""COMPUTED_VALUE"""),"SOPORTE DE PARED PARA MINIDOMOS")</f>
        <v>SOPORTE DE PARED PARA MINIDOMOS</v>
      </c>
      <c r="C1177" s="4" t="str">
        <f>IFERROR(__xludf.DUMMYFUNCTION("""COMPUTED_VALUE"""),"Soporte de pared para minidomos")</f>
        <v>Soporte de pared para minidomos</v>
      </c>
      <c r="D1177" s="4" t="str">
        <f>IFERROR(__xludf.DUMMYFUNCTION("""COMPUTED_VALUE"""),"DAHUA")</f>
        <v>DAHUA</v>
      </c>
      <c r="E1177" s="4" t="str">
        <f>IFERROR(__xludf.DUMMYFUNCTION("""COMPUTED_VALUE"""),"HCPFB201W")</f>
        <v>HCPFB201W</v>
      </c>
      <c r="F1177" s="4" t="str">
        <f>IFERROR(__xludf.DUMMYFUNCTION("""COMPUTED_VALUE"""),"CCTV &gt; SOPORTES / ALOJAMIENTOS")</f>
        <v>CCTV &gt; SOPORTES / ALOJAMIENTOS</v>
      </c>
      <c r="G1177" s="5"/>
      <c r="H1177" s="6">
        <f>IFERROR(__xludf.DUMMYFUNCTION("""COMPUTED_VALUE"""),19.8)</f>
        <v>19.8</v>
      </c>
      <c r="I1177" s="7">
        <f>IFERROR(__xludf.DUMMYFUNCTION("""COMPUTED_VALUE"""),21.0)</f>
        <v>21</v>
      </c>
      <c r="J1177" s="6">
        <f>IFERROR(__xludf.DUMMYFUNCTION("""COMPUTED_VALUE"""),23.76)</f>
        <v>23.76</v>
      </c>
      <c r="K1177" s="6">
        <f>IFERROR(__xludf.DUMMYFUNCTION("""COMPUTED_VALUE"""),27.72)</f>
        <v>27.72</v>
      </c>
      <c r="L1177" s="3"/>
      <c r="M1177" s="3"/>
    </row>
    <row r="1178" ht="48.0" customHeight="1">
      <c r="A1178" s="3" t="str">
        <f>IFERROR(__xludf.DUMMYFUNCTION("""COMPUTED_VALUE"""),"HCPFB204W")</f>
        <v>HCPFB204W</v>
      </c>
      <c r="B1178" s="4" t="str">
        <f>IFERROR(__xludf.DUMMYFUNCTION("""COMPUTED_VALUE"""),"SOPORTE DE PARED PARA MINIDOMOS")</f>
        <v>SOPORTE DE PARED PARA MINIDOMOS</v>
      </c>
      <c r="C1178" s="4" t="str">
        <f>IFERROR(__xludf.DUMMYFUNCTION("""COMPUTED_VALUE"""),"Soporte de pared para minidomos")</f>
        <v>Soporte de pared para minidomos</v>
      </c>
      <c r="D1178" s="4" t="str">
        <f>IFERROR(__xludf.DUMMYFUNCTION("""COMPUTED_VALUE"""),"DAHUA")</f>
        <v>DAHUA</v>
      </c>
      <c r="E1178" s="4" t="str">
        <f>IFERROR(__xludf.DUMMYFUNCTION("""COMPUTED_VALUE"""),"HCPFB204W")</f>
        <v>HCPFB204W</v>
      </c>
      <c r="F1178" s="4" t="str">
        <f>IFERROR(__xludf.DUMMYFUNCTION("""COMPUTED_VALUE"""),"CCTV &gt; SOPORTES / ALOJAMIENTOS")</f>
        <v>CCTV &gt; SOPORTES / ALOJAMIENTOS</v>
      </c>
      <c r="G1178" s="5"/>
      <c r="H1178" s="6">
        <f>IFERROR(__xludf.DUMMYFUNCTION("""COMPUTED_VALUE"""),13.67)</f>
        <v>13.67</v>
      </c>
      <c r="I1178" s="7">
        <f>IFERROR(__xludf.DUMMYFUNCTION("""COMPUTED_VALUE"""),21.0)</f>
        <v>21</v>
      </c>
      <c r="J1178" s="6">
        <f>IFERROR(__xludf.DUMMYFUNCTION("""COMPUTED_VALUE"""),16.4)</f>
        <v>16.4</v>
      </c>
      <c r="K1178" s="6">
        <f>IFERROR(__xludf.DUMMYFUNCTION("""COMPUTED_VALUE"""),19.14)</f>
        <v>19.14</v>
      </c>
      <c r="L1178" s="3"/>
      <c r="M1178" s="3"/>
    </row>
    <row r="1179" ht="48.0" customHeight="1">
      <c r="A1179" s="3" t="str">
        <f>IFERROR(__xludf.DUMMYFUNCTION("""COMPUTED_VALUE"""),"HCPFA121")</f>
        <v>HCPFA121</v>
      </c>
      <c r="B1179" s="4" t="str">
        <f>IFERROR(__xludf.DUMMYFUNCTION("""COMPUTED_VALUE"""),"CAMARA")</f>
        <v>CAMARA</v>
      </c>
      <c r="C1179" s="4" t="str">
        <f>IFERROR(__xludf.DUMMYFUNCTION("""COMPUTED_VALUE"""),"Junction Box")</f>
        <v>Junction Box</v>
      </c>
      <c r="D1179" s="4" t="str">
        <f>IFERROR(__xludf.DUMMYFUNCTION("""COMPUTED_VALUE"""),"DAHUA")</f>
        <v>DAHUA</v>
      </c>
      <c r="E1179" s="4" t="str">
        <f>IFERROR(__xludf.DUMMYFUNCTION("""COMPUTED_VALUE"""),"HCPFA121")</f>
        <v>HCPFA121</v>
      </c>
      <c r="F1179" s="4" t="str">
        <f>IFERROR(__xludf.DUMMYFUNCTION("""COMPUTED_VALUE"""),"CCTV &gt; CAMARAS ANALOGICAS")</f>
        <v>CCTV &gt; CAMARAS ANALOGICAS</v>
      </c>
      <c r="G1179" s="5"/>
      <c r="H1179" s="6">
        <f>IFERROR(__xludf.DUMMYFUNCTION("""COMPUTED_VALUE"""),20.5)</f>
        <v>20.5</v>
      </c>
      <c r="I1179" s="7">
        <f>IFERROR(__xludf.DUMMYFUNCTION("""COMPUTED_VALUE"""),21.0)</f>
        <v>21</v>
      </c>
      <c r="J1179" s="6">
        <f>IFERROR(__xludf.DUMMYFUNCTION("""COMPUTED_VALUE"""),24.6)</f>
        <v>24.6</v>
      </c>
      <c r="K1179" s="6">
        <f>IFERROR(__xludf.DUMMYFUNCTION("""COMPUTED_VALUE"""),28.7)</f>
        <v>28.7</v>
      </c>
      <c r="L1179" s="3"/>
      <c r="M1179" s="3"/>
    </row>
    <row r="1180" ht="48.0" customHeight="1">
      <c r="A1180" s="3" t="str">
        <f>IFERROR(__xludf.DUMMYFUNCTION("""COMPUTED_VALUE"""),"HCPFA122")</f>
        <v>HCPFA122</v>
      </c>
      <c r="B1180" s="4" t="str">
        <f>IFERROR(__xludf.DUMMYFUNCTION("""COMPUTED_VALUE"""),"CAJA DE CONEXIONES + SOPORTE PARA CÁMARAS BULLET MARCA DAHUA")</f>
        <v>CAJA DE CONEXIONES + SOPORTE PARA CÁMARAS BULLET MARCA DAHUA</v>
      </c>
      <c r="C1180" s="4" t="str">
        <f>IFERROR(__xludf.DUMMYFUNCTION("""COMPUTED_VALUE"""),"Caja de conexiones + Soporte para cámaras bullet marca Dahua")</f>
        <v>Caja de conexiones + Soporte para cámaras bullet marca Dahua</v>
      </c>
      <c r="D1180" s="4" t="str">
        <f>IFERROR(__xludf.DUMMYFUNCTION("""COMPUTED_VALUE"""),"DAHUA")</f>
        <v>DAHUA</v>
      </c>
      <c r="E1180" s="4" t="str">
        <f>IFERROR(__xludf.DUMMYFUNCTION("""COMPUTED_VALUE"""),"HCPFA122")</f>
        <v>HCPFA122</v>
      </c>
      <c r="F1180" s="4" t="str">
        <f>IFERROR(__xludf.DUMMYFUNCTION("""COMPUTED_VALUE"""),"CCTV &gt; SOPORTES / ALOJAMIENTOS")</f>
        <v>CCTV &gt; SOPORTES / ALOJAMIENTOS</v>
      </c>
      <c r="G1180" s="5"/>
      <c r="H1180" s="6">
        <f>IFERROR(__xludf.DUMMYFUNCTION("""COMPUTED_VALUE"""),20.5)</f>
        <v>20.5</v>
      </c>
      <c r="I1180" s="7">
        <f>IFERROR(__xludf.DUMMYFUNCTION("""COMPUTED_VALUE"""),21.0)</f>
        <v>21</v>
      </c>
      <c r="J1180" s="6">
        <f>IFERROR(__xludf.DUMMYFUNCTION("""COMPUTED_VALUE"""),24.6)</f>
        <v>24.6</v>
      </c>
      <c r="K1180" s="6">
        <f>IFERROR(__xludf.DUMMYFUNCTION("""COMPUTED_VALUE"""),28.7)</f>
        <v>28.7</v>
      </c>
      <c r="L1180" s="3"/>
      <c r="M1180" s="3"/>
    </row>
    <row r="1181" ht="48.0" customHeight="1">
      <c r="A1181" s="3" t="str">
        <f>IFERROR(__xludf.DUMMYFUNCTION("""COMPUTED_VALUE"""),"HCPFA123")</f>
        <v>HCPFA123</v>
      </c>
      <c r="B1181" s="4" t="str">
        <f>IFERROR(__xludf.DUMMYFUNCTION("""COMPUTED_VALUE"""),"CAJA DE CONEXIONES + SOPORTE PARA CÁMARAS BULLET")</f>
        <v>CAJA DE CONEXIONES + SOPORTE PARA CÁMARAS BULLET</v>
      </c>
      <c r="C1181" s="4" t="str">
        <f>IFERROR(__xludf.DUMMYFUNCTION("""COMPUTED_VALUE"""),"Caja de conexiones + Soporte para cámaras bullet")</f>
        <v>Caja de conexiones + Soporte para cámaras bullet</v>
      </c>
      <c r="D1181" s="4" t="str">
        <f>IFERROR(__xludf.DUMMYFUNCTION("""COMPUTED_VALUE"""),"DAHUA")</f>
        <v>DAHUA</v>
      </c>
      <c r="E1181" s="4" t="str">
        <f>IFERROR(__xludf.DUMMYFUNCTION("""COMPUTED_VALUE"""),"HCPFA123")</f>
        <v>HCPFA123</v>
      </c>
      <c r="F1181" s="4" t="str">
        <f>IFERROR(__xludf.DUMMYFUNCTION("""COMPUTED_VALUE"""),"CCTV &gt; SOPORTES / ALOJAMIENTOS")</f>
        <v>CCTV &gt; SOPORTES / ALOJAMIENTOS</v>
      </c>
      <c r="G1181" s="5"/>
      <c r="H1181" s="6">
        <f>IFERROR(__xludf.DUMMYFUNCTION("""COMPUTED_VALUE"""),20.5)</f>
        <v>20.5</v>
      </c>
      <c r="I1181" s="7">
        <f>IFERROR(__xludf.DUMMYFUNCTION("""COMPUTED_VALUE"""),21.0)</f>
        <v>21</v>
      </c>
      <c r="J1181" s="6">
        <f>IFERROR(__xludf.DUMMYFUNCTION("""COMPUTED_VALUE"""),24.6)</f>
        <v>24.6</v>
      </c>
      <c r="K1181" s="6">
        <f>IFERROR(__xludf.DUMMYFUNCTION("""COMPUTED_VALUE"""),28.7)</f>
        <v>28.7</v>
      </c>
      <c r="L1181" s="3"/>
      <c r="M1181" s="3"/>
    </row>
    <row r="1182" ht="48.0" customHeight="1">
      <c r="A1182" s="3" t="str">
        <f>IFERROR(__xludf.DUMMYFUNCTION("""COMPUTED_VALUE"""),"HCPFB300C")</f>
        <v>HCPFB300C</v>
      </c>
      <c r="B1182" s="4" t="str">
        <f>IFERROR(__xludf.DUMMYFUNCTION("""COMPUTED_VALUE"""),"SOPORTE 133 X 235MM ALUMINIO Y PLASTICO, PARA MONTAR")</f>
        <v>SOPORTE 133 X 235MM ALUMINIO Y PLASTICO, PARA MONTAR</v>
      </c>
      <c r="C1182" s="4" t="str">
        <f>IFERROR(__xludf.DUMMYFUNCTION("""COMPUTED_VALUE"""),"Soporte 133 x 235mm Aluminio y Plastico, para montar domos PTZ en techo/cielorazo.")</f>
        <v>Soporte 133 x 235mm Aluminio y Plastico, para montar domos PTZ en techo/cielorazo.</v>
      </c>
      <c r="D1182" s="4" t="str">
        <f>IFERROR(__xludf.DUMMYFUNCTION("""COMPUTED_VALUE"""),"DAHUA")</f>
        <v>DAHUA</v>
      </c>
      <c r="E1182" s="4" t="str">
        <f>IFERROR(__xludf.DUMMYFUNCTION("""COMPUTED_VALUE"""),"HCPFB300C")</f>
        <v>HCPFB300C</v>
      </c>
      <c r="F1182" s="4" t="str">
        <f>IFERROR(__xludf.DUMMYFUNCTION("""COMPUTED_VALUE"""),"CCTV &gt; SOPORTES / ALOJAMIENTOS")</f>
        <v>CCTV &gt; SOPORTES / ALOJAMIENTOS</v>
      </c>
      <c r="G1182" s="5"/>
      <c r="H1182" s="6">
        <f>IFERROR(__xludf.DUMMYFUNCTION("""COMPUTED_VALUE"""),22.0)</f>
        <v>22</v>
      </c>
      <c r="I1182" s="7">
        <f>IFERROR(__xludf.DUMMYFUNCTION("""COMPUTED_VALUE"""),21.0)</f>
        <v>21</v>
      </c>
      <c r="J1182" s="6">
        <f>IFERROR(__xludf.DUMMYFUNCTION("""COMPUTED_VALUE"""),26.4)</f>
        <v>26.4</v>
      </c>
      <c r="K1182" s="6">
        <f>IFERROR(__xludf.DUMMYFUNCTION("""COMPUTED_VALUE"""),30.8)</f>
        <v>30.8</v>
      </c>
      <c r="L1182" s="3"/>
      <c r="M1182" s="3"/>
    </row>
    <row r="1183" ht="48.0" customHeight="1">
      <c r="A1183" s="3" t="str">
        <f>IFERROR(__xludf.DUMMYFUNCTION("""COMPUTED_VALUE"""),"HCPFA140")</f>
        <v>HCPFA140</v>
      </c>
      <c r="B1183" s="4" t="str">
        <f>IFERROR(__xludf.DUMMYFUNCTION("""COMPUTED_VALUE"""),"CAMARA")</f>
        <v>CAMARA</v>
      </c>
      <c r="C1183" s="4" t="str">
        <f>IFERROR(__xludf.DUMMYFUNCTION("""COMPUTED_VALUE"""),"Power Box")</f>
        <v>Power Box</v>
      </c>
      <c r="D1183" s="4" t="str">
        <f>IFERROR(__xludf.DUMMYFUNCTION("""COMPUTED_VALUE"""),"DAHUA")</f>
        <v>DAHUA</v>
      </c>
      <c r="E1183" s="4" t="str">
        <f>IFERROR(__xludf.DUMMYFUNCTION("""COMPUTED_VALUE"""),"HCPFA140")</f>
        <v>HCPFA140</v>
      </c>
      <c r="F1183" s="4" t="str">
        <f>IFERROR(__xludf.DUMMYFUNCTION("""COMPUTED_VALUE"""),"CCTV &gt; CAMARAS ANALOGICAS")</f>
        <v>CCTV &gt; CAMARAS ANALOGICAS</v>
      </c>
      <c r="G1183" s="5"/>
      <c r="H1183" s="6">
        <f>IFERROR(__xludf.DUMMYFUNCTION("""COMPUTED_VALUE"""),96.42)</f>
        <v>96.42</v>
      </c>
      <c r="I1183" s="7">
        <f>IFERROR(__xludf.DUMMYFUNCTION("""COMPUTED_VALUE"""),21.0)</f>
        <v>21</v>
      </c>
      <c r="J1183" s="6">
        <f>IFERROR(__xludf.DUMMYFUNCTION("""COMPUTED_VALUE"""),115.7)</f>
        <v>115.7</v>
      </c>
      <c r="K1183" s="6">
        <f>IFERROR(__xludf.DUMMYFUNCTION("""COMPUTED_VALUE"""),134.99)</f>
        <v>134.99</v>
      </c>
      <c r="L1183" s="3"/>
      <c r="M1183" s="3"/>
    </row>
    <row r="1184" ht="48.0" customHeight="1">
      <c r="A1184" s="3" t="str">
        <f>IFERROR(__xludf.DUMMYFUNCTION("""COMPUTED_VALUE"""),"HCPFA150")</f>
        <v>HCPFA150</v>
      </c>
      <c r="B1184" s="4" t="str">
        <f>IFERROR(__xludf.DUMMYFUNCTION("""COMPUTED_VALUE"""),"SOPORTE PARA MONTAJE EN POSTES 10KG")</f>
        <v>SOPORTE PARA MONTAJE EN POSTES 10KG</v>
      </c>
      <c r="C1184" s="4" t="str">
        <f>IFERROR(__xludf.DUMMYFUNCTION("""COMPUTED_VALUE"""),"Soporte para montaje en postes 10kg")</f>
        <v>Soporte para montaje en postes 10kg</v>
      </c>
      <c r="D1184" s="4" t="str">
        <f>IFERROR(__xludf.DUMMYFUNCTION("""COMPUTED_VALUE"""),"DAHUA")</f>
        <v>DAHUA</v>
      </c>
      <c r="E1184" s="4" t="str">
        <f>IFERROR(__xludf.DUMMYFUNCTION("""COMPUTED_VALUE"""),"HCPFA150")</f>
        <v>HCPFA150</v>
      </c>
      <c r="F1184" s="4" t="str">
        <f>IFERROR(__xludf.DUMMYFUNCTION("""COMPUTED_VALUE"""),"CCTV &gt; SOPORTES / ALOJAMIENTOS")</f>
        <v>CCTV &gt; SOPORTES / ALOJAMIENTOS</v>
      </c>
      <c r="G1184" s="5"/>
      <c r="H1184" s="6">
        <f>IFERROR(__xludf.DUMMYFUNCTION("""COMPUTED_VALUE"""),30.8)</f>
        <v>30.8</v>
      </c>
      <c r="I1184" s="7">
        <f>IFERROR(__xludf.DUMMYFUNCTION("""COMPUTED_VALUE"""),21.0)</f>
        <v>21</v>
      </c>
      <c r="J1184" s="6">
        <f>IFERROR(__xludf.DUMMYFUNCTION("""COMPUTED_VALUE"""),36.96)</f>
        <v>36.96</v>
      </c>
      <c r="K1184" s="6">
        <f>IFERROR(__xludf.DUMMYFUNCTION("""COMPUTED_VALUE"""),43.12)</f>
        <v>43.12</v>
      </c>
      <c r="L1184" s="3"/>
      <c r="M1184" s="3"/>
    </row>
    <row r="1185" ht="48.0" customHeight="1">
      <c r="A1185" s="3" t="str">
        <f>IFERROR(__xludf.DUMMYFUNCTION("""COMPUTED_VALUE"""),"HCPFA152E")</f>
        <v>HCPFA152E</v>
      </c>
      <c r="B1185" s="4" t="str">
        <f>IFERROR(__xludf.DUMMYFUNCTION("""COMPUTED_VALUE"""),"SOPORTE PARA MONTAJE EN POSTES 3KG")</f>
        <v>SOPORTE PARA MONTAJE EN POSTES 3KG</v>
      </c>
      <c r="C1185" s="4" t="str">
        <f>IFERROR(__xludf.DUMMYFUNCTION("""COMPUTED_VALUE"""),"Soporte para montaje en postes 3kg")</f>
        <v>Soporte para montaje en postes 3kg</v>
      </c>
      <c r="D1185" s="4" t="str">
        <f>IFERROR(__xludf.DUMMYFUNCTION("""COMPUTED_VALUE"""),"DAHUA")</f>
        <v>DAHUA</v>
      </c>
      <c r="E1185" s="4" t="str">
        <f>IFERROR(__xludf.DUMMYFUNCTION("""COMPUTED_VALUE"""),"HCPFA152E")</f>
        <v>HCPFA152E</v>
      </c>
      <c r="F1185" s="4" t="str">
        <f>IFERROR(__xludf.DUMMYFUNCTION("""COMPUTED_VALUE"""),"CCTV &gt; SOPORTES / ALOJAMIENTOS")</f>
        <v>CCTV &gt; SOPORTES / ALOJAMIENTOS</v>
      </c>
      <c r="G1185" s="5"/>
      <c r="H1185" s="6">
        <f>IFERROR(__xludf.DUMMYFUNCTION("""COMPUTED_VALUE"""),15.4)</f>
        <v>15.4</v>
      </c>
      <c r="I1185" s="7">
        <f>IFERROR(__xludf.DUMMYFUNCTION("""COMPUTED_VALUE"""),21.0)</f>
        <v>21</v>
      </c>
      <c r="J1185" s="6">
        <f>IFERROR(__xludf.DUMMYFUNCTION("""COMPUTED_VALUE"""),18.48)</f>
        <v>18.48</v>
      </c>
      <c r="K1185" s="6">
        <f>IFERROR(__xludf.DUMMYFUNCTION("""COMPUTED_VALUE"""),21.56)</f>
        <v>21.56</v>
      </c>
      <c r="L1185" s="3"/>
      <c r="M1185" s="3"/>
    </row>
    <row r="1186" ht="48.0" customHeight="1">
      <c r="A1186" s="3" t="str">
        <f>IFERROR(__xludf.DUMMYFUNCTION("""COMPUTED_VALUE"""),"HCPFA101")</f>
        <v>HCPFA101</v>
      </c>
      <c r="B1186" s="4" t="str">
        <f>IFERROR(__xludf.DUMMYFUNCTION("""COMPUTED_VALUE"""),"SOPORTE PARA MONTAR MINIDOMOS EN SOPORTES DE PARED O")</f>
        <v>SOPORTE PARA MONTAR MINIDOMOS EN SOPORTES DE PARED O</v>
      </c>
      <c r="C1186" s="4" t="str">
        <f>IFERROR(__xludf.DUMMYFUNCTION("""COMPUTED_VALUE"""),"Soporte para montar minidomos en soportes de pared o techo que sean con rosca G1 Ø 1/2?")</f>
        <v>Soporte para montar minidomos en soportes de pared o techo que sean con rosca G1 Ø 1/2?</v>
      </c>
      <c r="D1186" s="4" t="str">
        <f>IFERROR(__xludf.DUMMYFUNCTION("""COMPUTED_VALUE"""),"DAHUA")</f>
        <v>DAHUA</v>
      </c>
      <c r="E1186" s="4" t="str">
        <f>IFERROR(__xludf.DUMMYFUNCTION("""COMPUTED_VALUE"""),"HCPFA101")</f>
        <v>HCPFA101</v>
      </c>
      <c r="F1186" s="4" t="str">
        <f>IFERROR(__xludf.DUMMYFUNCTION("""COMPUTED_VALUE"""),"CCTV &gt; SOPORTES / ALOJAMIENTOS")</f>
        <v>CCTV &gt; SOPORTES / ALOJAMIENTOS</v>
      </c>
      <c r="G1186" s="5"/>
      <c r="H1186" s="6">
        <f>IFERROR(__xludf.DUMMYFUNCTION("""COMPUTED_VALUE"""),9.9)</f>
        <v>9.9</v>
      </c>
      <c r="I1186" s="7">
        <f>IFERROR(__xludf.DUMMYFUNCTION("""COMPUTED_VALUE"""),21.0)</f>
        <v>21</v>
      </c>
      <c r="J1186" s="6">
        <f>IFERROR(__xludf.DUMMYFUNCTION("""COMPUTED_VALUE"""),11.88)</f>
        <v>11.88</v>
      </c>
      <c r="K1186" s="6">
        <f>IFERROR(__xludf.DUMMYFUNCTION("""COMPUTED_VALUE"""),13.86)</f>
        <v>13.86</v>
      </c>
      <c r="L1186" s="3"/>
      <c r="M1186" s="3"/>
    </row>
    <row r="1187" ht="48.0" customHeight="1">
      <c r="A1187" s="3" t="str">
        <f>IFERROR(__xludf.DUMMYFUNCTION("""COMPUTED_VALUE"""),"HCPFA114")</f>
        <v>HCPFA114</v>
      </c>
      <c r="B1187" s="4" t="str">
        <f>IFERROR(__xludf.DUMMYFUNCTION("""COMPUTED_VALUE"""),"CAMARA")</f>
        <v>CAMARA</v>
      </c>
      <c r="C1187" s="4" t="str">
        <f>IFERROR(__xludf.DUMMYFUNCTION("""COMPUTED_VALUE"""),"Adaptador Material Aluminum Dimension (W x H x D) F60mm x 50.5mm Pipe Thread G1 1/2 Load Bearing 7Kg Weight 0.26Kg")</f>
        <v>Adaptador Material Aluminum Dimension (W x H x D) F60mm x 50.5mm Pipe Thread G1 1/2 Load Bearing 7Kg Weight 0.26Kg</v>
      </c>
      <c r="D1187" s="4" t="str">
        <f>IFERROR(__xludf.DUMMYFUNCTION("""COMPUTED_VALUE"""),"DAHUA")</f>
        <v>DAHUA</v>
      </c>
      <c r="E1187" s="4" t="str">
        <f>IFERROR(__xludf.DUMMYFUNCTION("""COMPUTED_VALUE"""),"HCPFA114")</f>
        <v>HCPFA114</v>
      </c>
      <c r="F1187" s="4" t="str">
        <f>IFERROR(__xludf.DUMMYFUNCTION("""COMPUTED_VALUE"""),"CCTV &gt; CAMARAS ANALOGICAS")</f>
        <v>CCTV &gt; CAMARAS ANALOGICAS</v>
      </c>
      <c r="G1187" s="5"/>
      <c r="H1187" s="6">
        <f>IFERROR(__xludf.DUMMYFUNCTION("""COMPUTED_VALUE"""),7.7)</f>
        <v>7.7</v>
      </c>
      <c r="I1187" s="7">
        <f>IFERROR(__xludf.DUMMYFUNCTION("""COMPUTED_VALUE"""),21.0)</f>
        <v>21</v>
      </c>
      <c r="J1187" s="6">
        <f>IFERROR(__xludf.DUMMYFUNCTION("""COMPUTED_VALUE"""),9.24)</f>
        <v>9.24</v>
      </c>
      <c r="K1187" s="6">
        <f>IFERROR(__xludf.DUMMYFUNCTION("""COMPUTED_VALUE"""),10.78)</f>
        <v>10.78</v>
      </c>
      <c r="L1187" s="3"/>
      <c r="M1187" s="3"/>
    </row>
    <row r="1188" ht="48.0" customHeight="1">
      <c r="A1188" s="3" t="str">
        <f>IFERROR(__xludf.DUMMYFUNCTION("""COMPUTED_VALUE"""),"DHARB1606")</f>
        <v>DHARB1606</v>
      </c>
      <c r="B1188" s="4" t="str">
        <f>IFERROR(__xludf.DUMMYFUNCTION("""COMPUTED_VALUE"""),"XVR")</f>
        <v>XVR</v>
      </c>
      <c r="C1188" s="4" t="str">
        <f>IFERROR(__xludf.DUMMYFUNCTION("""COMPUTED_VALUE"""),"Accesorio para añadir entradas (16) y salidas (6) de alarma a XVR - comunicación por RS485, hasta 4 boxes en serie marca Dahua")</f>
        <v>Accesorio para añadir entradas (16) y salidas (6) de alarma a XVR - comunicación por RS485, hasta 4 boxes en serie marca Dahua</v>
      </c>
      <c r="D1188" s="4" t="str">
        <f>IFERROR(__xludf.DUMMYFUNCTION("""COMPUTED_VALUE"""),"DAHUA")</f>
        <v>DAHUA</v>
      </c>
      <c r="E1188" s="4" t="str">
        <f>IFERROR(__xludf.DUMMYFUNCTION("""COMPUTED_VALUE"""),"DHARB1606")</f>
        <v>DHARB1606</v>
      </c>
      <c r="F1188" s="4" t="str">
        <f>IFERROR(__xludf.DUMMYFUNCTION("""COMPUTED_VALUE"""),"CCTV &gt; GRABADORES XVR")</f>
        <v>CCTV &gt; GRABADORES XVR</v>
      </c>
      <c r="G1188" s="5"/>
      <c r="H1188" s="6">
        <f>IFERROR(__xludf.DUMMYFUNCTION("""COMPUTED_VALUE"""),30.68)</f>
        <v>30.68</v>
      </c>
      <c r="I1188" s="7">
        <f>IFERROR(__xludf.DUMMYFUNCTION("""COMPUTED_VALUE"""),21.0)</f>
        <v>21</v>
      </c>
      <c r="J1188" s="6">
        <f>IFERROR(__xludf.DUMMYFUNCTION("""COMPUTED_VALUE"""),36.82)</f>
        <v>36.82</v>
      </c>
      <c r="K1188" s="6">
        <f>IFERROR(__xludf.DUMMYFUNCTION("""COMPUTED_VALUE"""),42.95)</f>
        <v>42.95</v>
      </c>
      <c r="L1188" s="3"/>
      <c r="M1188" s="3"/>
    </row>
    <row r="1189" ht="48.0" customHeight="1">
      <c r="A1189" s="3" t="str">
        <f>IFERROR(__xludf.DUMMYFUNCTION("""COMPUTED_VALUE"""),"HCPFM904")</f>
        <v>HCPFM904</v>
      </c>
      <c r="B1189" s="4" t="str">
        <f>IFERROR(__xludf.DUMMYFUNCTION("""COMPUTED_VALUE"""),"TESTER COMPACTO CCTV FOURBRID HDCVI / AHD / TVI / CBVS")</f>
        <v>TESTER COMPACTO CCTV FOURBRID HDCVI / AHD / TVI / CBVS</v>
      </c>
      <c r="C1189" s="4" t="str">
        <f>IFERROR(__xludf.DUMMYFUNCTION("""COMPUTED_VALUE"""),"Tester compacto CCTV Fourbrid HDCVI / AHD / TVI / CBVS. Soporta control RS-485 Soporte de prueba de audio. Carga mediante conector USB. Compacto y portátil, diseñado con una muñequera extraíble Batería de iones de litio 18650 reemplazable. Requiere sin fu"&amp;"ente SWUSB52")</f>
        <v>Tester compacto CCTV Fourbrid HDCVI / AHD / TVI / CBVS. Soporta control RS-485 Soporte de prueba de audio. Carga mediante conector USB. Compacto y portátil, diseñado con una muñequera extraíble Batería de iones de litio 18650 reemplazable. Requiere sin fuente SWUSB52</v>
      </c>
      <c r="D1189" s="4" t="str">
        <f>IFERROR(__xludf.DUMMYFUNCTION("""COMPUTED_VALUE"""),"DAHUA")</f>
        <v>DAHUA</v>
      </c>
      <c r="E1189" s="4" t="str">
        <f>IFERROR(__xludf.DUMMYFUNCTION("""COMPUTED_VALUE"""),"HCPFM904")</f>
        <v>HCPFM904</v>
      </c>
      <c r="F1189" s="4" t="str">
        <f>IFERROR(__xludf.DUMMYFUNCTION("""COMPUTED_VALUE"""),"CCTV &gt; ACCESORIOS")</f>
        <v>CCTV &gt; ACCESORIOS</v>
      </c>
      <c r="G1189" s="5"/>
      <c r="H1189" s="6">
        <f>IFERROR(__xludf.DUMMYFUNCTION("""COMPUTED_VALUE"""),211.2)</f>
        <v>211.2</v>
      </c>
      <c r="I1189" s="7">
        <f>IFERROR(__xludf.DUMMYFUNCTION("""COMPUTED_VALUE"""),10.5)</f>
        <v>10.5</v>
      </c>
      <c r="J1189" s="6">
        <f>IFERROR(__xludf.DUMMYFUNCTION("""COMPUTED_VALUE"""),253.44)</f>
        <v>253.44</v>
      </c>
      <c r="K1189" s="6">
        <f>IFERROR(__xludf.DUMMYFUNCTION("""COMPUTED_VALUE"""),295.68)</f>
        <v>295.68</v>
      </c>
      <c r="L1189" s="3"/>
      <c r="M1189" s="3"/>
    </row>
    <row r="1190" ht="48.0" customHeight="1">
      <c r="A1190" s="3" t="str">
        <f>IFERROR(__xludf.DUMMYFUNCTION("""COMPUTED_VALUE"""),"HCPFM900-E")</f>
        <v>HCPFM900-E</v>
      </c>
      <c r="B1190" s="4" t="str">
        <f>IFERROR(__xludf.DUMMYFUNCTION("""COMPUTED_VALUE"""),"TESTER INTEGRAL PARA INSTALADORES QUE ADMITE PROTOCOLOS IP, HDCVI,")</f>
        <v>TESTER INTEGRAL PARA INSTALADORES QUE ADMITE PROTOCOLOS IP, HDCVI,</v>
      </c>
      <c r="C1190" s="4" t="str">
        <f>IFERROR(__xludf.DUMMYFUNCTION("""COMPUTED_VALUE"""),"Tester integral para instaladores que admite protocolos IP, HDCVI, AHD, TVI y analógicos con una pantalla IPS de 4 pulgadas y teclado QWERTY integrado")</f>
        <v>Tester integral para instaladores que admite protocolos IP, HDCVI, AHD, TVI y analógicos con una pantalla IPS de 4 pulgadas y teclado QWERTY integrado</v>
      </c>
      <c r="D1190" s="4" t="str">
        <f>IFERROR(__xludf.DUMMYFUNCTION("""COMPUTED_VALUE"""),"DAHUA")</f>
        <v>DAHUA</v>
      </c>
      <c r="E1190" s="4" t="str">
        <f>IFERROR(__xludf.DUMMYFUNCTION("""COMPUTED_VALUE"""),"HCPFM900-E")</f>
        <v>HCPFM900-E</v>
      </c>
      <c r="F1190" s="4" t="str">
        <f>IFERROR(__xludf.DUMMYFUNCTION("""COMPUTED_VALUE"""),"CCTV &gt; ACCESORIOS")</f>
        <v>CCTV &gt; ACCESORIOS</v>
      </c>
      <c r="G1190" s="5"/>
      <c r="H1190" s="6">
        <f>IFERROR(__xludf.DUMMYFUNCTION("""COMPUTED_VALUE"""),684.2)</f>
        <v>684.2</v>
      </c>
      <c r="I1190" s="7">
        <f>IFERROR(__xludf.DUMMYFUNCTION("""COMPUTED_VALUE"""),21.0)</f>
        <v>21</v>
      </c>
      <c r="J1190" s="6">
        <f>IFERROR(__xludf.DUMMYFUNCTION("""COMPUTED_VALUE"""),821.04)</f>
        <v>821.04</v>
      </c>
      <c r="K1190" s="6">
        <f>IFERROR(__xludf.DUMMYFUNCTION("""COMPUTED_VALUE"""),957.88)</f>
        <v>957.88</v>
      </c>
      <c r="L1190" s="3"/>
      <c r="M1190" s="3"/>
    </row>
    <row r="1191" ht="48.0" customHeight="1">
      <c r="A1191" s="3" t="str">
        <f>IFERROR(__xludf.DUMMYFUNCTION("""COMPUTED_VALUE"""),"HCPFM907-E")</f>
        <v>HCPFM907-E</v>
      </c>
      <c r="B1191" s="4" t="str">
        <f>IFERROR(__xludf.DUMMYFUNCTION("""COMPUTED_VALUE"""),"TESTER VIDEO SOPORTA SISTEMAS DE VIGILANCIA DIGITAL HDCVI, AHD,")</f>
        <v>TESTER VIDEO SOPORTA SISTEMAS DE VIGILANCIA DIGITAL HDCVI, AHD,</v>
      </c>
      <c r="C1191" s="4" t="str">
        <f>IFERROR(__xludf.DUMMYFUNCTION("""COMPUTED_VALUE"""),"Tester Video Soporta sistemas de vigilancia digital HDCVI, AHD, HDTVI y CVBS. Alimentación PoE o 12 VCC. Admite protocolo Onvif para configurar la dirección IP. Control de audio/RS-485. Función de multímetro digital. Prueba de cable de red TDR. Prueba de "&amp;"señales Wi-Fi.")</f>
        <v>Tester Video Soporta sistemas de vigilancia digital HDCVI, AHD, HDTVI y CVBS. Alimentación PoE o 12 VCC. Admite protocolo Onvif para configurar la dirección IP. Control de audio/RS-485. Función de multímetro digital. Prueba de cable de red TDR. Prueba de señales Wi-Fi.</v>
      </c>
      <c r="D1191" s="4" t="str">
        <f>IFERROR(__xludf.DUMMYFUNCTION("""COMPUTED_VALUE"""),"DAHUA")</f>
        <v>DAHUA</v>
      </c>
      <c r="E1191" s="4" t="str">
        <f>IFERROR(__xludf.DUMMYFUNCTION("""COMPUTED_VALUE"""),"HCPFM907-E")</f>
        <v>HCPFM907-E</v>
      </c>
      <c r="F1191" s="4" t="str">
        <f>IFERROR(__xludf.DUMMYFUNCTION("""COMPUTED_VALUE"""),"CCTV &gt; ACCESORIOS")</f>
        <v>CCTV &gt; ACCESORIOS</v>
      </c>
      <c r="G1191" s="5"/>
      <c r="H1191" s="6">
        <f>IFERROR(__xludf.DUMMYFUNCTION("""COMPUTED_VALUE"""),1189.42)</f>
        <v>1189.42</v>
      </c>
      <c r="I1191" s="7">
        <f>IFERROR(__xludf.DUMMYFUNCTION("""COMPUTED_VALUE"""),21.0)</f>
        <v>21</v>
      </c>
      <c r="J1191" s="6">
        <f>IFERROR(__xludf.DUMMYFUNCTION("""COMPUTED_VALUE"""),1427.3)</f>
        <v>1427.3</v>
      </c>
      <c r="K1191" s="6">
        <f>IFERROR(__xludf.DUMMYFUNCTION("""COMPUTED_VALUE"""),1665.19)</f>
        <v>1665.19</v>
      </c>
      <c r="L1191" s="3"/>
      <c r="M1191" s="3"/>
    </row>
    <row r="1192" ht="48.0" customHeight="1">
      <c r="A1192" s="3" t="str">
        <f>IFERROR(__xludf.DUMMYFUNCTION("""COMPUTED_VALUE"""),"HCDSS4004M")</f>
        <v>HCDSS4004M</v>
      </c>
      <c r="B1192" s="4" t="str">
        <f>IFERROR(__xludf.DUMMYFUNCTION("""COMPUTED_VALUE"""),"DSS 4004 SERVER S2 PRELOADED WITH LINUX-OPTIMIZED EASY-TO-USE DSS")</f>
        <v>DSS 4004 SERVER S2 PRELOADED WITH LINUX-OPTIMIZED EASY-TO-USE DSS</v>
      </c>
      <c r="C1192" s="4" t="str">
        <f>IFERROR(__xludf.DUMMYFUNCTION("""COMPUTED_VALUE"""),"DSS 4004 Server S2 Preloaded with linux-optimized easy-to-use DSS Express, which makes the deployment simplified Pre-activated 512 video channels can save the enormous costs of projects High Reliability Hot standby of two servers will keep the system 7*24"&amp;"h stable operation Long-term stability test make the hardware, OS and software more compatibile")</f>
        <v>DSS 4004 Server S2 Preloaded with linux-optimized easy-to-use DSS Express, which makes the deployment simplified Pre-activated 512 video channels can save the enormous costs of projects High Reliability Hot standby of two servers will keep the system 7*24h stable operation Long-term stability test make the hardware, OS and software more compatibile</v>
      </c>
      <c r="D1192" s="4" t="str">
        <f>IFERROR(__xludf.DUMMYFUNCTION("""COMPUTED_VALUE"""),"DAHUA")</f>
        <v>DAHUA</v>
      </c>
      <c r="E1192" s="4" t="str">
        <f>IFERROR(__xludf.DUMMYFUNCTION("""COMPUTED_VALUE"""),"HCDSS4004M")</f>
        <v>HCDSS4004M</v>
      </c>
      <c r="F1192" s="4" t="str">
        <f>IFERROR(__xludf.DUMMYFUNCTION("""COMPUTED_VALUE"""),"CCTV &gt; GESTION")</f>
        <v>CCTV &gt; GESTION</v>
      </c>
      <c r="G1192" s="5"/>
      <c r="H1192" s="6">
        <f>IFERROR(__xludf.DUMMYFUNCTION("""COMPUTED_VALUE"""),5445.0)</f>
        <v>5445</v>
      </c>
      <c r="I1192" s="7">
        <f>IFERROR(__xludf.DUMMYFUNCTION("""COMPUTED_VALUE"""),21.0)</f>
        <v>21</v>
      </c>
      <c r="J1192" s="6">
        <f>IFERROR(__xludf.DUMMYFUNCTION("""COMPUTED_VALUE"""),6534.0)</f>
        <v>6534</v>
      </c>
      <c r="K1192" s="6">
        <f>IFERROR(__xludf.DUMMYFUNCTION("""COMPUTED_VALUE"""),7623.0)</f>
        <v>7623</v>
      </c>
      <c r="L1192" s="3"/>
      <c r="M1192" s="3"/>
    </row>
    <row r="1193" ht="48.0" customHeight="1">
      <c r="A1193" s="3" t="str">
        <f>IFERROR(__xludf.DUMMYFUNCTION("""COMPUTED_VALUE"""),"HCNKB1000")</f>
        <v>HCNKB1000</v>
      </c>
      <c r="B1193" s="4" t="str">
        <f>IFERROR(__xludf.DUMMYFUNCTION("""COMPUTED_VALUE"""),"CAMARA DOMO")</f>
        <v>CAMARA DOMO</v>
      </c>
      <c r="C1193" s="4" t="str">
        <f>IFERROR(__xludf.DUMMYFUNCTION("""COMPUTED_VALUE"""),"Teclado de control; Controla domos PTZ de alta velocidad, DVRs y servidores de video en red; Joystick en 3 dimensiones para funciones de PTZ; posición preestablecida, auto scan, auto pan, auto tour y control de patrones; funciones auxiliares; Menú en pant"&amp;"alla; Conecta a la plataforma Pss inteligente o DSS a través de USB.")</f>
        <v>Teclado de control; Controla domos PTZ de alta velocidad, DVRs y servidores de video en red; Joystick en 3 dimensiones para funciones de PTZ; posición preestablecida, auto scan, auto pan, auto tour y control de patrones; funciones auxiliares; Menú en pantalla; Conecta a la plataforma Pss inteligente o DSS a través de USB.</v>
      </c>
      <c r="D1193" s="4" t="str">
        <f>IFERROR(__xludf.DUMMYFUNCTION("""COMPUTED_VALUE"""),"DAHUA")</f>
        <v>DAHUA</v>
      </c>
      <c r="E1193" s="4" t="str">
        <f>IFERROR(__xludf.DUMMYFUNCTION("""COMPUTED_VALUE"""),"HCNKB1000")</f>
        <v>HCNKB1000</v>
      </c>
      <c r="F1193" s="4" t="str">
        <f>IFERROR(__xludf.DUMMYFUNCTION("""COMPUTED_VALUE"""),"CCTV &gt; CAMARAS ANALOGICAS PTZ")</f>
        <v>CCTV &gt; CAMARAS ANALOGICAS PTZ</v>
      </c>
      <c r="G1193" s="5"/>
      <c r="H1193" s="6">
        <f>IFERROR(__xludf.DUMMYFUNCTION("""COMPUTED_VALUE"""),342.1)</f>
        <v>342.1</v>
      </c>
      <c r="I1193" s="7">
        <f>IFERROR(__xludf.DUMMYFUNCTION("""COMPUTED_VALUE"""),21.0)</f>
        <v>21</v>
      </c>
      <c r="J1193" s="6">
        <f>IFERROR(__xludf.DUMMYFUNCTION("""COMPUTED_VALUE"""),410.52)</f>
        <v>410.52</v>
      </c>
      <c r="K1193" s="6">
        <f>IFERROR(__xludf.DUMMYFUNCTION("""COMPUTED_VALUE"""),478.94)</f>
        <v>478.94</v>
      </c>
      <c r="L1193" s="3"/>
      <c r="M1193" s="3"/>
    </row>
    <row r="1194" ht="48.0" customHeight="1">
      <c r="A1194" s="3" t="str">
        <f>IFERROR(__xludf.DUMMYFUNCTION("""COMPUTED_VALUE"""),"HCMCVR5104GFW")</f>
        <v>HCMCVR5104GFW</v>
      </c>
      <c r="B1194" s="4" t="str">
        <f>IFERROR(__xludf.DUMMYFUNCTION("""COMPUTED_VALUE"""),"MOVILES GRABADOR TRIBRIDO 4+4CH GPS 3G WI-FI")</f>
        <v>MOVILES GRABADOR TRIBRIDO 4+4CH GPS 3G WI-FI</v>
      </c>
      <c r="C1194" s="4" t="str">
        <f>IFERROR(__xludf.DUMMYFUNCTION("""COMPUTED_VALUE"""),"Moviles Grabador Tribrido 4+4Ch GPS 3G Wi-Fi. Support HDCVI/Analog Video input H.264 dual-stream video compression. Support 2 channel 1080P+2 channel 720P realtime recording. VGA/TV simultaneous video output. Support 1 SATA HDD, 2 USB2.0. Aviation connect"&amp;"ors adopted. Multiple network monitoring: Web viewer, CMS(DSS/PSS) &amp; DMSS. GPS Support. 4G Support Wi-Fi Support")</f>
        <v>Moviles Grabador Tribrido 4+4Ch GPS 3G Wi-Fi. Support HDCVI/Analog Video input H.264 dual-stream video compression. Support 2 channel 1080P+2 channel 720P realtime recording. VGA/TV simultaneous video output. Support 1 SATA HDD, 2 USB2.0. Aviation connectors adopted. Multiple network monitoring: Web viewer, CMS(DSS/PSS) &amp; DMSS. GPS Support. 4G Support Wi-Fi Support</v>
      </c>
      <c r="D1194" s="4" t="str">
        <f>IFERROR(__xludf.DUMMYFUNCTION("""COMPUTED_VALUE"""),"DAHUA")</f>
        <v>DAHUA</v>
      </c>
      <c r="E1194" s="4" t="str">
        <f>IFERROR(__xludf.DUMMYFUNCTION("""COMPUTED_VALUE"""),"HCMCVR5104GFW")</f>
        <v>HCMCVR5104GFW</v>
      </c>
      <c r="F1194" s="4" t="str">
        <f>IFERROR(__xludf.DUMMYFUNCTION("""COMPUTED_VALUE"""),"ALMACENAMIENTO &gt; DISCOS CCTV")</f>
        <v>ALMACENAMIENTO &gt; DISCOS CCTV</v>
      </c>
      <c r="G1194" s="5"/>
      <c r="H1194" s="6">
        <f>IFERROR(__xludf.DUMMYFUNCTION("""COMPUTED_VALUE"""),0.0)</f>
        <v>0</v>
      </c>
      <c r="I1194" s="7">
        <f>IFERROR(__xludf.DUMMYFUNCTION("""COMPUTED_VALUE"""),21.0)</f>
        <v>21</v>
      </c>
      <c r="J1194" s="6">
        <f>IFERROR(__xludf.DUMMYFUNCTION("""COMPUTED_VALUE"""),0.0)</f>
        <v>0</v>
      </c>
      <c r="K1194" s="6">
        <f>IFERROR(__xludf.DUMMYFUNCTION("""COMPUTED_VALUE"""),0.0)</f>
        <v>0</v>
      </c>
      <c r="L1194" s="3"/>
      <c r="M1194" s="3"/>
    </row>
    <row r="1195" ht="48.0" customHeight="1">
      <c r="A1195" s="3" t="str">
        <f>IFERROR(__xludf.DUMMYFUNCTION("""COMPUTED_VALUE"""),"DHMXVR4104GFWI")</f>
        <v>DHMXVR4104GFWI</v>
      </c>
      <c r="B1195" s="4" t="str">
        <f>IFERROR(__xludf.DUMMYFUNCTION("""COMPUTED_VALUE"""),"ADMITE ENTRADA DE VIDEO PENTA-HÍBRIDO (HDCVI/AHD/TVI/CVBS/IP) ADMITE C")</f>
        <v>ADMITE ENTRADA DE VIDEO PENTA-HÍBRIDO (HDCVI/AHD/TVI/CVBS/IP) ADMITE C</v>
      </c>
      <c r="C1195" s="4" t="str">
        <f>IFERROR(__xludf.DUMMYFUNCTION("""COMPUTED_VALUE"""),"Admite entrada de video penta-híbrido (HDCVI/AHD/TVI/CVBS/IP) Admite compresión de video H.265/smart H.265· Admite grabación en tiempo real de 4 canales 1080P· Salida de vídeo simultánea VGA/TV· Soporta 1 HDD y 1 tarjeta SD· Admite detección de rostros· C"&amp;"onectores de aviación adoptados· Supervisión de redes múltiples: visor web, CMS (DSS/PSS) y DMSS.Support 2 channel 1080P + 2 channel 720P realtime recording.VGA/TV simultaneous video output. Support 1 SATA HDD, 2 USB2.0. Aviation connectors adopted. Multi"&amp;"ple network monitoring: Web viewer, CMS(DSS/PSS) &amp; DMSS.")</f>
        <v>Admite entrada de video penta-híbrido (HDCVI/AHD/TVI/CVBS/IP) Admite compresión de video H.265/smart H.265· Admite grabación en tiempo real de 4 canales 1080P· Salida de vídeo simultánea VGA/TV· Soporta 1 HDD y 1 tarjeta SD· Admite detección de rostros· Conectores de aviación adoptados· Supervisión de redes múltiples: visor web, CMS (DSS/PSS) y DMSS.Support 2 channel 1080P + 2 channel 720P realtime recording.VGA/TV simultaneous video output. Support 1 SATA HDD, 2 USB2.0. Aviation connectors adopted. Multiple network monitoring: Web viewer, CMS(DSS/PSS) &amp; DMSS.</v>
      </c>
      <c r="D1195" s="4" t="str">
        <f>IFERROR(__xludf.DUMMYFUNCTION("""COMPUTED_VALUE"""),"DAHUA")</f>
        <v>DAHUA</v>
      </c>
      <c r="E1195" s="4" t="str">
        <f>IFERROR(__xludf.DUMMYFUNCTION("""COMPUTED_VALUE"""),"DHMXVR4104GFWI")</f>
        <v>DHMXVR4104GFWI</v>
      </c>
      <c r="F1195" s="4" t="str">
        <f>IFERROR(__xludf.DUMMYFUNCTION("""COMPUTED_VALUE"""),"ALMACENAMIENTO &gt; DISCOS CCTV")</f>
        <v>ALMACENAMIENTO &gt; DISCOS CCTV</v>
      </c>
      <c r="G1195" s="5"/>
      <c r="H1195" s="6">
        <f>IFERROR(__xludf.DUMMYFUNCTION("""COMPUTED_VALUE"""),0.0)</f>
        <v>0</v>
      </c>
      <c r="I1195" s="7">
        <f>IFERROR(__xludf.DUMMYFUNCTION("""COMPUTED_VALUE"""),21.0)</f>
        <v>21</v>
      </c>
      <c r="J1195" s="6">
        <f>IFERROR(__xludf.DUMMYFUNCTION("""COMPUTED_VALUE"""),0.0)</f>
        <v>0</v>
      </c>
      <c r="K1195" s="6">
        <f>IFERROR(__xludf.DUMMYFUNCTION("""COMPUTED_VALUE"""),0.0)</f>
        <v>0</v>
      </c>
      <c r="L1195" s="3"/>
      <c r="M1195" s="3"/>
    </row>
    <row r="1196" ht="48.0" customHeight="1">
      <c r="A1196" s="3" t="str">
        <f>IFERROR(__xludf.DUMMYFUNCTION("""COMPUTED_VALUE"""),"DHHACHDBW2241FPMA")</f>
        <v>DHHACHDBW2241FPMA</v>
      </c>
      <c r="B1196" s="4" t="str">
        <f>IFERROR(__xludf.DUMMYFUNCTION("""COMPUTED_VALUE"""),"CAMARA DOMO 2MP")</f>
        <v>CAMARA DOMO 2MP</v>
      </c>
      <c r="C1196" s="4" t="str">
        <f>IFERROR(__xludf.DUMMYFUNCTION("""COMPUTED_VALUE"""),"Cámara HDCVI mini domo antivandálico IP6K9K 2Mpx Starlight Móviles IR WDR conexión aeronáutica")</f>
        <v>Cámara HDCVI mini domo antivandálico IP6K9K 2Mpx Starlight Móviles IR WDR conexión aeronáutica</v>
      </c>
      <c r="D1196" s="4" t="str">
        <f>IFERROR(__xludf.DUMMYFUNCTION("""COMPUTED_VALUE"""),"DAHUA")</f>
        <v>DAHUA</v>
      </c>
      <c r="E1196" s="4" t="str">
        <f>IFERROR(__xludf.DUMMYFUNCTION("""COMPUTED_VALUE"""),"DHHACHDBW2241FPMA")</f>
        <v>DHHACHDBW2241FPMA</v>
      </c>
      <c r="F1196" s="4" t="str">
        <f>IFERROR(__xludf.DUMMYFUNCTION("""COMPUTED_VALUE"""),"CCTV &gt; CAMARAS ANALOGICAS")</f>
        <v>CCTV &gt; CAMARAS ANALOGICAS</v>
      </c>
      <c r="G1196" s="5"/>
      <c r="H1196" s="6">
        <f>IFERROR(__xludf.DUMMYFUNCTION("""COMPUTED_VALUE"""),112.2)</f>
        <v>112.2</v>
      </c>
      <c r="I1196" s="7">
        <f>IFERROR(__xludf.DUMMYFUNCTION("""COMPUTED_VALUE"""),21.0)</f>
        <v>21</v>
      </c>
      <c r="J1196" s="6">
        <f>IFERROR(__xludf.DUMMYFUNCTION("""COMPUTED_VALUE"""),134.64)</f>
        <v>134.64</v>
      </c>
      <c r="K1196" s="6">
        <f>IFERROR(__xludf.DUMMYFUNCTION("""COMPUTED_VALUE"""),157.08)</f>
        <v>157.08</v>
      </c>
      <c r="L1196" s="3"/>
      <c r="M1196" s="3"/>
    </row>
    <row r="1197" ht="48.0" customHeight="1">
      <c r="A1197" s="3" t="str">
        <f>IFERROR(__xludf.DUMMYFUNCTION("""COMPUTED_VALUE"""),"DH-HAC-HDBW3200FPM0280BS")</f>
        <v>DH-HAC-HDBW3200FPM0280BS</v>
      </c>
      <c r="B1197" s="4" t="str">
        <f>IFERROR(__xludf.DUMMYFUNCTION("""COMPUTED_VALUE"""),"CAMARA MOBILE HDCVI DOMO 2 MP 2")</f>
        <v>CAMARA MOBILE HDCVI DOMO 2 MP 2</v>
      </c>
      <c r="C1197" s="4" t="str">
        <f>IFERROR(__xludf.DUMMYFUNCTION("""COMPUTED_VALUE"""),"Camara mobile HDCVI domo 2 mp 2.8mm Mic 2MP Mobile HDCVI IR 2MP .Max 30fps@1080p CVI/CVBS/AHD/TVI switchable, Built-in Mic, Max. IR length 20 m, Smart IR, IP67, IK10, DC12V Shock-proof")</f>
        <v>Camara mobile HDCVI domo 2 mp 2.8mm Mic 2MP Mobile HDCVI IR 2MP .Max 30fps@1080p CVI/CVBS/AHD/TVI switchable, Built-in Mic, Max. IR length 20 m, Smart IR, IP67, IK10, DC12V Shock-proof</v>
      </c>
      <c r="D1197" s="4" t="str">
        <f>IFERROR(__xludf.DUMMYFUNCTION("""COMPUTED_VALUE"""),"DAHUA")</f>
        <v>DAHUA</v>
      </c>
      <c r="E1197" s="4" t="str">
        <f>IFERROR(__xludf.DUMMYFUNCTION("""COMPUTED_VALUE"""),"DH-HAC-HDBW3200FPM0280BS")</f>
        <v>DH-HAC-HDBW3200FPM0280BS</v>
      </c>
      <c r="F1197" s="4" t="str">
        <f>IFERROR(__xludf.DUMMYFUNCTION("""COMPUTED_VALUE"""),"CONECTIVIDAD &gt; SWITCH")</f>
        <v>CONECTIVIDAD &gt; SWITCH</v>
      </c>
      <c r="G1197" s="5"/>
      <c r="H1197" s="6">
        <f>IFERROR(__xludf.DUMMYFUNCTION("""COMPUTED_VALUE"""),93.5)</f>
        <v>93.5</v>
      </c>
      <c r="I1197" s="7">
        <f>IFERROR(__xludf.DUMMYFUNCTION("""COMPUTED_VALUE"""),21.0)</f>
        <v>21</v>
      </c>
      <c r="J1197" s="6">
        <f>IFERROR(__xludf.DUMMYFUNCTION("""COMPUTED_VALUE"""),112.2)</f>
        <v>112.2</v>
      </c>
      <c r="K1197" s="6">
        <f>IFERROR(__xludf.DUMMYFUNCTION("""COMPUTED_VALUE"""),130.9)</f>
        <v>130.9</v>
      </c>
      <c r="L1197" s="3"/>
      <c r="M1197" s="3"/>
    </row>
    <row r="1198" ht="48.0" customHeight="1">
      <c r="A1198" s="3" t="str">
        <f>IFERROR(__xludf.DUMMYFUNCTION("""COMPUTED_VALUE"""),"HACHDW1220GPM")</f>
        <v>HACHDW1220GPM</v>
      </c>
      <c r="B1198" s="4" t="str">
        <f>IFERROR(__xludf.DUMMYFUNCTION("""COMPUTED_VALUE"""),"CAMARA DOMO 2MP")</f>
        <v>CAMARA DOMO 2MP</v>
      </c>
      <c r="C1198" s="4" t="str">
        <f>IFERROR(__xludf.DUMMYFUNCTION("""COMPUTED_VALUE"""),"Camara HDCVI Domo 2Mpx Moviles IR Rosca")</f>
        <v>Camara HDCVI Domo 2Mpx Moviles IR Rosca</v>
      </c>
      <c r="D1198" s="4" t="str">
        <f>IFERROR(__xludf.DUMMYFUNCTION("""COMPUTED_VALUE"""),"DAHUA")</f>
        <v>DAHUA</v>
      </c>
      <c r="E1198" s="4" t="str">
        <f>IFERROR(__xludf.DUMMYFUNCTION("""COMPUTED_VALUE"""),"HACHDW1220GPM")</f>
        <v>HACHDW1220GPM</v>
      </c>
      <c r="F1198" s="4" t="str">
        <f>IFERROR(__xludf.DUMMYFUNCTION("""COMPUTED_VALUE"""),"CCTV &gt; CAMARAS ANALOGICAS")</f>
        <v>CCTV &gt; CAMARAS ANALOGICAS</v>
      </c>
      <c r="G1198" s="5"/>
      <c r="H1198" s="6">
        <f>IFERROR(__xludf.DUMMYFUNCTION("""COMPUTED_VALUE"""),40.44)</f>
        <v>40.44</v>
      </c>
      <c r="I1198" s="7">
        <f>IFERROR(__xludf.DUMMYFUNCTION("""COMPUTED_VALUE"""),21.0)</f>
        <v>21</v>
      </c>
      <c r="J1198" s="6">
        <f>IFERROR(__xludf.DUMMYFUNCTION("""COMPUTED_VALUE"""),48.53)</f>
        <v>48.53</v>
      </c>
      <c r="K1198" s="6">
        <f>IFERROR(__xludf.DUMMYFUNCTION("""COMPUTED_VALUE"""),56.62)</f>
        <v>56.62</v>
      </c>
      <c r="L1198" s="3"/>
      <c r="M1198" s="3"/>
    </row>
    <row r="1199" ht="48.0" customHeight="1">
      <c r="A1199" s="3" t="str">
        <f>IFERROR(__xludf.DUMMYFUNCTION("""COMPUTED_VALUE"""),"HACHMW3200P")</f>
        <v>HACHMW3200P</v>
      </c>
      <c r="B1199" s="4" t="str">
        <f>IFERROR(__xludf.DUMMYFUNCTION("""COMPUTED_VALUE"""),"CAMARA 2MP")</f>
        <v>CAMARA 2MP</v>
      </c>
      <c r="C1199" s="4" t="str">
        <f>IFERROR(__xludf.DUMMYFUNCTION("""COMPUTED_VALUE"""),"Camara HDCVI 2Mpx 2.8mm p/vehiculos conector rosca")</f>
        <v>Camara HDCVI 2Mpx 2.8mm p/vehiculos conector rosca</v>
      </c>
      <c r="D1199" s="4" t="str">
        <f>IFERROR(__xludf.DUMMYFUNCTION("""COMPUTED_VALUE"""),"DAHUA")</f>
        <v>DAHUA</v>
      </c>
      <c r="E1199" s="4" t="str">
        <f>IFERROR(__xludf.DUMMYFUNCTION("""COMPUTED_VALUE"""),"HACHMW3200P")</f>
        <v>HACHMW3200P</v>
      </c>
      <c r="F1199" s="4" t="str">
        <f>IFERROR(__xludf.DUMMYFUNCTION("""COMPUTED_VALUE"""),"CCTV &gt; CAMARAS ANALOGICAS")</f>
        <v>CCTV &gt; CAMARAS ANALOGICAS</v>
      </c>
      <c r="G1199" s="5"/>
      <c r="H1199" s="6">
        <f>IFERROR(__xludf.DUMMYFUNCTION("""COMPUTED_VALUE"""),89.32)</f>
        <v>89.32</v>
      </c>
      <c r="I1199" s="7">
        <f>IFERROR(__xludf.DUMMYFUNCTION("""COMPUTED_VALUE"""),21.0)</f>
        <v>21</v>
      </c>
      <c r="J1199" s="6">
        <f>IFERROR(__xludf.DUMMYFUNCTION("""COMPUTED_VALUE"""),107.18)</f>
        <v>107.18</v>
      </c>
      <c r="K1199" s="6">
        <f>IFERROR(__xludf.DUMMYFUNCTION("""COMPUTED_VALUE"""),125.05)</f>
        <v>125.05</v>
      </c>
      <c r="L1199" s="3"/>
      <c r="M1199" s="3"/>
    </row>
    <row r="1200" ht="48.0" customHeight="1">
      <c r="A1200" s="3" t="str">
        <f>IFERROR(__xludf.DUMMYFUNCTION("""COMPUTED_VALUE"""),"HACHDW1100GPM02")</f>
        <v>HACHDW1100GPM02</v>
      </c>
      <c r="B1200" s="4" t="str">
        <f>IFERROR(__xludf.DUMMYFUNCTION("""COMPUTED_VALUE"""),"CAM HDCVI MOBILE 1MPX 2")</f>
        <v>CAM HDCVI MOBILE 1MPX 2</v>
      </c>
      <c r="C1200" s="4" t="str">
        <f>IFERROR(__xludf.DUMMYFUNCTION("""COMPUTED_VALUE"""),"Cam HDCVI mobile 1mpx 2.8mm")</f>
        <v>Cam HDCVI mobile 1mpx 2.8mm</v>
      </c>
      <c r="D1200" s="4" t="str">
        <f>IFERROR(__xludf.DUMMYFUNCTION("""COMPUTED_VALUE"""),"DAHUA")</f>
        <v>DAHUA</v>
      </c>
      <c r="E1200" s="4" t="str">
        <f>IFERROR(__xludf.DUMMYFUNCTION("""COMPUTED_VALUE"""),"HACHDW1100GPM02")</f>
        <v>HACHDW1100GPM02</v>
      </c>
      <c r="F1200" s="4" t="str">
        <f>IFERROR(__xludf.DUMMYFUNCTION("""COMPUTED_VALUE"""),"CCTV &gt; MOVILES")</f>
        <v>CCTV &gt; MOVILES</v>
      </c>
      <c r="G1200" s="5"/>
      <c r="H1200" s="6">
        <f>IFERROR(__xludf.DUMMYFUNCTION("""COMPUTED_VALUE"""),55.0)</f>
        <v>55</v>
      </c>
      <c r="I1200" s="7">
        <f>IFERROR(__xludf.DUMMYFUNCTION("""COMPUTED_VALUE"""),21.0)</f>
        <v>21</v>
      </c>
      <c r="J1200" s="6">
        <f>IFERROR(__xludf.DUMMYFUNCTION("""COMPUTED_VALUE"""),66.0)</f>
        <v>66</v>
      </c>
      <c r="K1200" s="6">
        <f>IFERROR(__xludf.DUMMYFUNCTION("""COMPUTED_VALUE"""),77.0)</f>
        <v>77</v>
      </c>
      <c r="L1200" s="3"/>
      <c r="M1200" s="3"/>
    </row>
    <row r="1201" ht="48.0" customHeight="1">
      <c r="A1201" s="3" t="str">
        <f>IFERROR(__xludf.DUMMYFUNCTION("""COMPUTED_VALUE"""),"HCMCAF4AM43")</f>
        <v>HCMCAF4AM43</v>
      </c>
      <c r="B1201" s="4" t="str">
        <f>IFERROR(__xludf.DUMMYFUNCTION("""COMPUTED_VALUE"""),"HCGX43 CABLE EXTENSIÓN AVIADOR 4 PINES 3 METROS")</f>
        <v>HCGX43 CABLE EXTENSIÓN AVIADOR 4 PINES 3 METROS</v>
      </c>
      <c r="C1201" s="4" t="str">
        <f>IFERROR(__xludf.DUMMYFUNCTION("""COMPUTED_VALUE"""),"HCGX43 Cable extensión aviador 4 pines 3 metros")</f>
        <v>HCGX43 Cable extensión aviador 4 pines 3 metros</v>
      </c>
      <c r="D1201" s="4" t="str">
        <f>IFERROR(__xludf.DUMMYFUNCTION("""COMPUTED_VALUE"""),"DAHUA")</f>
        <v>DAHUA</v>
      </c>
      <c r="E1201" s="4" t="str">
        <f>IFERROR(__xludf.DUMMYFUNCTION("""COMPUTED_VALUE"""),"HCMCAF4AM43")</f>
        <v>HCMCAF4AM43</v>
      </c>
      <c r="F1201" s="4" t="str">
        <f>IFERROR(__xludf.DUMMYFUNCTION("""COMPUTED_VALUE"""),"CCTV &gt; MOVILES")</f>
        <v>CCTV &gt; MOVILES</v>
      </c>
      <c r="G1201" s="5"/>
      <c r="H1201" s="6">
        <f>IFERROR(__xludf.DUMMYFUNCTION("""COMPUTED_VALUE"""),13.2)</f>
        <v>13.2</v>
      </c>
      <c r="I1201" s="7">
        <f>IFERROR(__xludf.DUMMYFUNCTION("""COMPUTED_VALUE"""),21.0)</f>
        <v>21</v>
      </c>
      <c r="J1201" s="6">
        <f>IFERROR(__xludf.DUMMYFUNCTION("""COMPUTED_VALUE"""),15.84)</f>
        <v>15.84</v>
      </c>
      <c r="K1201" s="6">
        <f>IFERROR(__xludf.DUMMYFUNCTION("""COMPUTED_VALUE"""),18.48)</f>
        <v>18.48</v>
      </c>
      <c r="L1201" s="3"/>
      <c r="M1201" s="3"/>
    </row>
    <row r="1202" ht="48.0" customHeight="1">
      <c r="A1202" s="3" t="str">
        <f>IFERROR(__xludf.DUMMYFUNCTION("""COMPUTED_VALUE"""),"HCMCAF4AM46")</f>
        <v>HCMCAF4AM46</v>
      </c>
      <c r="B1202" s="4" t="str">
        <f>IFERROR(__xludf.DUMMYFUNCTION("""COMPUTED_VALUE"""),"MC-AF4-AM4-6 CABLE EXTENSIÓN AVIADOR 4 PINES 6 METROS")</f>
        <v>MC-AF4-AM4-6 CABLE EXTENSIÓN AVIADOR 4 PINES 6 METROS</v>
      </c>
      <c r="C1202" s="4" t="str">
        <f>IFERROR(__xludf.DUMMYFUNCTION("""COMPUTED_VALUE"""),"MC-AF4-AM4-6 Cable extensión aviador 4 pines 6 metros")</f>
        <v>MC-AF4-AM4-6 Cable extensión aviador 4 pines 6 metros</v>
      </c>
      <c r="D1202" s="4" t="str">
        <f>IFERROR(__xludf.DUMMYFUNCTION("""COMPUTED_VALUE"""),"DAHUA")</f>
        <v>DAHUA</v>
      </c>
      <c r="E1202" s="4" t="str">
        <f>IFERROR(__xludf.DUMMYFUNCTION("""COMPUTED_VALUE"""),"HCMCAF4AM46")</f>
        <v>HCMCAF4AM46</v>
      </c>
      <c r="F1202" s="4" t="str">
        <f>IFERROR(__xludf.DUMMYFUNCTION("""COMPUTED_VALUE"""),"CCTV &gt; MOVILES")</f>
        <v>CCTV &gt; MOVILES</v>
      </c>
      <c r="G1202" s="5"/>
      <c r="H1202" s="6">
        <f>IFERROR(__xludf.DUMMYFUNCTION("""COMPUTED_VALUE"""),15.4)</f>
        <v>15.4</v>
      </c>
      <c r="I1202" s="7">
        <f>IFERROR(__xludf.DUMMYFUNCTION("""COMPUTED_VALUE"""),21.0)</f>
        <v>21</v>
      </c>
      <c r="J1202" s="6">
        <f>IFERROR(__xludf.DUMMYFUNCTION("""COMPUTED_VALUE"""),18.48)</f>
        <v>18.48</v>
      </c>
      <c r="K1202" s="6">
        <f>IFERROR(__xludf.DUMMYFUNCTION("""COMPUTED_VALUE"""),21.56)</f>
        <v>21.56</v>
      </c>
      <c r="L1202" s="3"/>
      <c r="M1202" s="3"/>
    </row>
    <row r="1203" ht="48.0" customHeight="1">
      <c r="A1203" s="3" t="str">
        <f>IFERROR(__xludf.DUMMYFUNCTION("""COMPUTED_VALUE"""),"HCMCAF4AM412")</f>
        <v>HCMCAF4AM412</v>
      </c>
      <c r="B1203" s="4" t="str">
        <f>IFERROR(__xludf.DUMMYFUNCTION("""COMPUTED_VALUE"""),"HCGX412 CABLE EXTENSIÓN AVIADOR 4 PINES 12 METROS")</f>
        <v>HCGX412 CABLE EXTENSIÓN AVIADOR 4 PINES 12 METROS</v>
      </c>
      <c r="C1203" s="4" t="str">
        <f>IFERROR(__xludf.DUMMYFUNCTION("""COMPUTED_VALUE"""),"HCGX412 Cable extensión aviador 4 pines 12 metros")</f>
        <v>HCGX412 Cable extensión aviador 4 pines 12 metros</v>
      </c>
      <c r="D1203" s="4" t="str">
        <f>IFERROR(__xludf.DUMMYFUNCTION("""COMPUTED_VALUE"""),"DAHUA")</f>
        <v>DAHUA</v>
      </c>
      <c r="E1203" s="4" t="str">
        <f>IFERROR(__xludf.DUMMYFUNCTION("""COMPUTED_VALUE"""),"HCMCAF4AM412")</f>
        <v>HCMCAF4AM412</v>
      </c>
      <c r="F1203" s="4" t="str">
        <f>IFERROR(__xludf.DUMMYFUNCTION("""COMPUTED_VALUE"""),"CCTV &gt; MOVILES")</f>
        <v>CCTV &gt; MOVILES</v>
      </c>
      <c r="G1203" s="5"/>
      <c r="H1203" s="6">
        <f>IFERROR(__xludf.DUMMYFUNCTION("""COMPUTED_VALUE"""),25.3)</f>
        <v>25.3</v>
      </c>
      <c r="I1203" s="7">
        <f>IFERROR(__xludf.DUMMYFUNCTION("""COMPUTED_VALUE"""),21.0)</f>
        <v>21</v>
      </c>
      <c r="J1203" s="6">
        <f>IFERROR(__xludf.DUMMYFUNCTION("""COMPUTED_VALUE"""),30.36)</f>
        <v>30.36</v>
      </c>
      <c r="K1203" s="6">
        <f>IFERROR(__xludf.DUMMYFUNCTION("""COMPUTED_VALUE"""),35.42)</f>
        <v>35.42</v>
      </c>
      <c r="L1203" s="3"/>
      <c r="M1203" s="3"/>
    </row>
    <row r="1204" ht="48.0" customHeight="1">
      <c r="A1204" s="3" t="str">
        <f>IFERROR(__xludf.DUMMYFUNCTION("""COMPUTED_VALUE"""),"DHMCAF4AM418")</f>
        <v>DHMCAF4AM418</v>
      </c>
      <c r="B1204" s="4" t="str">
        <f>IFERROR(__xludf.DUMMYFUNCTION("""COMPUTED_VALUE"""),"HCMCAF4AM418 CABLE EXTENSIÓN AVIADOR 4 PINES 18 METROS")</f>
        <v>HCMCAF4AM418 CABLE EXTENSIÓN AVIADOR 4 PINES 18 METROS</v>
      </c>
      <c r="C1204" s="4" t="str">
        <f>IFERROR(__xludf.DUMMYFUNCTION("""COMPUTED_VALUE"""),"HCMCAF4AM418 Cable extensión aviador 4 pines 18 metros")</f>
        <v>HCMCAF4AM418 Cable extensión aviador 4 pines 18 metros</v>
      </c>
      <c r="D1204" s="4" t="str">
        <f>IFERROR(__xludf.DUMMYFUNCTION("""COMPUTED_VALUE"""),"DAHUA")</f>
        <v>DAHUA</v>
      </c>
      <c r="E1204" s="4" t="str">
        <f>IFERROR(__xludf.DUMMYFUNCTION("""COMPUTED_VALUE"""),"DHMCAF4AM418")</f>
        <v>DHMCAF4AM418</v>
      </c>
      <c r="F1204" s="4" t="str">
        <f>IFERROR(__xludf.DUMMYFUNCTION("""COMPUTED_VALUE"""),"CCTV &gt; MOVILES")</f>
        <v>CCTV &gt; MOVILES</v>
      </c>
      <c r="G1204" s="5"/>
      <c r="H1204" s="6">
        <f>IFERROR(__xludf.DUMMYFUNCTION("""COMPUTED_VALUE"""),37.4)</f>
        <v>37.4</v>
      </c>
      <c r="I1204" s="7">
        <f>IFERROR(__xludf.DUMMYFUNCTION("""COMPUTED_VALUE"""),21.0)</f>
        <v>21</v>
      </c>
      <c r="J1204" s="6">
        <f>IFERROR(__xludf.DUMMYFUNCTION("""COMPUTED_VALUE"""),44.88)</f>
        <v>44.88</v>
      </c>
      <c r="K1204" s="6">
        <f>IFERROR(__xludf.DUMMYFUNCTION("""COMPUTED_VALUE"""),52.36)</f>
        <v>52.36</v>
      </c>
      <c r="L1204" s="3"/>
      <c r="M1204" s="3"/>
    </row>
    <row r="1205" ht="48.0" customHeight="1">
      <c r="A1205" s="3" t="str">
        <f>IFERROR(__xludf.DUMMYFUNCTION("""COMPUTED_VALUE"""),"HCMCAF10DBF15")</f>
        <v>HCMCAF10DBF15</v>
      </c>
      <c r="B1205" s="4" t="str">
        <f>IFERROR(__xludf.DUMMYFUNCTION("""COMPUTED_VALUE"""),"DVR")</f>
        <v>DVR</v>
      </c>
      <c r="C1205" s="4" t="str">
        <f>IFERROR(__xludf.DUMMYFUNCTION("""COMPUTED_VALUE"""),"HCGXVGA Cable Salida VGA para DVR Moviles 25cm")</f>
        <v>HCGXVGA Cable Salida VGA para DVR Moviles 25cm</v>
      </c>
      <c r="D1205" s="4" t="str">
        <f>IFERROR(__xludf.DUMMYFUNCTION("""COMPUTED_VALUE"""),"DAHUA")</f>
        <v>DAHUA</v>
      </c>
      <c r="E1205" s="4" t="str">
        <f>IFERROR(__xludf.DUMMYFUNCTION("""COMPUTED_VALUE"""),"HCMCAF10DBF15")</f>
        <v>HCMCAF10DBF15</v>
      </c>
      <c r="F1205" s="4" t="str">
        <f>IFERROR(__xludf.DUMMYFUNCTION("""COMPUTED_VALUE"""),"CCTV &gt; GRABADORES DVR")</f>
        <v>CCTV &gt; GRABADORES DVR</v>
      </c>
      <c r="G1205" s="5"/>
      <c r="H1205" s="6">
        <f>IFERROR(__xludf.DUMMYFUNCTION("""COMPUTED_VALUE"""),13.2)</f>
        <v>13.2</v>
      </c>
      <c r="I1205" s="7">
        <f>IFERROR(__xludf.DUMMYFUNCTION("""COMPUTED_VALUE"""),21.0)</f>
        <v>21</v>
      </c>
      <c r="J1205" s="6">
        <f>IFERROR(__xludf.DUMMYFUNCTION("""COMPUTED_VALUE"""),15.84)</f>
        <v>15.84</v>
      </c>
      <c r="K1205" s="6">
        <f>IFERROR(__xludf.DUMMYFUNCTION("""COMPUTED_VALUE"""),18.48)</f>
        <v>18.48</v>
      </c>
      <c r="L1205" s="3"/>
      <c r="M1205" s="3"/>
    </row>
    <row r="1206" ht="48.0" customHeight="1">
      <c r="A1206" s="3" t="str">
        <f>IFERROR(__xludf.DUMMYFUNCTION("""COMPUTED_VALUE"""),"HCMCPF3B34")</f>
        <v>HCMCPF3B34</v>
      </c>
      <c r="B1206" s="4" t="str">
        <f>IFERROR(__xludf.DUMMYFUNCTION("""COMPUTED_VALUE"""),"DVR")</f>
        <v>DVR</v>
      </c>
      <c r="C1206" s="4" t="str">
        <f>IFERROR(__xludf.DUMMYFUNCTION("""COMPUTED_VALUE"""),"Cable especial para obtener suministro eléctrico directamente desde la batería del vehículo; Longitud de 4 metros; 3 núcleos de cable de 1,5 mm; 1 cable pelado al automóvil, 1 DJ7031 a la fuente de alimentación regulada o DVR")</f>
        <v>Cable especial para obtener suministro eléctrico directamente desde la batería del vehículo; Longitud de 4 metros; 3 núcleos de cable de 1,5 mm; 1 cable pelado al automóvil, 1 DJ7031 a la fuente de alimentación regulada o DVR</v>
      </c>
      <c r="D1206" s="4" t="str">
        <f>IFERROR(__xludf.DUMMYFUNCTION("""COMPUTED_VALUE"""),"DAHUA")</f>
        <v>DAHUA</v>
      </c>
      <c r="E1206" s="4" t="str">
        <f>IFERROR(__xludf.DUMMYFUNCTION("""COMPUTED_VALUE"""),"HCMCPF3B34")</f>
        <v>HCMCPF3B34</v>
      </c>
      <c r="F1206" s="4" t="str">
        <f>IFERROR(__xludf.DUMMYFUNCTION("""COMPUTED_VALUE"""),"CCTV &gt; GRABADORES DVR")</f>
        <v>CCTV &gt; GRABADORES DVR</v>
      </c>
      <c r="G1206" s="5"/>
      <c r="H1206" s="6">
        <f>IFERROR(__xludf.DUMMYFUNCTION("""COMPUTED_VALUE"""),16.5)</f>
        <v>16.5</v>
      </c>
      <c r="I1206" s="7">
        <f>IFERROR(__xludf.DUMMYFUNCTION("""COMPUTED_VALUE"""),21.0)</f>
        <v>21</v>
      </c>
      <c r="J1206" s="6">
        <f>IFERROR(__xludf.DUMMYFUNCTION("""COMPUTED_VALUE"""),19.8)</f>
        <v>19.8</v>
      </c>
      <c r="K1206" s="6">
        <f>IFERROR(__xludf.DUMMYFUNCTION("""COMPUTED_VALUE"""),23.1)</f>
        <v>23.1</v>
      </c>
      <c r="L1206" s="3"/>
      <c r="M1206" s="3"/>
    </row>
    <row r="1207" ht="48.0" customHeight="1">
      <c r="A1207" s="3" t="str">
        <f>IFERROR(__xludf.DUMMYFUNCTION("""COMPUTED_VALUE"""),"HCCABLE")</f>
        <v>HCCABLE</v>
      </c>
      <c r="B1207" s="4" t="str">
        <f>IFERROR(__xludf.DUMMYFUNCTION("""COMPUTED_VALUE"""),"MC-AM4-BNCFX2DC5")</f>
        <v>MC-AM4-BNCFX2DC5</v>
      </c>
      <c r="C1207" s="4" t="str">
        <f>IFERROR(__xludf.DUMMYFUNCTION("""COMPUTED_VALUE"""),"MC-AM4-BNCFx2DC5.5Mx2 Cable M12 4 pines a 1 BNC video hembra+ 1 BNC audio hembra + 2 DC macho")</f>
        <v>MC-AM4-BNCFx2DC5.5Mx2 Cable M12 4 pines a 1 BNC video hembra+ 1 BNC audio hembra + 2 DC macho</v>
      </c>
      <c r="D1207" s="4" t="str">
        <f>IFERROR(__xludf.DUMMYFUNCTION("""COMPUTED_VALUE"""),"DAHUA")</f>
        <v>DAHUA</v>
      </c>
      <c r="E1207" s="4" t="str">
        <f>IFERROR(__xludf.DUMMYFUNCTION("""COMPUTED_VALUE"""),"HCCABLE")</f>
        <v>HCCABLE</v>
      </c>
      <c r="F1207" s="4" t="str">
        <f>IFERROR(__xludf.DUMMYFUNCTION("""COMPUTED_VALUE"""),"CCTV &gt; MOVILES")</f>
        <v>CCTV &gt; MOVILES</v>
      </c>
      <c r="G1207" s="5"/>
      <c r="H1207" s="6">
        <f>IFERROR(__xludf.DUMMYFUNCTION("""COMPUTED_VALUE"""),13.2)</f>
        <v>13.2</v>
      </c>
      <c r="I1207" s="7">
        <f>IFERROR(__xludf.DUMMYFUNCTION("""COMPUTED_VALUE"""),21.0)</f>
        <v>21</v>
      </c>
      <c r="J1207" s="6">
        <f>IFERROR(__xludf.DUMMYFUNCTION("""COMPUTED_VALUE"""),15.84)</f>
        <v>15.84</v>
      </c>
      <c r="K1207" s="6">
        <f>IFERROR(__xludf.DUMMYFUNCTION("""COMPUTED_VALUE"""),18.48)</f>
        <v>18.48</v>
      </c>
      <c r="L1207" s="3"/>
      <c r="M1207" s="3"/>
    </row>
    <row r="1208" ht="48.0" customHeight="1">
      <c r="A1208" s="3" t="str">
        <f>IFERROR(__xludf.DUMMYFUNCTION("""COMPUTED_VALUE"""),"HikCentral-P-VSS-Base/0Ch")</f>
        <v>HikCentral-P-VSS-Base/0Ch</v>
      </c>
      <c r="B1208" s="4" t="str">
        <f>IFERROR(__xludf.DUMMYFUNCTION("""COMPUTED_VALUE"""),"VIDEO SURVEILLANCE BASE PACKAGE – INCLUDING ALL FUNDAMENTAL FEATURES")</f>
        <v>VIDEO SURVEILLANCE BASE PACKAGE – INCLUDING ALL FUNDAMENTAL FEATURES</v>
      </c>
      <c r="C1208" s="4" t="str">
        <f>IFERROR(__xludf.DUMMYFUNCTION("""COMPUTED_VALUE"""),"Video Surveillance Base package – Including all fundamental features of video surveillance system, providing the prerequisite when Stand-alone use Entrance &amp; Exit, UVSS, video intercom, Facial Recognition or any other application modules.Supported:3 years"&amp;" free SUP, Main/Auxiliary Storage, Alarm Management, Google Map, Evidence Management, Running on Virtual Machine, 100 Users Logged In Simultaneously, Heath Monitoring/History Maintenance Data, Client Operation (e.g. Visual Tracking, Custom Window Division"&amp;"),etc.")</f>
        <v>Video Surveillance Base package – Including all fundamental features of video surveillance system, providing the prerequisite when Stand-alone use Entrance &amp; Exit, UVSS, video intercom, Facial Recognition or any other application modules.Supported:3 years free SUP, Main/Auxiliary Storage, Alarm Management, Google Map, Evidence Management, Running on Virtual Machine, 100 Users Logged In Simultaneously, Heath Monitoring/History Maintenance Data, Client Operation (e.g. Visual Tracking, Custom Window Division),etc.</v>
      </c>
      <c r="D1208" s="4" t="str">
        <f>IFERROR(__xludf.DUMMYFUNCTION("""COMPUTED_VALUE"""),"HIKVISION")</f>
        <v>HIKVISION</v>
      </c>
      <c r="E1208" s="4" t="str">
        <f>IFERROR(__xludf.DUMMYFUNCTION("""COMPUTED_VALUE"""),"HikCentral-P-VSS-Base/0Ch")</f>
        <v>HikCentral-P-VSS-Base/0Ch</v>
      </c>
      <c r="F1208" s="4" t="str">
        <f>IFERROR(__xludf.DUMMYFUNCTION("""COMPUTED_VALUE"""),"SOFTWARE / LICENCIAS &gt; LICENCIA HIKCENTRAL PROFESSIONAL")</f>
        <v>SOFTWARE / LICENCIAS &gt; LICENCIA HIKCENTRAL PROFESSIONAL</v>
      </c>
      <c r="G1208" s="5"/>
      <c r="H1208" s="6">
        <f>IFERROR(__xludf.DUMMYFUNCTION("""COMPUTED_VALUE"""),125.4)</f>
        <v>125.4</v>
      </c>
      <c r="I1208" s="7">
        <f>IFERROR(__xludf.DUMMYFUNCTION("""COMPUTED_VALUE"""),21.0)</f>
        <v>21</v>
      </c>
      <c r="J1208" s="6">
        <f>IFERROR(__xludf.DUMMYFUNCTION("""COMPUTED_VALUE"""),150.48)</f>
        <v>150.48</v>
      </c>
      <c r="K1208" s="6">
        <f>IFERROR(__xludf.DUMMYFUNCTION("""COMPUTED_VALUE"""),175.56)</f>
        <v>175.56</v>
      </c>
      <c r="L1208" s="3"/>
      <c r="M1208" s="3"/>
    </row>
    <row r="1209" ht="48.0" customHeight="1">
      <c r="A1209" s="3" t="str">
        <f>IFERROR(__xludf.DUMMYFUNCTION("""COMPUTED_VALUE"""),"HikCentral-P-VSS-1Ch")</f>
        <v>HikCentral-P-VSS-1Ch</v>
      </c>
      <c r="B1209" s="4" t="str">
        <f>IFERROR(__xludf.DUMMYFUNCTION("""COMPUTED_VALUE"""),"VIDEO SURVEILLANCE EXPANSION PACKAGE")</f>
        <v>VIDEO SURVEILLANCE EXPANSION PACKAGE</v>
      </c>
      <c r="C1209" s="4" t="str">
        <f>IFERROR(__xludf.DUMMYFUNCTION("""COMPUTED_VALUE"""),"Video Surveillance Expansion package. Prerequisite:Video Surveillance Base package . Supported:1 camera manageable.")</f>
        <v>Video Surveillance Expansion package. Prerequisite:Video Surveillance Base package . Supported:1 camera manageable.</v>
      </c>
      <c r="D1209" s="4" t="str">
        <f>IFERROR(__xludf.DUMMYFUNCTION("""COMPUTED_VALUE"""),"HIKVISION")</f>
        <v>HIKVISION</v>
      </c>
      <c r="E1209" s="4" t="str">
        <f>IFERROR(__xludf.DUMMYFUNCTION("""COMPUTED_VALUE"""),"HikCentral-P-VSS-1Ch")</f>
        <v>HikCentral-P-VSS-1Ch</v>
      </c>
      <c r="F1209" s="4" t="str">
        <f>IFERROR(__xludf.DUMMYFUNCTION("""COMPUTED_VALUE"""),"SOFTWARE / LICENCIAS &gt; LICENCIA HIKCENTRAL PROFESSIONAL")</f>
        <v>SOFTWARE / LICENCIAS &gt; LICENCIA HIKCENTRAL PROFESSIONAL</v>
      </c>
      <c r="G1209" s="5"/>
      <c r="H1209" s="6">
        <f>IFERROR(__xludf.DUMMYFUNCTION("""COMPUTED_VALUE"""),88.0)</f>
        <v>88</v>
      </c>
      <c r="I1209" s="7">
        <f>IFERROR(__xludf.DUMMYFUNCTION("""COMPUTED_VALUE"""),21.0)</f>
        <v>21</v>
      </c>
      <c r="J1209" s="6">
        <f>IFERROR(__xludf.DUMMYFUNCTION("""COMPUTED_VALUE"""),105.6)</f>
        <v>105.6</v>
      </c>
      <c r="K1209" s="6">
        <f>IFERROR(__xludf.DUMMYFUNCTION("""COMPUTED_VALUE"""),123.2)</f>
        <v>123.2</v>
      </c>
      <c r="L1209" s="3"/>
      <c r="M1209" s="3"/>
    </row>
    <row r="1210" ht="48.0" customHeight="1">
      <c r="A1210" s="3" t="str">
        <f>IFERROR(__xludf.DUMMYFUNCTION("""COMPUTED_VALUE"""),"HikCentral-P-VSS-Base/16Ch")</f>
        <v>HikCentral-P-VSS-Base/16Ch</v>
      </c>
      <c r="B1210" s="4" t="str">
        <f>IFERROR(__xludf.DUMMYFUNCTION("""COMPUTED_VALUE"""),"VIDEO SURVEILLANCE BASE PACKAGE")</f>
        <v>VIDEO SURVEILLANCE BASE PACKAGE</v>
      </c>
      <c r="C1210" s="4" t="str">
        <f>IFERROR(__xludf.DUMMYFUNCTION("""COMPUTED_VALUE"""),"Video Surveillance Base package - Including prerequisites for channel expanding, all fundamental features of video surveillance system and 16 cameras manageable. Supported:3 years free SUP,Main/Auxiliary Storage,Alarm Management,Google Map,Evidence Manage"&amp;"ment, Running on Virtual Machine, 100 Users Logged In Simultaneously,Heath Monitoring/History Maintemance Data, Client Operation (e.g.Visual Tracking, Custom Window Division),etc.")</f>
        <v>Video Surveillance Base package - Including prerequisites for channel expanding, all fundamental features of video surveillance system and 16 cameras manageable. Supported:3 years free SUP,Main/Auxiliary Storage,Alarm Management,Google Map,Evidence Management, Running on Virtual Machine, 100 Users Logged In Simultaneously,Heath Monitoring/History Maintemance Data, Client Operation (e.g.Visual Tracking, Custom Window Division),etc.</v>
      </c>
      <c r="D1210" s="4" t="str">
        <f>IFERROR(__xludf.DUMMYFUNCTION("""COMPUTED_VALUE"""),"HIKVISION")</f>
        <v>HIKVISION</v>
      </c>
      <c r="E1210" s="4" t="str">
        <f>IFERROR(__xludf.DUMMYFUNCTION("""COMPUTED_VALUE"""),"HikCentral-P-VSS-Base/16Ch")</f>
        <v>HikCentral-P-VSS-Base/16Ch</v>
      </c>
      <c r="F1210" s="4" t="str">
        <f>IFERROR(__xludf.DUMMYFUNCTION("""COMPUTED_VALUE"""),"SOFTWARE / LICENCIAS &gt; LICENCIA HIKCENTRAL PROFESSIONAL")</f>
        <v>SOFTWARE / LICENCIAS &gt; LICENCIA HIKCENTRAL PROFESSIONAL</v>
      </c>
      <c r="G1210" s="5"/>
      <c r="H1210" s="6">
        <f>IFERROR(__xludf.DUMMYFUNCTION("""COMPUTED_VALUE"""),1399.2)</f>
        <v>1399.2</v>
      </c>
      <c r="I1210" s="7">
        <f>IFERROR(__xludf.DUMMYFUNCTION("""COMPUTED_VALUE"""),21.0)</f>
        <v>21</v>
      </c>
      <c r="J1210" s="6">
        <f>IFERROR(__xludf.DUMMYFUNCTION("""COMPUTED_VALUE"""),1679.04)</f>
        <v>1679.04</v>
      </c>
      <c r="K1210" s="6">
        <f>IFERROR(__xludf.DUMMYFUNCTION("""COMPUTED_VALUE"""),1958.88)</f>
        <v>1958.88</v>
      </c>
      <c r="L1210" s="3"/>
      <c r="M1210" s="3"/>
    </row>
    <row r="1211" ht="48.0" customHeight="1">
      <c r="A1211" s="3" t="str">
        <f>IFERROR(__xludf.DUMMYFUNCTION("""COMPUTED_VALUE"""),"HikCentral-P-VSS-Base/64Ch")</f>
        <v>HikCentral-P-VSS-Base/64Ch</v>
      </c>
      <c r="B1211" s="4" t="str">
        <f>IFERROR(__xludf.DUMMYFUNCTION("""COMPUTED_VALUE"""),"VIDEO SURVEILLANCE BASE PACKAGE")</f>
        <v>VIDEO SURVEILLANCE BASE PACKAGE</v>
      </c>
      <c r="C1211" s="4" t="str">
        <f>IFERROR(__xludf.DUMMYFUNCTION("""COMPUTED_VALUE"""),"Video Surveillance Base package - Including prerequisites for channel expanding, all fundamental features of video surveillance system and 64 cameras manageable. Supported:3 years free SUP,Main/Auxiliary Storage,Alarm Management,Google Map,Evidence Manage"&amp;"ment, Running on Virtual Machine, 100 Users Logged In Simultaneously,Heath Monitoring/History Maintemance Data, Client Operation (e.g.Visual Tracking, Custom Window Division),etc.")</f>
        <v>Video Surveillance Base package - Including prerequisites for channel expanding, all fundamental features of video surveillance system and 64 cameras manageable. Supported:3 years free SUP,Main/Auxiliary Storage,Alarm Management,Google Map,Evidence Management, Running on Virtual Machine, 100 Users Logged In Simultaneously,Heath Monitoring/History Maintemance Data, Client Operation (e.g.Visual Tracking, Custom Window Division),etc.</v>
      </c>
      <c r="D1211" s="4" t="str">
        <f>IFERROR(__xludf.DUMMYFUNCTION("""COMPUTED_VALUE"""),"HIKVISION")</f>
        <v>HIKVISION</v>
      </c>
      <c r="E1211" s="4" t="str">
        <f>IFERROR(__xludf.DUMMYFUNCTION("""COMPUTED_VALUE"""),"HikCentral-P-VSS-Base/64Ch")</f>
        <v>HikCentral-P-VSS-Base/64Ch</v>
      </c>
      <c r="F1211" s="4" t="str">
        <f>IFERROR(__xludf.DUMMYFUNCTION("""COMPUTED_VALUE"""),"SOFTWARE / LICENCIAS &gt; LICENCIA HIKCENTRAL PROFESSIONAL")</f>
        <v>SOFTWARE / LICENCIAS &gt; LICENCIA HIKCENTRAL PROFESSIONAL</v>
      </c>
      <c r="G1211" s="5"/>
      <c r="H1211" s="6">
        <f>IFERROR(__xludf.DUMMYFUNCTION("""COMPUTED_VALUE"""),5067.7)</f>
        <v>5067.7</v>
      </c>
      <c r="I1211" s="7">
        <f>IFERROR(__xludf.DUMMYFUNCTION("""COMPUTED_VALUE"""),21.0)</f>
        <v>21</v>
      </c>
      <c r="J1211" s="6">
        <f>IFERROR(__xludf.DUMMYFUNCTION("""COMPUTED_VALUE"""),6081.24)</f>
        <v>6081.24</v>
      </c>
      <c r="K1211" s="6">
        <f>IFERROR(__xludf.DUMMYFUNCTION("""COMPUTED_VALUE"""),7094.78)</f>
        <v>7094.78</v>
      </c>
      <c r="L1211" s="3"/>
      <c r="M1211" s="3"/>
    </row>
    <row r="1212" ht="48.0" customHeight="1">
      <c r="A1212" s="3" t="str">
        <f>IFERROR(__xludf.DUMMYFUNCTION("""COMPUTED_VALUE"""),"HikCentral-P-VSS-Base/300Ch")</f>
        <v>HikCentral-P-VSS-Base/300Ch</v>
      </c>
      <c r="B1212" s="4" t="str">
        <f>IFERROR(__xludf.DUMMYFUNCTION("""COMPUTED_VALUE"""),"VIDEO SURVEILLANCE BASE PACKAGE")</f>
        <v>VIDEO SURVEILLANCE BASE PACKAGE</v>
      </c>
      <c r="C1212" s="4" t="str">
        <f>IFERROR(__xludf.DUMMYFUNCTION("""COMPUTED_VALUE"""),"Video Surveillance Base package - including prerequisites for channel expanding, all fundamental features of video surveillance system and 300 cameras manageable.Supported:3 years free SUP,Main/Auxiliary Storage,Alarm Management,Google Map,Evidence Manage"&amp;"ment, Running on Virtual Machine, 100 Users Logged In Simultaneously,Heath Monitoring/History Maintemance Data, Client Operation (e.g.Visual Tracking, Custom Window Division),etc.")</f>
        <v>Video Surveillance Base package - including prerequisites for channel expanding, all fundamental features of video surveillance system and 300 cameras manageable.Supported:3 years free SUP,Main/Auxiliary Storage,Alarm Management,Google Map,Evidence Management, Running on Virtual Machine, 100 Users Logged In Simultaneously,Heath Monitoring/History Maintemance Data, Client Operation (e.g.Visual Tracking, Custom Window Division),etc.</v>
      </c>
      <c r="D1212" s="4" t="str">
        <f>IFERROR(__xludf.DUMMYFUNCTION("""COMPUTED_VALUE"""),"HIKVISION")</f>
        <v>HIKVISION</v>
      </c>
      <c r="E1212" s="4" t="str">
        <f>IFERROR(__xludf.DUMMYFUNCTION("""COMPUTED_VALUE"""),"HikCentral-P-VSS-Base/300Ch")</f>
        <v>HikCentral-P-VSS-Base/300Ch</v>
      </c>
      <c r="F1212" s="4" t="str">
        <f>IFERROR(__xludf.DUMMYFUNCTION("""COMPUTED_VALUE"""),"SOFTWARE / LICENCIAS &gt; LICENCIA HIKCENTRAL PROFESSIONAL")</f>
        <v>SOFTWARE / LICENCIAS &gt; LICENCIA HIKCENTRAL PROFESSIONAL</v>
      </c>
      <c r="G1212" s="5"/>
      <c r="H1212" s="6">
        <f>IFERROR(__xludf.DUMMYFUNCTION("""COMPUTED_VALUE"""),19490.9)</f>
        <v>19490.9</v>
      </c>
      <c r="I1212" s="7">
        <f>IFERROR(__xludf.DUMMYFUNCTION("""COMPUTED_VALUE"""),21.0)</f>
        <v>21</v>
      </c>
      <c r="J1212" s="6">
        <f>IFERROR(__xludf.DUMMYFUNCTION("""COMPUTED_VALUE"""),23389.08)</f>
        <v>23389.08</v>
      </c>
      <c r="K1212" s="6">
        <f>IFERROR(__xludf.DUMMYFUNCTION("""COMPUTED_VALUE"""),27287.26)</f>
        <v>27287.26</v>
      </c>
      <c r="L1212" s="3"/>
      <c r="M1212" s="3"/>
    </row>
    <row r="1213" ht="48.0" customHeight="1">
      <c r="A1213" s="3" t="str">
        <f>IFERROR(__xludf.DUMMYFUNCTION("""COMPUTED_VALUE"""),"HikCentral-P-ANPR-1Ch")</f>
        <v>HikCentral-P-ANPR-1Ch</v>
      </c>
      <c r="B1213" s="4" t="str">
        <f>IFERROR(__xludf.DUMMYFUNCTION("""COMPUTED_VALUE"""),"AUTOMATIC NUMBER PLATE REOGNITION CAMERA EXPANSION PACKAGE- INCLUDING")</f>
        <v>AUTOMATIC NUMBER PLATE REOGNITION CAMERA EXPANSION PACKAGE- INCLUDING</v>
      </c>
      <c r="C1213" s="4" t="str">
        <f>IFERROR(__xludf.DUMMYFUNCTION("""COMPUTED_VALUE"""),"Automatic Number Plate Reognition Camera Expansion package- including all functions of ANPR module and 1 ANPR camera manageble.Prerequisite：Video Surveillance Base package.Supported:LPR monitoring and operation, Vehicle list management, History recognized"&amp;" license plate search, License plate matched/mismatched alarm, etc.")</f>
        <v>Automatic Number Plate Reognition Camera Expansion package- including all functions of ANPR module and 1 ANPR camera manageble.Prerequisite：Video Surveillance Base package.Supported:LPR monitoring and operation, Vehicle list management, History recognized license plate search, License plate matched/mismatched alarm, etc.</v>
      </c>
      <c r="D1213" s="4" t="str">
        <f>IFERROR(__xludf.DUMMYFUNCTION("""COMPUTED_VALUE"""),"HIKVISION")</f>
        <v>HIKVISION</v>
      </c>
      <c r="E1213" s="4" t="str">
        <f>IFERROR(__xludf.DUMMYFUNCTION("""COMPUTED_VALUE"""),"HikCentral-P-ANPR-1Ch")</f>
        <v>HikCentral-P-ANPR-1Ch</v>
      </c>
      <c r="F1213" s="4" t="str">
        <f>IFERROR(__xludf.DUMMYFUNCTION("""COMPUTED_VALUE"""),"SOFTWARE / LICENCIAS &gt; LICENCIA HIKCENTRAL PROFESSIONAL")</f>
        <v>SOFTWARE / LICENCIAS &gt; LICENCIA HIKCENTRAL PROFESSIONAL</v>
      </c>
      <c r="G1213" s="5"/>
      <c r="H1213" s="6">
        <f>IFERROR(__xludf.DUMMYFUNCTION("""COMPUTED_VALUE"""),350.9)</f>
        <v>350.9</v>
      </c>
      <c r="I1213" s="7">
        <f>IFERROR(__xludf.DUMMYFUNCTION("""COMPUTED_VALUE"""),21.0)</f>
        <v>21</v>
      </c>
      <c r="J1213" s="6">
        <f>IFERROR(__xludf.DUMMYFUNCTION("""COMPUTED_VALUE"""),421.08)</f>
        <v>421.08</v>
      </c>
      <c r="K1213" s="6">
        <f>IFERROR(__xludf.DUMMYFUNCTION("""COMPUTED_VALUE"""),491.26)</f>
        <v>491.26</v>
      </c>
      <c r="L1213" s="3"/>
      <c r="M1213" s="3"/>
    </row>
    <row r="1214" ht="48.0" customHeight="1">
      <c r="A1214" s="3" t="str">
        <f>IFERROR(__xludf.DUMMYFUNCTION("""COMPUTED_VALUE"""),"HikCentral-P-FacialReco-1Ch")</f>
        <v>HikCentral-P-FacialReco-1Ch</v>
      </c>
      <c r="B1214" s="4" t="str">
        <f>IFERROR(__xludf.DUMMYFUNCTION("""COMPUTED_VALUE"""),"VIDEO SURVEILLANCE EXPAND PACKAGE PREREQUISITE:VIDEO SURVEILLANCE BASE")</f>
        <v>VIDEO SURVEILLANCE EXPAND PACKAGE PREREQUISITE:VIDEO SURVEILLANCE BASE</v>
      </c>
      <c r="C1214" s="4" t="str">
        <f>IFERROR(__xludf.DUMMYFUNCTION("""COMPUTED_VALUE"""),"Video Surveillance Expand package Prerequisite:Video Surveillance Base package Warranty:None Supported: -1 Facial Recognition or Body Recognition camera -1 ch manageable")</f>
        <v>Video Surveillance Expand package Prerequisite:Video Surveillance Base package Warranty:None Supported: -1 Facial Recognition or Body Recognition camera -1 ch manageable</v>
      </c>
      <c r="D1214" s="4" t="str">
        <f>IFERROR(__xludf.DUMMYFUNCTION("""COMPUTED_VALUE"""),"HIKVISION")</f>
        <v>HIKVISION</v>
      </c>
      <c r="E1214" s="4" t="str">
        <f>IFERROR(__xludf.DUMMYFUNCTION("""COMPUTED_VALUE"""),"HikCentral-P-FacialReco-1Ch")</f>
        <v>HikCentral-P-FacialReco-1Ch</v>
      </c>
      <c r="F1214" s="4" t="str">
        <f>IFERROR(__xludf.DUMMYFUNCTION("""COMPUTED_VALUE"""),"SOFTWARE / LICENCIAS &gt; LICENCIA HIKCENTRAL PROFESSIONAL")</f>
        <v>SOFTWARE / LICENCIAS &gt; LICENCIA HIKCENTRAL PROFESSIONAL</v>
      </c>
      <c r="G1214" s="5"/>
      <c r="H1214" s="6">
        <f>IFERROR(__xludf.DUMMYFUNCTION("""COMPUTED_VALUE"""),432.3)</f>
        <v>432.3</v>
      </c>
      <c r="I1214" s="7">
        <f>IFERROR(__xludf.DUMMYFUNCTION("""COMPUTED_VALUE"""),21.0)</f>
        <v>21</v>
      </c>
      <c r="J1214" s="6">
        <f>IFERROR(__xludf.DUMMYFUNCTION("""COMPUTED_VALUE"""),518.76)</f>
        <v>518.76</v>
      </c>
      <c r="K1214" s="6">
        <f>IFERROR(__xludf.DUMMYFUNCTION("""COMPUTED_VALUE"""),605.22)</f>
        <v>605.22</v>
      </c>
      <c r="L1214" s="3"/>
      <c r="M1214" s="3"/>
    </row>
    <row r="1215" ht="48.0" customHeight="1">
      <c r="A1215" s="3" t="str">
        <f>IFERROR(__xludf.DUMMYFUNCTION("""COMPUTED_VALUE"""),"HikCentral-P-AlarmPanel-1Unit")</f>
        <v>HikCentral-P-AlarmPanel-1Unit</v>
      </c>
      <c r="B1215" s="4" t="str">
        <f>IFERROR(__xludf.DUMMYFUNCTION("""COMPUTED_VALUE"""),"HIKCENTRAL-P-ALARMPANEL-1UNIT")</f>
        <v>HIKCENTRAL-P-ALARMPANEL-1UNIT</v>
      </c>
      <c r="C1215" s="4" t="str">
        <f>IFERROR(__xludf.DUMMYFUNCTION("""COMPUTED_VALUE"""),"HikCentral-P-AlarmPanel-1Unit")</f>
        <v>HikCentral-P-AlarmPanel-1Unit</v>
      </c>
      <c r="D1215" s="4" t="str">
        <f>IFERROR(__xludf.DUMMYFUNCTION("""COMPUTED_VALUE"""),"HIKVISION")</f>
        <v>HIKVISION</v>
      </c>
      <c r="E1215" s="4" t="str">
        <f>IFERROR(__xludf.DUMMYFUNCTION("""COMPUTED_VALUE"""),"HikCentral-P-AlarmPanel-1Unit")</f>
        <v>HikCentral-P-AlarmPanel-1Unit</v>
      </c>
      <c r="F1215" s="4" t="str">
        <f>IFERROR(__xludf.DUMMYFUNCTION("""COMPUTED_VALUE"""),"SOFTWARE / LICENCIAS &gt; LICENCIA HIKCENTRAL PROFESSIONAL")</f>
        <v>SOFTWARE / LICENCIAS &gt; LICENCIA HIKCENTRAL PROFESSIONAL</v>
      </c>
      <c r="G1215" s="5"/>
      <c r="H1215" s="6">
        <f>IFERROR(__xludf.DUMMYFUNCTION("""COMPUTED_VALUE"""),138.6)</f>
        <v>138.6</v>
      </c>
      <c r="I1215" s="7">
        <f>IFERROR(__xludf.DUMMYFUNCTION("""COMPUTED_VALUE"""),21.0)</f>
        <v>21</v>
      </c>
      <c r="J1215" s="6">
        <f>IFERROR(__xludf.DUMMYFUNCTION("""COMPUTED_VALUE"""),166.32)</f>
        <v>166.32</v>
      </c>
      <c r="K1215" s="6">
        <f>IFERROR(__xludf.DUMMYFUNCTION("""COMPUTED_VALUE"""),194.04)</f>
        <v>194.04</v>
      </c>
      <c r="L1215" s="3"/>
      <c r="M1215" s="3"/>
    </row>
    <row r="1216" ht="48.0" customHeight="1">
      <c r="A1216" s="3" t="str">
        <f>IFERROR(__xludf.DUMMYFUNCTION("""COMPUTED_VALUE"""),"HikCentral-P-ACS/Base")</f>
        <v>HikCentral-P-ACS/Base</v>
      </c>
      <c r="B1216" s="4" t="str">
        <f>IFERROR(__xludf.DUMMYFUNCTION("""COMPUTED_VALUE"""),"ACCESS CONTROL BASE PACKAGE WARRANTY: 3 YEARS SUP SUPPORTED:")</f>
        <v>ACCESS CONTROL BASE PACKAGE WARRANTY: 3 YEARS SUP SUPPORTED:</v>
      </c>
      <c r="C1216" s="4" t="str">
        <f>IFERROR(__xludf.DUMMYFUNCTION("""COMPUTED_VALUE"""),"Access Control Base package Warranty: 3 years SUP Supported: -Alarm System: Alarm Management supported; -Access Control: 0 door management; -Others: 64 storage server ,open API supported, health monitoring supported, GIS supported, evidence supported; Add"&amp;"itional: Access control permission management, Real-time door status &amp; event mornitoring, Advanced door control management, etc.")</f>
        <v>Access Control Base package Warranty: 3 years SUP Supported: -Alarm System: Alarm Management supported; -Access Control: 0 door management; -Others: 64 storage server ,open API supported, health monitoring supported, GIS supported, evidence supported; Additional: Access control permission management, Real-time door status &amp; event mornitoring, Advanced door control management, etc.</v>
      </c>
      <c r="D1216" s="4" t="str">
        <f>IFERROR(__xludf.DUMMYFUNCTION("""COMPUTED_VALUE"""),"HIKVISION")</f>
        <v>HIKVISION</v>
      </c>
      <c r="E1216" s="4" t="str">
        <f>IFERROR(__xludf.DUMMYFUNCTION("""COMPUTED_VALUE"""),"HikCentral-P-ACS/Base")</f>
        <v>HikCentral-P-ACS/Base</v>
      </c>
      <c r="F1216" s="4" t="str">
        <f>IFERROR(__xludf.DUMMYFUNCTION("""COMPUTED_VALUE"""),"SOFTWARE / LICENCIAS &gt; LICENCIA HIKCENTRAL PROFESSIONAL")</f>
        <v>SOFTWARE / LICENCIAS &gt; LICENCIA HIKCENTRAL PROFESSIONAL</v>
      </c>
      <c r="G1216" s="5"/>
      <c r="H1216" s="6">
        <f>IFERROR(__xludf.DUMMYFUNCTION("""COMPUTED_VALUE"""),133.1)</f>
        <v>133.1</v>
      </c>
      <c r="I1216" s="7">
        <f>IFERROR(__xludf.DUMMYFUNCTION("""COMPUTED_VALUE"""),21.0)</f>
        <v>21</v>
      </c>
      <c r="J1216" s="6">
        <f>IFERROR(__xludf.DUMMYFUNCTION("""COMPUTED_VALUE"""),159.72)</f>
        <v>159.72</v>
      </c>
      <c r="K1216" s="6">
        <f>IFERROR(__xludf.DUMMYFUNCTION("""COMPUTED_VALUE"""),186.34)</f>
        <v>186.34</v>
      </c>
      <c r="L1216" s="3"/>
      <c r="M1216" s="3"/>
    </row>
    <row r="1217" ht="48.0" customHeight="1">
      <c r="A1217" s="3" t="str">
        <f>IFERROR(__xludf.DUMMYFUNCTION("""COMPUTED_VALUE"""),"HikCentral-P-ACS-Base/2Door")</f>
        <v>HikCentral-P-ACS-Base/2Door</v>
      </c>
      <c r="B1217" s="4" t="str">
        <f>IFERROR(__xludf.DUMMYFUNCTION("""COMPUTED_VALUE"""),"ACCESS CONTROL BASE PACKAGE")</f>
        <v>ACCESS CONTROL BASE PACKAGE</v>
      </c>
      <c r="C1217" s="4" t="str">
        <f>IFERROR(__xludf.DUMMYFUNCTION("""COMPUTED_VALUE"""),"Access Control Base package - including prerequisites for door expanding, all fundamental features of ACS and 2 doors")</f>
        <v>Access Control Base package - including prerequisites for door expanding, all fundamental features of ACS and 2 doors</v>
      </c>
      <c r="D1217" s="4" t="str">
        <f>IFERROR(__xludf.DUMMYFUNCTION("""COMPUTED_VALUE"""),"HIKVISION")</f>
        <v>HIKVISION</v>
      </c>
      <c r="E1217" s="4" t="str">
        <f>IFERROR(__xludf.DUMMYFUNCTION("""COMPUTED_VALUE"""),"HikCentral-P-ACS-Base/2Door")</f>
        <v>HikCentral-P-ACS-Base/2Door</v>
      </c>
      <c r="F1217" s="4" t="str">
        <f>IFERROR(__xludf.DUMMYFUNCTION("""COMPUTED_VALUE"""),"SOFTWARE / LICENCIAS &gt; LICENCIA HIKCENTRAL PROFESSIONAL")</f>
        <v>SOFTWARE / LICENCIAS &gt; LICENCIA HIKCENTRAL PROFESSIONAL</v>
      </c>
      <c r="G1217" s="5"/>
      <c r="H1217" s="6">
        <f>IFERROR(__xludf.DUMMYFUNCTION("""COMPUTED_VALUE"""),350.9)</f>
        <v>350.9</v>
      </c>
      <c r="I1217" s="7">
        <f>IFERROR(__xludf.DUMMYFUNCTION("""COMPUTED_VALUE"""),21.0)</f>
        <v>21</v>
      </c>
      <c r="J1217" s="6">
        <f>IFERROR(__xludf.DUMMYFUNCTION("""COMPUTED_VALUE"""),421.08)</f>
        <v>421.08</v>
      </c>
      <c r="K1217" s="6">
        <f>IFERROR(__xludf.DUMMYFUNCTION("""COMPUTED_VALUE"""),491.26)</f>
        <v>491.26</v>
      </c>
      <c r="L1217" s="3"/>
      <c r="M1217" s="3"/>
    </row>
    <row r="1218" ht="48.0" customHeight="1">
      <c r="A1218" s="3" t="str">
        <f>IFERROR(__xludf.DUMMYFUNCTION("""COMPUTED_VALUE"""),"HikCentral-P-ACS-Base/16Door")</f>
        <v>HikCentral-P-ACS-Base/16Door</v>
      </c>
      <c r="B1218" s="4" t="str">
        <f>IFERROR(__xludf.DUMMYFUNCTION("""COMPUTED_VALUE"""),"ACCESS CONTROL BASE PACKAGE")</f>
        <v>ACCESS CONTROL BASE PACKAGE</v>
      </c>
      <c r="C1218" s="4" t="str">
        <f>IFERROR(__xludf.DUMMYFUNCTION("""COMPUTED_VALUE"""),"Access Control Base package - including prerequisites for door expanding, all fundamental features of ACS and 16 doors manageable.Supported:Person/Person Group Management, Access Event Monitoring\Retrieve, Access Level Management,etc.")</f>
        <v>Access Control Base package - including prerequisites for door expanding, all fundamental features of ACS and 16 doors manageable.Supported:Person/Person Group Management, Access Event Monitoring\Retrieve, Access Level Management,etc.</v>
      </c>
      <c r="D1218" s="4" t="str">
        <f>IFERROR(__xludf.DUMMYFUNCTION("""COMPUTED_VALUE"""),"HIKVISION")</f>
        <v>HIKVISION</v>
      </c>
      <c r="E1218" s="4" t="str">
        <f>IFERROR(__xludf.DUMMYFUNCTION("""COMPUTED_VALUE"""),"HikCentral-P-ACS-Base/16Door")</f>
        <v>HikCentral-P-ACS-Base/16Door</v>
      </c>
      <c r="F1218" s="4" t="str">
        <f>IFERROR(__xludf.DUMMYFUNCTION("""COMPUTED_VALUE"""),"SOFTWARE / LICENCIAS &gt; LICENCIA HIKCENTRAL PROFESSIONAL")</f>
        <v>SOFTWARE / LICENCIAS &gt; LICENCIA HIKCENTRAL PROFESSIONAL</v>
      </c>
      <c r="G1218" s="5"/>
      <c r="H1218" s="6">
        <f>IFERROR(__xludf.DUMMYFUNCTION("""COMPUTED_VALUE"""),1571.9)</f>
        <v>1571.9</v>
      </c>
      <c r="I1218" s="7">
        <f>IFERROR(__xludf.DUMMYFUNCTION("""COMPUTED_VALUE"""),21.0)</f>
        <v>21</v>
      </c>
      <c r="J1218" s="6">
        <f>IFERROR(__xludf.DUMMYFUNCTION("""COMPUTED_VALUE"""),1886.28)</f>
        <v>1886.28</v>
      </c>
      <c r="K1218" s="6">
        <f>IFERROR(__xludf.DUMMYFUNCTION("""COMPUTED_VALUE"""),2200.66)</f>
        <v>2200.66</v>
      </c>
      <c r="L1218" s="3"/>
      <c r="M1218" s="3"/>
    </row>
    <row r="1219" ht="48.0" customHeight="1">
      <c r="A1219" s="3" t="str">
        <f>IFERROR(__xludf.DUMMYFUNCTION("""COMPUTED_VALUE"""),"HikCentral-P-ACS-1Door")</f>
        <v>HikCentral-P-ACS-1Door</v>
      </c>
      <c r="B1219" s="4" t="str">
        <f>IFERROR(__xludf.DUMMYFUNCTION("""COMPUTED_VALUE"""),"DOOR EXPANSION PACKAGE")</f>
        <v>DOOR EXPANSION PACKAGE</v>
      </c>
      <c r="C1219" s="4" t="str">
        <f>IFERROR(__xludf.DUMMYFUNCTION("""COMPUTED_VALUE"""),"Door Expansion package.Prerequisite:Access Control Base package or Video Intercom Module Expansion package.Supported:1 door manageable or 1 outdoor station manageable")</f>
        <v>Door Expansion package.Prerequisite:Access Control Base package or Video Intercom Module Expansion package.Supported:1 door manageable or 1 outdoor station manageable</v>
      </c>
      <c r="D1219" s="4" t="str">
        <f>IFERROR(__xludf.DUMMYFUNCTION("""COMPUTED_VALUE"""),"HIKVISION")</f>
        <v>HIKVISION</v>
      </c>
      <c r="E1219" s="4" t="str">
        <f>IFERROR(__xludf.DUMMYFUNCTION("""COMPUTED_VALUE"""),"HikCentral-P-ACS-1Door")</f>
        <v>HikCentral-P-ACS-1Door</v>
      </c>
      <c r="F1219" s="4" t="str">
        <f>IFERROR(__xludf.DUMMYFUNCTION("""COMPUTED_VALUE"""),"SOFTWARE / LICENCIAS &gt; LICENCIA HIKCENTRAL PROFESSIONAL")</f>
        <v>SOFTWARE / LICENCIAS &gt; LICENCIA HIKCENTRAL PROFESSIONAL</v>
      </c>
      <c r="G1219" s="5"/>
      <c r="H1219" s="6">
        <f>IFERROR(__xludf.DUMMYFUNCTION("""COMPUTED_VALUE"""),88.0)</f>
        <v>88</v>
      </c>
      <c r="I1219" s="7">
        <f>IFERROR(__xludf.DUMMYFUNCTION("""COMPUTED_VALUE"""),21.0)</f>
        <v>21</v>
      </c>
      <c r="J1219" s="6">
        <f>IFERROR(__xludf.DUMMYFUNCTION("""COMPUTED_VALUE"""),105.6)</f>
        <v>105.6</v>
      </c>
      <c r="K1219" s="6">
        <f>IFERROR(__xludf.DUMMYFUNCTION("""COMPUTED_VALUE"""),123.2)</f>
        <v>123.2</v>
      </c>
      <c r="L1219" s="3"/>
      <c r="M1219" s="3"/>
    </row>
    <row r="1220" ht="48.0" customHeight="1">
      <c r="A1220" s="3" t="str">
        <f>IFERROR(__xludf.DUMMYFUNCTION("""COMPUTED_VALUE"""),"HikCentral-P-Attendance-Module")</f>
        <v>HikCentral-P-Attendance-Module</v>
      </c>
      <c r="B1220" s="4" t="str">
        <f>IFERROR(__xludf.DUMMYFUNCTION("""COMPUTED_VALUE"""),"TIME AND ATTENDANCE MODULE EXPANSION PACKAGE")</f>
        <v>TIME AND ATTENDANCE MODULE EXPANSION PACKAGE</v>
      </c>
      <c r="C1220" s="4" t="str">
        <f>IFERROR(__xludf.DUMMYFUNCTION("""COMPUTED_VALUE"""),"Time and Attendance Module Expansion package - including all functions of time and attendance module.Prerequisite:Access Control Base package.Supported:Shift management,Attendance report,Attendence records and handing,Synchronize data to Third-Party Datab"&amp;"ase,etc.")</f>
        <v>Time and Attendance Module Expansion package - including all functions of time and attendance module.Prerequisite:Access Control Base package.Supported:Shift management,Attendance report,Attendence records and handing,Synchronize data to Third-Party Database,etc.</v>
      </c>
      <c r="D1220" s="4" t="str">
        <f>IFERROR(__xludf.DUMMYFUNCTION("""COMPUTED_VALUE"""),"HIKVISION")</f>
        <v>HIKVISION</v>
      </c>
      <c r="E1220" s="4" t="str">
        <f>IFERROR(__xludf.DUMMYFUNCTION("""COMPUTED_VALUE"""),"HikCentral-P-Attendance-Module")</f>
        <v>HikCentral-P-Attendance-Module</v>
      </c>
      <c r="F1220" s="4" t="str">
        <f>IFERROR(__xludf.DUMMYFUNCTION("""COMPUTED_VALUE"""),"SOFTWARE / LICENCIAS &gt; LICENCIA HIKCENTRAL PROFESSIONAL")</f>
        <v>SOFTWARE / LICENCIAS &gt; LICENCIA HIKCENTRAL PROFESSIONAL</v>
      </c>
      <c r="G1220" s="5"/>
      <c r="H1220" s="6">
        <f>IFERROR(__xludf.DUMMYFUNCTION("""COMPUTED_VALUE"""),2182.4)</f>
        <v>2182.4</v>
      </c>
      <c r="I1220" s="7">
        <f>IFERROR(__xludf.DUMMYFUNCTION("""COMPUTED_VALUE"""),21.0)</f>
        <v>21</v>
      </c>
      <c r="J1220" s="6">
        <f>IFERROR(__xludf.DUMMYFUNCTION("""COMPUTED_VALUE"""),2618.88)</f>
        <v>2618.88</v>
      </c>
      <c r="K1220" s="6">
        <f>IFERROR(__xludf.DUMMYFUNCTION("""COMPUTED_VALUE"""),3055.36)</f>
        <v>3055.36</v>
      </c>
      <c r="L1220" s="3"/>
      <c r="M1220" s="3"/>
    </row>
    <row r="1221" ht="48.0" customHeight="1">
      <c r="A1221" s="3" t="str">
        <f>IFERROR(__xludf.DUMMYFUNCTION("""COMPUTED_VALUE"""),"HikCentral-P-Temp&amp;Mask-Module")</f>
        <v>HikCentral-P-Temp&amp;Mask-Module</v>
      </c>
      <c r="B1221" s="4" t="str">
        <f>IFERROR(__xludf.DUMMYFUNCTION("""COMPUTED_VALUE"""),"TEMPERATURE&amp;MASK MODULE EXPANSION PACKAGE- INCLUDING ALL FUNCTIONS REL")</f>
        <v>TEMPERATURE&amp;MASK MODULE EXPANSION PACKAGE- INCLUDING ALL FUNCTIONS REL</v>
      </c>
      <c r="C1221" s="4" t="str">
        <f>IFERROR(__xludf.DUMMYFUNCTION("""COMPUTED_VALUE"""),"Temperature&amp;Mask Module Expansion Package- including all functions related to skin-surface temperature detection and Mask detection.Prerequisite:Video Base package or Access Control Base package .Supported: Temperature&amp;Mask detection, Statistics and Evide"&amp;"ncing Records,etc.")</f>
        <v>Temperature&amp;Mask Module Expansion Package- including all functions related to skin-surface temperature detection and Mask detection.Prerequisite:Video Base package or Access Control Base package .Supported: Temperature&amp;Mask detection, Statistics and Evidencing Records,etc.</v>
      </c>
      <c r="D1221" s="4" t="str">
        <f>IFERROR(__xludf.DUMMYFUNCTION("""COMPUTED_VALUE"""),"HIKVISION")</f>
        <v>HIKVISION</v>
      </c>
      <c r="E1221" s="4" t="str">
        <f>IFERROR(__xludf.DUMMYFUNCTION("""COMPUTED_VALUE"""),"HikCentral-P-Temp&amp;Mask-Module")</f>
        <v>HikCentral-P-Temp&amp;Mask-Module</v>
      </c>
      <c r="F1221" s="4" t="str">
        <f>IFERROR(__xludf.DUMMYFUNCTION("""COMPUTED_VALUE"""),"SOFTWARE / LICENCIAS &gt; LICENCIA HIKCENTRAL PROFESSIONAL")</f>
        <v>SOFTWARE / LICENCIAS &gt; LICENCIA HIKCENTRAL PROFESSIONAL</v>
      </c>
      <c r="G1221" s="5"/>
      <c r="H1221" s="6">
        <f>IFERROR(__xludf.DUMMYFUNCTION("""COMPUTED_VALUE"""),217.8)</f>
        <v>217.8</v>
      </c>
      <c r="I1221" s="7">
        <f>IFERROR(__xludf.DUMMYFUNCTION("""COMPUTED_VALUE"""),21.0)</f>
        <v>21</v>
      </c>
      <c r="J1221" s="6">
        <f>IFERROR(__xludf.DUMMYFUNCTION("""COMPUTED_VALUE"""),261.36)</f>
        <v>261.36</v>
      </c>
      <c r="K1221" s="6">
        <f>IFERROR(__xludf.DUMMYFUNCTION("""COMPUTED_VALUE"""),304.92)</f>
        <v>304.92</v>
      </c>
      <c r="L1221" s="3"/>
      <c r="M1221" s="3"/>
    </row>
    <row r="1222" ht="48.0" customHeight="1">
      <c r="A1222" s="3" t="str">
        <f>IFERROR(__xludf.DUMMYFUNCTION("""COMPUTED_VALUE"""),"HikCentral-P-UVSS-Module")</f>
        <v>HikCentral-P-UVSS-Module</v>
      </c>
      <c r="B1222" s="4" t="str">
        <f>IFERROR(__xludf.DUMMYFUNCTION("""COMPUTED_VALUE"""),"UNDER VEHICLE SURVEILLANCE SYSTEM MODULE EXPANSION PACKAGE")</f>
        <v>UNDER VEHICLE SURVEILLANCE SYSTEM MODULE EXPANSION PACKAGE</v>
      </c>
      <c r="C1222" s="4" t="str">
        <f>IFERROR(__xludf.DUMMYFUNCTION("""COMPUTED_VALUE"""),"Under Vehicle Surveillance System Module Expansion package - including all functions of UVSS module and 4 UVSSs manageable. Prerequisite:Video Surveillance Base package.Supported:UVSS Monitoring and Operation, Vehicle List Management, UVSS records Search,"&amp;"etc.")</f>
        <v>Under Vehicle Surveillance System Module Expansion package - including all functions of UVSS module and 4 UVSSs manageable. Prerequisite:Video Surveillance Base package.Supported:UVSS Monitoring and Operation, Vehicle List Management, UVSS records Search,etc.</v>
      </c>
      <c r="D1222" s="4" t="str">
        <f>IFERROR(__xludf.DUMMYFUNCTION("""COMPUTED_VALUE"""),"HIKVISION")</f>
        <v>HIKVISION</v>
      </c>
      <c r="E1222" s="4" t="str">
        <f>IFERROR(__xludf.DUMMYFUNCTION("""COMPUTED_VALUE"""),"HikCentral-P-UVSS-Module")</f>
        <v>HikCentral-P-UVSS-Module</v>
      </c>
      <c r="F1222" s="4" t="str">
        <f>IFERROR(__xludf.DUMMYFUNCTION("""COMPUTED_VALUE"""),"SOFTWARE / LICENCIAS &gt; LICENCIA HIKCENTRAL PROFESSIONAL")</f>
        <v>SOFTWARE / LICENCIAS &gt; LICENCIA HIKCENTRAL PROFESSIONAL</v>
      </c>
      <c r="G1222" s="5"/>
      <c r="H1222" s="6">
        <f>IFERROR(__xludf.DUMMYFUNCTION("""COMPUTED_VALUE"""),5875.1)</f>
        <v>5875.1</v>
      </c>
      <c r="I1222" s="7">
        <f>IFERROR(__xludf.DUMMYFUNCTION("""COMPUTED_VALUE"""),21.0)</f>
        <v>21</v>
      </c>
      <c r="J1222" s="6">
        <f>IFERROR(__xludf.DUMMYFUNCTION("""COMPUTED_VALUE"""),7050.12)</f>
        <v>7050.12</v>
      </c>
      <c r="K1222" s="6">
        <f>IFERROR(__xludf.DUMMYFUNCTION("""COMPUTED_VALUE"""),8225.14)</f>
        <v>8225.14</v>
      </c>
      <c r="L1222" s="3"/>
      <c r="M1222" s="3"/>
    </row>
    <row r="1223" ht="48.0" customHeight="1">
      <c r="A1223" s="3" t="str">
        <f>IFERROR(__xludf.DUMMYFUNCTION("""COMPUTED_VALUE"""),"HikCentral-P-VehicleInquiry-1Unit")</f>
        <v>HikCentral-P-VehicleInquiry-1Unit</v>
      </c>
      <c r="B1223" s="4" t="str">
        <f>IFERROR(__xludf.DUMMYFUNCTION("""COMPUTED_VALUE"""),"VEHICLE INQUIRY TERMINAL EXPANSION PACKAGE")</f>
        <v>VEHICLE INQUIRY TERMINAL EXPANSION PACKAGE</v>
      </c>
      <c r="C1223" s="4" t="str">
        <f>IFERROR(__xludf.DUMMYFUNCTION("""COMPUTED_VALUE"""),"Vehicle Inquiry Terminal Expansion Package. Prerequisite: Entrance &amp; Exit Module Expansion Package. Supported: 1 Vehicle Inquiry Terminal manageable. Remark: Up to 16 Vehicle Inquiry Terminal devices can be managed by each HikCentral Professional server.")</f>
        <v>Vehicle Inquiry Terminal Expansion Package. Prerequisite: Entrance &amp; Exit Module Expansion Package. Supported: 1 Vehicle Inquiry Terminal manageable. Remark: Up to 16 Vehicle Inquiry Terminal devices can be managed by each HikCentral Professional server.</v>
      </c>
      <c r="D1223" s="4" t="str">
        <f>IFERROR(__xludf.DUMMYFUNCTION("""COMPUTED_VALUE"""),"HIKVISION")</f>
        <v>HIKVISION</v>
      </c>
      <c r="E1223" s="4" t="str">
        <f>IFERROR(__xludf.DUMMYFUNCTION("""COMPUTED_VALUE"""),"HikCentral-P-VehicleInquiry-1Unit")</f>
        <v>HikCentral-P-VehicleInquiry-1Unit</v>
      </c>
      <c r="F1223" s="4" t="str">
        <f>IFERROR(__xludf.DUMMYFUNCTION("""COMPUTED_VALUE"""),"SOFTWARE / LICENCIAS &gt; LICENCIA HIKCENTRAL PROFESSIONAL")</f>
        <v>SOFTWARE / LICENCIAS &gt; LICENCIA HIKCENTRAL PROFESSIONAL</v>
      </c>
      <c r="G1223" s="5"/>
      <c r="H1223" s="6">
        <f>IFERROR(__xludf.DUMMYFUNCTION("""COMPUTED_VALUE"""),407.0)</f>
        <v>407</v>
      </c>
      <c r="I1223" s="7">
        <f>IFERROR(__xludf.DUMMYFUNCTION("""COMPUTED_VALUE"""),21.0)</f>
        <v>21</v>
      </c>
      <c r="J1223" s="6">
        <f>IFERROR(__xludf.DUMMYFUNCTION("""COMPUTED_VALUE"""),488.4)</f>
        <v>488.4</v>
      </c>
      <c r="K1223" s="6">
        <f>IFERROR(__xludf.DUMMYFUNCTION("""COMPUTED_VALUE"""),569.8)</f>
        <v>569.8</v>
      </c>
      <c r="L1223" s="3"/>
      <c r="M1223" s="3"/>
    </row>
    <row r="1224" ht="48.0" customHeight="1">
      <c r="A1224" s="3" t="str">
        <f>IFERROR(__xludf.DUMMYFUNCTION("""COMPUTED_VALUE"""),"HikCentral-P-Visitor-Module")</f>
        <v>HikCentral-P-Visitor-Module</v>
      </c>
      <c r="B1224" s="4" t="str">
        <f>IFERROR(__xludf.DUMMYFUNCTION("""COMPUTED_VALUE"""),"VISITOR MANAGEMENT MODULE EXPANSION PACKAGE")</f>
        <v>VISITOR MANAGEMENT MODULE EXPANSION PACKAGE</v>
      </c>
      <c r="C1224" s="4" t="str">
        <f>IFERROR(__xludf.DUMMYFUNCTION("""COMPUTED_VALUE"""),"Visitor Management Module Expansion package - including all functions of visitor management module.Prerequisite:Access Control Base package.Supported:Visitor registration, Access permission assignation, Visitor log search,etc.")</f>
        <v>Visitor Management Module Expansion package - including all functions of visitor management module.Prerequisite:Access Control Base package.Supported:Visitor registration, Access permission assignation, Visitor log search,etc.</v>
      </c>
      <c r="D1224" s="4" t="str">
        <f>IFERROR(__xludf.DUMMYFUNCTION("""COMPUTED_VALUE"""),"HIKVISION")</f>
        <v>HIKVISION</v>
      </c>
      <c r="E1224" s="4" t="str">
        <f>IFERROR(__xludf.DUMMYFUNCTION("""COMPUTED_VALUE"""),"HikCentral-P-Visitor-Module")</f>
        <v>HikCentral-P-Visitor-Module</v>
      </c>
      <c r="F1224" s="4" t="str">
        <f>IFERROR(__xludf.DUMMYFUNCTION("""COMPUTED_VALUE"""),"SOFTWARE / LICENCIAS &gt; LICENCIA HIKCENTRAL PROFESSIONAL")</f>
        <v>SOFTWARE / LICENCIAS &gt; LICENCIA HIKCENTRAL PROFESSIONAL</v>
      </c>
      <c r="G1224" s="5"/>
      <c r="H1224" s="6">
        <f>IFERROR(__xludf.DUMMYFUNCTION("""COMPUTED_VALUE"""),871.2)</f>
        <v>871.2</v>
      </c>
      <c r="I1224" s="7">
        <f>IFERROR(__xludf.DUMMYFUNCTION("""COMPUTED_VALUE"""),21.0)</f>
        <v>21</v>
      </c>
      <c r="J1224" s="6">
        <f>IFERROR(__xludf.DUMMYFUNCTION("""COMPUTED_VALUE"""),1045.44)</f>
        <v>1045.44</v>
      </c>
      <c r="K1224" s="6">
        <f>IFERROR(__xludf.DUMMYFUNCTION("""COMPUTED_VALUE"""),1219.68)</f>
        <v>1219.68</v>
      </c>
      <c r="L1224" s="3"/>
      <c r="M1224" s="3"/>
    </row>
    <row r="1225" ht="48.0" customHeight="1">
      <c r="A1225" s="3" t="str">
        <f>IFERROR(__xludf.DUMMYFUNCTION("""COMPUTED_VALUE"""),"HikCentral-P-EntranceExit-Module")</f>
        <v>HikCentral-P-EntranceExit-Module</v>
      </c>
      <c r="B1225" s="4" t="str">
        <f>IFERROR(__xludf.DUMMYFUNCTION("""COMPUTED_VALUE"""),"ENTRANCE &amp; EXIT MODULE EXPANSION PACKAGE")</f>
        <v>ENTRANCE &amp; EXIT MODULE EXPANSION PACKAGE</v>
      </c>
      <c r="C1225" s="4" t="str">
        <f>IFERROR(__xludf.DUMMYFUNCTION("""COMPUTED_VALUE"""),"Entrance &amp; Exit Module Expansion package. Prerequisite: Video Surveillance Base package. Supported: Basic functions of Entrance &amp; Exit management (e.g. Display Screen, Calling Center from Video Intercom device, Access Control with Access Control devices, "&amp;"Barrier control), Entrance &amp; Exit rule management, Entrance &amp; Exit monitoring and operation, Vehicle list management, Overstated/Park in Forbidden period alarm, 2 lanes and 2 ANPR cameras manageable, etc.")</f>
        <v>Entrance &amp; Exit Module Expansion package. Prerequisite: Video Surveillance Base package. Supported: Basic functions of Entrance &amp; Exit management (e.g. Display Screen, Calling Center from Video Intercom device, Access Control with Access Control devices, Barrier control), Entrance &amp; Exit rule management, Entrance &amp; Exit monitoring and operation, Vehicle list management, Overstated/Park in Forbidden period alarm, 2 lanes and 2 ANPR cameras manageable, etc.</v>
      </c>
      <c r="D1225" s="4" t="str">
        <f>IFERROR(__xludf.DUMMYFUNCTION("""COMPUTED_VALUE"""),"HIKVISION")</f>
        <v>HIKVISION</v>
      </c>
      <c r="E1225" s="4" t="str">
        <f>IFERROR(__xludf.DUMMYFUNCTION("""COMPUTED_VALUE"""),"HikCentral-P-EntranceExit-Module")</f>
        <v>HikCentral-P-EntranceExit-Module</v>
      </c>
      <c r="F1225" s="4" t="str">
        <f>IFERROR(__xludf.DUMMYFUNCTION("""COMPUTED_VALUE"""),"SOFTWARE / LICENCIAS &gt; LICENCIA HIKCENTRAL PROFESSIONAL")</f>
        <v>SOFTWARE / LICENCIAS &gt; LICENCIA HIKCENTRAL PROFESSIONAL</v>
      </c>
      <c r="G1225" s="5"/>
      <c r="H1225" s="6">
        <f>IFERROR(__xludf.DUMMYFUNCTION("""COMPUTED_VALUE"""),1089.0)</f>
        <v>1089</v>
      </c>
      <c r="I1225" s="7">
        <f>IFERROR(__xludf.DUMMYFUNCTION("""COMPUTED_VALUE"""),21.0)</f>
        <v>21</v>
      </c>
      <c r="J1225" s="6">
        <f>IFERROR(__xludf.DUMMYFUNCTION("""COMPUTED_VALUE"""),1306.8)</f>
        <v>1306.8</v>
      </c>
      <c r="K1225" s="6">
        <f>IFERROR(__xludf.DUMMYFUNCTION("""COMPUTED_VALUE"""),1524.6)</f>
        <v>1524.6</v>
      </c>
      <c r="L1225" s="3"/>
      <c r="M1225" s="3"/>
    </row>
    <row r="1226" ht="48.0" customHeight="1">
      <c r="A1226" s="3" t="str">
        <f>IFERROR(__xludf.DUMMYFUNCTION("""COMPUTED_VALUE"""),"HikCentral-P-Elevator-Module")</f>
        <v>HikCentral-P-Elevator-Module</v>
      </c>
      <c r="B1226" s="4" t="str">
        <f>IFERROR(__xludf.DUMMYFUNCTION("""COMPUTED_VALUE"""),"ELEVATOR CONTROL MODULE EXPANSION PACKAGE- INCLUDING ALL FUNCTIONS OF")</f>
        <v>ELEVATOR CONTROL MODULE EXPANSION PACKAGE- INCLUDING ALL FUNCTIONS OF</v>
      </c>
      <c r="C1226" s="4" t="str">
        <f>IFERROR(__xludf.DUMMYFUNCTION("""COMPUTED_VALUE"""),"Elevator Control Module Expansion package- including all functions of elevator control module.Prerequisite:Access Control Base package.Supported:Elevator control configuration, Elevator event &amp; alarm receive and search, Elevator operation,etc.")</f>
        <v>Elevator Control Module Expansion package- including all functions of elevator control module.Prerequisite:Access Control Base package.Supported:Elevator control configuration, Elevator event &amp; alarm receive and search, Elevator operation,etc.</v>
      </c>
      <c r="D1226" s="4" t="str">
        <f>IFERROR(__xludf.DUMMYFUNCTION("""COMPUTED_VALUE"""),"HIKVISION")</f>
        <v>HIKVISION</v>
      </c>
      <c r="E1226" s="4" t="str">
        <f>IFERROR(__xludf.DUMMYFUNCTION("""COMPUTED_VALUE"""),"HikCentral-P-Elevator-Module")</f>
        <v>HikCentral-P-Elevator-Module</v>
      </c>
      <c r="F1226" s="4" t="str">
        <f>IFERROR(__xludf.DUMMYFUNCTION("""COMPUTED_VALUE"""),"SOFTWARE / LICENCIAS &gt; LICENCIA HIKCENTRAL PROFESSIONAL")</f>
        <v>SOFTWARE / LICENCIAS &gt; LICENCIA HIKCENTRAL PROFESSIONAL</v>
      </c>
      <c r="G1226" s="5"/>
      <c r="H1226" s="6">
        <f>IFERROR(__xludf.DUMMYFUNCTION("""COMPUTED_VALUE"""),2182.4)</f>
        <v>2182.4</v>
      </c>
      <c r="I1226" s="7">
        <f>IFERROR(__xludf.DUMMYFUNCTION("""COMPUTED_VALUE"""),21.0)</f>
        <v>21</v>
      </c>
      <c r="J1226" s="6">
        <f>IFERROR(__xludf.DUMMYFUNCTION("""COMPUTED_VALUE"""),2618.88)</f>
        <v>2618.88</v>
      </c>
      <c r="K1226" s="6">
        <f>IFERROR(__xludf.DUMMYFUNCTION("""COMPUTED_VALUE"""),3055.36)</f>
        <v>3055.36</v>
      </c>
      <c r="L1226" s="3"/>
      <c r="M1226" s="3"/>
    </row>
    <row r="1227" ht="48.0" customHeight="1">
      <c r="A1227" s="3" t="str">
        <f>IFERROR(__xludf.DUMMYFUNCTION("""COMPUTED_VALUE"""),"HikCentral-P-MS-1Unit")</f>
        <v>HikCentral-P-MS-1Unit</v>
      </c>
      <c r="B1227" s="4" t="str">
        <f>IFERROR(__xludf.DUMMYFUNCTION("""COMPUTED_VALUE"""),"LICENCIA MOVIL")</f>
        <v>LICENCIA MOVIL</v>
      </c>
      <c r="C1227" s="4" t="str">
        <f>IFERROR(__xludf.DUMMYFUNCTION("""COMPUTED_VALUE"""),"licencia movil")</f>
        <v>licencia movil</v>
      </c>
      <c r="D1227" s="4" t="str">
        <f>IFERROR(__xludf.DUMMYFUNCTION("""COMPUTED_VALUE"""),"HIKVISION")</f>
        <v>HIKVISION</v>
      </c>
      <c r="E1227" s="4" t="str">
        <f>IFERROR(__xludf.DUMMYFUNCTION("""COMPUTED_VALUE"""),"HikCentral-P-MS-1Unit")</f>
        <v>HikCentral-P-MS-1Unit</v>
      </c>
      <c r="F1227" s="4" t="str">
        <f>IFERROR(__xludf.DUMMYFUNCTION("""COMPUTED_VALUE"""),"SOFTWARE / LICENCIAS &gt; LICENCIA HIKCENTRAL PROFESSIONAL")</f>
        <v>SOFTWARE / LICENCIAS &gt; LICENCIA HIKCENTRAL PROFESSIONAL</v>
      </c>
      <c r="G1227" s="5"/>
      <c r="H1227" s="6">
        <f>IFERROR(__xludf.DUMMYFUNCTION("""COMPUTED_VALUE"""),162.8)</f>
        <v>162.8</v>
      </c>
      <c r="I1227" s="7">
        <f>IFERROR(__xludf.DUMMYFUNCTION("""COMPUTED_VALUE"""),21.0)</f>
        <v>21</v>
      </c>
      <c r="J1227" s="6">
        <f>IFERROR(__xludf.DUMMYFUNCTION("""COMPUTED_VALUE"""),195.36)</f>
        <v>195.36</v>
      </c>
      <c r="K1227" s="6">
        <f>IFERROR(__xludf.DUMMYFUNCTION("""COMPUTED_VALUE"""),227.92)</f>
        <v>227.92</v>
      </c>
      <c r="L1227" s="3"/>
      <c r="M1227" s="3"/>
    </row>
    <row r="1228" ht="48.0" customHeight="1">
      <c r="A1228" s="3" t="str">
        <f>IFERROR(__xludf.DUMMYFUNCTION("""COMPUTED_VALUE"""),"HC-Intercom/1Room/1Y")</f>
        <v>HC-Intercom/1Room/1Y</v>
      </c>
      <c r="B1228" s="4" t="str">
        <f>IFERROR(__xludf.DUMMYFUNCTION("""COMPUTED_VALUE"""),"HC-INTERCOMUNICADOR/1HABITACIÓN/1Y")</f>
        <v>HC-INTERCOMUNICADOR/1HABITACIÓN/1Y</v>
      </c>
      <c r="C1228" s="4" t="str">
        <f>IFERROR(__xludf.DUMMYFUNCTION("""COMPUTED_VALUE"""),"HC-Intercomunicador/1Habitación/1Y")</f>
        <v>HC-Intercomunicador/1Habitación/1Y</v>
      </c>
      <c r="D1228" s="4" t="str">
        <f>IFERROR(__xludf.DUMMYFUNCTION("""COMPUTED_VALUE"""),"HIKVISION")</f>
        <v>HIKVISION</v>
      </c>
      <c r="E1228" s="4" t="str">
        <f>IFERROR(__xludf.DUMMYFUNCTION("""COMPUTED_VALUE"""),"HC-Intercom/1Room/1Y")</f>
        <v>HC-Intercom/1Room/1Y</v>
      </c>
      <c r="F1228" s="4" t="str">
        <f>IFERROR(__xludf.DUMMYFUNCTION("""COMPUTED_VALUE"""),"SOFTWARE / LICENCIAS &gt; LICENCIA TEAMS")</f>
        <v>SOFTWARE / LICENCIAS &gt; LICENCIA TEAMS</v>
      </c>
      <c r="G1228" s="5"/>
      <c r="H1228" s="6">
        <f>IFERROR(__xludf.DUMMYFUNCTION("""COMPUTED_VALUE"""),8.91)</f>
        <v>8.91</v>
      </c>
      <c r="I1228" s="7">
        <f>IFERROR(__xludf.DUMMYFUNCTION("""COMPUTED_VALUE"""),21.0)</f>
        <v>21</v>
      </c>
      <c r="J1228" s="6">
        <f>IFERROR(__xludf.DUMMYFUNCTION("""COMPUTED_VALUE"""),10.69)</f>
        <v>10.69</v>
      </c>
      <c r="K1228" s="6">
        <f>IFERROR(__xludf.DUMMYFUNCTION("""COMPUTED_VALUE"""),12.47)</f>
        <v>12.47</v>
      </c>
      <c r="L1228" s="3"/>
      <c r="M1228" s="3"/>
    </row>
    <row r="1229" ht="48.0" customHeight="1">
      <c r="A1229" s="3" t="str">
        <f>IFERROR(__xludf.DUMMYFUNCTION("""COMPUTED_VALUE"""),"HC-Intercom/1Room/Lifetime")</f>
        <v>HC-Intercom/1Room/Lifetime</v>
      </c>
      <c r="B1229" s="4" t="str">
        <f>IFERROR(__xludf.DUMMYFUNCTION("""COMPUTED_VALUE"""),"HC-INTERCOM/1HABITACIÓN/VIDA ÚTIL")</f>
        <v>HC-INTERCOM/1HABITACIÓN/VIDA ÚTIL</v>
      </c>
      <c r="C1229" s="4" t="str">
        <f>IFERROR(__xludf.DUMMYFUNCTION("""COMPUTED_VALUE"""),"HC-Intercom/1Habitación/Vida útil")</f>
        <v>HC-Intercom/1Habitación/Vida útil</v>
      </c>
      <c r="D1229" s="4" t="str">
        <f>IFERROR(__xludf.DUMMYFUNCTION("""COMPUTED_VALUE"""),"HIKVISION")</f>
        <v>HIKVISION</v>
      </c>
      <c r="E1229" s="4" t="str">
        <f>IFERROR(__xludf.DUMMYFUNCTION("""COMPUTED_VALUE"""),"HC-Intercom/1Room/Lifetime")</f>
        <v>HC-Intercom/1Room/Lifetime</v>
      </c>
      <c r="F1229" s="4" t="str">
        <f>IFERROR(__xludf.DUMMYFUNCTION("""COMPUTED_VALUE"""),"SOFTWARE / LICENCIAS &gt; LICENCIA TEAMS")</f>
        <v>SOFTWARE / LICENCIAS &gt; LICENCIA TEAMS</v>
      </c>
      <c r="G1229" s="5"/>
      <c r="H1229" s="6">
        <f>IFERROR(__xludf.DUMMYFUNCTION("""COMPUTED_VALUE"""),32.23)</f>
        <v>32.23</v>
      </c>
      <c r="I1229" s="7">
        <f>IFERROR(__xludf.DUMMYFUNCTION("""COMPUTED_VALUE"""),21.0)</f>
        <v>21</v>
      </c>
      <c r="J1229" s="6">
        <f>IFERROR(__xludf.DUMMYFUNCTION("""COMPUTED_VALUE"""),38.68)</f>
        <v>38.68</v>
      </c>
      <c r="K1229" s="6">
        <f>IFERROR(__xludf.DUMMYFUNCTION("""COMPUTED_VALUE"""),45.12)</f>
        <v>45.12</v>
      </c>
      <c r="L1229" s="3"/>
      <c r="M1229" s="3"/>
    </row>
    <row r="1230" ht="48.0" customHeight="1">
      <c r="A1230" s="3" t="str">
        <f>IFERROR(__xludf.DUMMYFUNCTION("""COMPUTED_VALUE"""),"HC-T&amp;HCC-AC&amp;TA/1Door/1Y")</f>
        <v>HC-T&amp;HCC-AC&amp;TA/1Door/1Y</v>
      </c>
      <c r="B1230" s="4" t="str">
        <f>IFERROR(__xludf.DUMMYFUNCTION("""COMPUTED_VALUE"""),"HC-T&amp;HCC-AC&amp;TA/1DOOR/1Y")</f>
        <v>HC-T&amp;HCC-AC&amp;TA/1DOOR/1Y</v>
      </c>
      <c r="C1230" s="4" t="str">
        <f>IFERROR(__xludf.DUMMYFUNCTION("""COMPUTED_VALUE"""),"HC-T&amp;HCC-AC&amp;TA/1Door/1Y")</f>
        <v>HC-T&amp;HCC-AC&amp;TA/1Door/1Y</v>
      </c>
      <c r="D1230" s="4" t="str">
        <f>IFERROR(__xludf.DUMMYFUNCTION("""COMPUTED_VALUE"""),"HIKVISION")</f>
        <v>HIKVISION</v>
      </c>
      <c r="E1230" s="4" t="str">
        <f>IFERROR(__xludf.DUMMYFUNCTION("""COMPUTED_VALUE"""),"HC-T&amp;HCC-AC&amp;TA/1Door/1Y")</f>
        <v>HC-T&amp;HCC-AC&amp;TA/1Door/1Y</v>
      </c>
      <c r="F1230" s="4" t="str">
        <f>IFERROR(__xludf.DUMMYFUNCTION("""COMPUTED_VALUE"""),"SOFTWARE / LICENCIAS &gt; LICENCIA TEAMS")</f>
        <v>SOFTWARE / LICENCIAS &gt; LICENCIA TEAMS</v>
      </c>
      <c r="G1230" s="5"/>
      <c r="H1230" s="6">
        <f>IFERROR(__xludf.DUMMYFUNCTION("""COMPUTED_VALUE"""),36.3)</f>
        <v>36.3</v>
      </c>
      <c r="I1230" s="7">
        <f>IFERROR(__xludf.DUMMYFUNCTION("""COMPUTED_VALUE"""),21.0)</f>
        <v>21</v>
      </c>
      <c r="J1230" s="6">
        <f>IFERROR(__xludf.DUMMYFUNCTION("""COMPUTED_VALUE"""),43.56)</f>
        <v>43.56</v>
      </c>
      <c r="K1230" s="6">
        <f>IFERROR(__xludf.DUMMYFUNCTION("""COMPUTED_VALUE"""),50.82)</f>
        <v>50.82</v>
      </c>
      <c r="L1230" s="3"/>
      <c r="M1230" s="3"/>
    </row>
    <row r="1231" ht="48.0" customHeight="1">
      <c r="A1231" s="3" t="str">
        <f>IFERROR(__xludf.DUMMYFUNCTION("""COMPUTED_VALUE"""),"HC-T&amp;HCC-AC&amp;TA/1Door/Lifetime")</f>
        <v>HC-T&amp;HCC-AC&amp;TA/1Door/Lifetime</v>
      </c>
      <c r="B1231" s="4" t="str">
        <f>IFERROR(__xludf.DUMMYFUNCTION("""COMPUTED_VALUE"""),"HC-T&amp;HCC-AC&amp;TA/1DOOR/LIFETIME")</f>
        <v>HC-T&amp;HCC-AC&amp;TA/1DOOR/LIFETIME</v>
      </c>
      <c r="C1231" s="4" t="str">
        <f>IFERROR(__xludf.DUMMYFUNCTION("""COMPUTED_VALUE"""),"HC-T&amp;HCC-AC&amp;TA/1Door/Lifetime")</f>
        <v>HC-T&amp;HCC-AC&amp;TA/1Door/Lifetime</v>
      </c>
      <c r="D1231" s="4" t="str">
        <f>IFERROR(__xludf.DUMMYFUNCTION("""COMPUTED_VALUE"""),"HIKVISION")</f>
        <v>HIKVISION</v>
      </c>
      <c r="E1231" s="4" t="str">
        <f>IFERROR(__xludf.DUMMYFUNCTION("""COMPUTED_VALUE"""),"HC-T&amp;HCC-AC&amp;TA/1Door/Lifetime")</f>
        <v>HC-T&amp;HCC-AC&amp;TA/1Door/Lifetime</v>
      </c>
      <c r="F1231" s="4" t="str">
        <f>IFERROR(__xludf.DUMMYFUNCTION("""COMPUTED_VALUE"""),"SOFTWARE / LICENCIAS &gt; LICENCIA TEAMS")</f>
        <v>SOFTWARE / LICENCIAS &gt; LICENCIA TEAMS</v>
      </c>
      <c r="G1231" s="5"/>
      <c r="H1231" s="6">
        <f>IFERROR(__xludf.DUMMYFUNCTION("""COMPUTED_VALUE"""),130.9)</f>
        <v>130.9</v>
      </c>
      <c r="I1231" s="7">
        <f>IFERROR(__xludf.DUMMYFUNCTION("""COMPUTED_VALUE"""),21.0)</f>
        <v>21</v>
      </c>
      <c r="J1231" s="6">
        <f>IFERROR(__xludf.DUMMYFUNCTION("""COMPUTED_VALUE"""),157.08)</f>
        <v>157.08</v>
      </c>
      <c r="K1231" s="6">
        <f>IFERROR(__xludf.DUMMYFUNCTION("""COMPUTED_VALUE"""),183.26)</f>
        <v>183.26</v>
      </c>
      <c r="L1231" s="3"/>
      <c r="M1231" s="3"/>
    </row>
    <row r="1232" ht="48.0" customHeight="1">
      <c r="A1232" s="3" t="str">
        <f>IFERROR(__xludf.DUMMYFUNCTION("""COMPUTED_VALUE"""),"HC-T&amp;HCC-AC&amp;TA/10Doors/1Y")</f>
        <v>HC-T&amp;HCC-AC&amp;TA/10Doors/1Y</v>
      </c>
      <c r="B1232" s="4" t="str">
        <f>IFERROR(__xludf.DUMMYFUNCTION("""COMPUTED_VALUE"""),"HC-T&amp;HCC-AC&amp;TA/10DOORS/1Y")</f>
        <v>HC-T&amp;HCC-AC&amp;TA/10DOORS/1Y</v>
      </c>
      <c r="C1232" s="4" t="str">
        <f>IFERROR(__xludf.DUMMYFUNCTION("""COMPUTED_VALUE"""),"HC-T&amp;HCC-AC&amp;TA/10Doors/1Y")</f>
        <v>HC-T&amp;HCC-AC&amp;TA/10Doors/1Y</v>
      </c>
      <c r="D1232" s="4" t="str">
        <f>IFERROR(__xludf.DUMMYFUNCTION("""COMPUTED_VALUE"""),"HIKVISION")</f>
        <v>HIKVISION</v>
      </c>
      <c r="E1232" s="4" t="str">
        <f>IFERROR(__xludf.DUMMYFUNCTION("""COMPUTED_VALUE"""),"HC-T&amp;HCC-AC&amp;TA/10Doors/1Y")</f>
        <v>HC-T&amp;HCC-AC&amp;TA/10Doors/1Y</v>
      </c>
      <c r="F1232" s="4" t="str">
        <f>IFERROR(__xludf.DUMMYFUNCTION("""COMPUTED_VALUE"""),"SOFTWARE / LICENCIAS &gt; LICENCIA TEAMS")</f>
        <v>SOFTWARE / LICENCIAS &gt; LICENCIA TEAMS</v>
      </c>
      <c r="G1232" s="5"/>
      <c r="H1232" s="6">
        <f>IFERROR(__xludf.DUMMYFUNCTION("""COMPUTED_VALUE"""),290.4)</f>
        <v>290.4</v>
      </c>
      <c r="I1232" s="7">
        <f>IFERROR(__xludf.DUMMYFUNCTION("""COMPUTED_VALUE"""),21.0)</f>
        <v>21</v>
      </c>
      <c r="J1232" s="6">
        <f>IFERROR(__xludf.DUMMYFUNCTION("""COMPUTED_VALUE"""),348.48)</f>
        <v>348.48</v>
      </c>
      <c r="K1232" s="6">
        <f>IFERROR(__xludf.DUMMYFUNCTION("""COMPUTED_VALUE"""),406.56)</f>
        <v>406.56</v>
      </c>
      <c r="L1232" s="3"/>
      <c r="M1232" s="3"/>
    </row>
    <row r="1233" ht="48.0" customHeight="1">
      <c r="A1233" s="3" t="str">
        <f>IFERROR(__xludf.DUMMYFUNCTION("""COMPUTED_VALUE"""),"HC-T&amp;HCC-AC&amp;TA/10Doors/Lifetime")</f>
        <v>HC-T&amp;HCC-AC&amp;TA/10Doors/Lifetime</v>
      </c>
      <c r="B1233" s="4" t="str">
        <f>IFERROR(__xludf.DUMMYFUNCTION("""COMPUTED_VALUE"""),"HC-T&amp;HCC-AC&amp;TA/10DOORS/LIFETIME")</f>
        <v>HC-T&amp;HCC-AC&amp;TA/10DOORS/LIFETIME</v>
      </c>
      <c r="C1233" s="4" t="str">
        <f>IFERROR(__xludf.DUMMYFUNCTION("""COMPUTED_VALUE"""),"HC-T&amp;HCC-AC&amp;TA/10Doors/Lifetime")</f>
        <v>HC-T&amp;HCC-AC&amp;TA/10Doors/Lifetime</v>
      </c>
      <c r="D1233" s="4" t="str">
        <f>IFERROR(__xludf.DUMMYFUNCTION("""COMPUTED_VALUE"""),"HIKVISION")</f>
        <v>HIKVISION</v>
      </c>
      <c r="E1233" s="4" t="str">
        <f>IFERROR(__xludf.DUMMYFUNCTION("""COMPUTED_VALUE"""),"HC-T&amp;HCC-AC&amp;TA/10Doors/Lifetime")</f>
        <v>HC-T&amp;HCC-AC&amp;TA/10Doors/Lifetime</v>
      </c>
      <c r="F1233" s="4" t="str">
        <f>IFERROR(__xludf.DUMMYFUNCTION("""COMPUTED_VALUE"""),"SOFTWARE / LICENCIAS &gt; LICENCIA TEAMS")</f>
        <v>SOFTWARE / LICENCIAS &gt; LICENCIA TEAMS</v>
      </c>
      <c r="G1233" s="5"/>
      <c r="H1233" s="6">
        <f>IFERROR(__xludf.DUMMYFUNCTION("""COMPUTED_VALUE"""),1054.9)</f>
        <v>1054.9</v>
      </c>
      <c r="I1233" s="7">
        <f>IFERROR(__xludf.DUMMYFUNCTION("""COMPUTED_VALUE"""),21.0)</f>
        <v>21</v>
      </c>
      <c r="J1233" s="6">
        <f>IFERROR(__xludf.DUMMYFUNCTION("""COMPUTED_VALUE"""),1265.88)</f>
        <v>1265.88</v>
      </c>
      <c r="K1233" s="6">
        <f>IFERROR(__xludf.DUMMYFUNCTION("""COMPUTED_VALUE"""),1476.86)</f>
        <v>1476.86</v>
      </c>
      <c r="L1233" s="3"/>
      <c r="M1233" s="3"/>
    </row>
    <row r="1234" ht="48.0" customHeight="1">
      <c r="A1234" s="3" t="str">
        <f>IFERROR(__xludf.DUMMYFUNCTION("""COMPUTED_VALUE"""),"DGFEX1004V7")</f>
        <v>DGFEX1004V7</v>
      </c>
      <c r="B1234" s="4" t="str">
        <f>IFERROR(__xludf.DUMMYFUNCTION("""COMPUTED_VALUE"""),"SYSTEM EXPLORER VERSIÓN PARA WINDOWS SISTEMA BASE PARA MANEJO")</f>
        <v>SYSTEM EXPLORER VERSIÓN PARA WINDOWS SISTEMA BASE PARA MANEJO</v>
      </c>
      <c r="C1234" s="4" t="str">
        <f>IFERROR(__xludf.DUMMYFUNCTION("""COMPUTED_VALUE"""),"System Explorer Versión para Windows Sistema Base para manejo de 4 camaras. (Límite de 16 Camaras)")</f>
        <v>System Explorer Versión para Windows Sistema Base para manejo de 4 camaras. (Límite de 16 Camaras)</v>
      </c>
      <c r="D1234" s="4" t="str">
        <f>IFERROR(__xludf.DUMMYFUNCTION("""COMPUTED_VALUE"""),"DIGIFORT")</f>
        <v>DIGIFORT</v>
      </c>
      <c r="E1234" s="4" t="str">
        <f>IFERROR(__xludf.DUMMYFUNCTION("""COMPUTED_VALUE"""),"DGFEX1004V7")</f>
        <v>DGFEX1004V7</v>
      </c>
      <c r="F1234" s="4" t="str">
        <f>IFERROR(__xludf.DUMMYFUNCTION("""COMPUTED_VALUE"""),"SOFTWARE / LICENCIAS &gt; LICENCIA MONITOREO EXPLORER")</f>
        <v>SOFTWARE / LICENCIAS &gt; LICENCIA MONITOREO EXPLORER</v>
      </c>
      <c r="G1234" s="5"/>
      <c r="H1234" s="6">
        <f>IFERROR(__xludf.DUMMYFUNCTION("""COMPUTED_VALUE"""),246.74)</f>
        <v>246.74</v>
      </c>
      <c r="I1234" s="7">
        <f>IFERROR(__xludf.DUMMYFUNCTION("""COMPUTED_VALUE"""),21.0)</f>
        <v>21</v>
      </c>
      <c r="J1234" s="6">
        <f>IFERROR(__xludf.DUMMYFUNCTION("""COMPUTED_VALUE"""),296.09)</f>
        <v>296.09</v>
      </c>
      <c r="K1234" s="6">
        <f>IFERROR(__xludf.DUMMYFUNCTION("""COMPUTED_VALUE"""),345.44)</f>
        <v>345.44</v>
      </c>
      <c r="L1234" s="3"/>
      <c r="M1234" s="3"/>
    </row>
    <row r="1235" ht="48.0" customHeight="1">
      <c r="A1235" s="3" t="str">
        <f>IFERROR(__xludf.DUMMYFUNCTION("""COMPUTED_VALUE"""),"DGFEX1102V7")</f>
        <v>DGFEX1102V7</v>
      </c>
      <c r="B1235" s="4" t="str">
        <f>IFERROR(__xludf.DUMMYFUNCTION("""COMPUTED_VALUE"""),"SYSTEM EXPLORER VERSIÓN PARA WINDOWS PACK PARA MANEJO PARA")</f>
        <v>SYSTEM EXPLORER VERSIÓN PARA WINDOWS PACK PARA MANEJO PARA</v>
      </c>
      <c r="C1235" s="4" t="str">
        <f>IFERROR(__xludf.DUMMYFUNCTION("""COMPUTED_VALUE"""),"System Explorer Versión para Windows Pack para manejo para 2 camaras adicionales")</f>
        <v>System Explorer Versión para Windows Pack para manejo para 2 camaras adicionales</v>
      </c>
      <c r="D1235" s="4" t="str">
        <f>IFERROR(__xludf.DUMMYFUNCTION("""COMPUTED_VALUE"""),"DIGIFORT")</f>
        <v>DIGIFORT</v>
      </c>
      <c r="E1235" s="4" t="str">
        <f>IFERROR(__xludf.DUMMYFUNCTION("""COMPUTED_VALUE"""),"DGFEX1102V7")</f>
        <v>DGFEX1102V7</v>
      </c>
      <c r="F1235" s="4" t="str">
        <f>IFERROR(__xludf.DUMMYFUNCTION("""COMPUTED_VALUE"""),"SOFTWARE / LICENCIAS &gt; LICENCIA MONITOREO EXPLORER")</f>
        <v>SOFTWARE / LICENCIAS &gt; LICENCIA MONITOREO EXPLORER</v>
      </c>
      <c r="G1235" s="5"/>
      <c r="H1235" s="6">
        <f>IFERROR(__xludf.DUMMYFUNCTION("""COMPUTED_VALUE"""),86.36)</f>
        <v>86.36</v>
      </c>
      <c r="I1235" s="7">
        <f>IFERROR(__xludf.DUMMYFUNCTION("""COMPUTED_VALUE"""),21.0)</f>
        <v>21</v>
      </c>
      <c r="J1235" s="6">
        <f>IFERROR(__xludf.DUMMYFUNCTION("""COMPUTED_VALUE"""),103.63)</f>
        <v>103.63</v>
      </c>
      <c r="K1235" s="6">
        <f>IFERROR(__xludf.DUMMYFUNCTION("""COMPUTED_VALUE"""),120.9)</f>
        <v>120.9</v>
      </c>
      <c r="L1235" s="3"/>
      <c r="M1235" s="3"/>
    </row>
    <row r="1236" ht="48.0" customHeight="1">
      <c r="A1236" s="3" t="str">
        <f>IFERROR(__xludf.DUMMYFUNCTION("""COMPUTED_VALUE"""),"DGFEX1104V7")</f>
        <v>DGFEX1104V7</v>
      </c>
      <c r="B1236" s="4" t="str">
        <f>IFERROR(__xludf.DUMMYFUNCTION("""COMPUTED_VALUE"""),"SYSTEM EXPLORER VERSIÓN PARA WINDOWS PACK PARA MANEJO PARA")</f>
        <v>SYSTEM EXPLORER VERSIÓN PARA WINDOWS PACK PARA MANEJO PARA</v>
      </c>
      <c r="C1236" s="4" t="str">
        <f>IFERROR(__xludf.DUMMYFUNCTION("""COMPUTED_VALUE"""),"System Explorer Versión para Windows Pack para manejo para 4 camaras adicionales")</f>
        <v>System Explorer Versión para Windows Pack para manejo para 4 camaras adicionales</v>
      </c>
      <c r="D1236" s="4" t="str">
        <f>IFERROR(__xludf.DUMMYFUNCTION("""COMPUTED_VALUE"""),"DIGIFORT")</f>
        <v>DIGIFORT</v>
      </c>
      <c r="E1236" s="4" t="str">
        <f>IFERROR(__xludf.DUMMYFUNCTION("""COMPUTED_VALUE"""),"DGFEX1104V7")</f>
        <v>DGFEX1104V7</v>
      </c>
      <c r="F1236" s="4" t="str">
        <f>IFERROR(__xludf.DUMMYFUNCTION("""COMPUTED_VALUE"""),"SOFTWARE / LICENCIAS &gt; LICENCIA MONITOREO EXPLORER")</f>
        <v>SOFTWARE / LICENCIAS &gt; LICENCIA MONITOREO EXPLORER</v>
      </c>
      <c r="G1236" s="5"/>
      <c r="H1236" s="6">
        <f>IFERROR(__xludf.DUMMYFUNCTION("""COMPUTED_VALUE"""),151.13)</f>
        <v>151.13</v>
      </c>
      <c r="I1236" s="7">
        <f>IFERROR(__xludf.DUMMYFUNCTION("""COMPUTED_VALUE"""),21.0)</f>
        <v>21</v>
      </c>
      <c r="J1236" s="6">
        <f>IFERROR(__xludf.DUMMYFUNCTION("""COMPUTED_VALUE"""),181.36)</f>
        <v>181.36</v>
      </c>
      <c r="K1236" s="6">
        <f>IFERROR(__xludf.DUMMYFUNCTION("""COMPUTED_VALUE"""),211.58)</f>
        <v>211.58</v>
      </c>
      <c r="L1236" s="3"/>
      <c r="M1236" s="3"/>
    </row>
    <row r="1237" ht="48.0" customHeight="1">
      <c r="A1237" s="3" t="str">
        <f>IFERROR(__xludf.DUMMYFUNCTION("""COMPUTED_VALUE"""),"DGFEX1108V7")</f>
        <v>DGFEX1108V7</v>
      </c>
      <c r="B1237" s="4" t="str">
        <f>IFERROR(__xludf.DUMMYFUNCTION("""COMPUTED_VALUE"""),"SYSTEM EXPLORER VERSIÓN PARA WINDOWS PACK PARA MANEJO PARA")</f>
        <v>SYSTEM EXPLORER VERSIÓN PARA WINDOWS PACK PARA MANEJO PARA</v>
      </c>
      <c r="C1237" s="4" t="str">
        <f>IFERROR(__xludf.DUMMYFUNCTION("""COMPUTED_VALUE"""),"System Explorer Versión para Windows Pack para manejo para 8 camaras adicionales")</f>
        <v>System Explorer Versión para Windows Pack para manejo para 8 camaras adicionales</v>
      </c>
      <c r="D1237" s="4" t="str">
        <f>IFERROR(__xludf.DUMMYFUNCTION("""COMPUTED_VALUE"""),"DIGIFORT")</f>
        <v>DIGIFORT</v>
      </c>
      <c r="E1237" s="4" t="str">
        <f>IFERROR(__xludf.DUMMYFUNCTION("""COMPUTED_VALUE"""),"DGFEX1108V7")</f>
        <v>DGFEX1108V7</v>
      </c>
      <c r="F1237" s="4" t="str">
        <f>IFERROR(__xludf.DUMMYFUNCTION("""COMPUTED_VALUE"""),"SOFTWARE / LICENCIAS &gt; LICENCIA MONITOREO EXPLORER")</f>
        <v>SOFTWARE / LICENCIAS &gt; LICENCIA MONITOREO EXPLORER</v>
      </c>
      <c r="G1237" s="5"/>
      <c r="H1237" s="6">
        <f>IFERROR(__xludf.DUMMYFUNCTION("""COMPUTED_VALUE"""),264.47)</f>
        <v>264.47</v>
      </c>
      <c r="I1237" s="7">
        <f>IFERROR(__xludf.DUMMYFUNCTION("""COMPUTED_VALUE"""),21.0)</f>
        <v>21</v>
      </c>
      <c r="J1237" s="6">
        <f>IFERROR(__xludf.DUMMYFUNCTION("""COMPUTED_VALUE"""),317.36)</f>
        <v>317.36</v>
      </c>
      <c r="K1237" s="6">
        <f>IFERROR(__xludf.DUMMYFUNCTION("""COMPUTED_VALUE"""),370.26)</f>
        <v>370.26</v>
      </c>
      <c r="L1237" s="3"/>
      <c r="M1237" s="3"/>
    </row>
    <row r="1238" ht="48.0" customHeight="1">
      <c r="A1238" s="3" t="str">
        <f>IFERROR(__xludf.DUMMYFUNCTION("""COMPUTED_VALUE"""),"DGFUPEXST1004V7")</f>
        <v>DGFUPEXST1004V7</v>
      </c>
      <c r="B1238" s="4" t="str">
        <f>IFERROR(__xludf.DUMMYFUNCTION("""COMPUTED_VALUE"""),"VERSIÓN UPGRADE EXPLORER PARA STANDARD BASE PARA 4 CÁMARAS")</f>
        <v>VERSIÓN UPGRADE EXPLORER PARA STANDARD BASE PARA 4 CÁMARAS</v>
      </c>
      <c r="C1238" s="4" t="str">
        <f>IFERROR(__xludf.DUMMYFUNCTION("""COMPUTED_VALUE"""),"Versión Upgrade Explorer para Standard Base para 4 cámaras")</f>
        <v>Versión Upgrade Explorer para Standard Base para 4 cámaras</v>
      </c>
      <c r="D1238" s="4" t="str">
        <f>IFERROR(__xludf.DUMMYFUNCTION("""COMPUTED_VALUE"""),"DIGIFORT")</f>
        <v>DIGIFORT</v>
      </c>
      <c r="E1238" s="4" t="str">
        <f>IFERROR(__xludf.DUMMYFUNCTION("""COMPUTED_VALUE"""),"DGFUPEXST1004V7")</f>
        <v>DGFUPEXST1004V7</v>
      </c>
      <c r="F1238" s="4" t="str">
        <f>IFERROR(__xludf.DUMMYFUNCTION("""COMPUTED_VALUE"""),"SOFTWARE / LICENCIAS &gt; UPGRADEDE VERSION EXPLORER A STANDARD/PROFESIONAL/ENTERPRISE")</f>
        <v>SOFTWARE / LICENCIAS &gt; UPGRADEDE VERSION EXPLORER A STANDARD/PROFESIONAL/ENTERPRISE</v>
      </c>
      <c r="G1238" s="5"/>
      <c r="H1238" s="6">
        <f>IFERROR(__xludf.DUMMYFUNCTION("""COMPUTED_VALUE"""),395.2)</f>
        <v>395.2</v>
      </c>
      <c r="I1238" s="7">
        <f>IFERROR(__xludf.DUMMYFUNCTION("""COMPUTED_VALUE"""),21.0)</f>
        <v>21</v>
      </c>
      <c r="J1238" s="6">
        <f>IFERROR(__xludf.DUMMYFUNCTION("""COMPUTED_VALUE"""),474.24)</f>
        <v>474.24</v>
      </c>
      <c r="K1238" s="6">
        <f>IFERROR(__xludf.DUMMYFUNCTION("""COMPUTED_VALUE"""),553.28)</f>
        <v>553.28</v>
      </c>
      <c r="L1238" s="3"/>
      <c r="M1238" s="3"/>
    </row>
    <row r="1239" ht="48.0" customHeight="1">
      <c r="A1239" s="3" t="str">
        <f>IFERROR(__xludf.DUMMYFUNCTION("""COMPUTED_VALUE"""),"DGFUPEXST1102V7")</f>
        <v>DGFUPEXST1102V7</v>
      </c>
      <c r="B1239" s="4" t="str">
        <f>IFERROR(__xludf.DUMMYFUNCTION("""COMPUTED_VALUE"""),"VERSIÓN UPGRADE EXPLORER PARA STANDARD PACK PARA 2 CÁMARAS")</f>
        <v>VERSIÓN UPGRADE EXPLORER PARA STANDARD PACK PARA 2 CÁMARAS</v>
      </c>
      <c r="C1239" s="4" t="str">
        <f>IFERROR(__xludf.DUMMYFUNCTION("""COMPUTED_VALUE"""),"Versión Upgrade Explorer para Standard Pack para 2 cámaras")</f>
        <v>Versión Upgrade Explorer para Standard Pack para 2 cámaras</v>
      </c>
      <c r="D1239" s="4" t="str">
        <f>IFERROR(__xludf.DUMMYFUNCTION("""COMPUTED_VALUE"""),"DIGIFORT")</f>
        <v>DIGIFORT</v>
      </c>
      <c r="E1239" s="4" t="str">
        <f>IFERROR(__xludf.DUMMYFUNCTION("""COMPUTED_VALUE"""),"DGFUPEXST1102V7")</f>
        <v>DGFUPEXST1102V7</v>
      </c>
      <c r="F1239" s="4" t="str">
        <f>IFERROR(__xludf.DUMMYFUNCTION("""COMPUTED_VALUE"""),"SOFTWARE / LICENCIAS &gt; UPGRADEDE VERSION EXPLORER A STANDARD/PROFESIONAL/ENTERPRISE")</f>
        <v>SOFTWARE / LICENCIAS &gt; UPGRADEDE VERSION EXPLORER A STANDARD/PROFESIONAL/ENTERPRISE</v>
      </c>
      <c r="G1239" s="5"/>
      <c r="H1239" s="6">
        <f>IFERROR(__xludf.DUMMYFUNCTION("""COMPUTED_VALUE"""),147.21)</f>
        <v>147.21</v>
      </c>
      <c r="I1239" s="7">
        <f>IFERROR(__xludf.DUMMYFUNCTION("""COMPUTED_VALUE"""),21.0)</f>
        <v>21</v>
      </c>
      <c r="J1239" s="6">
        <f>IFERROR(__xludf.DUMMYFUNCTION("""COMPUTED_VALUE"""),176.65)</f>
        <v>176.65</v>
      </c>
      <c r="K1239" s="6">
        <f>IFERROR(__xludf.DUMMYFUNCTION("""COMPUTED_VALUE"""),206.09)</f>
        <v>206.09</v>
      </c>
      <c r="L1239" s="3"/>
      <c r="M1239" s="3"/>
    </row>
    <row r="1240" ht="48.0" customHeight="1">
      <c r="A1240" s="3" t="str">
        <f>IFERROR(__xludf.DUMMYFUNCTION("""COMPUTED_VALUE"""),"DGFUPEXST1104V7")</f>
        <v>DGFUPEXST1104V7</v>
      </c>
      <c r="B1240" s="4" t="str">
        <f>IFERROR(__xludf.DUMMYFUNCTION("""COMPUTED_VALUE"""),"VERSIÓN UPGRADE EXPLORER PARA STANDARD PACK PARA 4 CÁMARAS")</f>
        <v>VERSIÓN UPGRADE EXPLORER PARA STANDARD PACK PARA 4 CÁMARAS</v>
      </c>
      <c r="C1240" s="4" t="str">
        <f>IFERROR(__xludf.DUMMYFUNCTION("""COMPUTED_VALUE"""),"Versión Upgrade Explorer para Standard Pack para 4 cámaras")</f>
        <v>Versión Upgrade Explorer para Standard Pack para 4 cámaras</v>
      </c>
      <c r="D1240" s="4" t="str">
        <f>IFERROR(__xludf.DUMMYFUNCTION("""COMPUTED_VALUE"""),"DIGIFORT")</f>
        <v>DIGIFORT</v>
      </c>
      <c r="E1240" s="4" t="str">
        <f>IFERROR(__xludf.DUMMYFUNCTION("""COMPUTED_VALUE"""),"DGFUPEXST1104V7")</f>
        <v>DGFUPEXST1104V7</v>
      </c>
      <c r="F1240" s="4" t="str">
        <f>IFERROR(__xludf.DUMMYFUNCTION("""COMPUTED_VALUE"""),"SOFTWARE / LICENCIAS &gt; UPGRADEDE VERSION EXPLORER A STANDARD/PROFESIONAL/ENTERPRISE")</f>
        <v>SOFTWARE / LICENCIAS &gt; UPGRADEDE VERSION EXPLORER A STANDARD/PROFESIONAL/ENTERPRISE</v>
      </c>
      <c r="G1240" s="5"/>
      <c r="H1240" s="6">
        <f>IFERROR(__xludf.DUMMYFUNCTION("""COMPUTED_VALUE"""),273.98)</f>
        <v>273.98</v>
      </c>
      <c r="I1240" s="7">
        <f>IFERROR(__xludf.DUMMYFUNCTION("""COMPUTED_VALUE"""),21.0)</f>
        <v>21</v>
      </c>
      <c r="J1240" s="6">
        <f>IFERROR(__xludf.DUMMYFUNCTION("""COMPUTED_VALUE"""),328.78)</f>
        <v>328.78</v>
      </c>
      <c r="K1240" s="6">
        <f>IFERROR(__xludf.DUMMYFUNCTION("""COMPUTED_VALUE"""),383.57)</f>
        <v>383.57</v>
      </c>
      <c r="L1240" s="3"/>
      <c r="M1240" s="3"/>
    </row>
    <row r="1241" ht="48.0" customHeight="1">
      <c r="A1241" s="3" t="str">
        <f>IFERROR(__xludf.DUMMYFUNCTION("""COMPUTED_VALUE"""),"DGFUPEXST1108V7")</f>
        <v>DGFUPEXST1108V7</v>
      </c>
      <c r="B1241" s="4" t="str">
        <f>IFERROR(__xludf.DUMMYFUNCTION("""COMPUTED_VALUE"""),"VERSIÓN UPGRADE EXPLORER PARA STANDARD PACK PARA 8 CÁMARAS")</f>
        <v>VERSIÓN UPGRADE EXPLORER PARA STANDARD PACK PARA 8 CÁMARAS</v>
      </c>
      <c r="C1241" s="4" t="str">
        <f>IFERROR(__xludf.DUMMYFUNCTION("""COMPUTED_VALUE"""),"Versión Upgrade Explorer para Standard Pack para 8 cámaras")</f>
        <v>Versión Upgrade Explorer para Standard Pack para 8 cámaras</v>
      </c>
      <c r="D1241" s="4" t="str">
        <f>IFERROR(__xludf.DUMMYFUNCTION("""COMPUTED_VALUE"""),"DIGIFORT")</f>
        <v>DIGIFORT</v>
      </c>
      <c r="E1241" s="4" t="str">
        <f>IFERROR(__xludf.DUMMYFUNCTION("""COMPUTED_VALUE"""),"DGFUPEXST1108V7")</f>
        <v>DGFUPEXST1108V7</v>
      </c>
      <c r="F1241" s="4" t="str">
        <f>IFERROR(__xludf.DUMMYFUNCTION("""COMPUTED_VALUE"""),"SOFTWARE / LICENCIAS &gt; UPGRADEDE VERSION EXPLORER A STANDARD/PROFESIONAL/ENTERPRISE")</f>
        <v>SOFTWARE / LICENCIAS &gt; UPGRADEDE VERSION EXPLORER A STANDARD/PROFESIONAL/ENTERPRISE</v>
      </c>
      <c r="G1241" s="5"/>
      <c r="H1241" s="6">
        <f>IFERROR(__xludf.DUMMYFUNCTION("""COMPUTED_VALUE"""),509.55)</f>
        <v>509.55</v>
      </c>
      <c r="I1241" s="7">
        <f>IFERROR(__xludf.DUMMYFUNCTION("""COMPUTED_VALUE"""),21.0)</f>
        <v>21</v>
      </c>
      <c r="J1241" s="6">
        <f>IFERROR(__xludf.DUMMYFUNCTION("""COMPUTED_VALUE"""),611.46)</f>
        <v>611.46</v>
      </c>
      <c r="K1241" s="6">
        <f>IFERROR(__xludf.DUMMYFUNCTION("""COMPUTED_VALUE"""),713.37)</f>
        <v>713.37</v>
      </c>
      <c r="L1241" s="3"/>
      <c r="M1241" s="3"/>
    </row>
    <row r="1242" ht="48.0" customHeight="1">
      <c r="A1242" s="3" t="str">
        <f>IFERROR(__xludf.DUMMYFUNCTION("""COMPUTED_VALUE"""),"DGFUPEXPR1008V7")</f>
        <v>DGFUPEXPR1008V7</v>
      </c>
      <c r="B1242" s="4" t="str">
        <f>IFERROR(__xludf.DUMMYFUNCTION("""COMPUTED_VALUE"""),"VERSIÓN UPGRADE EXPLORER PARA PROFESIONAL BASE PARA 8 CÁMARAS")</f>
        <v>VERSIÓN UPGRADE EXPLORER PARA PROFESIONAL BASE PARA 8 CÁMARAS</v>
      </c>
      <c r="C1242" s="4" t="str">
        <f>IFERROR(__xludf.DUMMYFUNCTION("""COMPUTED_VALUE"""),"Versión Upgrade Explorer para Profesional Base para 8 cámaras")</f>
        <v>Versión Upgrade Explorer para Profesional Base para 8 cámaras</v>
      </c>
      <c r="D1242" s="4" t="str">
        <f>IFERROR(__xludf.DUMMYFUNCTION("""COMPUTED_VALUE"""),"DIGIFORT")</f>
        <v>DIGIFORT</v>
      </c>
      <c r="E1242" s="4" t="str">
        <f>IFERROR(__xludf.DUMMYFUNCTION("""COMPUTED_VALUE"""),"DGFUPEXPR1008V7")</f>
        <v>DGFUPEXPR1008V7</v>
      </c>
      <c r="F1242" s="4" t="str">
        <f>IFERROR(__xludf.DUMMYFUNCTION("""COMPUTED_VALUE"""),"SOFTWARE / LICENCIAS &gt; UPGRADEDE VERSION EXPLORER A STANDARD/PROFESIONAL/ENTERPRISE")</f>
        <v>SOFTWARE / LICENCIAS &gt; UPGRADEDE VERSION EXPLORER A STANDARD/PROFESIONAL/ENTERPRISE</v>
      </c>
      <c r="G1242" s="5"/>
      <c r="H1242" s="6">
        <f>IFERROR(__xludf.DUMMYFUNCTION("""COMPUTED_VALUE"""),1306.26)</f>
        <v>1306.26</v>
      </c>
      <c r="I1242" s="7">
        <f>IFERROR(__xludf.DUMMYFUNCTION("""COMPUTED_VALUE"""),21.0)</f>
        <v>21</v>
      </c>
      <c r="J1242" s="6">
        <f>IFERROR(__xludf.DUMMYFUNCTION("""COMPUTED_VALUE"""),1567.51)</f>
        <v>1567.51</v>
      </c>
      <c r="K1242" s="6">
        <f>IFERROR(__xludf.DUMMYFUNCTION("""COMPUTED_VALUE"""),1828.76)</f>
        <v>1828.76</v>
      </c>
      <c r="L1242" s="3"/>
      <c r="M1242" s="3"/>
    </row>
    <row r="1243" ht="48.0" customHeight="1">
      <c r="A1243" s="3" t="str">
        <f>IFERROR(__xludf.DUMMYFUNCTION("""COMPUTED_VALUE"""),"DGFUPEXPR1102V7")</f>
        <v>DGFUPEXPR1102V7</v>
      </c>
      <c r="B1243" s="4" t="str">
        <f>IFERROR(__xludf.DUMMYFUNCTION("""COMPUTED_VALUE"""),"VERSIÓN UPGRADE EXPLORER PARA PROFESIONAL PACK PARA 2 CÁMARAS")</f>
        <v>VERSIÓN UPGRADE EXPLORER PARA PROFESIONAL PACK PARA 2 CÁMARAS</v>
      </c>
      <c r="C1243" s="4" t="str">
        <f>IFERROR(__xludf.DUMMYFUNCTION("""COMPUTED_VALUE"""),"Versión Upgrade Explorer para Profesional Pack para 2 cámaras")</f>
        <v>Versión Upgrade Explorer para Profesional Pack para 2 cámaras</v>
      </c>
      <c r="D1243" s="4" t="str">
        <f>IFERROR(__xludf.DUMMYFUNCTION("""COMPUTED_VALUE"""),"DIGIFORT")</f>
        <v>DIGIFORT</v>
      </c>
      <c r="E1243" s="4" t="str">
        <f>IFERROR(__xludf.DUMMYFUNCTION("""COMPUTED_VALUE"""),"DGFUPEXPR1102V7")</f>
        <v>DGFUPEXPR1102V7</v>
      </c>
      <c r="F1243" s="4" t="str">
        <f>IFERROR(__xludf.DUMMYFUNCTION("""COMPUTED_VALUE"""),"SOFTWARE / LICENCIAS &gt; UPGRADEDE VERSION EXPLORER A STANDARD/PROFESIONAL/ENTERPRISE")</f>
        <v>SOFTWARE / LICENCIAS &gt; UPGRADEDE VERSION EXPLORER A STANDARD/PROFESIONAL/ENTERPRISE</v>
      </c>
      <c r="G1243" s="5"/>
      <c r="H1243" s="6">
        <f>IFERROR(__xludf.DUMMYFUNCTION("""COMPUTED_VALUE"""),246.73)</f>
        <v>246.73</v>
      </c>
      <c r="I1243" s="7">
        <f>IFERROR(__xludf.DUMMYFUNCTION("""COMPUTED_VALUE"""),21.0)</f>
        <v>21</v>
      </c>
      <c r="J1243" s="6">
        <f>IFERROR(__xludf.DUMMYFUNCTION("""COMPUTED_VALUE"""),296.08)</f>
        <v>296.08</v>
      </c>
      <c r="K1243" s="6">
        <f>IFERROR(__xludf.DUMMYFUNCTION("""COMPUTED_VALUE"""),345.42)</f>
        <v>345.42</v>
      </c>
      <c r="L1243" s="3"/>
      <c r="M1243" s="3"/>
    </row>
    <row r="1244" ht="48.0" customHeight="1">
      <c r="A1244" s="3" t="str">
        <f>IFERROR(__xludf.DUMMYFUNCTION("""COMPUTED_VALUE"""),"DGFUPEXPR1104V7")</f>
        <v>DGFUPEXPR1104V7</v>
      </c>
      <c r="B1244" s="4" t="str">
        <f>IFERROR(__xludf.DUMMYFUNCTION("""COMPUTED_VALUE"""),"VERSIÓN UPGRADE EXPLORER PARA PROFESIONAL PACK PARA 4 CÁMARAS")</f>
        <v>VERSIÓN UPGRADE EXPLORER PARA PROFESIONAL PACK PARA 4 CÁMARAS</v>
      </c>
      <c r="C1244" s="4" t="str">
        <f>IFERROR(__xludf.DUMMYFUNCTION("""COMPUTED_VALUE"""),"Versión Upgrade Explorer para Profesional Pack para 4 cámaras")</f>
        <v>Versión Upgrade Explorer para Profesional Pack para 4 cámaras</v>
      </c>
      <c r="D1244" s="4" t="str">
        <f>IFERROR(__xludf.DUMMYFUNCTION("""COMPUTED_VALUE"""),"DIGIFORT")</f>
        <v>DIGIFORT</v>
      </c>
      <c r="E1244" s="4" t="str">
        <f>IFERROR(__xludf.DUMMYFUNCTION("""COMPUTED_VALUE"""),"DGFUPEXPR1104V7")</f>
        <v>DGFUPEXPR1104V7</v>
      </c>
      <c r="F1244" s="4" t="str">
        <f>IFERROR(__xludf.DUMMYFUNCTION("""COMPUTED_VALUE"""),"SOFTWARE / LICENCIAS &gt; UPGRADEDE VERSION EXPLORER A STANDARD/PROFESIONAL/ENTERPRISE")</f>
        <v>SOFTWARE / LICENCIAS &gt; UPGRADEDE VERSION EXPLORER A STANDARD/PROFESIONAL/ENTERPRISE</v>
      </c>
      <c r="G1244" s="5"/>
      <c r="H1244" s="6">
        <f>IFERROR(__xludf.DUMMYFUNCTION("""COMPUTED_VALUE"""),451.46)</f>
        <v>451.46</v>
      </c>
      <c r="I1244" s="7">
        <f>IFERROR(__xludf.DUMMYFUNCTION("""COMPUTED_VALUE"""),21.0)</f>
        <v>21</v>
      </c>
      <c r="J1244" s="6">
        <f>IFERROR(__xludf.DUMMYFUNCTION("""COMPUTED_VALUE"""),541.75)</f>
        <v>541.75</v>
      </c>
      <c r="K1244" s="6">
        <f>IFERROR(__xludf.DUMMYFUNCTION("""COMPUTED_VALUE"""),632.04)</f>
        <v>632.04</v>
      </c>
      <c r="L1244" s="3"/>
      <c r="M1244" s="3"/>
    </row>
    <row r="1245" ht="48.0" customHeight="1">
      <c r="A1245" s="3" t="str">
        <f>IFERROR(__xludf.DUMMYFUNCTION("""COMPUTED_VALUE"""),"DGFUPEXPR1108V7")</f>
        <v>DGFUPEXPR1108V7</v>
      </c>
      <c r="B1245" s="4" t="str">
        <f>IFERROR(__xludf.DUMMYFUNCTION("""COMPUTED_VALUE"""),"VERSIÓN UPGRADE EXPLORER PARA PROFESIONAL PACK PARA 8 CÁMARAS")</f>
        <v>VERSIÓN UPGRADE EXPLORER PARA PROFESIONAL PACK PARA 8 CÁMARAS</v>
      </c>
      <c r="C1245" s="4" t="str">
        <f>IFERROR(__xludf.DUMMYFUNCTION("""COMPUTED_VALUE"""),"Versión Upgrade Explorer para Profesional Pack para 8 cámaras")</f>
        <v>Versión Upgrade Explorer para Profesional Pack para 8 cámaras</v>
      </c>
      <c r="D1245" s="4" t="str">
        <f>IFERROR(__xludf.DUMMYFUNCTION("""COMPUTED_VALUE"""),"DIGIFORT")</f>
        <v>DIGIFORT</v>
      </c>
      <c r="E1245" s="4" t="str">
        <f>IFERROR(__xludf.DUMMYFUNCTION("""COMPUTED_VALUE"""),"DGFUPEXPR1108V7")</f>
        <v>DGFUPEXPR1108V7</v>
      </c>
      <c r="F1245" s="4" t="str">
        <f>IFERROR(__xludf.DUMMYFUNCTION("""COMPUTED_VALUE"""),"SOFTWARE / LICENCIAS &gt; UPGRADEDE VERSION EXPLORER A STANDARD/PROFESIONAL/ENTERPRISE")</f>
        <v>SOFTWARE / LICENCIAS &gt; UPGRADEDE VERSION EXPLORER A STANDARD/PROFESIONAL/ENTERPRISE</v>
      </c>
      <c r="G1245" s="5"/>
      <c r="H1245" s="6">
        <f>IFERROR(__xludf.DUMMYFUNCTION("""COMPUTED_VALUE"""),825.9)</f>
        <v>825.9</v>
      </c>
      <c r="I1245" s="7">
        <f>IFERROR(__xludf.DUMMYFUNCTION("""COMPUTED_VALUE"""),21.0)</f>
        <v>21</v>
      </c>
      <c r="J1245" s="6">
        <f>IFERROR(__xludf.DUMMYFUNCTION("""COMPUTED_VALUE"""),991.08)</f>
        <v>991.08</v>
      </c>
      <c r="K1245" s="6">
        <f>IFERROR(__xludf.DUMMYFUNCTION("""COMPUTED_VALUE"""),1156.26)</f>
        <v>1156.26</v>
      </c>
      <c r="L1245" s="3"/>
      <c r="M1245" s="3"/>
    </row>
    <row r="1246" ht="48.0" customHeight="1">
      <c r="A1246" s="3" t="str">
        <f>IFERROR(__xludf.DUMMYFUNCTION("""COMPUTED_VALUE"""),"DGFUPEXEN1008V7")</f>
        <v>DGFUPEXEN1008V7</v>
      </c>
      <c r="B1246" s="4" t="str">
        <f>IFERROR(__xludf.DUMMYFUNCTION("""COMPUTED_VALUE"""),"VERSIÓN UPGRADE EXPLORER PARA ENTERPRISE BASE PARA 8 CÁMARAS")</f>
        <v>VERSIÓN UPGRADE EXPLORER PARA ENTERPRISE BASE PARA 8 CÁMARAS</v>
      </c>
      <c r="C1246" s="4" t="str">
        <f>IFERROR(__xludf.DUMMYFUNCTION("""COMPUTED_VALUE"""),"Versión Upgrade Explorer para Enterprise Base para 8 cámaras")</f>
        <v>Versión Upgrade Explorer para Enterprise Base para 8 cámaras</v>
      </c>
      <c r="D1246" s="4" t="str">
        <f>IFERROR(__xludf.DUMMYFUNCTION("""COMPUTED_VALUE"""),"DIGIFORT")</f>
        <v>DIGIFORT</v>
      </c>
      <c r="E1246" s="4" t="str">
        <f>IFERROR(__xludf.DUMMYFUNCTION("""COMPUTED_VALUE"""),"DGFUPEXEN1008V7")</f>
        <v>DGFUPEXEN1008V7</v>
      </c>
      <c r="F1246" s="4" t="str">
        <f>IFERROR(__xludf.DUMMYFUNCTION("""COMPUTED_VALUE"""),"SOFTWARE / LICENCIAS &gt; UPGRADEDE VERSION EXPLORER A STANDARD/PROFESIONAL/ENTERPRISE")</f>
        <v>SOFTWARE / LICENCIAS &gt; UPGRADEDE VERSION EXPLORER A STANDARD/PROFESIONAL/ENTERPRISE</v>
      </c>
      <c r="G1246" s="5"/>
      <c r="H1246" s="6">
        <f>IFERROR(__xludf.DUMMYFUNCTION("""COMPUTED_VALUE"""),1884.11)</f>
        <v>1884.11</v>
      </c>
      <c r="I1246" s="7">
        <f>IFERROR(__xludf.DUMMYFUNCTION("""COMPUTED_VALUE"""),21.0)</f>
        <v>21</v>
      </c>
      <c r="J1246" s="6">
        <f>IFERROR(__xludf.DUMMYFUNCTION("""COMPUTED_VALUE"""),2260.93)</f>
        <v>2260.93</v>
      </c>
      <c r="K1246" s="6">
        <f>IFERROR(__xludf.DUMMYFUNCTION("""COMPUTED_VALUE"""),2637.75)</f>
        <v>2637.75</v>
      </c>
      <c r="L1246" s="3"/>
      <c r="M1246" s="3"/>
    </row>
    <row r="1247" ht="48.0" customHeight="1">
      <c r="A1247" s="3" t="str">
        <f>IFERROR(__xludf.DUMMYFUNCTION("""COMPUTED_VALUE"""),"DGFUPEXEN1102V7")</f>
        <v>DGFUPEXEN1102V7</v>
      </c>
      <c r="B1247" s="4" t="str">
        <f>IFERROR(__xludf.DUMMYFUNCTION("""COMPUTED_VALUE"""),"VERSIÓN UPGRADE EXPLORER PARA ENTERPRISE PACK PARA 2 CÁMARAS")</f>
        <v>VERSIÓN UPGRADE EXPLORER PARA ENTERPRISE PACK PARA 2 CÁMARAS</v>
      </c>
      <c r="C1247" s="4" t="str">
        <f>IFERROR(__xludf.DUMMYFUNCTION("""COMPUTED_VALUE"""),"Versión Upgrade Explorer para Enterprise Pack para 2 cámaras")</f>
        <v>Versión Upgrade Explorer para Enterprise Pack para 2 cámaras</v>
      </c>
      <c r="D1247" s="4" t="str">
        <f>IFERROR(__xludf.DUMMYFUNCTION("""COMPUTED_VALUE"""),"DIGIFORT")</f>
        <v>DIGIFORT</v>
      </c>
      <c r="E1247" s="4" t="str">
        <f>IFERROR(__xludf.DUMMYFUNCTION("""COMPUTED_VALUE"""),"DGFUPEXEN1102V7")</f>
        <v>DGFUPEXEN1102V7</v>
      </c>
      <c r="F1247" s="4" t="str">
        <f>IFERROR(__xludf.DUMMYFUNCTION("""COMPUTED_VALUE"""),"SOFTWARE / LICENCIAS &gt; UPGRADEDE VERSION EXPLORER A STANDARD/PROFESIONAL/ENTERPRISE")</f>
        <v>SOFTWARE / LICENCIAS &gt; UPGRADEDE VERSION EXPLORER A STANDARD/PROFESIONAL/ENTERPRISE</v>
      </c>
      <c r="G1247" s="5"/>
      <c r="H1247" s="6">
        <f>IFERROR(__xludf.DUMMYFUNCTION("""COMPUTED_VALUE"""),332.28)</f>
        <v>332.28</v>
      </c>
      <c r="I1247" s="7">
        <f>IFERROR(__xludf.DUMMYFUNCTION("""COMPUTED_VALUE"""),21.0)</f>
        <v>21</v>
      </c>
      <c r="J1247" s="6">
        <f>IFERROR(__xludf.DUMMYFUNCTION("""COMPUTED_VALUE"""),398.74)</f>
        <v>398.74</v>
      </c>
      <c r="K1247" s="6">
        <f>IFERROR(__xludf.DUMMYFUNCTION("""COMPUTED_VALUE"""),465.19)</f>
        <v>465.19</v>
      </c>
      <c r="L1247" s="3"/>
      <c r="M1247" s="3"/>
    </row>
    <row r="1248" ht="48.0" customHeight="1">
      <c r="A1248" s="3" t="str">
        <f>IFERROR(__xludf.DUMMYFUNCTION("""COMPUTED_VALUE"""),"DGFUPEXEN1104V7")</f>
        <v>DGFUPEXEN1104V7</v>
      </c>
      <c r="B1248" s="4" t="str">
        <f>IFERROR(__xludf.DUMMYFUNCTION("""COMPUTED_VALUE"""),"VERSIÓN UPGRADE EXPLORER PARA ENTERPRISE PACK PARA 4 CÁMARAS")</f>
        <v>VERSIÓN UPGRADE EXPLORER PARA ENTERPRISE PACK PARA 4 CÁMARAS</v>
      </c>
      <c r="C1248" s="4" t="str">
        <f>IFERROR(__xludf.DUMMYFUNCTION("""COMPUTED_VALUE"""),"Versión Upgrade Explorer para Enterprise Pack para 4 cámaras")</f>
        <v>Versión Upgrade Explorer para Enterprise Pack para 4 cámaras</v>
      </c>
      <c r="D1248" s="4" t="str">
        <f>IFERROR(__xludf.DUMMYFUNCTION("""COMPUTED_VALUE"""),"DIGIFORT")</f>
        <v>DIGIFORT</v>
      </c>
      <c r="E1248" s="4" t="str">
        <f>IFERROR(__xludf.DUMMYFUNCTION("""COMPUTED_VALUE"""),"DGFUPEXEN1104V7")</f>
        <v>DGFUPEXEN1104V7</v>
      </c>
      <c r="F1248" s="4" t="str">
        <f>IFERROR(__xludf.DUMMYFUNCTION("""COMPUTED_VALUE"""),"SOFTWARE / LICENCIAS &gt; UPGRADEDE VERSION EXPLORER A STANDARD/PROFESIONAL/ENTERPRISE")</f>
        <v>SOFTWARE / LICENCIAS &gt; UPGRADEDE VERSION EXPLORER A STANDARD/PROFESIONAL/ENTERPRISE</v>
      </c>
      <c r="G1248" s="5"/>
      <c r="H1248" s="6">
        <f>IFERROR(__xludf.DUMMYFUNCTION("""COMPUTED_VALUE"""),618.17)</f>
        <v>618.17</v>
      </c>
      <c r="I1248" s="7">
        <f>IFERROR(__xludf.DUMMYFUNCTION("""COMPUTED_VALUE"""),21.0)</f>
        <v>21</v>
      </c>
      <c r="J1248" s="6">
        <f>IFERROR(__xludf.DUMMYFUNCTION("""COMPUTED_VALUE"""),741.8)</f>
        <v>741.8</v>
      </c>
      <c r="K1248" s="6">
        <f>IFERROR(__xludf.DUMMYFUNCTION("""COMPUTED_VALUE"""),865.44)</f>
        <v>865.44</v>
      </c>
      <c r="L1248" s="3"/>
      <c r="M1248" s="3"/>
    </row>
    <row r="1249" ht="48.0" customHeight="1">
      <c r="A1249" s="3" t="str">
        <f>IFERROR(__xludf.DUMMYFUNCTION("""COMPUTED_VALUE"""),"DGFUPEXEN1108V7")</f>
        <v>DGFUPEXEN1108V7</v>
      </c>
      <c r="B1249" s="4" t="str">
        <f>IFERROR(__xludf.DUMMYFUNCTION("""COMPUTED_VALUE"""),"VERSIÓN UPGRADE EXPLORER PARA ENTERPRISE PACK PARA 8 CÁMARAS")</f>
        <v>VERSIÓN UPGRADE EXPLORER PARA ENTERPRISE PACK PARA 8 CÁMARAS</v>
      </c>
      <c r="C1249" s="4" t="str">
        <f>IFERROR(__xludf.DUMMYFUNCTION("""COMPUTED_VALUE"""),"Versión Upgrade Explorer para Enterprise Pack para 8 cámaras")</f>
        <v>Versión Upgrade Explorer para Enterprise Pack para 8 cámaras</v>
      </c>
      <c r="D1249" s="4" t="str">
        <f>IFERROR(__xludf.DUMMYFUNCTION("""COMPUTED_VALUE"""),"DIGIFORT")</f>
        <v>DIGIFORT</v>
      </c>
      <c r="E1249" s="4" t="str">
        <f>IFERROR(__xludf.DUMMYFUNCTION("""COMPUTED_VALUE"""),"DGFUPEXEN1108V7")</f>
        <v>DGFUPEXEN1108V7</v>
      </c>
      <c r="F1249" s="4" t="str">
        <f>IFERROR(__xludf.DUMMYFUNCTION("""COMPUTED_VALUE"""),"SOFTWARE / LICENCIAS &gt; UPGRADEDE VERSION EXPLORER A STANDARD/PROFESIONAL/ENTERPRISE")</f>
        <v>SOFTWARE / LICENCIAS &gt; UPGRADEDE VERSION EXPLORER A STANDARD/PROFESIONAL/ENTERPRISE</v>
      </c>
      <c r="G1249" s="5"/>
      <c r="H1249" s="6">
        <f>IFERROR(__xludf.DUMMYFUNCTION("""COMPUTED_VALUE"""),1149.65)</f>
        <v>1149.65</v>
      </c>
      <c r="I1249" s="7">
        <f>IFERROR(__xludf.DUMMYFUNCTION("""COMPUTED_VALUE"""),21.0)</f>
        <v>21</v>
      </c>
      <c r="J1249" s="6">
        <f>IFERROR(__xludf.DUMMYFUNCTION("""COMPUTED_VALUE"""),1379.58)</f>
        <v>1379.58</v>
      </c>
      <c r="K1249" s="6">
        <f>IFERROR(__xludf.DUMMYFUNCTION("""COMPUTED_VALUE"""),1609.51)</f>
        <v>1609.51</v>
      </c>
      <c r="L1249" s="3"/>
      <c r="M1249" s="3"/>
    </row>
    <row r="1250" ht="48.0" customHeight="1">
      <c r="A1250" s="3" t="str">
        <f>IFERROR(__xludf.DUMMYFUNCTION("""COMPUTED_VALUE"""),"DGFUPVEX1004V7")</f>
        <v>DGFUPVEX1004V7</v>
      </c>
      <c r="B1250" s="4" t="str">
        <f>IFERROR(__xludf.DUMMYFUNCTION("""COMPUTED_VALUE"""),"DIGIFORT SYSTEM EXPLORER VERSION FOR WINDOWS- BASE OF BAE")</f>
        <v>DIGIFORT SYSTEM EXPLORER VERSION FOR WINDOWS- BASE OF BAE</v>
      </c>
      <c r="C1250" s="4" t="str">
        <f>IFERROR(__xludf.DUMMYFUNCTION("""COMPUTED_VALUE"""),"Digifort System Explorer Version for Windows- Base of bae license of previus to version 7.")</f>
        <v>Digifort System Explorer Version for Windows- Base of bae license of previus to version 7.</v>
      </c>
      <c r="D1250" s="4" t="str">
        <f>IFERROR(__xludf.DUMMYFUNCTION("""COMPUTED_VALUE"""),"DIGIFORT")</f>
        <v>DIGIFORT</v>
      </c>
      <c r="E1250" s="4" t="str">
        <f>IFERROR(__xludf.DUMMYFUNCTION("""COMPUTED_VALUE"""),"DGFUPVEX1004V7")</f>
        <v>DGFUPVEX1004V7</v>
      </c>
      <c r="F1250" s="4" t="str">
        <f>IFERROR(__xludf.DUMMYFUNCTION("""COMPUTED_VALUE"""),"SOFTWARE / LICENCIAS &gt; UPGRADEDE VERSIONES ANTERIORES A LA VERSION 7 EXPLORER")</f>
        <v>SOFTWARE / LICENCIAS &gt; UPGRADEDE VERSIONES ANTERIORES A LA VERSION 7 EXPLORER</v>
      </c>
      <c r="G1250" s="5"/>
      <c r="H1250" s="6">
        <f>IFERROR(__xludf.DUMMYFUNCTION("""COMPUTED_VALUE"""),74.02)</f>
        <v>74.02</v>
      </c>
      <c r="I1250" s="7">
        <f>IFERROR(__xludf.DUMMYFUNCTION("""COMPUTED_VALUE"""),21.0)</f>
        <v>21</v>
      </c>
      <c r="J1250" s="6">
        <f>IFERROR(__xludf.DUMMYFUNCTION("""COMPUTED_VALUE"""),88.82)</f>
        <v>88.82</v>
      </c>
      <c r="K1250" s="6">
        <f>IFERROR(__xludf.DUMMYFUNCTION("""COMPUTED_VALUE"""),103.63)</f>
        <v>103.63</v>
      </c>
      <c r="L1250" s="3"/>
      <c r="M1250" s="3"/>
    </row>
    <row r="1251" ht="48.0" customHeight="1">
      <c r="A1251" s="3" t="str">
        <f>IFERROR(__xludf.DUMMYFUNCTION("""COMPUTED_VALUE"""),"DGFUPVEX1002V7")</f>
        <v>DGFUPVEX1002V7</v>
      </c>
      <c r="B1251" s="4" t="str">
        <f>IFERROR(__xludf.DUMMYFUNCTION("""COMPUTED_VALUE"""),"DIGIFORT SYSTEM EXPLORER VERSION FOR WINDOWS- UPGRADE OF PACK")</f>
        <v>DIGIFORT SYSTEM EXPLORER VERSION FOR WINDOWS- UPGRADE OF PACK</v>
      </c>
      <c r="C1251" s="4" t="str">
        <f>IFERROR(__xludf.DUMMYFUNCTION("""COMPUTED_VALUE"""),"Digifort System Explorer Version for Windows- Upgrade of pack license 2 cameras of previous versions to version 7")</f>
        <v>Digifort System Explorer Version for Windows- Upgrade of pack license 2 cameras of previous versions to version 7</v>
      </c>
      <c r="D1251" s="4" t="str">
        <f>IFERROR(__xludf.DUMMYFUNCTION("""COMPUTED_VALUE"""),"DIGIFORT")</f>
        <v>DIGIFORT</v>
      </c>
      <c r="E1251" s="4" t="str">
        <f>IFERROR(__xludf.DUMMYFUNCTION("""COMPUTED_VALUE"""),"DGFUPVEX1002V7")</f>
        <v>DGFUPVEX1002V7</v>
      </c>
      <c r="F1251" s="4" t="str">
        <f>IFERROR(__xludf.DUMMYFUNCTION("""COMPUTED_VALUE"""),"SOFTWARE / LICENCIAS &gt; UPGRADEDE VERSIONES ANTERIORES A LA VERSION 7 EXPLORER")</f>
        <v>SOFTWARE / LICENCIAS &gt; UPGRADEDE VERSIONES ANTERIORES A LA VERSION 7 EXPLORER</v>
      </c>
      <c r="G1251" s="5"/>
      <c r="H1251" s="6">
        <f>IFERROR(__xludf.DUMMYFUNCTION("""COMPUTED_VALUE"""),25.91)</f>
        <v>25.91</v>
      </c>
      <c r="I1251" s="7">
        <f>IFERROR(__xludf.DUMMYFUNCTION("""COMPUTED_VALUE"""),21.0)</f>
        <v>21</v>
      </c>
      <c r="J1251" s="6">
        <f>IFERROR(__xludf.DUMMYFUNCTION("""COMPUTED_VALUE"""),31.09)</f>
        <v>31.09</v>
      </c>
      <c r="K1251" s="6">
        <f>IFERROR(__xludf.DUMMYFUNCTION("""COMPUTED_VALUE"""),36.27)</f>
        <v>36.27</v>
      </c>
      <c r="L1251" s="3"/>
      <c r="M1251" s="3"/>
    </row>
    <row r="1252" ht="48.0" customHeight="1">
      <c r="A1252" s="3" t="str">
        <f>IFERROR(__xludf.DUMMYFUNCTION("""COMPUTED_VALUE"""),"DGFUPVEX1004V7-DUP1")</f>
        <v>DGFUPVEX1004V7-DUP1</v>
      </c>
      <c r="B1252" s="4" t="str">
        <f>IFERROR(__xludf.DUMMYFUNCTION("""COMPUTED_VALUE"""),"DIGIFORT SYSTEM EXPLORER VERSION FOR WINDOWS- UPGRADE OF PACK")</f>
        <v>DIGIFORT SYSTEM EXPLORER VERSION FOR WINDOWS- UPGRADE OF PACK</v>
      </c>
      <c r="C1252" s="4" t="str">
        <f>IFERROR(__xludf.DUMMYFUNCTION("""COMPUTED_VALUE"""),"Digifort System Explorer Version for Windows- Upgrade of pack license 4 cameras of previous versions to version 7")</f>
        <v>Digifort System Explorer Version for Windows- Upgrade of pack license 4 cameras of previous versions to version 7</v>
      </c>
      <c r="D1252" s="4" t="str">
        <f>IFERROR(__xludf.DUMMYFUNCTION("""COMPUTED_VALUE"""),"DIGIFORT")</f>
        <v>DIGIFORT</v>
      </c>
      <c r="E1252" s="4" t="str">
        <f>IFERROR(__xludf.DUMMYFUNCTION("""COMPUTED_VALUE"""),"DGFUPVEX1004V7")</f>
        <v>DGFUPVEX1004V7</v>
      </c>
      <c r="F1252" s="4" t="str">
        <f>IFERROR(__xludf.DUMMYFUNCTION("""COMPUTED_VALUE"""),"SOFTWARE / LICENCIAS &gt; UPGRADEDE VERSIONES ANTERIORES A LA VERSION 7 EXPLORER")</f>
        <v>SOFTWARE / LICENCIAS &gt; UPGRADEDE VERSIONES ANTERIORES A LA VERSION 7 EXPLORER</v>
      </c>
      <c r="G1252" s="5"/>
      <c r="H1252" s="6">
        <f>IFERROR(__xludf.DUMMYFUNCTION("""COMPUTED_VALUE"""),45.34)</f>
        <v>45.34</v>
      </c>
      <c r="I1252" s="7">
        <f>IFERROR(__xludf.DUMMYFUNCTION("""COMPUTED_VALUE"""),21.0)</f>
        <v>21</v>
      </c>
      <c r="J1252" s="6">
        <f>IFERROR(__xludf.DUMMYFUNCTION("""COMPUTED_VALUE"""),54.41)</f>
        <v>54.41</v>
      </c>
      <c r="K1252" s="6">
        <f>IFERROR(__xludf.DUMMYFUNCTION("""COMPUTED_VALUE"""),63.48)</f>
        <v>63.48</v>
      </c>
      <c r="L1252" s="3"/>
      <c r="M1252" s="3"/>
    </row>
    <row r="1253" ht="48.0" customHeight="1">
      <c r="A1253" s="3" t="str">
        <f>IFERROR(__xludf.DUMMYFUNCTION("""COMPUTED_VALUE"""),"DGFUPVEX1008V7")</f>
        <v>DGFUPVEX1008V7</v>
      </c>
      <c r="B1253" s="4" t="str">
        <f>IFERROR(__xludf.DUMMYFUNCTION("""COMPUTED_VALUE"""),"DIGIFORT SYSTEM EXPLORER VERSION FOR WINDOWS- UPGRADE OF PACK")</f>
        <v>DIGIFORT SYSTEM EXPLORER VERSION FOR WINDOWS- UPGRADE OF PACK</v>
      </c>
      <c r="C1253" s="4" t="str">
        <f>IFERROR(__xludf.DUMMYFUNCTION("""COMPUTED_VALUE"""),"Digifort System Explorer Version for Windows- Upgrade of pack license 8 cameras of previous versions to version 7")</f>
        <v>Digifort System Explorer Version for Windows- Upgrade of pack license 8 cameras of previous versions to version 7</v>
      </c>
      <c r="D1253" s="4" t="str">
        <f>IFERROR(__xludf.DUMMYFUNCTION("""COMPUTED_VALUE"""),"DIGIFORT")</f>
        <v>DIGIFORT</v>
      </c>
      <c r="E1253" s="4" t="str">
        <f>IFERROR(__xludf.DUMMYFUNCTION("""COMPUTED_VALUE"""),"DGFUPVEX1008V7")</f>
        <v>DGFUPVEX1008V7</v>
      </c>
      <c r="F1253" s="4" t="str">
        <f>IFERROR(__xludf.DUMMYFUNCTION("""COMPUTED_VALUE"""),"SOFTWARE / LICENCIAS &gt; UPGRADEDE VERSIONES ANTERIORES A LA VERSION 7 EXPLORER")</f>
        <v>SOFTWARE / LICENCIAS &gt; UPGRADEDE VERSIONES ANTERIORES A LA VERSION 7 EXPLORER</v>
      </c>
      <c r="G1253" s="5"/>
      <c r="H1253" s="6">
        <f>IFERROR(__xludf.DUMMYFUNCTION("""COMPUTED_VALUE"""),79.34)</f>
        <v>79.34</v>
      </c>
      <c r="I1253" s="7">
        <f>IFERROR(__xludf.DUMMYFUNCTION("""COMPUTED_VALUE"""),21.0)</f>
        <v>21</v>
      </c>
      <c r="J1253" s="6">
        <f>IFERROR(__xludf.DUMMYFUNCTION("""COMPUTED_VALUE"""),95.21)</f>
        <v>95.21</v>
      </c>
      <c r="K1253" s="6">
        <f>IFERROR(__xludf.DUMMYFUNCTION("""COMPUTED_VALUE"""),111.08)</f>
        <v>111.08</v>
      </c>
      <c r="L1253" s="3"/>
      <c r="M1253" s="3"/>
    </row>
    <row r="1254" ht="48.0" customHeight="1">
      <c r="A1254" s="3" t="str">
        <f>IFERROR(__xludf.DUMMYFUNCTION("""COMPUTED_VALUE"""),"DGFST1004V7")</f>
        <v>DGFST1004V7</v>
      </c>
      <c r="B1254" s="4" t="str">
        <f>IFERROR(__xludf.DUMMYFUNCTION("""COMPUTED_VALUE"""),"SYSTEM STANDARD VERSIÓN PARA WINDOWS BASE SYSTEM PARA MANEJO")</f>
        <v>SYSTEM STANDARD VERSIÓN PARA WINDOWS BASE SYSTEM PARA MANEJO</v>
      </c>
      <c r="C1254" s="4" t="str">
        <f>IFERROR(__xludf.DUMMYFUNCTION("""COMPUTED_VALUE"""),"System Standard Versión para Windows Base system para manejo para 4 camaras. (Límite para 64 camaras)")</f>
        <v>System Standard Versión para Windows Base system para manejo para 4 camaras. (Límite para 64 camaras)</v>
      </c>
      <c r="D1254" s="4" t="str">
        <f>IFERROR(__xludf.DUMMYFUNCTION("""COMPUTED_VALUE"""),"DIGIFORT")</f>
        <v>DIGIFORT</v>
      </c>
      <c r="E1254" s="4" t="str">
        <f>IFERROR(__xludf.DUMMYFUNCTION("""COMPUTED_VALUE"""),"DGFST1004V7")</f>
        <v>DGFST1004V7</v>
      </c>
      <c r="F1254" s="4" t="str">
        <f>IFERROR(__xludf.DUMMYFUNCTION("""COMPUTED_VALUE"""),"SOFTWARE / LICENCIAS &gt; LICENCIA MONITOREO STANDARD")</f>
        <v>SOFTWARE / LICENCIAS &gt; LICENCIA MONITOREO STANDARD</v>
      </c>
      <c r="G1254" s="5"/>
      <c r="H1254" s="6">
        <f>IFERROR(__xludf.DUMMYFUNCTION("""COMPUTED_VALUE"""),493.9)</f>
        <v>493.9</v>
      </c>
      <c r="I1254" s="7">
        <f>IFERROR(__xludf.DUMMYFUNCTION("""COMPUTED_VALUE"""),21.0)</f>
        <v>21</v>
      </c>
      <c r="J1254" s="6">
        <f>IFERROR(__xludf.DUMMYFUNCTION("""COMPUTED_VALUE"""),592.68)</f>
        <v>592.68</v>
      </c>
      <c r="K1254" s="6">
        <f>IFERROR(__xludf.DUMMYFUNCTION("""COMPUTED_VALUE"""),691.46)</f>
        <v>691.46</v>
      </c>
      <c r="L1254" s="3"/>
      <c r="M1254" s="3"/>
    </row>
    <row r="1255" ht="48.0" customHeight="1">
      <c r="A1255" s="3" t="str">
        <f>IFERROR(__xludf.DUMMYFUNCTION("""COMPUTED_VALUE"""),"DGFST1102V7")</f>
        <v>DGFST1102V7</v>
      </c>
      <c r="B1255" s="4" t="str">
        <f>IFERROR(__xludf.DUMMYFUNCTION("""COMPUTED_VALUE"""),"SYSTEM STANDARD VERSIÓN PARA WINDOWS PACK PARA MANEJO PARA 2 CAMARAS")</f>
        <v>SYSTEM STANDARD VERSIÓN PARA WINDOWS PACK PARA MANEJO PARA 2 CAMARAS</v>
      </c>
      <c r="C1255" s="4" t="str">
        <f>IFERROR(__xludf.DUMMYFUNCTION("""COMPUTED_VALUE"""),"System Standard Versión para Windows Pack para manejo para 2 camaras")</f>
        <v>System Standard Versión para Windows Pack para manejo para 2 camaras</v>
      </c>
      <c r="D1255" s="4" t="str">
        <f>IFERROR(__xludf.DUMMYFUNCTION("""COMPUTED_VALUE"""),"DIGIFORT")</f>
        <v>DIGIFORT</v>
      </c>
      <c r="E1255" s="4" t="str">
        <f>IFERROR(__xludf.DUMMYFUNCTION("""COMPUTED_VALUE"""),"DGFST1102V7")</f>
        <v>DGFST1102V7</v>
      </c>
      <c r="F1255" s="4" t="str">
        <f>IFERROR(__xludf.DUMMYFUNCTION("""COMPUTED_VALUE"""),"SOFTWARE / LICENCIAS &gt; LICENCIA MONITOREO STANDARD")</f>
        <v>SOFTWARE / LICENCIAS &gt; LICENCIA MONITOREO STANDARD</v>
      </c>
      <c r="G1255" s="5"/>
      <c r="H1255" s="6">
        <f>IFERROR(__xludf.DUMMYFUNCTION("""COMPUTED_VALUE"""),181.75)</f>
        <v>181.75</v>
      </c>
      <c r="I1255" s="7">
        <f>IFERROR(__xludf.DUMMYFUNCTION("""COMPUTED_VALUE"""),21.0)</f>
        <v>21</v>
      </c>
      <c r="J1255" s="6">
        <f>IFERROR(__xludf.DUMMYFUNCTION("""COMPUTED_VALUE"""),218.1)</f>
        <v>218.1</v>
      </c>
      <c r="K1255" s="6">
        <f>IFERROR(__xludf.DUMMYFUNCTION("""COMPUTED_VALUE"""),254.45)</f>
        <v>254.45</v>
      </c>
      <c r="L1255" s="3"/>
      <c r="M1255" s="3"/>
    </row>
    <row r="1256" ht="48.0" customHeight="1">
      <c r="A1256" s="3" t="str">
        <f>IFERROR(__xludf.DUMMYFUNCTION("""COMPUTED_VALUE"""),"DGFST1104V7")</f>
        <v>DGFST1104V7</v>
      </c>
      <c r="B1256" s="4" t="str">
        <f>IFERROR(__xludf.DUMMYFUNCTION("""COMPUTED_VALUE"""),"SYSTEM STANDARD VERSIÓN PARA WINDOWS PACK PARA MANEJO PARA 4 CAMARAS")</f>
        <v>SYSTEM STANDARD VERSIÓN PARA WINDOWS PACK PARA MANEJO PARA 4 CAMARAS</v>
      </c>
      <c r="C1256" s="4" t="str">
        <f>IFERROR(__xludf.DUMMYFUNCTION("""COMPUTED_VALUE"""),"System Standard Versión para Windows Pack para manejo para 4 camaras")</f>
        <v>System Standard Versión para Windows Pack para manejo para 4 camaras</v>
      </c>
      <c r="D1256" s="4" t="str">
        <f>IFERROR(__xludf.DUMMYFUNCTION("""COMPUTED_VALUE"""),"DIGIFORT")</f>
        <v>DIGIFORT</v>
      </c>
      <c r="E1256" s="4" t="str">
        <f>IFERROR(__xludf.DUMMYFUNCTION("""COMPUTED_VALUE"""),"DGFST1104V7")</f>
        <v>DGFST1104V7</v>
      </c>
      <c r="F1256" s="4" t="str">
        <f>IFERROR(__xludf.DUMMYFUNCTION("""COMPUTED_VALUE"""),"SOFTWARE / LICENCIAS &gt; LICENCIA MONITOREO STANDARD")</f>
        <v>SOFTWARE / LICENCIAS &gt; LICENCIA MONITOREO STANDARD</v>
      </c>
      <c r="G1256" s="5"/>
      <c r="H1256" s="6">
        <f>IFERROR(__xludf.DUMMYFUNCTION("""COMPUTED_VALUE"""),334.42)</f>
        <v>334.42</v>
      </c>
      <c r="I1256" s="7">
        <f>IFERROR(__xludf.DUMMYFUNCTION("""COMPUTED_VALUE"""),21.0)</f>
        <v>21</v>
      </c>
      <c r="J1256" s="6">
        <f>IFERROR(__xludf.DUMMYFUNCTION("""COMPUTED_VALUE"""),401.3)</f>
        <v>401.3</v>
      </c>
      <c r="K1256" s="6">
        <f>IFERROR(__xludf.DUMMYFUNCTION("""COMPUTED_VALUE"""),468.19)</f>
        <v>468.19</v>
      </c>
      <c r="L1256" s="3"/>
      <c r="M1256" s="3"/>
    </row>
    <row r="1257" ht="48.0" customHeight="1">
      <c r="A1257" s="3" t="str">
        <f>IFERROR(__xludf.DUMMYFUNCTION("""COMPUTED_VALUE"""),"DGFST1108V7")</f>
        <v>DGFST1108V7</v>
      </c>
      <c r="B1257" s="4" t="str">
        <f>IFERROR(__xludf.DUMMYFUNCTION("""COMPUTED_VALUE"""),"SYSTEM STANDARD VERSIÓN PARA WINDOWS PACK PARA MANEJO PARA 8 CAMARAS")</f>
        <v>SYSTEM STANDARD VERSIÓN PARA WINDOWS PACK PARA MANEJO PARA 8 CAMARAS</v>
      </c>
      <c r="C1257" s="4" t="str">
        <f>IFERROR(__xludf.DUMMYFUNCTION("""COMPUTED_VALUE"""),"System Standard Versión para Windows Pack para manejo para 8 camaras")</f>
        <v>System Standard Versión para Windows Pack para manejo para 8 camaras</v>
      </c>
      <c r="D1257" s="4" t="str">
        <f>IFERROR(__xludf.DUMMYFUNCTION("""COMPUTED_VALUE"""),"DIGIFORT")</f>
        <v>DIGIFORT</v>
      </c>
      <c r="E1257" s="4" t="str">
        <f>IFERROR(__xludf.DUMMYFUNCTION("""COMPUTED_VALUE"""),"DGFST1108V7")</f>
        <v>DGFST1108V7</v>
      </c>
      <c r="F1257" s="4" t="str">
        <f>IFERROR(__xludf.DUMMYFUNCTION("""COMPUTED_VALUE"""),"SOFTWARE / LICENCIAS &gt; LICENCIA MONITOREO STANDARD")</f>
        <v>SOFTWARE / LICENCIAS &gt; LICENCIA MONITOREO STANDARD</v>
      </c>
      <c r="G1257" s="5"/>
      <c r="H1257" s="6">
        <f>IFERROR(__xludf.DUMMYFUNCTION("""COMPUTED_VALUE"""),615.35)</f>
        <v>615.35</v>
      </c>
      <c r="I1257" s="7">
        <f>IFERROR(__xludf.DUMMYFUNCTION("""COMPUTED_VALUE"""),21.0)</f>
        <v>21</v>
      </c>
      <c r="J1257" s="6">
        <f>IFERROR(__xludf.DUMMYFUNCTION("""COMPUTED_VALUE"""),738.42)</f>
        <v>738.42</v>
      </c>
      <c r="K1257" s="6">
        <f>IFERROR(__xludf.DUMMYFUNCTION("""COMPUTED_VALUE"""),861.49)</f>
        <v>861.49</v>
      </c>
      <c r="L1257" s="3"/>
      <c r="M1257" s="3"/>
    </row>
    <row r="1258" ht="48.0" customHeight="1">
      <c r="A1258" s="3" t="str">
        <f>IFERROR(__xludf.DUMMYFUNCTION("""COMPUTED_VALUE"""),"DGFST1116V7")</f>
        <v>DGFST1116V7</v>
      </c>
      <c r="B1258" s="4" t="str">
        <f>IFERROR(__xludf.DUMMYFUNCTION("""COMPUTED_VALUE"""),"SYSTEM STANDARD VERSIÓN PARA WINDOWS PACK PARA MANEJO PARA")</f>
        <v>SYSTEM STANDARD VERSIÓN PARA WINDOWS PACK PARA MANEJO PARA</v>
      </c>
      <c r="C1258" s="4" t="str">
        <f>IFERROR(__xludf.DUMMYFUNCTION("""COMPUTED_VALUE"""),"System Standard Versión para Windows Pack para manejo para 16 camaras")</f>
        <v>System Standard Versión para Windows Pack para manejo para 16 camaras</v>
      </c>
      <c r="D1258" s="4" t="str">
        <f>IFERROR(__xludf.DUMMYFUNCTION("""COMPUTED_VALUE"""),"DIGIFORT")</f>
        <v>DIGIFORT</v>
      </c>
      <c r="E1258" s="4" t="str">
        <f>IFERROR(__xludf.DUMMYFUNCTION("""COMPUTED_VALUE"""),"DGFST1116V7")</f>
        <v>DGFST1116V7</v>
      </c>
      <c r="F1258" s="4" t="str">
        <f>IFERROR(__xludf.DUMMYFUNCTION("""COMPUTED_VALUE"""),"SOFTWARE / LICENCIAS &gt; LICENCIA MONITOREO STANDARD")</f>
        <v>SOFTWARE / LICENCIAS &gt; LICENCIA MONITOREO STANDARD</v>
      </c>
      <c r="G1258" s="5"/>
      <c r="H1258" s="6">
        <f>IFERROR(__xludf.DUMMYFUNCTION("""COMPUTED_VALUE"""),1132.24)</f>
        <v>1132.24</v>
      </c>
      <c r="I1258" s="7">
        <f>IFERROR(__xludf.DUMMYFUNCTION("""COMPUTED_VALUE"""),21.0)</f>
        <v>21</v>
      </c>
      <c r="J1258" s="6">
        <f>IFERROR(__xludf.DUMMYFUNCTION("""COMPUTED_VALUE"""),1358.69)</f>
        <v>1358.69</v>
      </c>
      <c r="K1258" s="6">
        <f>IFERROR(__xludf.DUMMYFUNCTION("""COMPUTED_VALUE"""),1585.14)</f>
        <v>1585.14</v>
      </c>
      <c r="L1258" s="3"/>
      <c r="M1258" s="3"/>
    </row>
    <row r="1259" ht="48.0" customHeight="1">
      <c r="A1259" s="3" t="str">
        <f>IFERROR(__xludf.DUMMYFUNCTION("""COMPUTED_VALUE"""),"DGFUPSTRP1008V7")</f>
        <v>DGFUPSTRP1008V7</v>
      </c>
      <c r="B1259" s="4" t="str">
        <f>IFERROR(__xludf.DUMMYFUNCTION("""COMPUTED_VALUE"""),"VERSIÓN UPGRADE STANDARD A PROFESIONAL BASE PARA 8")</f>
        <v>VERSIÓN UPGRADE STANDARD A PROFESIONAL BASE PARA 8</v>
      </c>
      <c r="C1259" s="4" t="str">
        <f>IFERROR(__xludf.DUMMYFUNCTION("""COMPUTED_VALUE"""),"Versión Upgrade Standard a Profesional Base para 8")</f>
        <v>Versión Upgrade Standard a Profesional Base para 8</v>
      </c>
      <c r="D1259" s="4" t="str">
        <f>IFERROR(__xludf.DUMMYFUNCTION("""COMPUTED_VALUE"""),"DIGIFORT")</f>
        <v>DIGIFORT</v>
      </c>
      <c r="E1259" s="4" t="str">
        <f>IFERROR(__xludf.DUMMYFUNCTION("""COMPUTED_VALUE"""),"DGFUPSTRP1008V7")</f>
        <v>DGFUPSTRP1008V7</v>
      </c>
      <c r="F1259" s="4" t="str">
        <f>IFERROR(__xludf.DUMMYFUNCTION("""COMPUTED_VALUE"""),"SOFTWARE / LICENCIAS &gt; UPGRADEDE VERSION STANDARD A PROFESIONAL/ENTERPRISE")</f>
        <v>SOFTWARE / LICENCIAS &gt; UPGRADEDE VERSION STANDARD A PROFESIONAL/ENTERPRISE</v>
      </c>
      <c r="G1259" s="5"/>
      <c r="H1259" s="6">
        <f>IFERROR(__xludf.DUMMYFUNCTION("""COMPUTED_VALUE"""),1207.4)</f>
        <v>1207.4</v>
      </c>
      <c r="I1259" s="7">
        <f>IFERROR(__xludf.DUMMYFUNCTION("""COMPUTED_VALUE"""),21.0)</f>
        <v>21</v>
      </c>
      <c r="J1259" s="6">
        <f>IFERROR(__xludf.DUMMYFUNCTION("""COMPUTED_VALUE"""),1448.88)</f>
        <v>1448.88</v>
      </c>
      <c r="K1259" s="6">
        <f>IFERROR(__xludf.DUMMYFUNCTION("""COMPUTED_VALUE"""),1690.36)</f>
        <v>1690.36</v>
      </c>
      <c r="L1259" s="3"/>
      <c r="M1259" s="3"/>
    </row>
    <row r="1260" ht="48.0" customHeight="1">
      <c r="A1260" s="3" t="str">
        <f>IFERROR(__xludf.DUMMYFUNCTION("""COMPUTED_VALUE"""),"DGFUPSTRP1102V7")</f>
        <v>DGFUPSTRP1102V7</v>
      </c>
      <c r="B1260" s="4" t="str">
        <f>IFERROR(__xludf.DUMMYFUNCTION("""COMPUTED_VALUE"""),"VERSIÓN UPGRADE STANDARD A PROFESIONAL PACK PARA 2")</f>
        <v>VERSIÓN UPGRADE STANDARD A PROFESIONAL PACK PARA 2</v>
      </c>
      <c r="C1260" s="4" t="str">
        <f>IFERROR(__xludf.DUMMYFUNCTION("""COMPUTED_VALUE"""),"Versión Upgrade Standard a Profesional Pack para 2")</f>
        <v>Versión Upgrade Standard a Profesional Pack para 2</v>
      </c>
      <c r="D1260" s="4" t="str">
        <f>IFERROR(__xludf.DUMMYFUNCTION("""COMPUTED_VALUE"""),"DIGIFORT")</f>
        <v>DIGIFORT</v>
      </c>
      <c r="E1260" s="4" t="str">
        <f>IFERROR(__xludf.DUMMYFUNCTION("""COMPUTED_VALUE"""),"DGFUPSTRP1102V7")</f>
        <v>DGFUPSTRP1102V7</v>
      </c>
      <c r="F1260" s="4" t="str">
        <f>IFERROR(__xludf.DUMMYFUNCTION("""COMPUTED_VALUE"""),"SOFTWARE / LICENCIAS &gt; UPGRADEDE VERSION STANDARD A PROFESIONAL/ENTERPRISE")</f>
        <v>SOFTWARE / LICENCIAS &gt; UPGRADEDE VERSION STANDARD A PROFESIONAL/ENTERPRISE</v>
      </c>
      <c r="G1260" s="5"/>
      <c r="H1260" s="6">
        <f>IFERROR(__xludf.DUMMYFUNCTION("""COMPUTED_VALUE"""),208.57)</f>
        <v>208.57</v>
      </c>
      <c r="I1260" s="7">
        <f>IFERROR(__xludf.DUMMYFUNCTION("""COMPUTED_VALUE"""),21.0)</f>
        <v>21</v>
      </c>
      <c r="J1260" s="6">
        <f>IFERROR(__xludf.DUMMYFUNCTION("""COMPUTED_VALUE"""),250.28)</f>
        <v>250.28</v>
      </c>
      <c r="K1260" s="6">
        <f>IFERROR(__xludf.DUMMYFUNCTION("""COMPUTED_VALUE"""),292.0)</f>
        <v>292</v>
      </c>
      <c r="L1260" s="3"/>
      <c r="M1260" s="3"/>
    </row>
    <row r="1261" ht="48.0" customHeight="1">
      <c r="A1261" s="3" t="str">
        <f>IFERROR(__xludf.DUMMYFUNCTION("""COMPUTED_VALUE"""),"DGFUPSTRP1104V7")</f>
        <v>DGFUPSTRP1104V7</v>
      </c>
      <c r="B1261" s="4" t="str">
        <f>IFERROR(__xludf.DUMMYFUNCTION("""COMPUTED_VALUE"""),"VERSIÓN UPGRADE STANDARD A PROFESIONAL PACK PARA 4")</f>
        <v>VERSIÓN UPGRADE STANDARD A PROFESIONAL PACK PARA 4</v>
      </c>
      <c r="C1261" s="4" t="str">
        <f>IFERROR(__xludf.DUMMYFUNCTION("""COMPUTED_VALUE"""),"Versión Upgrade Standard a Profesional Pack para 4")</f>
        <v>Versión Upgrade Standard a Profesional Pack para 4</v>
      </c>
      <c r="D1261" s="4" t="str">
        <f>IFERROR(__xludf.DUMMYFUNCTION("""COMPUTED_VALUE"""),"DIGIFORT")</f>
        <v>DIGIFORT</v>
      </c>
      <c r="E1261" s="4" t="str">
        <f>IFERROR(__xludf.DUMMYFUNCTION("""COMPUTED_VALUE"""),"DGFUPSTRP1104V7")</f>
        <v>DGFUPSTRP1104V7</v>
      </c>
      <c r="F1261" s="4" t="str">
        <f>IFERROR(__xludf.DUMMYFUNCTION("""COMPUTED_VALUE"""),"SOFTWARE / LICENCIAS &gt; UPGRADEDE VERSION STANDARD A PROFESIONAL/ENTERPRISE")</f>
        <v>SOFTWARE / LICENCIAS &gt; UPGRADEDE VERSION STANDARD A PROFESIONAL/ENTERPRISE</v>
      </c>
      <c r="G1261" s="5"/>
      <c r="H1261" s="6">
        <f>IFERROR(__xludf.DUMMYFUNCTION("""COMPUTED_VALUE"""),378.15)</f>
        <v>378.15</v>
      </c>
      <c r="I1261" s="7">
        <f>IFERROR(__xludf.DUMMYFUNCTION("""COMPUTED_VALUE"""),21.0)</f>
        <v>21</v>
      </c>
      <c r="J1261" s="6">
        <f>IFERROR(__xludf.DUMMYFUNCTION("""COMPUTED_VALUE"""),453.78)</f>
        <v>453.78</v>
      </c>
      <c r="K1261" s="6">
        <f>IFERROR(__xludf.DUMMYFUNCTION("""COMPUTED_VALUE"""),529.41)</f>
        <v>529.41</v>
      </c>
      <c r="L1261" s="3"/>
      <c r="M1261" s="3"/>
    </row>
    <row r="1262" ht="48.0" customHeight="1">
      <c r="A1262" s="3" t="str">
        <f>IFERROR(__xludf.DUMMYFUNCTION("""COMPUTED_VALUE"""),"DGFUPSTRP1108V7")</f>
        <v>DGFUPSTRP1108V7</v>
      </c>
      <c r="B1262" s="4" t="str">
        <f>IFERROR(__xludf.DUMMYFUNCTION("""COMPUTED_VALUE"""),"VERSIÓN UPGRADE STANDARD A PROFESIONAL PACK PARA 8")</f>
        <v>VERSIÓN UPGRADE STANDARD A PROFESIONAL PACK PARA 8</v>
      </c>
      <c r="C1262" s="4" t="str">
        <f>IFERROR(__xludf.DUMMYFUNCTION("""COMPUTED_VALUE"""),"Versión Upgrade Standard a Profesional Pack para 8")</f>
        <v>Versión Upgrade Standard a Profesional Pack para 8</v>
      </c>
      <c r="D1262" s="4" t="str">
        <f>IFERROR(__xludf.DUMMYFUNCTION("""COMPUTED_VALUE"""),"DIGIFORT")</f>
        <v>DIGIFORT</v>
      </c>
      <c r="E1262" s="4" t="str">
        <f>IFERROR(__xludf.DUMMYFUNCTION("""COMPUTED_VALUE"""),"DGFUPSTRP1108V7")</f>
        <v>DGFUPSTRP1108V7</v>
      </c>
      <c r="F1262" s="4" t="str">
        <f>IFERROR(__xludf.DUMMYFUNCTION("""COMPUTED_VALUE"""),"SOFTWARE / LICENCIAS &gt; UPGRADEDE VERSION STANDARD A PROFESIONAL/ENTERPRISE")</f>
        <v>SOFTWARE / LICENCIAS &gt; UPGRADEDE VERSION STANDARD A PROFESIONAL/ENTERPRISE</v>
      </c>
      <c r="G1262" s="5"/>
      <c r="H1262" s="6">
        <f>IFERROR(__xludf.DUMMYFUNCTION("""COMPUTED_VALUE"""),17.05)</f>
        <v>17.05</v>
      </c>
      <c r="I1262" s="7">
        <f>IFERROR(__xludf.DUMMYFUNCTION("""COMPUTED_VALUE"""),21.0)</f>
        <v>21</v>
      </c>
      <c r="J1262" s="6">
        <f>IFERROR(__xludf.DUMMYFUNCTION("""COMPUTED_VALUE"""),20.46)</f>
        <v>20.46</v>
      </c>
      <c r="K1262" s="6">
        <f>IFERROR(__xludf.DUMMYFUNCTION("""COMPUTED_VALUE"""),23.87)</f>
        <v>23.87</v>
      </c>
      <c r="L1262" s="3"/>
      <c r="M1262" s="3"/>
    </row>
    <row r="1263" ht="48.0" customHeight="1">
      <c r="A1263" s="3" t="str">
        <f>IFERROR(__xludf.DUMMYFUNCTION("""COMPUTED_VALUE"""),"DGFUPSTRP1116V7")</f>
        <v>DGFUPSTRP1116V7</v>
      </c>
      <c r="B1263" s="4" t="str">
        <f>IFERROR(__xludf.DUMMYFUNCTION("""COMPUTED_VALUE"""),"VERSIÓN UPGRADE STANDARD A PROFESIONAL PACK PARA 16")</f>
        <v>VERSIÓN UPGRADE STANDARD A PROFESIONAL PACK PARA 16</v>
      </c>
      <c r="C1263" s="4" t="str">
        <f>IFERROR(__xludf.DUMMYFUNCTION("""COMPUTED_VALUE"""),"Versión Upgrade Standard a Profesional Pack para 16")</f>
        <v>Versión Upgrade Standard a Profesional Pack para 16</v>
      </c>
      <c r="D1263" s="4" t="str">
        <f>IFERROR(__xludf.DUMMYFUNCTION("""COMPUTED_VALUE"""),"DIGIFORT")</f>
        <v>DIGIFORT</v>
      </c>
      <c r="E1263" s="4" t="str">
        <f>IFERROR(__xludf.DUMMYFUNCTION("""COMPUTED_VALUE"""),"DGFUPSTRP1116V7")</f>
        <v>DGFUPSTRP1116V7</v>
      </c>
      <c r="F1263" s="4" t="str">
        <f>IFERROR(__xludf.DUMMYFUNCTION("""COMPUTED_VALUE"""),"SOFTWARE / LICENCIAS &gt; UPGRADEDE VERSION STANDARD A PROFESIONAL/ENTERPRISE")</f>
        <v>SOFTWARE / LICENCIAS &gt; UPGRADEDE VERSION STANDARD A PROFESIONAL/ENTERPRISE</v>
      </c>
      <c r="G1263" s="5"/>
      <c r="H1263" s="6">
        <f>IFERROR(__xludf.DUMMYFUNCTION("""COMPUTED_VALUE"""),1242.78)</f>
        <v>1242.78</v>
      </c>
      <c r="I1263" s="7">
        <f>IFERROR(__xludf.DUMMYFUNCTION("""COMPUTED_VALUE"""),21.0)</f>
        <v>21</v>
      </c>
      <c r="J1263" s="6">
        <f>IFERROR(__xludf.DUMMYFUNCTION("""COMPUTED_VALUE"""),1491.34)</f>
        <v>1491.34</v>
      </c>
      <c r="K1263" s="6">
        <f>IFERROR(__xludf.DUMMYFUNCTION("""COMPUTED_VALUE"""),1739.89)</f>
        <v>1739.89</v>
      </c>
      <c r="L1263" s="3"/>
      <c r="M1263" s="3"/>
    </row>
    <row r="1264" ht="48.0" customHeight="1">
      <c r="A1264" s="3" t="str">
        <f>IFERROR(__xludf.DUMMYFUNCTION("""COMPUTED_VALUE"""),"DGFUPSTEN1008V7")</f>
        <v>DGFUPSTEN1008V7</v>
      </c>
      <c r="B1264" s="4" t="str">
        <f>IFERROR(__xludf.DUMMYFUNCTION("""COMPUTED_VALUE"""),"VERSIÓN UPGRADE STANDARD A ENTERPRISE BASE PARA 8")</f>
        <v>VERSIÓN UPGRADE STANDARD A ENTERPRISE BASE PARA 8</v>
      </c>
      <c r="C1264" s="4" t="str">
        <f>IFERROR(__xludf.DUMMYFUNCTION("""COMPUTED_VALUE"""),"Versión Upgrade Standard a Enterprise Base para 8")</f>
        <v>Versión Upgrade Standard a Enterprise Base para 8</v>
      </c>
      <c r="D1264" s="4" t="str">
        <f>IFERROR(__xludf.DUMMYFUNCTION("""COMPUTED_VALUE"""),"DIGIFORT")</f>
        <v>DIGIFORT</v>
      </c>
      <c r="E1264" s="4" t="str">
        <f>IFERROR(__xludf.DUMMYFUNCTION("""COMPUTED_VALUE"""),"DGFUPSTEN1008V7")</f>
        <v>DGFUPSTEN1008V7</v>
      </c>
      <c r="F1264" s="4" t="str">
        <f>IFERROR(__xludf.DUMMYFUNCTION("""COMPUTED_VALUE"""),"SOFTWARE / LICENCIAS &gt; UPGRADEDE VERSION STANDARD A PROFESIONAL/ENTERPRISE")</f>
        <v>SOFTWARE / LICENCIAS &gt; UPGRADEDE VERSION STANDARD A PROFESIONAL/ENTERPRISE</v>
      </c>
      <c r="G1264" s="5"/>
      <c r="H1264" s="6">
        <f>IFERROR(__xludf.DUMMYFUNCTION("""COMPUTED_VALUE"""),1785.25)</f>
        <v>1785.25</v>
      </c>
      <c r="I1264" s="7">
        <f>IFERROR(__xludf.DUMMYFUNCTION("""COMPUTED_VALUE"""),21.0)</f>
        <v>21</v>
      </c>
      <c r="J1264" s="6">
        <f>IFERROR(__xludf.DUMMYFUNCTION("""COMPUTED_VALUE"""),2142.3)</f>
        <v>2142.3</v>
      </c>
      <c r="K1264" s="6">
        <f>IFERROR(__xludf.DUMMYFUNCTION("""COMPUTED_VALUE"""),2499.35)</f>
        <v>2499.35</v>
      </c>
      <c r="L1264" s="3"/>
      <c r="M1264" s="3"/>
    </row>
    <row r="1265" ht="48.0" customHeight="1">
      <c r="A1265" s="3" t="str">
        <f>IFERROR(__xludf.DUMMYFUNCTION("""COMPUTED_VALUE"""),"DGFUPSTEN1102V7")</f>
        <v>DGFUPSTEN1102V7</v>
      </c>
      <c r="B1265" s="4" t="str">
        <f>IFERROR(__xludf.DUMMYFUNCTION("""COMPUTED_VALUE"""),"VERSIÓN UPGRADE STANDARD A ENTERPRISE PACK PARA 2")</f>
        <v>VERSIÓN UPGRADE STANDARD A ENTERPRISE PACK PARA 2</v>
      </c>
      <c r="C1265" s="4" t="str">
        <f>IFERROR(__xludf.DUMMYFUNCTION("""COMPUTED_VALUE"""),"Versión Upgrade Standard a Enterprise Pack para 2")</f>
        <v>Versión Upgrade Standard a Enterprise Pack para 2</v>
      </c>
      <c r="D1265" s="4" t="str">
        <f>IFERROR(__xludf.DUMMYFUNCTION("""COMPUTED_VALUE"""),"DIGIFORT")</f>
        <v>DIGIFORT</v>
      </c>
      <c r="E1265" s="4" t="str">
        <f>IFERROR(__xludf.DUMMYFUNCTION("""COMPUTED_VALUE"""),"DGFUPSTEN1102V7")</f>
        <v>DGFUPSTEN1102V7</v>
      </c>
      <c r="F1265" s="4" t="str">
        <f>IFERROR(__xludf.DUMMYFUNCTION("""COMPUTED_VALUE"""),"SOFTWARE / LICENCIAS &gt; UPGRADEDE VERSION STANDARD A PROFESIONAL/ENTERPRISE")</f>
        <v>SOFTWARE / LICENCIAS &gt; UPGRADEDE VERSION STANDARD A PROFESIONAL/ENTERPRISE</v>
      </c>
      <c r="G1265" s="5"/>
      <c r="H1265" s="6">
        <f>IFERROR(__xludf.DUMMYFUNCTION("""COMPUTED_VALUE"""),294.12)</f>
        <v>294.12</v>
      </c>
      <c r="I1265" s="7">
        <f>IFERROR(__xludf.DUMMYFUNCTION("""COMPUTED_VALUE"""),21.0)</f>
        <v>21</v>
      </c>
      <c r="J1265" s="6">
        <f>IFERROR(__xludf.DUMMYFUNCTION("""COMPUTED_VALUE"""),352.94)</f>
        <v>352.94</v>
      </c>
      <c r="K1265" s="6">
        <f>IFERROR(__xludf.DUMMYFUNCTION("""COMPUTED_VALUE"""),411.77)</f>
        <v>411.77</v>
      </c>
      <c r="L1265" s="3"/>
      <c r="M1265" s="3"/>
    </row>
    <row r="1266" ht="48.0" customHeight="1">
      <c r="A1266" s="3" t="str">
        <f>IFERROR(__xludf.DUMMYFUNCTION("""COMPUTED_VALUE"""),"DGFUPSTEN1104V7")</f>
        <v>DGFUPSTEN1104V7</v>
      </c>
      <c r="B1266" s="4" t="str">
        <f>IFERROR(__xludf.DUMMYFUNCTION("""COMPUTED_VALUE"""),"VERSIÓN UPGRADE STANDARD A ENTERPRISE PACK PARA 4")</f>
        <v>VERSIÓN UPGRADE STANDARD A ENTERPRISE PACK PARA 4</v>
      </c>
      <c r="C1266" s="4" t="str">
        <f>IFERROR(__xludf.DUMMYFUNCTION("""COMPUTED_VALUE"""),"Versión Upgrade Standard a Enterprise Pack para 4")</f>
        <v>Versión Upgrade Standard a Enterprise Pack para 4</v>
      </c>
      <c r="D1266" s="4" t="str">
        <f>IFERROR(__xludf.DUMMYFUNCTION("""COMPUTED_VALUE"""),"DIGIFORT")</f>
        <v>DIGIFORT</v>
      </c>
      <c r="E1266" s="4" t="str">
        <f>IFERROR(__xludf.DUMMYFUNCTION("""COMPUTED_VALUE"""),"DGFUPSTEN1104V7")</f>
        <v>DGFUPSTEN1104V7</v>
      </c>
      <c r="F1266" s="4" t="str">
        <f>IFERROR(__xludf.DUMMYFUNCTION("""COMPUTED_VALUE"""),"SOFTWARE / LICENCIAS &gt; UPGRADEDE VERSION STANDARD A PROFESIONAL/ENTERPRISE")</f>
        <v>SOFTWARE / LICENCIAS &gt; UPGRADEDE VERSION STANDARD A PROFESIONAL/ENTERPRISE</v>
      </c>
      <c r="G1266" s="5"/>
      <c r="H1266" s="6">
        <f>IFERROR(__xludf.DUMMYFUNCTION("""COMPUTED_VALUE"""),544.84)</f>
        <v>544.84</v>
      </c>
      <c r="I1266" s="7">
        <f>IFERROR(__xludf.DUMMYFUNCTION("""COMPUTED_VALUE"""),21.0)</f>
        <v>21</v>
      </c>
      <c r="J1266" s="6">
        <f>IFERROR(__xludf.DUMMYFUNCTION("""COMPUTED_VALUE"""),653.81)</f>
        <v>653.81</v>
      </c>
      <c r="K1266" s="6">
        <f>IFERROR(__xludf.DUMMYFUNCTION("""COMPUTED_VALUE"""),762.78)</f>
        <v>762.78</v>
      </c>
      <c r="L1266" s="3"/>
      <c r="M1266" s="3"/>
    </row>
    <row r="1267" ht="48.0" customHeight="1">
      <c r="A1267" s="3" t="str">
        <f>IFERROR(__xludf.DUMMYFUNCTION("""COMPUTED_VALUE"""),"DGFUPSTEN1108V7")</f>
        <v>DGFUPSTEN1108V7</v>
      </c>
      <c r="B1267" s="4" t="str">
        <f>IFERROR(__xludf.DUMMYFUNCTION("""COMPUTED_VALUE"""),"VERSIÓN UPGRADE STANDARD A ENTERPRISE PACK PARA 8")</f>
        <v>VERSIÓN UPGRADE STANDARD A ENTERPRISE PACK PARA 8</v>
      </c>
      <c r="C1267" s="4" t="str">
        <f>IFERROR(__xludf.DUMMYFUNCTION("""COMPUTED_VALUE"""),"Versión Upgrade Standard a Enterprise Pack para 8")</f>
        <v>Versión Upgrade Standard a Enterprise Pack para 8</v>
      </c>
      <c r="D1267" s="4" t="str">
        <f>IFERROR(__xludf.DUMMYFUNCTION("""COMPUTED_VALUE"""),"DIGIFORT")</f>
        <v>DIGIFORT</v>
      </c>
      <c r="E1267" s="4" t="str">
        <f>IFERROR(__xludf.DUMMYFUNCTION("""COMPUTED_VALUE"""),"DGFUPSTEN1108V7")</f>
        <v>DGFUPSTEN1108V7</v>
      </c>
      <c r="F1267" s="4" t="str">
        <f>IFERROR(__xludf.DUMMYFUNCTION("""COMPUTED_VALUE"""),"SOFTWARE / LICENCIAS &gt; UPGRADEDE VERSION STANDARD A PROFESIONAL/ENTERPRISE")</f>
        <v>SOFTWARE / LICENCIAS &gt; UPGRADEDE VERSION STANDARD A PROFESIONAL/ENTERPRISE</v>
      </c>
      <c r="G1267" s="5"/>
      <c r="H1267" s="6">
        <f>IFERROR(__xludf.DUMMYFUNCTION("""COMPUTED_VALUE"""),1009.31)</f>
        <v>1009.31</v>
      </c>
      <c r="I1267" s="7">
        <f>IFERROR(__xludf.DUMMYFUNCTION("""COMPUTED_VALUE"""),21.0)</f>
        <v>21</v>
      </c>
      <c r="J1267" s="6">
        <f>IFERROR(__xludf.DUMMYFUNCTION("""COMPUTED_VALUE"""),1211.17)</f>
        <v>1211.17</v>
      </c>
      <c r="K1267" s="6">
        <f>IFERROR(__xludf.DUMMYFUNCTION("""COMPUTED_VALUE"""),1413.03)</f>
        <v>1413.03</v>
      </c>
      <c r="L1267" s="3"/>
      <c r="M1267" s="3"/>
    </row>
    <row r="1268" ht="48.0" customHeight="1">
      <c r="A1268" s="3" t="str">
        <f>IFERROR(__xludf.DUMMYFUNCTION("""COMPUTED_VALUE"""),"DGFUPSTEN1116V7")</f>
        <v>DGFUPSTEN1116V7</v>
      </c>
      <c r="B1268" s="4" t="str">
        <f>IFERROR(__xludf.DUMMYFUNCTION("""COMPUTED_VALUE"""),"VERSIÓN UPGRADE STANDARD A ENTERPRISE PACK PARA 16")</f>
        <v>VERSIÓN UPGRADE STANDARD A ENTERPRISE PACK PARA 16</v>
      </c>
      <c r="C1268" s="4" t="str">
        <f>IFERROR(__xludf.DUMMYFUNCTION("""COMPUTED_VALUE"""),"Versión Upgrade Standard a Enterprise Pack para 16")</f>
        <v>Versión Upgrade Standard a Enterprise Pack para 16</v>
      </c>
      <c r="D1268" s="4" t="str">
        <f>IFERROR(__xludf.DUMMYFUNCTION("""COMPUTED_VALUE"""),"DIGIFORT")</f>
        <v>DIGIFORT</v>
      </c>
      <c r="E1268" s="4" t="str">
        <f>IFERROR(__xludf.DUMMYFUNCTION("""COMPUTED_VALUE"""),"DGFUPSTEN1116V7")</f>
        <v>DGFUPSTEN1116V7</v>
      </c>
      <c r="F1268" s="4" t="str">
        <f>IFERROR(__xludf.DUMMYFUNCTION("""COMPUTED_VALUE"""),"SOFTWARE / LICENCIAS &gt; UPGRADEDE VERSION STANDARD A PROFESIONAL/ENTERPRISE")</f>
        <v>SOFTWARE / LICENCIAS &gt; UPGRADEDE VERSION STANDARD A PROFESIONAL/ENTERPRISE</v>
      </c>
      <c r="G1268" s="5"/>
      <c r="H1268" s="6">
        <f>IFERROR(__xludf.DUMMYFUNCTION("""COMPUTED_VALUE"""),1869.67)</f>
        <v>1869.67</v>
      </c>
      <c r="I1268" s="7">
        <f>IFERROR(__xludf.DUMMYFUNCTION("""COMPUTED_VALUE"""),21.0)</f>
        <v>21</v>
      </c>
      <c r="J1268" s="6">
        <f>IFERROR(__xludf.DUMMYFUNCTION("""COMPUTED_VALUE"""),2243.6)</f>
        <v>2243.6</v>
      </c>
      <c r="K1268" s="6">
        <f>IFERROR(__xludf.DUMMYFUNCTION("""COMPUTED_VALUE"""),2617.54)</f>
        <v>2617.54</v>
      </c>
      <c r="L1268" s="3"/>
      <c r="M1268" s="3"/>
    </row>
    <row r="1269" ht="48.0" customHeight="1">
      <c r="A1269" s="3" t="str">
        <f>IFERROR(__xludf.DUMMYFUNCTION("""COMPUTED_VALUE"""),"DGFUPVST1004V7")</f>
        <v>DGFUPVST1004V7</v>
      </c>
      <c r="B1269" s="4" t="str">
        <f>IFERROR(__xludf.DUMMYFUNCTION("""COMPUTED_VALUE"""),"DIGIFORT SYSTEM STANDARD VERSION FOR WINDOWS")</f>
        <v>DIGIFORT SYSTEM STANDARD VERSION FOR WINDOWS</v>
      </c>
      <c r="C1269" s="4" t="str">
        <f>IFERROR(__xludf.DUMMYFUNCTION("""COMPUTED_VALUE"""),"Digifort System Standard Version for Windows - Upgrade of base license of previuos versions to version 7")</f>
        <v>Digifort System Standard Version for Windows - Upgrade of base license of previuos versions to version 7</v>
      </c>
      <c r="D1269" s="4" t="str">
        <f>IFERROR(__xludf.DUMMYFUNCTION("""COMPUTED_VALUE"""),"DIGIFORT")</f>
        <v>DIGIFORT</v>
      </c>
      <c r="E1269" s="4" t="str">
        <f>IFERROR(__xludf.DUMMYFUNCTION("""COMPUTED_VALUE"""),"DGFUPVST1004V7")</f>
        <v>DGFUPVST1004V7</v>
      </c>
      <c r="F1269" s="4" t="str">
        <f>IFERROR(__xludf.DUMMYFUNCTION("""COMPUTED_VALUE"""),"SOFTWARE / LICENCIAS &gt; UPGRADEDE VERSIONES ANTERIORES A LA VERSION 7 STANDARD")</f>
        <v>SOFTWARE / LICENCIAS &gt; UPGRADEDE VERSIONES ANTERIORES A LA VERSION 7 STANDARD</v>
      </c>
      <c r="G1269" s="5"/>
      <c r="H1269" s="6">
        <f>IFERROR(__xludf.DUMMYFUNCTION("""COMPUTED_VALUE"""),148.17)</f>
        <v>148.17</v>
      </c>
      <c r="I1269" s="7">
        <f>IFERROR(__xludf.DUMMYFUNCTION("""COMPUTED_VALUE"""),21.0)</f>
        <v>21</v>
      </c>
      <c r="J1269" s="6">
        <f>IFERROR(__xludf.DUMMYFUNCTION("""COMPUTED_VALUE"""),177.8)</f>
        <v>177.8</v>
      </c>
      <c r="K1269" s="6">
        <f>IFERROR(__xludf.DUMMYFUNCTION("""COMPUTED_VALUE"""),207.44)</f>
        <v>207.44</v>
      </c>
      <c r="L1269" s="3"/>
      <c r="M1269" s="3"/>
    </row>
    <row r="1270" ht="48.0" customHeight="1">
      <c r="A1270" s="3" t="str">
        <f>IFERROR(__xludf.DUMMYFUNCTION("""COMPUTED_VALUE"""),"DGFUPVST1102V7")</f>
        <v>DGFUPVST1102V7</v>
      </c>
      <c r="B1270" s="4" t="str">
        <f>IFERROR(__xludf.DUMMYFUNCTION("""COMPUTED_VALUE"""),"DIGIFORT SYSTEM STANDARD VERSION FOR WINDOWS")</f>
        <v>DIGIFORT SYSTEM STANDARD VERSION FOR WINDOWS</v>
      </c>
      <c r="C1270" s="4" t="str">
        <f>IFERROR(__xludf.DUMMYFUNCTION("""COMPUTED_VALUE"""),"Digifort System Standard Version for Windows - Upgrade pack license 2 cameras of previous versions to version 7")</f>
        <v>Digifort System Standard Version for Windows - Upgrade pack license 2 cameras of previous versions to version 7</v>
      </c>
      <c r="D1270" s="4" t="str">
        <f>IFERROR(__xludf.DUMMYFUNCTION("""COMPUTED_VALUE"""),"DIGIFORT")</f>
        <v>DIGIFORT</v>
      </c>
      <c r="E1270" s="4" t="str">
        <f>IFERROR(__xludf.DUMMYFUNCTION("""COMPUTED_VALUE"""),"DGFUPVST1102V7")</f>
        <v>DGFUPVST1102V7</v>
      </c>
      <c r="F1270" s="4" t="str">
        <f>IFERROR(__xludf.DUMMYFUNCTION("""COMPUTED_VALUE"""),"SOFTWARE / LICENCIAS &gt; UPGRADEDE VERSIONES ANTERIORES A LA VERSION 7 STANDARD")</f>
        <v>SOFTWARE / LICENCIAS &gt; UPGRADEDE VERSIONES ANTERIORES A LA VERSION 7 STANDARD</v>
      </c>
      <c r="G1270" s="5"/>
      <c r="H1270" s="6">
        <f>IFERROR(__xludf.DUMMYFUNCTION("""COMPUTED_VALUE"""),54.53)</f>
        <v>54.53</v>
      </c>
      <c r="I1270" s="7">
        <f>IFERROR(__xludf.DUMMYFUNCTION("""COMPUTED_VALUE"""),21.0)</f>
        <v>21</v>
      </c>
      <c r="J1270" s="6">
        <f>IFERROR(__xludf.DUMMYFUNCTION("""COMPUTED_VALUE"""),65.44)</f>
        <v>65.44</v>
      </c>
      <c r="K1270" s="6">
        <f>IFERROR(__xludf.DUMMYFUNCTION("""COMPUTED_VALUE"""),76.34)</f>
        <v>76.34</v>
      </c>
      <c r="L1270" s="3"/>
      <c r="M1270" s="3"/>
    </row>
    <row r="1271" ht="48.0" customHeight="1">
      <c r="A1271" s="3" t="str">
        <f>IFERROR(__xludf.DUMMYFUNCTION("""COMPUTED_VALUE"""),"DGFUPVST1104V7")</f>
        <v>DGFUPVST1104V7</v>
      </c>
      <c r="B1271" s="4" t="str">
        <f>IFERROR(__xludf.DUMMYFUNCTION("""COMPUTED_VALUE"""),"DIGIFORT SYSTEM STANDARD VERSION FOR WINDOWS")</f>
        <v>DIGIFORT SYSTEM STANDARD VERSION FOR WINDOWS</v>
      </c>
      <c r="C1271" s="4" t="str">
        <f>IFERROR(__xludf.DUMMYFUNCTION("""COMPUTED_VALUE"""),"Digifort System Standard Version for Windows - Upgrade pack license 4 cameras of previous versions to version 7")</f>
        <v>Digifort System Standard Version for Windows - Upgrade pack license 4 cameras of previous versions to version 7</v>
      </c>
      <c r="D1271" s="4" t="str">
        <f>IFERROR(__xludf.DUMMYFUNCTION("""COMPUTED_VALUE"""),"DIGIFORT")</f>
        <v>DIGIFORT</v>
      </c>
      <c r="E1271" s="4" t="str">
        <f>IFERROR(__xludf.DUMMYFUNCTION("""COMPUTED_VALUE"""),"DGFUPVST1104V7")</f>
        <v>DGFUPVST1104V7</v>
      </c>
      <c r="F1271" s="4" t="str">
        <f>IFERROR(__xludf.DUMMYFUNCTION("""COMPUTED_VALUE"""),"SOFTWARE / LICENCIAS &gt; UPGRADEDE VERSIONES ANTERIORES A LA VERSION 7 STANDARD")</f>
        <v>SOFTWARE / LICENCIAS &gt; UPGRADEDE VERSIONES ANTERIORES A LA VERSION 7 STANDARD</v>
      </c>
      <c r="G1271" s="5"/>
      <c r="H1271" s="6">
        <f>IFERROR(__xludf.DUMMYFUNCTION("""COMPUTED_VALUE"""),100.33)</f>
        <v>100.33</v>
      </c>
      <c r="I1271" s="7">
        <f>IFERROR(__xludf.DUMMYFUNCTION("""COMPUTED_VALUE"""),21.0)</f>
        <v>21</v>
      </c>
      <c r="J1271" s="6">
        <f>IFERROR(__xludf.DUMMYFUNCTION("""COMPUTED_VALUE"""),120.4)</f>
        <v>120.4</v>
      </c>
      <c r="K1271" s="6">
        <f>IFERROR(__xludf.DUMMYFUNCTION("""COMPUTED_VALUE"""),140.46)</f>
        <v>140.46</v>
      </c>
      <c r="L1271" s="3"/>
      <c r="M1271" s="3"/>
    </row>
    <row r="1272" ht="48.0" customHeight="1">
      <c r="A1272" s="3" t="str">
        <f>IFERROR(__xludf.DUMMYFUNCTION("""COMPUTED_VALUE"""),"DGFUPVST1108V7")</f>
        <v>DGFUPVST1108V7</v>
      </c>
      <c r="B1272" s="4" t="str">
        <f>IFERROR(__xludf.DUMMYFUNCTION("""COMPUTED_VALUE"""),"DIGIFORT SYSTEM STANDARD VERSION FOR WINDOWS")</f>
        <v>DIGIFORT SYSTEM STANDARD VERSION FOR WINDOWS</v>
      </c>
      <c r="C1272" s="4" t="str">
        <f>IFERROR(__xludf.DUMMYFUNCTION("""COMPUTED_VALUE"""),"Digifort System Standard Version for Windows - Upgrade pack license 8 cameras of previous versions to version 7")</f>
        <v>Digifort System Standard Version for Windows - Upgrade pack license 8 cameras of previous versions to version 7</v>
      </c>
      <c r="D1272" s="4" t="str">
        <f>IFERROR(__xludf.DUMMYFUNCTION("""COMPUTED_VALUE"""),"DIGIFORT")</f>
        <v>DIGIFORT</v>
      </c>
      <c r="E1272" s="4" t="str">
        <f>IFERROR(__xludf.DUMMYFUNCTION("""COMPUTED_VALUE"""),"DGFUPVST1108V7")</f>
        <v>DGFUPVST1108V7</v>
      </c>
      <c r="F1272" s="4" t="str">
        <f>IFERROR(__xludf.DUMMYFUNCTION("""COMPUTED_VALUE"""),"SOFTWARE / LICENCIAS &gt; UPGRADEDE VERSIONES ANTERIORES A LA VERSION 7 STANDARD")</f>
        <v>SOFTWARE / LICENCIAS &gt; UPGRADEDE VERSIONES ANTERIORES A LA VERSION 7 STANDARD</v>
      </c>
      <c r="G1272" s="5"/>
      <c r="H1272" s="6">
        <f>IFERROR(__xludf.DUMMYFUNCTION("""COMPUTED_VALUE"""),184.6)</f>
        <v>184.6</v>
      </c>
      <c r="I1272" s="7">
        <f>IFERROR(__xludf.DUMMYFUNCTION("""COMPUTED_VALUE"""),21.0)</f>
        <v>21</v>
      </c>
      <c r="J1272" s="6">
        <f>IFERROR(__xludf.DUMMYFUNCTION("""COMPUTED_VALUE"""),221.52)</f>
        <v>221.52</v>
      </c>
      <c r="K1272" s="6">
        <f>IFERROR(__xludf.DUMMYFUNCTION("""COMPUTED_VALUE"""),258.44)</f>
        <v>258.44</v>
      </c>
      <c r="L1272" s="3"/>
      <c r="M1272" s="3"/>
    </row>
    <row r="1273" ht="48.0" customHeight="1">
      <c r="A1273" s="3" t="str">
        <f>IFERROR(__xludf.DUMMYFUNCTION("""COMPUTED_VALUE"""),"DGFUPVST1116V7")</f>
        <v>DGFUPVST1116V7</v>
      </c>
      <c r="B1273" s="4" t="str">
        <f>IFERROR(__xludf.DUMMYFUNCTION("""COMPUTED_VALUE"""),"DIGIFORT SYSTEM STANDARD VERSION FOR WINDOWS")</f>
        <v>DIGIFORT SYSTEM STANDARD VERSION FOR WINDOWS</v>
      </c>
      <c r="C1273" s="4" t="str">
        <f>IFERROR(__xludf.DUMMYFUNCTION("""COMPUTED_VALUE"""),"Digifort System Standard Version for Windows - Upgrade pack license 16 cameras of previous versions to version 7")</f>
        <v>Digifort System Standard Version for Windows - Upgrade pack license 16 cameras of previous versions to version 7</v>
      </c>
      <c r="D1273" s="4" t="str">
        <f>IFERROR(__xludf.DUMMYFUNCTION("""COMPUTED_VALUE"""),"DIGIFORT")</f>
        <v>DIGIFORT</v>
      </c>
      <c r="E1273" s="4" t="str">
        <f>IFERROR(__xludf.DUMMYFUNCTION("""COMPUTED_VALUE"""),"DGFUPVST1116V7")</f>
        <v>DGFUPVST1116V7</v>
      </c>
      <c r="F1273" s="4" t="str">
        <f>IFERROR(__xludf.DUMMYFUNCTION("""COMPUTED_VALUE"""),"SOFTWARE / LICENCIAS &gt; UPGRADEDE VERSIONES ANTERIORES A LA VERSION 7 STANDARD")</f>
        <v>SOFTWARE / LICENCIAS &gt; UPGRADEDE VERSIONES ANTERIORES A LA VERSION 7 STANDARD</v>
      </c>
      <c r="G1273" s="5"/>
      <c r="H1273" s="6">
        <f>IFERROR(__xludf.DUMMYFUNCTION("""COMPUTED_VALUE"""),339.67)</f>
        <v>339.67</v>
      </c>
      <c r="I1273" s="7">
        <f>IFERROR(__xludf.DUMMYFUNCTION("""COMPUTED_VALUE"""),21.0)</f>
        <v>21</v>
      </c>
      <c r="J1273" s="6">
        <f>IFERROR(__xludf.DUMMYFUNCTION("""COMPUTED_VALUE"""),407.6)</f>
        <v>407.6</v>
      </c>
      <c r="K1273" s="6">
        <f>IFERROR(__xludf.DUMMYFUNCTION("""COMPUTED_VALUE"""),475.54)</f>
        <v>475.54</v>
      </c>
      <c r="L1273" s="3"/>
      <c r="M1273" s="3"/>
    </row>
    <row r="1274" ht="48.0" customHeight="1">
      <c r="A1274" s="3" t="str">
        <f>IFERROR(__xludf.DUMMYFUNCTION("""COMPUTED_VALUE"""),"DGFPR2001V7")</f>
        <v>DGFPR2001V7</v>
      </c>
      <c r="B1274" s="4" t="str">
        <f>IFERROR(__xludf.DUMMYFUNCTION("""COMPUTED_VALUE"""),"DIGIFORT SYSTEM STANDARD VERSION FOR WINDOWS- BASE FOR MANAGEMENT")</f>
        <v>DIGIFORT SYSTEM STANDARD VERSION FOR WINDOWS- BASE FOR MANAGEMENT</v>
      </c>
      <c r="C1274" s="4" t="str">
        <f>IFERROR(__xludf.DUMMYFUNCTION("""COMPUTED_VALUE"""),"Digifort System Standard Version for windows- Base for management of 1 alarm board (limit of 1 board)")</f>
        <v>Digifort System Standard Version for windows- Base for management of 1 alarm board (limit of 1 board)</v>
      </c>
      <c r="D1274" s="4" t="str">
        <f>IFERROR(__xludf.DUMMYFUNCTION("""COMPUTED_VALUE"""),"DIGIFORT")</f>
        <v>DIGIFORT</v>
      </c>
      <c r="E1274" s="4" t="str">
        <f>IFERROR(__xludf.DUMMYFUNCTION("""COMPUTED_VALUE"""),"DGFPR2001V7")</f>
        <v>DGFPR2001V7</v>
      </c>
      <c r="F1274" s="4" t="str">
        <f>IFERROR(__xludf.DUMMYFUNCTION("""COMPUTED_VALUE"""),"SOFTWARE / LICENCIAS &gt; LICENCIA ALARMAS PARA : STANDARD")</f>
        <v>SOFTWARE / LICENCIAS &gt; LICENCIA ALARMAS PARA : STANDARD</v>
      </c>
      <c r="G1274" s="5"/>
      <c r="H1274" s="6">
        <f>IFERROR(__xludf.DUMMYFUNCTION("""COMPUTED_VALUE"""),352.92)</f>
        <v>352.92</v>
      </c>
      <c r="I1274" s="7">
        <f>IFERROR(__xludf.DUMMYFUNCTION("""COMPUTED_VALUE"""),21.0)</f>
        <v>21</v>
      </c>
      <c r="J1274" s="6">
        <f>IFERROR(__xludf.DUMMYFUNCTION("""COMPUTED_VALUE"""),423.5)</f>
        <v>423.5</v>
      </c>
      <c r="K1274" s="6">
        <f>IFERROR(__xludf.DUMMYFUNCTION("""COMPUTED_VALUE"""),494.09)</f>
        <v>494.09</v>
      </c>
      <c r="L1274" s="3"/>
      <c r="M1274" s="3"/>
    </row>
    <row r="1275" ht="48.0" customHeight="1">
      <c r="A1275" s="3" t="str">
        <f>IFERROR(__xludf.DUMMYFUNCTION("""COMPUTED_VALUE"""),"DGFPR1008V7")</f>
        <v>DGFPR1008V7</v>
      </c>
      <c r="B1275" s="4" t="str">
        <f>IFERROR(__xludf.DUMMYFUNCTION("""COMPUTED_VALUE"""),"SYSTEM PROFESIONAL VERSIÓN PARA WINDOWS BASE SYSTEM PARA MANEJO")</f>
        <v>SYSTEM PROFESIONAL VERSIÓN PARA WINDOWS BASE SYSTEM PARA MANEJO</v>
      </c>
      <c r="C1275" s="4" t="str">
        <f>IFERROR(__xludf.DUMMYFUNCTION("""COMPUTED_VALUE"""),"System Profesional Versión para Windows Base system para manejo para 8 camaras. (Límite para 128 camaras)")</f>
        <v>System Profesional Versión para Windows Base system para manejo para 8 camaras. (Límite para 128 camaras)</v>
      </c>
      <c r="D1275" s="4" t="str">
        <f>IFERROR(__xludf.DUMMYFUNCTION("""COMPUTED_VALUE"""),"DIGIFORT")</f>
        <v>DIGIFORT</v>
      </c>
      <c r="E1275" s="4" t="str">
        <f>IFERROR(__xludf.DUMMYFUNCTION("""COMPUTED_VALUE"""),"DGFPR1008V7")</f>
        <v>DGFPR1008V7</v>
      </c>
      <c r="F1275" s="4" t="str">
        <f>IFERROR(__xludf.DUMMYFUNCTION("""COMPUTED_VALUE"""),"SOFTWARE / LICENCIAS &gt; LICENCIA MONITOREO PROFESIONAL")</f>
        <v>SOFTWARE / LICENCIAS &gt; LICENCIA MONITOREO PROFESIONAL</v>
      </c>
      <c r="G1275" s="5"/>
      <c r="H1275" s="6">
        <f>IFERROR(__xludf.DUMMYFUNCTION("""COMPUTED_VALUE"""),1404.96)</f>
        <v>1404.96</v>
      </c>
      <c r="I1275" s="7">
        <f>IFERROR(__xludf.DUMMYFUNCTION("""COMPUTED_VALUE"""),21.0)</f>
        <v>21</v>
      </c>
      <c r="J1275" s="6">
        <f>IFERROR(__xludf.DUMMYFUNCTION("""COMPUTED_VALUE"""),1685.95)</f>
        <v>1685.95</v>
      </c>
      <c r="K1275" s="6">
        <f>IFERROR(__xludf.DUMMYFUNCTION("""COMPUTED_VALUE"""),1966.94)</f>
        <v>1966.94</v>
      </c>
      <c r="L1275" s="3"/>
      <c r="M1275" s="3"/>
    </row>
    <row r="1276" ht="48.0" customHeight="1">
      <c r="A1276" s="3" t="str">
        <f>IFERROR(__xludf.DUMMYFUNCTION("""COMPUTED_VALUE"""),"DGFPR1102V7")</f>
        <v>DGFPR1102V7</v>
      </c>
      <c r="B1276" s="4" t="str">
        <f>IFERROR(__xludf.DUMMYFUNCTION("""COMPUTED_VALUE"""),"SYSTEM PROFESIONAL VERSIÓN PARA WINDOWS PACK PARA MANEJO PARA")</f>
        <v>SYSTEM PROFESIONAL VERSIÓN PARA WINDOWS PACK PARA MANEJO PARA</v>
      </c>
      <c r="C1276" s="4" t="str">
        <f>IFERROR(__xludf.DUMMYFUNCTION("""COMPUTED_VALUE"""),"System Profesional Versión para Windows Pack para manejo para 2 camaras")</f>
        <v>System Profesional Versión para Windows Pack para manejo para 2 camaras</v>
      </c>
      <c r="D1276" s="4" t="str">
        <f>IFERROR(__xludf.DUMMYFUNCTION("""COMPUTED_VALUE"""),"DIGIFORT")</f>
        <v>DIGIFORT</v>
      </c>
      <c r="E1276" s="4" t="str">
        <f>IFERROR(__xludf.DUMMYFUNCTION("""COMPUTED_VALUE"""),"DGFPR1102V7")</f>
        <v>DGFPR1102V7</v>
      </c>
      <c r="F1276" s="4" t="str">
        <f>IFERROR(__xludf.DUMMYFUNCTION("""COMPUTED_VALUE"""),"SOFTWARE / LICENCIAS &gt; LICENCIA MONITOREO PROFESIONAL")</f>
        <v>SOFTWARE / LICENCIAS &gt; LICENCIA MONITOREO PROFESIONAL</v>
      </c>
      <c r="G1276" s="5"/>
      <c r="H1276" s="6">
        <f>IFERROR(__xludf.DUMMYFUNCTION("""COMPUTED_VALUE"""),281.27)</f>
        <v>281.27</v>
      </c>
      <c r="I1276" s="7">
        <f>IFERROR(__xludf.DUMMYFUNCTION("""COMPUTED_VALUE"""),21.0)</f>
        <v>21</v>
      </c>
      <c r="J1276" s="6">
        <f>IFERROR(__xludf.DUMMYFUNCTION("""COMPUTED_VALUE"""),337.52)</f>
        <v>337.52</v>
      </c>
      <c r="K1276" s="6">
        <f>IFERROR(__xludf.DUMMYFUNCTION("""COMPUTED_VALUE"""),393.78)</f>
        <v>393.78</v>
      </c>
      <c r="L1276" s="3"/>
      <c r="M1276" s="3"/>
    </row>
    <row r="1277" ht="48.0" customHeight="1">
      <c r="A1277" s="3" t="str">
        <f>IFERROR(__xludf.DUMMYFUNCTION("""COMPUTED_VALUE"""),"DGFPR1104V7")</f>
        <v>DGFPR1104V7</v>
      </c>
      <c r="B1277" s="4" t="str">
        <f>IFERROR(__xludf.DUMMYFUNCTION("""COMPUTED_VALUE"""),"SYSTEM PROFESIONAL VERSIÓN PARA WINDOWS PACK PARA MANEJO PARA")</f>
        <v>SYSTEM PROFESIONAL VERSIÓN PARA WINDOWS PACK PARA MANEJO PARA</v>
      </c>
      <c r="C1277" s="4" t="str">
        <f>IFERROR(__xludf.DUMMYFUNCTION("""COMPUTED_VALUE"""),"System Profesional Versión para Windows Pack para manejo para 4 camaras")</f>
        <v>System Profesional Versión para Windows Pack para manejo para 4 camaras</v>
      </c>
      <c r="D1277" s="4" t="str">
        <f>IFERROR(__xludf.DUMMYFUNCTION("""COMPUTED_VALUE"""),"DIGIFORT")</f>
        <v>DIGIFORT</v>
      </c>
      <c r="E1277" s="4" t="str">
        <f>IFERROR(__xludf.DUMMYFUNCTION("""COMPUTED_VALUE"""),"DGFPR1104V7")</f>
        <v>DGFPR1104V7</v>
      </c>
      <c r="F1277" s="4" t="str">
        <f>IFERROR(__xludf.DUMMYFUNCTION("""COMPUTED_VALUE"""),"SOFTWARE / LICENCIAS &gt; LICENCIA MONITOREO PROFESIONAL")</f>
        <v>SOFTWARE / LICENCIAS &gt; LICENCIA MONITOREO PROFESIONAL</v>
      </c>
      <c r="G1277" s="5"/>
      <c r="H1277" s="6">
        <f>IFERROR(__xludf.DUMMYFUNCTION("""COMPUTED_VALUE"""),511.92)</f>
        <v>511.92</v>
      </c>
      <c r="I1277" s="7">
        <f>IFERROR(__xludf.DUMMYFUNCTION("""COMPUTED_VALUE"""),21.0)</f>
        <v>21</v>
      </c>
      <c r="J1277" s="6">
        <f>IFERROR(__xludf.DUMMYFUNCTION("""COMPUTED_VALUE"""),614.3)</f>
        <v>614.3</v>
      </c>
      <c r="K1277" s="6">
        <f>IFERROR(__xludf.DUMMYFUNCTION("""COMPUTED_VALUE"""),716.69)</f>
        <v>716.69</v>
      </c>
      <c r="L1277" s="3"/>
      <c r="M1277" s="3"/>
    </row>
    <row r="1278" ht="48.0" customHeight="1">
      <c r="A1278" s="3" t="str">
        <f>IFERROR(__xludf.DUMMYFUNCTION("""COMPUTED_VALUE"""),"DGFPR1108V7")</f>
        <v>DGFPR1108V7</v>
      </c>
      <c r="B1278" s="4" t="str">
        <f>IFERROR(__xludf.DUMMYFUNCTION("""COMPUTED_VALUE"""),"SYSTEM PROFESIONAL VERSIÓN PARA WINDOWS PACK PARA MANEJO PARA")</f>
        <v>SYSTEM PROFESIONAL VERSIÓN PARA WINDOWS PACK PARA MANEJO PARA</v>
      </c>
      <c r="C1278" s="4" t="str">
        <f>IFERROR(__xludf.DUMMYFUNCTION("""COMPUTED_VALUE"""),"System Profesional Versión para Windows Pack para manejo para 8 camaras")</f>
        <v>System Profesional Versión para Windows Pack para manejo para 8 camaras</v>
      </c>
      <c r="D1278" s="4" t="str">
        <f>IFERROR(__xludf.DUMMYFUNCTION("""COMPUTED_VALUE"""),"DIGIFORT")</f>
        <v>DIGIFORT</v>
      </c>
      <c r="E1278" s="4" t="str">
        <f>IFERROR(__xludf.DUMMYFUNCTION("""COMPUTED_VALUE"""),"DGFPR1108V7")</f>
        <v>DGFPR1108V7</v>
      </c>
      <c r="F1278" s="4" t="str">
        <f>IFERROR(__xludf.DUMMYFUNCTION("""COMPUTED_VALUE"""),"SOFTWARE / LICENCIAS &gt; LICENCIA MONITOREO PROFESIONAL")</f>
        <v>SOFTWARE / LICENCIAS &gt; LICENCIA MONITOREO PROFESIONAL</v>
      </c>
      <c r="G1278" s="5"/>
      <c r="H1278" s="6">
        <f>IFERROR(__xludf.DUMMYFUNCTION("""COMPUTED_VALUE"""),931.69)</f>
        <v>931.69</v>
      </c>
      <c r="I1278" s="7">
        <f>IFERROR(__xludf.DUMMYFUNCTION("""COMPUTED_VALUE"""),21.0)</f>
        <v>21</v>
      </c>
      <c r="J1278" s="6">
        <f>IFERROR(__xludf.DUMMYFUNCTION("""COMPUTED_VALUE"""),1118.03)</f>
        <v>1118.03</v>
      </c>
      <c r="K1278" s="6">
        <f>IFERROR(__xludf.DUMMYFUNCTION("""COMPUTED_VALUE"""),1304.37)</f>
        <v>1304.37</v>
      </c>
      <c r="L1278" s="3"/>
      <c r="M1278" s="3"/>
    </row>
    <row r="1279" ht="48.0" customHeight="1">
      <c r="A1279" s="3" t="str">
        <f>IFERROR(__xludf.DUMMYFUNCTION("""COMPUTED_VALUE"""),"DGFPR1116V7")</f>
        <v>DGFPR1116V7</v>
      </c>
      <c r="B1279" s="4" t="str">
        <f>IFERROR(__xludf.DUMMYFUNCTION("""COMPUTED_VALUE"""),"SYSTEM PROFESIONAL VERSIÓN PARA WINDOWS PACK PARA MANEJO PARA")</f>
        <v>SYSTEM PROFESIONAL VERSIÓN PARA WINDOWS PACK PARA MANEJO PARA</v>
      </c>
      <c r="C1279" s="4" t="str">
        <f>IFERROR(__xludf.DUMMYFUNCTION("""COMPUTED_VALUE"""),"System Profesional Versión para Windows Pack para manejo para 16 camaras")</f>
        <v>System Profesional Versión para Windows Pack para manejo para 16 camaras</v>
      </c>
      <c r="D1279" s="4" t="str">
        <f>IFERROR(__xludf.DUMMYFUNCTION("""COMPUTED_VALUE"""),"DIGIFORT")</f>
        <v>DIGIFORT</v>
      </c>
      <c r="E1279" s="4" t="str">
        <f>IFERROR(__xludf.DUMMYFUNCTION("""COMPUTED_VALUE"""),"DGFPR1116V7")</f>
        <v>DGFPR1116V7</v>
      </c>
      <c r="F1279" s="4" t="str">
        <f>IFERROR(__xludf.DUMMYFUNCTION("""COMPUTED_VALUE"""),"SOFTWARE / LICENCIAS &gt; LICENCIA MONITOREO PROFESIONAL")</f>
        <v>SOFTWARE / LICENCIAS &gt; LICENCIA MONITOREO PROFESIONAL</v>
      </c>
      <c r="G1279" s="5"/>
      <c r="H1279" s="6">
        <f>IFERROR(__xludf.DUMMYFUNCTION("""COMPUTED_VALUE"""),1695.67)</f>
        <v>1695.67</v>
      </c>
      <c r="I1279" s="7">
        <f>IFERROR(__xludf.DUMMYFUNCTION("""COMPUTED_VALUE"""),21.0)</f>
        <v>21</v>
      </c>
      <c r="J1279" s="6">
        <f>IFERROR(__xludf.DUMMYFUNCTION("""COMPUTED_VALUE"""),2034.8)</f>
        <v>2034.8</v>
      </c>
      <c r="K1279" s="6">
        <f>IFERROR(__xludf.DUMMYFUNCTION("""COMPUTED_VALUE"""),2373.94)</f>
        <v>2373.94</v>
      </c>
      <c r="L1279" s="3"/>
      <c r="M1279" s="3"/>
    </row>
    <row r="1280" ht="48.0" customHeight="1">
      <c r="A1280" s="3" t="str">
        <f>IFERROR(__xludf.DUMMYFUNCTION("""COMPUTED_VALUE"""),"DGFPR1132V7")</f>
        <v>DGFPR1132V7</v>
      </c>
      <c r="B1280" s="4" t="str">
        <f>IFERROR(__xludf.DUMMYFUNCTION("""COMPUTED_VALUE"""),"SYSTEM PROFESIONAL VERSIÓN PARA WINDOWS PACK PARA MANEJO PARA")</f>
        <v>SYSTEM PROFESIONAL VERSIÓN PARA WINDOWS PACK PARA MANEJO PARA</v>
      </c>
      <c r="C1280" s="4" t="str">
        <f>IFERROR(__xludf.DUMMYFUNCTION("""COMPUTED_VALUE"""),"System Profesional Versión para Windows Pack para manejo para 32 camaras")</f>
        <v>System Profesional Versión para Windows Pack para manejo para 32 camaras</v>
      </c>
      <c r="D1280" s="4" t="str">
        <f>IFERROR(__xludf.DUMMYFUNCTION("""COMPUTED_VALUE"""),"DIGIFORT")</f>
        <v>DIGIFORT</v>
      </c>
      <c r="E1280" s="4" t="str">
        <f>IFERROR(__xludf.DUMMYFUNCTION("""COMPUTED_VALUE"""),"DGFPR1132V7")</f>
        <v>DGFPR1132V7</v>
      </c>
      <c r="F1280" s="4" t="str">
        <f>IFERROR(__xludf.DUMMYFUNCTION("""COMPUTED_VALUE"""),"SOFTWARE / LICENCIAS &gt; LICENCIA MONITOREO PROFESIONAL")</f>
        <v>SOFTWARE / LICENCIAS &gt; LICENCIA MONITOREO PROFESIONAL</v>
      </c>
      <c r="G1280" s="5"/>
      <c r="H1280" s="6">
        <f>IFERROR(__xludf.DUMMYFUNCTION("""COMPUTED_VALUE"""),3086.13)</f>
        <v>3086.13</v>
      </c>
      <c r="I1280" s="7">
        <f>IFERROR(__xludf.DUMMYFUNCTION("""COMPUTED_VALUE"""),21.0)</f>
        <v>21</v>
      </c>
      <c r="J1280" s="6">
        <f>IFERROR(__xludf.DUMMYFUNCTION("""COMPUTED_VALUE"""),3703.36)</f>
        <v>3703.36</v>
      </c>
      <c r="K1280" s="6">
        <f>IFERROR(__xludf.DUMMYFUNCTION("""COMPUTED_VALUE"""),4320.58)</f>
        <v>4320.58</v>
      </c>
      <c r="L1280" s="3"/>
      <c r="M1280" s="3"/>
    </row>
    <row r="1281" ht="48.0" customHeight="1">
      <c r="A1281" s="3" t="str">
        <f>IFERROR(__xludf.DUMMYFUNCTION("""COMPUTED_VALUE"""),"DGFUPPREN1008V7")</f>
        <v>DGFUPPREN1008V7</v>
      </c>
      <c r="B1281" s="4" t="str">
        <f>IFERROR(__xludf.DUMMYFUNCTION("""COMPUTED_VALUE"""),"VERSIÓN UPGRADE PROFESIONAL TO ENTERPRICE BASE PARA 8")</f>
        <v>VERSIÓN UPGRADE PROFESIONAL TO ENTERPRICE BASE PARA 8</v>
      </c>
      <c r="C1281" s="4" t="str">
        <f>IFERROR(__xludf.DUMMYFUNCTION("""COMPUTED_VALUE"""),"Versión upgrade Profesional to enterprice base para 8")</f>
        <v>Versión upgrade Profesional to enterprice base para 8</v>
      </c>
      <c r="D1281" s="4" t="str">
        <f>IFERROR(__xludf.DUMMYFUNCTION("""COMPUTED_VALUE"""),"DIGIFORT")</f>
        <v>DIGIFORT</v>
      </c>
      <c r="E1281" s="4" t="str">
        <f>IFERROR(__xludf.DUMMYFUNCTION("""COMPUTED_VALUE"""),"DGFUPPREN1008V7")</f>
        <v>DGFUPPREN1008V7</v>
      </c>
      <c r="F1281" s="4" t="str">
        <f>IFERROR(__xludf.DUMMYFUNCTION("""COMPUTED_VALUE"""),"SOFTWARE / LICENCIAS &gt; UPGRADEDE VERSION PROFESIONAL A ENTERPRISE")</f>
        <v>SOFTWARE / LICENCIAS &gt; UPGRADEDE VERSION PROFESIONAL A ENTERPRISE</v>
      </c>
      <c r="G1281" s="5"/>
      <c r="H1281" s="6">
        <f>IFERROR(__xludf.DUMMYFUNCTION("""COMPUTED_VALUE"""),1420.83)</f>
        <v>1420.83</v>
      </c>
      <c r="I1281" s="7">
        <f>IFERROR(__xludf.DUMMYFUNCTION("""COMPUTED_VALUE"""),21.0)</f>
        <v>21</v>
      </c>
      <c r="J1281" s="6">
        <f>IFERROR(__xludf.DUMMYFUNCTION("""COMPUTED_VALUE"""),1705.0)</f>
        <v>1705</v>
      </c>
      <c r="K1281" s="6">
        <f>IFERROR(__xludf.DUMMYFUNCTION("""COMPUTED_VALUE"""),1989.16)</f>
        <v>1989.16</v>
      </c>
      <c r="L1281" s="3"/>
      <c r="M1281" s="3"/>
    </row>
    <row r="1282" ht="48.0" customHeight="1">
      <c r="A1282" s="3" t="str">
        <f>IFERROR(__xludf.DUMMYFUNCTION("""COMPUTED_VALUE"""),"DGFUPPREN1102V7")</f>
        <v>DGFUPPREN1102V7</v>
      </c>
      <c r="B1282" s="4" t="str">
        <f>IFERROR(__xludf.DUMMYFUNCTION("""COMPUTED_VALUE"""),"VERSIÓN UPGRADE PROFESIONAL TO ENTERPRICE BASE PARA 2")</f>
        <v>VERSIÓN UPGRADE PROFESIONAL TO ENTERPRICE BASE PARA 2</v>
      </c>
      <c r="C1282" s="4" t="str">
        <f>IFERROR(__xludf.DUMMYFUNCTION("""COMPUTED_VALUE"""),"Versión upgrade Profesional to enterprice base para 2")</f>
        <v>Versión upgrade Profesional to enterprice base para 2</v>
      </c>
      <c r="D1282" s="4" t="str">
        <f>IFERROR(__xludf.DUMMYFUNCTION("""COMPUTED_VALUE"""),"DIGIFORT")</f>
        <v>DIGIFORT</v>
      </c>
      <c r="E1282" s="4" t="str">
        <f>IFERROR(__xludf.DUMMYFUNCTION("""COMPUTED_VALUE"""),"DGFUPPREN1102V7")</f>
        <v>DGFUPPREN1102V7</v>
      </c>
      <c r="F1282" s="4" t="str">
        <f>IFERROR(__xludf.DUMMYFUNCTION("""COMPUTED_VALUE"""),"SOFTWARE / LICENCIAS &gt; UPGRADEDE VERSION PROFESIONAL A ENTERPRISE")</f>
        <v>SOFTWARE / LICENCIAS &gt; UPGRADEDE VERSION PROFESIONAL A ENTERPRISE</v>
      </c>
      <c r="G1282" s="5"/>
      <c r="H1282" s="6">
        <f>IFERROR(__xludf.DUMMYFUNCTION("""COMPUTED_VALUE"""),254.31)</f>
        <v>254.31</v>
      </c>
      <c r="I1282" s="7">
        <f>IFERROR(__xludf.DUMMYFUNCTION("""COMPUTED_VALUE"""),21.0)</f>
        <v>21</v>
      </c>
      <c r="J1282" s="6">
        <f>IFERROR(__xludf.DUMMYFUNCTION("""COMPUTED_VALUE"""),305.17)</f>
        <v>305.17</v>
      </c>
      <c r="K1282" s="6">
        <f>IFERROR(__xludf.DUMMYFUNCTION("""COMPUTED_VALUE"""),356.03)</f>
        <v>356.03</v>
      </c>
      <c r="L1282" s="3"/>
      <c r="M1282" s="3"/>
    </row>
    <row r="1283" ht="48.0" customHeight="1">
      <c r="A1283" s="3" t="str">
        <f>IFERROR(__xludf.DUMMYFUNCTION("""COMPUTED_VALUE"""),"DGFUPPREN1104V7")</f>
        <v>DGFUPPREN1104V7</v>
      </c>
      <c r="B1283" s="4" t="str">
        <f>IFERROR(__xludf.DUMMYFUNCTION("""COMPUTED_VALUE"""),"VERSIÓN UPGRADE PROFESIONAL TO ENTERPRICE BASE PARA 4")</f>
        <v>VERSIÓN UPGRADE PROFESIONAL TO ENTERPRICE BASE PARA 4</v>
      </c>
      <c r="C1283" s="4" t="str">
        <f>IFERROR(__xludf.DUMMYFUNCTION("""COMPUTED_VALUE"""),"Versión upgrade Profesional to enterprice base para 4")</f>
        <v>Versión upgrade Profesional to enterprice base para 4</v>
      </c>
      <c r="D1283" s="4" t="str">
        <f>IFERROR(__xludf.DUMMYFUNCTION("""COMPUTED_VALUE"""),"DIGIFORT")</f>
        <v>DIGIFORT</v>
      </c>
      <c r="E1283" s="4" t="str">
        <f>IFERROR(__xludf.DUMMYFUNCTION("""COMPUTED_VALUE"""),"DGFUPPREN1104V7")</f>
        <v>DGFUPPREN1104V7</v>
      </c>
      <c r="F1283" s="4" t="str">
        <f>IFERROR(__xludf.DUMMYFUNCTION("""COMPUTED_VALUE"""),"SOFTWARE / LICENCIAS &gt; UPGRADEDE VERSION PROFESIONAL A ENTERPRISE")</f>
        <v>SOFTWARE / LICENCIAS &gt; UPGRADEDE VERSION PROFESIONAL A ENTERPRISE</v>
      </c>
      <c r="G1283" s="5"/>
      <c r="H1283" s="6">
        <f>IFERROR(__xludf.DUMMYFUNCTION("""COMPUTED_VALUE"""),473.85)</f>
        <v>473.85</v>
      </c>
      <c r="I1283" s="7">
        <f>IFERROR(__xludf.DUMMYFUNCTION("""COMPUTED_VALUE"""),21.0)</f>
        <v>21</v>
      </c>
      <c r="J1283" s="6">
        <f>IFERROR(__xludf.DUMMYFUNCTION("""COMPUTED_VALUE"""),568.62)</f>
        <v>568.62</v>
      </c>
      <c r="K1283" s="6">
        <f>IFERROR(__xludf.DUMMYFUNCTION("""COMPUTED_VALUE"""),663.39)</f>
        <v>663.39</v>
      </c>
      <c r="L1283" s="3"/>
      <c r="M1283" s="3"/>
    </row>
    <row r="1284" ht="48.0" customHeight="1">
      <c r="A1284" s="3" t="str">
        <f>IFERROR(__xludf.DUMMYFUNCTION("""COMPUTED_VALUE"""),"DGFUPPREN1108V7")</f>
        <v>DGFUPPREN1108V7</v>
      </c>
      <c r="B1284" s="4" t="str">
        <f>IFERROR(__xludf.DUMMYFUNCTION("""COMPUTED_VALUE"""),"VERSIÓN UPGRADE PROFESIONAL TO ENTERPRICE BASE PARA 8")</f>
        <v>VERSIÓN UPGRADE PROFESIONAL TO ENTERPRICE BASE PARA 8</v>
      </c>
      <c r="C1284" s="4" t="str">
        <f>IFERROR(__xludf.DUMMYFUNCTION("""COMPUTED_VALUE"""),"Versión upgrade Profesional to enterprice base para 8")</f>
        <v>Versión upgrade Profesional to enterprice base para 8</v>
      </c>
      <c r="D1284" s="4" t="str">
        <f>IFERROR(__xludf.DUMMYFUNCTION("""COMPUTED_VALUE"""),"DIGIFORT")</f>
        <v>DIGIFORT</v>
      </c>
      <c r="E1284" s="4" t="str">
        <f>IFERROR(__xludf.DUMMYFUNCTION("""COMPUTED_VALUE"""),"DGFUPPREN1108V7")</f>
        <v>DGFUPPREN1108V7</v>
      </c>
      <c r="F1284" s="4" t="str">
        <f>IFERROR(__xludf.DUMMYFUNCTION("""COMPUTED_VALUE"""),"SOFTWARE / LICENCIAS &gt; UPGRADEDE VERSION PROFESIONAL A ENTERPRISE")</f>
        <v>SOFTWARE / LICENCIAS &gt; UPGRADEDE VERSION PROFESIONAL A ENTERPRISE</v>
      </c>
      <c r="G1284" s="5"/>
      <c r="H1284" s="6">
        <f>IFERROR(__xludf.DUMMYFUNCTION("""COMPUTED_VALUE"""),882.76)</f>
        <v>882.76</v>
      </c>
      <c r="I1284" s="7">
        <f>IFERROR(__xludf.DUMMYFUNCTION("""COMPUTED_VALUE"""),21.0)</f>
        <v>21</v>
      </c>
      <c r="J1284" s="6">
        <f>IFERROR(__xludf.DUMMYFUNCTION("""COMPUTED_VALUE"""),1059.31)</f>
        <v>1059.31</v>
      </c>
      <c r="K1284" s="6">
        <f>IFERROR(__xludf.DUMMYFUNCTION("""COMPUTED_VALUE"""),1235.86)</f>
        <v>1235.86</v>
      </c>
      <c r="L1284" s="3"/>
      <c r="M1284" s="3"/>
    </row>
    <row r="1285" ht="48.0" customHeight="1">
      <c r="A1285" s="3" t="str">
        <f>IFERROR(__xludf.DUMMYFUNCTION("""COMPUTED_VALUE"""),"DGFUPPREN1116V7")</f>
        <v>DGFUPPREN1116V7</v>
      </c>
      <c r="B1285" s="4" t="str">
        <f>IFERROR(__xludf.DUMMYFUNCTION("""COMPUTED_VALUE"""),"VERSIÓN UPGRADE PROFESIONAL TO ENTERPRICE BASE PARA 16")</f>
        <v>VERSIÓN UPGRADE PROFESIONAL TO ENTERPRICE BASE PARA 16</v>
      </c>
      <c r="C1285" s="4" t="str">
        <f>IFERROR(__xludf.DUMMYFUNCTION("""COMPUTED_VALUE"""),"Versión upgrade Profesional to enterprice base para 16")</f>
        <v>Versión upgrade Profesional to enterprice base para 16</v>
      </c>
      <c r="D1285" s="4" t="str">
        <f>IFERROR(__xludf.DUMMYFUNCTION("""COMPUTED_VALUE"""),"DIGIFORT")</f>
        <v>DIGIFORT</v>
      </c>
      <c r="E1285" s="4" t="str">
        <f>IFERROR(__xludf.DUMMYFUNCTION("""COMPUTED_VALUE"""),"DGFUPPREN1116V7")</f>
        <v>DGFUPPREN1116V7</v>
      </c>
      <c r="F1285" s="4" t="str">
        <f>IFERROR(__xludf.DUMMYFUNCTION("""COMPUTED_VALUE"""),"SOFTWARE / LICENCIAS &gt; UPGRADEDE VERSION PROFESIONAL A ENTERPRISE")</f>
        <v>SOFTWARE / LICENCIAS &gt; UPGRADEDE VERSION PROFESIONAL A ENTERPRISE</v>
      </c>
      <c r="G1285" s="5"/>
      <c r="H1285" s="6">
        <f>IFERROR(__xludf.DUMMYFUNCTION("""COMPUTED_VALUE"""),1644.29)</f>
        <v>1644.29</v>
      </c>
      <c r="I1285" s="7">
        <f>IFERROR(__xludf.DUMMYFUNCTION("""COMPUTED_VALUE"""),21.0)</f>
        <v>21</v>
      </c>
      <c r="J1285" s="6">
        <f>IFERROR(__xludf.DUMMYFUNCTION("""COMPUTED_VALUE"""),1973.15)</f>
        <v>1973.15</v>
      </c>
      <c r="K1285" s="6">
        <f>IFERROR(__xludf.DUMMYFUNCTION("""COMPUTED_VALUE"""),2302.01)</f>
        <v>2302.01</v>
      </c>
      <c r="L1285" s="3"/>
      <c r="M1285" s="3"/>
    </row>
    <row r="1286" ht="48.0" customHeight="1">
      <c r="A1286" s="3" t="str">
        <f>IFERROR(__xludf.DUMMYFUNCTION("""COMPUTED_VALUE"""),"DGFUPPREN1132V7")</f>
        <v>DGFUPPREN1132V7</v>
      </c>
      <c r="B1286" s="4" t="str">
        <f>IFERROR(__xludf.DUMMYFUNCTION("""COMPUTED_VALUE"""),"VERSIÓN UPGRADE PROFESIONAL TO ENTERPRICE BASE PARA 32")</f>
        <v>VERSIÓN UPGRADE PROFESIONAL TO ENTERPRICE BASE PARA 32</v>
      </c>
      <c r="C1286" s="4" t="str">
        <f>IFERROR(__xludf.DUMMYFUNCTION("""COMPUTED_VALUE"""),"Versión upgrade Profesional to enterprice base para 32")</f>
        <v>Versión upgrade Profesional to enterprice base para 32</v>
      </c>
      <c r="D1286" s="4" t="str">
        <f>IFERROR(__xludf.DUMMYFUNCTION("""COMPUTED_VALUE"""),"DIGIFORT")</f>
        <v>DIGIFORT</v>
      </c>
      <c r="E1286" s="4" t="str">
        <f>IFERROR(__xludf.DUMMYFUNCTION("""COMPUTED_VALUE"""),"DGFUPPREN1132V7")</f>
        <v>DGFUPPREN1132V7</v>
      </c>
      <c r="F1286" s="4" t="str">
        <f>IFERROR(__xludf.DUMMYFUNCTION("""COMPUTED_VALUE"""),"SOFTWARE / LICENCIAS &gt; UPGRADEDE VERSION PROFESIONAL A ENTERPRISE")</f>
        <v>SOFTWARE / LICENCIAS &gt; UPGRADEDE VERSION PROFESIONAL A ENTERPRISE</v>
      </c>
      <c r="G1286" s="5"/>
      <c r="H1286" s="6">
        <f>IFERROR(__xludf.DUMMYFUNCTION("""COMPUTED_VALUE"""),3062.29)</f>
        <v>3062.29</v>
      </c>
      <c r="I1286" s="7">
        <f>IFERROR(__xludf.DUMMYFUNCTION("""COMPUTED_VALUE"""),21.0)</f>
        <v>21</v>
      </c>
      <c r="J1286" s="6">
        <f>IFERROR(__xludf.DUMMYFUNCTION("""COMPUTED_VALUE"""),3674.75)</f>
        <v>3674.75</v>
      </c>
      <c r="K1286" s="6">
        <f>IFERROR(__xludf.DUMMYFUNCTION("""COMPUTED_VALUE"""),4287.21)</f>
        <v>4287.21</v>
      </c>
      <c r="L1286" s="3"/>
      <c r="M1286" s="3"/>
    </row>
    <row r="1287" ht="48.0" customHeight="1">
      <c r="A1287" s="3" t="str">
        <f>IFERROR(__xludf.DUMMYFUNCTION("""COMPUTED_VALUE"""),"DGFUPVPR1008V7")</f>
        <v>DGFUPVPR1008V7</v>
      </c>
      <c r="B1287" s="4" t="str">
        <f>IFERROR(__xludf.DUMMYFUNCTION("""COMPUTED_VALUE"""),"DIGIFORT SYSTEM PROFESSIONAL VERSION FOR WINDOWS")</f>
        <v>DIGIFORT SYSTEM PROFESSIONAL VERSION FOR WINDOWS</v>
      </c>
      <c r="C1287" s="4" t="str">
        <f>IFERROR(__xludf.DUMMYFUNCTION("""COMPUTED_VALUE"""),"Digifort System Professional Version for Windows - Upgrade of base license of previous versions to version 7")</f>
        <v>Digifort System Professional Version for Windows - Upgrade of base license of previous versions to version 7</v>
      </c>
      <c r="D1287" s="4" t="str">
        <f>IFERROR(__xludf.DUMMYFUNCTION("""COMPUTED_VALUE"""),"DIGIFORT")</f>
        <v>DIGIFORT</v>
      </c>
      <c r="E1287" s="4" t="str">
        <f>IFERROR(__xludf.DUMMYFUNCTION("""COMPUTED_VALUE"""),"DGFUPVPR1008V7")</f>
        <v>DGFUPVPR1008V7</v>
      </c>
      <c r="F1287" s="4" t="str">
        <f>IFERROR(__xludf.DUMMYFUNCTION("""COMPUTED_VALUE"""),"SOFTWARE / LICENCIAS &gt; UPGRADEDE VERSIONES ANTERIORES A LA VERSION 7 PROFESIONAL")</f>
        <v>SOFTWARE / LICENCIAS &gt; UPGRADEDE VERSIONES ANTERIORES A LA VERSION 7 PROFESIONAL</v>
      </c>
      <c r="G1287" s="5"/>
      <c r="H1287" s="6">
        <f>IFERROR(__xludf.DUMMYFUNCTION("""COMPUTED_VALUE"""),421.49)</f>
        <v>421.49</v>
      </c>
      <c r="I1287" s="7">
        <f>IFERROR(__xludf.DUMMYFUNCTION("""COMPUTED_VALUE"""),21.0)</f>
        <v>21</v>
      </c>
      <c r="J1287" s="6">
        <f>IFERROR(__xludf.DUMMYFUNCTION("""COMPUTED_VALUE"""),505.79)</f>
        <v>505.79</v>
      </c>
      <c r="K1287" s="6">
        <f>IFERROR(__xludf.DUMMYFUNCTION("""COMPUTED_VALUE"""),590.09)</f>
        <v>590.09</v>
      </c>
      <c r="L1287" s="3"/>
      <c r="M1287" s="3"/>
    </row>
    <row r="1288" ht="48.0" customHeight="1">
      <c r="A1288" s="3" t="str">
        <f>IFERROR(__xludf.DUMMYFUNCTION("""COMPUTED_VALUE"""),"DGFUPVPR1102V7")</f>
        <v>DGFUPVPR1102V7</v>
      </c>
      <c r="B1288" s="4" t="str">
        <f>IFERROR(__xludf.DUMMYFUNCTION("""COMPUTED_VALUE"""),"DIGIFORT SYSTEM PROFESSIONAL VERSION FOR WINDOWS")</f>
        <v>DIGIFORT SYSTEM PROFESSIONAL VERSION FOR WINDOWS</v>
      </c>
      <c r="C1288" s="4" t="str">
        <f>IFERROR(__xludf.DUMMYFUNCTION("""COMPUTED_VALUE"""),"Digifort System Professional Version for Windows - Upgrade of pack license 2 cameras of previous versions to version 7")</f>
        <v>Digifort System Professional Version for Windows - Upgrade of pack license 2 cameras of previous versions to version 7</v>
      </c>
      <c r="D1288" s="4" t="str">
        <f>IFERROR(__xludf.DUMMYFUNCTION("""COMPUTED_VALUE"""),"DIGIFORT")</f>
        <v>DIGIFORT</v>
      </c>
      <c r="E1288" s="4" t="str">
        <f>IFERROR(__xludf.DUMMYFUNCTION("""COMPUTED_VALUE"""),"DGFUPVPR1102V7")</f>
        <v>DGFUPVPR1102V7</v>
      </c>
      <c r="F1288" s="4" t="str">
        <f>IFERROR(__xludf.DUMMYFUNCTION("""COMPUTED_VALUE"""),"SOFTWARE / LICENCIAS &gt; UPGRADEDE VERSIONES ANTERIORES A LA VERSION 7 PROFESIONAL")</f>
        <v>SOFTWARE / LICENCIAS &gt; UPGRADEDE VERSIONES ANTERIORES A LA VERSION 7 PROFESIONAL</v>
      </c>
      <c r="G1288" s="5"/>
      <c r="H1288" s="6">
        <f>IFERROR(__xludf.DUMMYFUNCTION("""COMPUTED_VALUE"""),84.38)</f>
        <v>84.38</v>
      </c>
      <c r="I1288" s="7">
        <f>IFERROR(__xludf.DUMMYFUNCTION("""COMPUTED_VALUE"""),21.0)</f>
        <v>21</v>
      </c>
      <c r="J1288" s="6">
        <f>IFERROR(__xludf.DUMMYFUNCTION("""COMPUTED_VALUE"""),101.26)</f>
        <v>101.26</v>
      </c>
      <c r="K1288" s="6">
        <f>IFERROR(__xludf.DUMMYFUNCTION("""COMPUTED_VALUE"""),118.13)</f>
        <v>118.13</v>
      </c>
      <c r="L1288" s="3"/>
      <c r="M1288" s="3"/>
    </row>
    <row r="1289" ht="48.0" customHeight="1">
      <c r="A1289" s="3" t="str">
        <f>IFERROR(__xludf.DUMMYFUNCTION("""COMPUTED_VALUE"""),"DGFUPVPR1104V7")</f>
        <v>DGFUPVPR1104V7</v>
      </c>
      <c r="B1289" s="4" t="str">
        <f>IFERROR(__xludf.DUMMYFUNCTION("""COMPUTED_VALUE"""),"DIGIFORT SYSTEM PROFESSIONAL VERSION FOR WINDOWS")</f>
        <v>DIGIFORT SYSTEM PROFESSIONAL VERSION FOR WINDOWS</v>
      </c>
      <c r="C1289" s="4" t="str">
        <f>IFERROR(__xludf.DUMMYFUNCTION("""COMPUTED_VALUE"""),"Digifort System Professional Version for Windows - Upgrade of pack license 4 cameras of previous versions to version 7")</f>
        <v>Digifort System Professional Version for Windows - Upgrade of pack license 4 cameras of previous versions to version 7</v>
      </c>
      <c r="D1289" s="4" t="str">
        <f>IFERROR(__xludf.DUMMYFUNCTION("""COMPUTED_VALUE"""),"DIGIFORT")</f>
        <v>DIGIFORT</v>
      </c>
      <c r="E1289" s="4" t="str">
        <f>IFERROR(__xludf.DUMMYFUNCTION("""COMPUTED_VALUE"""),"DGFUPVPR1104V7")</f>
        <v>DGFUPVPR1104V7</v>
      </c>
      <c r="F1289" s="4" t="str">
        <f>IFERROR(__xludf.DUMMYFUNCTION("""COMPUTED_VALUE"""),"SOFTWARE / LICENCIAS &gt; UPGRADEDE VERSIONES ANTERIORES A LA VERSION 7 PROFESIONAL")</f>
        <v>SOFTWARE / LICENCIAS &gt; UPGRADEDE VERSIONES ANTERIORES A LA VERSION 7 PROFESIONAL</v>
      </c>
      <c r="G1289" s="5"/>
      <c r="H1289" s="6">
        <f>IFERROR(__xludf.DUMMYFUNCTION("""COMPUTED_VALUE"""),153.57)</f>
        <v>153.57</v>
      </c>
      <c r="I1289" s="7">
        <f>IFERROR(__xludf.DUMMYFUNCTION("""COMPUTED_VALUE"""),21.0)</f>
        <v>21</v>
      </c>
      <c r="J1289" s="6">
        <f>IFERROR(__xludf.DUMMYFUNCTION("""COMPUTED_VALUE"""),184.28)</f>
        <v>184.28</v>
      </c>
      <c r="K1289" s="6">
        <f>IFERROR(__xludf.DUMMYFUNCTION("""COMPUTED_VALUE"""),215.0)</f>
        <v>215</v>
      </c>
      <c r="L1289" s="3"/>
      <c r="M1289" s="3"/>
    </row>
    <row r="1290" ht="48.0" customHeight="1">
      <c r="A1290" s="3" t="str">
        <f>IFERROR(__xludf.DUMMYFUNCTION("""COMPUTED_VALUE"""),"DGFUPVPR1108V7")</f>
        <v>DGFUPVPR1108V7</v>
      </c>
      <c r="B1290" s="4" t="str">
        <f>IFERROR(__xludf.DUMMYFUNCTION("""COMPUTED_VALUE"""),"DIGIFORT SYSTEM PROFESSIONAL VERSION FOR WINDOWS")</f>
        <v>DIGIFORT SYSTEM PROFESSIONAL VERSION FOR WINDOWS</v>
      </c>
      <c r="C1290" s="4" t="str">
        <f>IFERROR(__xludf.DUMMYFUNCTION("""COMPUTED_VALUE"""),"Digifort System Professional Version for Windows - Upgrade of pack license 8 cameras of previous versions to version 7")</f>
        <v>Digifort System Professional Version for Windows - Upgrade of pack license 8 cameras of previous versions to version 7</v>
      </c>
      <c r="D1290" s="4" t="str">
        <f>IFERROR(__xludf.DUMMYFUNCTION("""COMPUTED_VALUE"""),"DIGIFORT")</f>
        <v>DIGIFORT</v>
      </c>
      <c r="E1290" s="4" t="str">
        <f>IFERROR(__xludf.DUMMYFUNCTION("""COMPUTED_VALUE"""),"DGFUPVPR1108V7")</f>
        <v>DGFUPVPR1108V7</v>
      </c>
      <c r="F1290" s="4" t="str">
        <f>IFERROR(__xludf.DUMMYFUNCTION("""COMPUTED_VALUE"""),"SOFTWARE / LICENCIAS &gt; UPGRADEDE VERSIONES ANTERIORES A LA VERSION 7 PROFESIONAL")</f>
        <v>SOFTWARE / LICENCIAS &gt; UPGRADEDE VERSIONES ANTERIORES A LA VERSION 7 PROFESIONAL</v>
      </c>
      <c r="G1290" s="5"/>
      <c r="H1290" s="6">
        <f>IFERROR(__xludf.DUMMYFUNCTION("""COMPUTED_VALUE"""),279.51)</f>
        <v>279.51</v>
      </c>
      <c r="I1290" s="7">
        <f>IFERROR(__xludf.DUMMYFUNCTION("""COMPUTED_VALUE"""),21.0)</f>
        <v>21</v>
      </c>
      <c r="J1290" s="6">
        <f>IFERROR(__xludf.DUMMYFUNCTION("""COMPUTED_VALUE"""),335.41)</f>
        <v>335.41</v>
      </c>
      <c r="K1290" s="6">
        <f>IFERROR(__xludf.DUMMYFUNCTION("""COMPUTED_VALUE"""),391.31)</f>
        <v>391.31</v>
      </c>
      <c r="L1290" s="3"/>
      <c r="M1290" s="3"/>
    </row>
    <row r="1291" ht="48.0" customHeight="1">
      <c r="A1291" s="3" t="str">
        <f>IFERROR(__xludf.DUMMYFUNCTION("""COMPUTED_VALUE"""),"DGFUPVPR1116V7")</f>
        <v>DGFUPVPR1116V7</v>
      </c>
      <c r="B1291" s="4" t="str">
        <f>IFERROR(__xludf.DUMMYFUNCTION("""COMPUTED_VALUE"""),"DIGIFORT SYSTEM PROFESSIONAL VERSION FOR WINDOWS")</f>
        <v>DIGIFORT SYSTEM PROFESSIONAL VERSION FOR WINDOWS</v>
      </c>
      <c r="C1291" s="4" t="str">
        <f>IFERROR(__xludf.DUMMYFUNCTION("""COMPUTED_VALUE"""),"Digifort System Professional Version for Windows - Upgrade of pack license 16 cameras of previous versions to version 7")</f>
        <v>Digifort System Professional Version for Windows - Upgrade of pack license 16 cameras of previous versions to version 7</v>
      </c>
      <c r="D1291" s="4" t="str">
        <f>IFERROR(__xludf.DUMMYFUNCTION("""COMPUTED_VALUE"""),"DIGIFORT")</f>
        <v>DIGIFORT</v>
      </c>
      <c r="E1291" s="4" t="str">
        <f>IFERROR(__xludf.DUMMYFUNCTION("""COMPUTED_VALUE"""),"DGFUPVPR1116V7")</f>
        <v>DGFUPVPR1116V7</v>
      </c>
      <c r="F1291" s="4" t="str">
        <f>IFERROR(__xludf.DUMMYFUNCTION("""COMPUTED_VALUE"""),"SOFTWARE / LICENCIAS &gt; UPGRADEDE VERSIONES ANTERIORES A LA VERSION 7 PROFESIONAL")</f>
        <v>SOFTWARE / LICENCIAS &gt; UPGRADEDE VERSIONES ANTERIORES A LA VERSION 7 PROFESIONAL</v>
      </c>
      <c r="G1291" s="5"/>
      <c r="H1291" s="6">
        <f>IFERROR(__xludf.DUMMYFUNCTION("""COMPUTED_VALUE"""),508.71)</f>
        <v>508.71</v>
      </c>
      <c r="I1291" s="7">
        <f>IFERROR(__xludf.DUMMYFUNCTION("""COMPUTED_VALUE"""),21.0)</f>
        <v>21</v>
      </c>
      <c r="J1291" s="6">
        <f>IFERROR(__xludf.DUMMYFUNCTION("""COMPUTED_VALUE"""),610.45)</f>
        <v>610.45</v>
      </c>
      <c r="K1291" s="6">
        <f>IFERROR(__xludf.DUMMYFUNCTION("""COMPUTED_VALUE"""),712.19)</f>
        <v>712.19</v>
      </c>
      <c r="L1291" s="3"/>
      <c r="M1291" s="3"/>
    </row>
    <row r="1292" ht="48.0" customHeight="1">
      <c r="A1292" s="3" t="str">
        <f>IFERROR(__xludf.DUMMYFUNCTION("""COMPUTED_VALUE"""),"DGFUPVPR1132V7")</f>
        <v>DGFUPVPR1132V7</v>
      </c>
      <c r="B1292" s="4" t="str">
        <f>IFERROR(__xludf.DUMMYFUNCTION("""COMPUTED_VALUE"""),"DIGIFORT SYSTEM PROFESSIONAL VERSION FOR WINDOWS")</f>
        <v>DIGIFORT SYSTEM PROFESSIONAL VERSION FOR WINDOWS</v>
      </c>
      <c r="C1292" s="4" t="str">
        <f>IFERROR(__xludf.DUMMYFUNCTION("""COMPUTED_VALUE"""),"Digifort System Professional Version for Windows - Upgrade of pack license 32 cameras of previous versions to version 7")</f>
        <v>Digifort System Professional Version for Windows - Upgrade of pack license 32 cameras of previous versions to version 7</v>
      </c>
      <c r="D1292" s="4" t="str">
        <f>IFERROR(__xludf.DUMMYFUNCTION("""COMPUTED_VALUE"""),"DIGIFORT")</f>
        <v>DIGIFORT</v>
      </c>
      <c r="E1292" s="4" t="str">
        <f>IFERROR(__xludf.DUMMYFUNCTION("""COMPUTED_VALUE"""),"DGFUPVPR1132V7")</f>
        <v>DGFUPVPR1132V7</v>
      </c>
      <c r="F1292" s="4" t="str">
        <f>IFERROR(__xludf.DUMMYFUNCTION("""COMPUTED_VALUE"""),"SOFTWARE / LICENCIAS &gt; UPGRADEDE VERSIONES ANTERIORES A LA VERSION 7 PROFESIONAL")</f>
        <v>SOFTWARE / LICENCIAS &gt; UPGRADEDE VERSIONES ANTERIORES A LA VERSION 7 PROFESIONAL</v>
      </c>
      <c r="G1292" s="5"/>
      <c r="H1292" s="6">
        <f>IFERROR(__xludf.DUMMYFUNCTION("""COMPUTED_VALUE"""),925.84)</f>
        <v>925.84</v>
      </c>
      <c r="I1292" s="7">
        <f>IFERROR(__xludf.DUMMYFUNCTION("""COMPUTED_VALUE"""),21.0)</f>
        <v>21</v>
      </c>
      <c r="J1292" s="6">
        <f>IFERROR(__xludf.DUMMYFUNCTION("""COMPUTED_VALUE"""),1111.01)</f>
        <v>1111.01</v>
      </c>
      <c r="K1292" s="6">
        <f>IFERROR(__xludf.DUMMYFUNCTION("""COMPUTED_VALUE"""),1296.18)</f>
        <v>1296.18</v>
      </c>
      <c r="L1292" s="3"/>
      <c r="M1292" s="3"/>
    </row>
    <row r="1293" ht="48.0" customHeight="1">
      <c r="A1293" s="3" t="str">
        <f>IFERROR(__xludf.DUMMYFUNCTION("""COMPUTED_VALUE"""),"DGFPR2001V7-DUP1")</f>
        <v>DGFPR2001V7-DUP1</v>
      </c>
      <c r="B1293" s="4" t="str">
        <f>IFERROR(__xludf.DUMMYFUNCTION("""COMPUTED_VALUE"""),"DIGIFORT SYSTEM PROFESSIONAL VERSION FOR WINDOWS- BASE FOR MANAGEMENT")</f>
        <v>DIGIFORT SYSTEM PROFESSIONAL VERSION FOR WINDOWS- BASE FOR MANAGEMENT</v>
      </c>
      <c r="C1293" s="4" t="str">
        <f>IFERROR(__xludf.DUMMYFUNCTION("""COMPUTED_VALUE"""),"Digifort System Professional Version for windows- Base for management of 1 alarm board (limit of 6 boards)")</f>
        <v>Digifort System Professional Version for windows- Base for management of 1 alarm board (limit of 6 boards)</v>
      </c>
      <c r="D1293" s="4" t="str">
        <f>IFERROR(__xludf.DUMMYFUNCTION("""COMPUTED_VALUE"""),"DIGIFORT")</f>
        <v>DIGIFORT</v>
      </c>
      <c r="E1293" s="4" t="str">
        <f>IFERROR(__xludf.DUMMYFUNCTION("""COMPUTED_VALUE"""),"DGFPR2001V7")</f>
        <v>DGFPR2001V7</v>
      </c>
      <c r="F1293" s="4" t="str">
        <f>IFERROR(__xludf.DUMMYFUNCTION("""COMPUTED_VALUE"""),"SOFTWARE / LICENCIAS &gt; LICENCIA ALARMAS PARA : PROFESIONAL")</f>
        <v>SOFTWARE / LICENCIAS &gt; LICENCIA ALARMAS PARA : PROFESIONAL</v>
      </c>
      <c r="G1293" s="5"/>
      <c r="H1293" s="6">
        <f>IFERROR(__xludf.DUMMYFUNCTION("""COMPUTED_VALUE"""),352.92)</f>
        <v>352.92</v>
      </c>
      <c r="I1293" s="7">
        <f>IFERROR(__xludf.DUMMYFUNCTION("""COMPUTED_VALUE"""),21.0)</f>
        <v>21</v>
      </c>
      <c r="J1293" s="6">
        <f>IFERROR(__xludf.DUMMYFUNCTION("""COMPUTED_VALUE"""),423.5)</f>
        <v>423.5</v>
      </c>
      <c r="K1293" s="6">
        <f>IFERROR(__xludf.DUMMYFUNCTION("""COMPUTED_VALUE"""),494.09)</f>
        <v>494.09</v>
      </c>
      <c r="L1293" s="3"/>
      <c r="M1293" s="3"/>
    </row>
    <row r="1294" ht="48.0" customHeight="1">
      <c r="A1294" s="3" t="str">
        <f>IFERROR(__xludf.DUMMYFUNCTION("""COMPUTED_VALUE"""),"DGFPR2101V7")</f>
        <v>DGFPR2101V7</v>
      </c>
      <c r="B1294" s="4" t="str">
        <f>IFERROR(__xludf.DUMMYFUNCTION("""COMPUTED_VALUE"""),"DIGIFORT SYSTEM PROFESSIONAL VERSION FOR WINDOWS- PACK FOR 1")</f>
        <v>DIGIFORT SYSTEM PROFESSIONAL VERSION FOR WINDOWS- PACK FOR 1</v>
      </c>
      <c r="C1294" s="4" t="str">
        <f>IFERROR(__xludf.DUMMYFUNCTION("""COMPUTED_VALUE"""),"Digifort System Professional Version for windows- Pack for 1 additonial alarm board")</f>
        <v>Digifort System Professional Version for windows- Pack for 1 additonial alarm board</v>
      </c>
      <c r="D1294" s="4" t="str">
        <f>IFERROR(__xludf.DUMMYFUNCTION("""COMPUTED_VALUE"""),"DIGIFORT")</f>
        <v>DIGIFORT</v>
      </c>
      <c r="E1294" s="4" t="str">
        <f>IFERROR(__xludf.DUMMYFUNCTION("""COMPUTED_VALUE"""),"DGFPR2101V7")</f>
        <v>DGFPR2101V7</v>
      </c>
      <c r="F1294" s="4" t="str">
        <f>IFERROR(__xludf.DUMMYFUNCTION("""COMPUTED_VALUE"""),"SOFTWARE / LICENCIAS &gt; LICENCIA ALARMAS PARA : PROFESIONAL")</f>
        <v>SOFTWARE / LICENCIAS &gt; LICENCIA ALARMAS PARA : PROFESIONAL</v>
      </c>
      <c r="G1294" s="5"/>
      <c r="H1294" s="6">
        <f>IFERROR(__xludf.DUMMYFUNCTION("""COMPUTED_VALUE"""),220.58)</f>
        <v>220.58</v>
      </c>
      <c r="I1294" s="7">
        <f>IFERROR(__xludf.DUMMYFUNCTION("""COMPUTED_VALUE"""),21.0)</f>
        <v>21</v>
      </c>
      <c r="J1294" s="6">
        <f>IFERROR(__xludf.DUMMYFUNCTION("""COMPUTED_VALUE"""),264.7)</f>
        <v>264.7</v>
      </c>
      <c r="K1294" s="6">
        <f>IFERROR(__xludf.DUMMYFUNCTION("""COMPUTED_VALUE"""),308.81)</f>
        <v>308.81</v>
      </c>
      <c r="L1294" s="3"/>
      <c r="M1294" s="3"/>
    </row>
    <row r="1295" ht="48.0" customHeight="1">
      <c r="A1295" s="3" t="str">
        <f>IFERROR(__xludf.DUMMYFUNCTION("""COMPUTED_VALUE"""),"DGFPR2102V7")</f>
        <v>DGFPR2102V7</v>
      </c>
      <c r="B1295" s="4" t="str">
        <f>IFERROR(__xludf.DUMMYFUNCTION("""COMPUTED_VALUE"""),"DIGIFORT SYSTEM PROFESSIONAL VERSION FOR WINDOWS- PACK FOR 2")</f>
        <v>DIGIFORT SYSTEM PROFESSIONAL VERSION FOR WINDOWS- PACK FOR 2</v>
      </c>
      <c r="C1295" s="4" t="str">
        <f>IFERROR(__xludf.DUMMYFUNCTION("""COMPUTED_VALUE"""),"Digifort System Professional Version for windows- Pack for 2 additonial alarm board")</f>
        <v>Digifort System Professional Version for windows- Pack for 2 additonial alarm board</v>
      </c>
      <c r="D1295" s="4" t="str">
        <f>IFERROR(__xludf.DUMMYFUNCTION("""COMPUTED_VALUE"""),"DIGIFORT")</f>
        <v>DIGIFORT</v>
      </c>
      <c r="E1295" s="4" t="str">
        <f>IFERROR(__xludf.DUMMYFUNCTION("""COMPUTED_VALUE"""),"DGFPR2102V7")</f>
        <v>DGFPR2102V7</v>
      </c>
      <c r="F1295" s="4" t="str">
        <f>IFERROR(__xludf.DUMMYFUNCTION("""COMPUTED_VALUE"""),"SOFTWARE / LICENCIAS &gt; LICENCIA ALARMAS PARA : PROFESIONAL")</f>
        <v>SOFTWARE / LICENCIAS &gt; LICENCIA ALARMAS PARA : PROFESIONAL</v>
      </c>
      <c r="G1295" s="5"/>
      <c r="H1295" s="6">
        <f>IFERROR(__xludf.DUMMYFUNCTION("""COMPUTED_VALUE"""),397.05)</f>
        <v>397.05</v>
      </c>
      <c r="I1295" s="7">
        <f>IFERROR(__xludf.DUMMYFUNCTION("""COMPUTED_VALUE"""),21.0)</f>
        <v>21</v>
      </c>
      <c r="J1295" s="6">
        <f>IFERROR(__xludf.DUMMYFUNCTION("""COMPUTED_VALUE"""),476.46)</f>
        <v>476.46</v>
      </c>
      <c r="K1295" s="6">
        <f>IFERROR(__xludf.DUMMYFUNCTION("""COMPUTED_VALUE"""),555.87)</f>
        <v>555.87</v>
      </c>
      <c r="L1295" s="3"/>
      <c r="M1295" s="3"/>
    </row>
    <row r="1296" ht="48.0" customHeight="1">
      <c r="A1296" s="3" t="str">
        <f>IFERROR(__xludf.DUMMYFUNCTION("""COMPUTED_VALUE"""),"DGFPR2104V7")</f>
        <v>DGFPR2104V7</v>
      </c>
      <c r="B1296" s="4" t="str">
        <f>IFERROR(__xludf.DUMMYFUNCTION("""COMPUTED_VALUE"""),"DIGIFORT SYSTEM PROFESSIONAL VERSION FOR WINDOWS- PACK FOR 4")</f>
        <v>DIGIFORT SYSTEM PROFESSIONAL VERSION FOR WINDOWS- PACK FOR 4</v>
      </c>
      <c r="C1296" s="4" t="str">
        <f>IFERROR(__xludf.DUMMYFUNCTION("""COMPUTED_VALUE"""),"Digifort System Professional Version for windows- Pack for 4 additonial alarm board")</f>
        <v>Digifort System Professional Version for windows- Pack for 4 additonial alarm board</v>
      </c>
      <c r="D1296" s="4" t="str">
        <f>IFERROR(__xludf.DUMMYFUNCTION("""COMPUTED_VALUE"""),"DIGIFORT")</f>
        <v>DIGIFORT</v>
      </c>
      <c r="E1296" s="4" t="str">
        <f>IFERROR(__xludf.DUMMYFUNCTION("""COMPUTED_VALUE"""),"DGFPR2104V7")</f>
        <v>DGFPR2104V7</v>
      </c>
      <c r="F1296" s="4" t="str">
        <f>IFERROR(__xludf.DUMMYFUNCTION("""COMPUTED_VALUE"""),"SOFTWARE / LICENCIAS &gt; LICENCIA ALARMAS PARA : PROFESIONAL")</f>
        <v>SOFTWARE / LICENCIAS &gt; LICENCIA ALARMAS PARA : PROFESIONAL</v>
      </c>
      <c r="G1296" s="5"/>
      <c r="H1296" s="6">
        <f>IFERROR(__xludf.DUMMYFUNCTION("""COMPUTED_VALUE"""),714.67)</f>
        <v>714.67</v>
      </c>
      <c r="I1296" s="7">
        <f>IFERROR(__xludf.DUMMYFUNCTION("""COMPUTED_VALUE"""),21.0)</f>
        <v>21</v>
      </c>
      <c r="J1296" s="6">
        <f>IFERROR(__xludf.DUMMYFUNCTION("""COMPUTED_VALUE"""),857.6)</f>
        <v>857.6</v>
      </c>
      <c r="K1296" s="6">
        <f>IFERROR(__xludf.DUMMYFUNCTION("""COMPUTED_VALUE"""),1000.54)</f>
        <v>1000.54</v>
      </c>
      <c r="L1296" s="3"/>
      <c r="M1296" s="3"/>
    </row>
    <row r="1297" ht="48.0" customHeight="1">
      <c r="A1297" s="3" t="str">
        <f>IFERROR(__xludf.DUMMYFUNCTION("""COMPUTED_VALUE"""),"DGFEN1008V7")</f>
        <v>DGFEN1008V7</v>
      </c>
      <c r="B1297" s="4" t="str">
        <f>IFERROR(__xludf.DUMMYFUNCTION("""COMPUTED_VALUE"""),"SYSTEM ENTERPRISE VERSIÓN PARA WINDOWS SISTEMA BASE PARA MANEJO")</f>
        <v>SYSTEM ENTERPRISE VERSIÓN PARA WINDOWS SISTEMA BASE PARA MANEJO</v>
      </c>
      <c r="C1297" s="4" t="str">
        <f>IFERROR(__xludf.DUMMYFUNCTION("""COMPUTED_VALUE"""),"System Enterprise Versión para Windows Sistema Base para manejo de 8 camaras.")</f>
        <v>System Enterprise Versión para Windows Sistema Base para manejo de 8 camaras.</v>
      </c>
      <c r="D1297" s="4" t="str">
        <f>IFERROR(__xludf.DUMMYFUNCTION("""COMPUTED_VALUE"""),"DIGIFORT")</f>
        <v>DIGIFORT</v>
      </c>
      <c r="E1297" s="4" t="str">
        <f>IFERROR(__xludf.DUMMYFUNCTION("""COMPUTED_VALUE"""),"DGFEN1008V7")</f>
        <v>DGFEN1008V7</v>
      </c>
      <c r="F1297" s="4" t="str">
        <f>IFERROR(__xludf.DUMMYFUNCTION("""COMPUTED_VALUE"""),"SOFTWARE / LICENCIAS &gt; LICENCIA MONITOREO ENTERPRISE")</f>
        <v>SOFTWARE / LICENCIAS &gt; LICENCIA MONITOREO ENTERPRISE</v>
      </c>
      <c r="G1297" s="5"/>
      <c r="H1297" s="6">
        <f>IFERROR(__xludf.DUMMYFUNCTION("""COMPUTED_VALUE"""),1982.81)</f>
        <v>1982.81</v>
      </c>
      <c r="I1297" s="7">
        <f>IFERROR(__xludf.DUMMYFUNCTION("""COMPUTED_VALUE"""),21.0)</f>
        <v>21</v>
      </c>
      <c r="J1297" s="6">
        <f>IFERROR(__xludf.DUMMYFUNCTION("""COMPUTED_VALUE"""),2379.37)</f>
        <v>2379.37</v>
      </c>
      <c r="K1297" s="6">
        <f>IFERROR(__xludf.DUMMYFUNCTION("""COMPUTED_VALUE"""),2775.93)</f>
        <v>2775.93</v>
      </c>
      <c r="L1297" s="3"/>
      <c r="M1297" s="3"/>
    </row>
    <row r="1298" ht="48.0" customHeight="1">
      <c r="A1298" s="3" t="str">
        <f>IFERROR(__xludf.DUMMYFUNCTION("""COMPUTED_VALUE"""),"DGFEN1102V7")</f>
        <v>DGFEN1102V7</v>
      </c>
      <c r="B1298" s="4" t="str">
        <f>IFERROR(__xludf.DUMMYFUNCTION("""COMPUTED_VALUE"""),"SYSTEM ENTERPRISE VERSIÓN PARA WINDOWS PACK PARA MANEJO DE 2 CAMARAS")</f>
        <v>SYSTEM ENTERPRISE VERSIÓN PARA WINDOWS PACK PARA MANEJO DE 2 CAMARAS</v>
      </c>
      <c r="C1298" s="4" t="str">
        <f>IFERROR(__xludf.DUMMYFUNCTION("""COMPUTED_VALUE"""),"System Enterprise Versión para Windows Pack para manejo de 2 camaras")</f>
        <v>System Enterprise Versión para Windows Pack para manejo de 2 camaras</v>
      </c>
      <c r="D1298" s="4" t="str">
        <f>IFERROR(__xludf.DUMMYFUNCTION("""COMPUTED_VALUE"""),"DIGIFORT")</f>
        <v>DIGIFORT</v>
      </c>
      <c r="E1298" s="4" t="str">
        <f>IFERROR(__xludf.DUMMYFUNCTION("""COMPUTED_VALUE"""),"DGFEN1102V7")</f>
        <v>DGFEN1102V7</v>
      </c>
      <c r="F1298" s="4" t="str">
        <f>IFERROR(__xludf.DUMMYFUNCTION("""COMPUTED_VALUE"""),"SOFTWARE / LICENCIAS &gt; LICENCIA MONITOREO ENTERPRISE")</f>
        <v>SOFTWARE / LICENCIAS &gt; LICENCIA MONITOREO ENTERPRISE</v>
      </c>
      <c r="G1298" s="5"/>
      <c r="H1298" s="6">
        <f>IFERROR(__xludf.DUMMYFUNCTION("""COMPUTED_VALUE"""),366.82)</f>
        <v>366.82</v>
      </c>
      <c r="I1298" s="7">
        <f>IFERROR(__xludf.DUMMYFUNCTION("""COMPUTED_VALUE"""),21.0)</f>
        <v>21</v>
      </c>
      <c r="J1298" s="6">
        <f>IFERROR(__xludf.DUMMYFUNCTION("""COMPUTED_VALUE"""),440.18)</f>
        <v>440.18</v>
      </c>
      <c r="K1298" s="6">
        <f>IFERROR(__xludf.DUMMYFUNCTION("""COMPUTED_VALUE"""),513.55)</f>
        <v>513.55</v>
      </c>
      <c r="L1298" s="3"/>
      <c r="M1298" s="3"/>
    </row>
    <row r="1299" ht="48.0" customHeight="1">
      <c r="A1299" s="3" t="str">
        <f>IFERROR(__xludf.DUMMYFUNCTION("""COMPUTED_VALUE"""),"DGFEN1104V7")</f>
        <v>DGFEN1104V7</v>
      </c>
      <c r="B1299" s="4" t="str">
        <f>IFERROR(__xludf.DUMMYFUNCTION("""COMPUTED_VALUE"""),"SYSTEM ENTERPRISE VERSIÓN PARA WINDOWS PACK PARA MANEJO DE 4 CAMARAS")</f>
        <v>SYSTEM ENTERPRISE VERSIÓN PARA WINDOWS PACK PARA MANEJO DE 4 CAMARAS</v>
      </c>
      <c r="C1299" s="4" t="str">
        <f>IFERROR(__xludf.DUMMYFUNCTION("""COMPUTED_VALUE"""),"System Enterprise Versión para Windows Pack para manejo de 4 camaras")</f>
        <v>System Enterprise Versión para Windows Pack para manejo de 4 camaras</v>
      </c>
      <c r="D1299" s="4" t="str">
        <f>IFERROR(__xludf.DUMMYFUNCTION("""COMPUTED_VALUE"""),"DIGIFORT")</f>
        <v>DIGIFORT</v>
      </c>
      <c r="E1299" s="4" t="str">
        <f>IFERROR(__xludf.DUMMYFUNCTION("""COMPUTED_VALUE"""),"DGFEN1104V7")</f>
        <v>DGFEN1104V7</v>
      </c>
      <c r="F1299" s="4" t="str">
        <f>IFERROR(__xludf.DUMMYFUNCTION("""COMPUTED_VALUE"""),"SOFTWARE / LICENCIAS &gt; LICENCIA MONITOREO ENTERPRISE")</f>
        <v>SOFTWARE / LICENCIAS &gt; LICENCIA MONITOREO ENTERPRISE</v>
      </c>
      <c r="G1299" s="5"/>
      <c r="H1299" s="6">
        <f>IFERROR(__xludf.DUMMYFUNCTION("""COMPUTED_VALUE"""),678.61)</f>
        <v>678.61</v>
      </c>
      <c r="I1299" s="7">
        <f>IFERROR(__xludf.DUMMYFUNCTION("""COMPUTED_VALUE"""),21.0)</f>
        <v>21</v>
      </c>
      <c r="J1299" s="6">
        <f>IFERROR(__xludf.DUMMYFUNCTION("""COMPUTED_VALUE"""),814.33)</f>
        <v>814.33</v>
      </c>
      <c r="K1299" s="6">
        <f>IFERROR(__xludf.DUMMYFUNCTION("""COMPUTED_VALUE"""),950.05)</f>
        <v>950.05</v>
      </c>
      <c r="L1299" s="3"/>
      <c r="M1299" s="3"/>
    </row>
    <row r="1300" ht="48.0" customHeight="1">
      <c r="A1300" s="3" t="str">
        <f>IFERROR(__xludf.DUMMYFUNCTION("""COMPUTED_VALUE"""),"DGFEN1108V7")</f>
        <v>DGFEN1108V7</v>
      </c>
      <c r="B1300" s="4" t="str">
        <f>IFERROR(__xludf.DUMMYFUNCTION("""COMPUTED_VALUE"""),"SYSTEM ENTERPRISE VERSIÓN PARA WINDOWS PACK PARA MANEJO DE 8 CAMARAS")</f>
        <v>SYSTEM ENTERPRISE VERSIÓN PARA WINDOWS PACK PARA MANEJO DE 8 CAMARAS</v>
      </c>
      <c r="C1300" s="4" t="str">
        <f>IFERROR(__xludf.DUMMYFUNCTION("""COMPUTED_VALUE"""),"System Enterprise Versión para Windows Pack para manejo de 8 camaras")</f>
        <v>System Enterprise Versión para Windows Pack para manejo de 8 camaras</v>
      </c>
      <c r="D1300" s="4" t="str">
        <f>IFERROR(__xludf.DUMMYFUNCTION("""COMPUTED_VALUE"""),"DIGIFORT")</f>
        <v>DIGIFORT</v>
      </c>
      <c r="E1300" s="4" t="str">
        <f>IFERROR(__xludf.DUMMYFUNCTION("""COMPUTED_VALUE"""),"DGFEN1108V7")</f>
        <v>DGFEN1108V7</v>
      </c>
      <c r="F1300" s="4" t="str">
        <f>IFERROR(__xludf.DUMMYFUNCTION("""COMPUTED_VALUE"""),"SOFTWARE / LICENCIAS &gt; LICENCIA MONITOREO ENTERPRISE")</f>
        <v>SOFTWARE / LICENCIAS &gt; LICENCIA MONITOREO ENTERPRISE</v>
      </c>
      <c r="G1300" s="5"/>
      <c r="H1300" s="6">
        <f>IFERROR(__xludf.DUMMYFUNCTION("""COMPUTED_VALUE"""),1255.44)</f>
        <v>1255.44</v>
      </c>
      <c r="I1300" s="7">
        <f>IFERROR(__xludf.DUMMYFUNCTION("""COMPUTED_VALUE"""),21.0)</f>
        <v>21</v>
      </c>
      <c r="J1300" s="6">
        <f>IFERROR(__xludf.DUMMYFUNCTION("""COMPUTED_VALUE"""),1506.53)</f>
        <v>1506.53</v>
      </c>
      <c r="K1300" s="6">
        <f>IFERROR(__xludf.DUMMYFUNCTION("""COMPUTED_VALUE"""),1757.62)</f>
        <v>1757.62</v>
      </c>
      <c r="L1300" s="3"/>
      <c r="M1300" s="3"/>
    </row>
    <row r="1301" ht="48.0" customHeight="1">
      <c r="A1301" s="3" t="str">
        <f>IFERROR(__xludf.DUMMYFUNCTION("""COMPUTED_VALUE"""),"DGFEN1116V7")</f>
        <v>DGFEN1116V7</v>
      </c>
      <c r="B1301" s="4" t="str">
        <f>IFERROR(__xludf.DUMMYFUNCTION("""COMPUTED_VALUE"""),"SYSTEM ENTERPRISE VERSIÓN PARA WINDOWS PACK PARA MANEJO DE")</f>
        <v>SYSTEM ENTERPRISE VERSIÓN PARA WINDOWS PACK PARA MANEJO DE</v>
      </c>
      <c r="C1301" s="4" t="str">
        <f>IFERROR(__xludf.DUMMYFUNCTION("""COMPUTED_VALUE"""),"System Enterprise Versión para Windows Pack para manejo de 16 camaras")</f>
        <v>System Enterprise Versión para Windows Pack para manejo de 16 camaras</v>
      </c>
      <c r="D1301" s="4" t="str">
        <f>IFERROR(__xludf.DUMMYFUNCTION("""COMPUTED_VALUE"""),"DIGIFORT")</f>
        <v>DIGIFORT</v>
      </c>
      <c r="E1301" s="4" t="str">
        <f>IFERROR(__xludf.DUMMYFUNCTION("""COMPUTED_VALUE"""),"DGFEN1116V7")</f>
        <v>DGFEN1116V7</v>
      </c>
      <c r="F1301" s="4" t="str">
        <f>IFERROR(__xludf.DUMMYFUNCTION("""COMPUTED_VALUE"""),"SOFTWARE / LICENCIAS &gt; LICENCIA MONITOREO ENTERPRISE")</f>
        <v>SOFTWARE / LICENCIAS &gt; LICENCIA MONITOREO ENTERPRISE</v>
      </c>
      <c r="G1301" s="5"/>
      <c r="H1301" s="6">
        <f>IFERROR(__xludf.DUMMYFUNCTION("""COMPUTED_VALUE"""),2322.56)</f>
        <v>2322.56</v>
      </c>
      <c r="I1301" s="7">
        <f>IFERROR(__xludf.DUMMYFUNCTION("""COMPUTED_VALUE"""),21.0)</f>
        <v>21</v>
      </c>
      <c r="J1301" s="6">
        <f>IFERROR(__xludf.DUMMYFUNCTION("""COMPUTED_VALUE"""),2787.07)</f>
        <v>2787.07</v>
      </c>
      <c r="K1301" s="6">
        <f>IFERROR(__xludf.DUMMYFUNCTION("""COMPUTED_VALUE"""),3251.58)</f>
        <v>3251.58</v>
      </c>
      <c r="L1301" s="3"/>
      <c r="M1301" s="3"/>
    </row>
    <row r="1302" ht="48.0" customHeight="1">
      <c r="A1302" s="3" t="str">
        <f>IFERROR(__xludf.DUMMYFUNCTION("""COMPUTED_VALUE"""),"DGFEN1132V7")</f>
        <v>DGFEN1132V7</v>
      </c>
      <c r="B1302" s="4" t="str">
        <f>IFERROR(__xludf.DUMMYFUNCTION("""COMPUTED_VALUE"""),"SYSTEM ENTERPRISE VERSIÓN PARA WINDOWS PACK PARA MANEJO DE")</f>
        <v>SYSTEM ENTERPRISE VERSIÓN PARA WINDOWS PACK PARA MANEJO DE</v>
      </c>
      <c r="C1302" s="4" t="str">
        <f>IFERROR(__xludf.DUMMYFUNCTION("""COMPUTED_VALUE"""),"System Enterprise Versión para Windows Pack para manejo de 32 camaras")</f>
        <v>System Enterprise Versión para Windows Pack para manejo de 32 camaras</v>
      </c>
      <c r="D1302" s="4" t="str">
        <f>IFERROR(__xludf.DUMMYFUNCTION("""COMPUTED_VALUE"""),"DIGIFORT")</f>
        <v>DIGIFORT</v>
      </c>
      <c r="E1302" s="4" t="str">
        <f>IFERROR(__xludf.DUMMYFUNCTION("""COMPUTED_VALUE"""),"DGFEN1132V7")</f>
        <v>DGFEN1132V7</v>
      </c>
      <c r="F1302" s="4" t="str">
        <f>IFERROR(__xludf.DUMMYFUNCTION("""COMPUTED_VALUE"""),"SOFTWARE / LICENCIAS &gt; LICENCIA MONITOREO ENTERPRISE")</f>
        <v>SOFTWARE / LICENCIAS &gt; LICENCIA MONITOREO ENTERPRISE</v>
      </c>
      <c r="G1302" s="5"/>
      <c r="H1302" s="6">
        <f>IFERROR(__xludf.DUMMYFUNCTION("""COMPUTED_VALUE"""),4296.74)</f>
        <v>4296.74</v>
      </c>
      <c r="I1302" s="7">
        <f>IFERROR(__xludf.DUMMYFUNCTION("""COMPUTED_VALUE"""),21.0)</f>
        <v>21</v>
      </c>
      <c r="J1302" s="6">
        <f>IFERROR(__xludf.DUMMYFUNCTION("""COMPUTED_VALUE"""),5156.09)</f>
        <v>5156.09</v>
      </c>
      <c r="K1302" s="6">
        <f>IFERROR(__xludf.DUMMYFUNCTION("""COMPUTED_VALUE"""),6015.44)</f>
        <v>6015.44</v>
      </c>
      <c r="L1302" s="3"/>
      <c r="M1302" s="3"/>
    </row>
    <row r="1303" ht="48.0" customHeight="1">
      <c r="A1303" s="3" t="str">
        <f>IFERROR(__xludf.DUMMYFUNCTION("""COMPUTED_VALUE"""),"DGFEN1164V7")</f>
        <v>DGFEN1164V7</v>
      </c>
      <c r="B1303" s="4" t="str">
        <f>IFERROR(__xludf.DUMMYFUNCTION("""COMPUTED_VALUE"""),"SYSTEM ENTERPRISE VERSIÓN PARA WINDOWS PACK PARA MANEJO DE")</f>
        <v>SYSTEM ENTERPRISE VERSIÓN PARA WINDOWS PACK PARA MANEJO DE</v>
      </c>
      <c r="C1303" s="4" t="str">
        <f>IFERROR(__xludf.DUMMYFUNCTION("""COMPUTED_VALUE"""),"System Enterprise Versión para Windows Pack para manejo de 64 camaras")</f>
        <v>System Enterprise Versión para Windows Pack para manejo de 64 camaras</v>
      </c>
      <c r="D1303" s="4" t="str">
        <f>IFERROR(__xludf.DUMMYFUNCTION("""COMPUTED_VALUE"""),"DIGIFORT")</f>
        <v>DIGIFORT</v>
      </c>
      <c r="E1303" s="4" t="str">
        <f>IFERROR(__xludf.DUMMYFUNCTION("""COMPUTED_VALUE"""),"DGFEN1164V7")</f>
        <v>DGFEN1164V7</v>
      </c>
      <c r="F1303" s="4" t="str">
        <f>IFERROR(__xludf.DUMMYFUNCTION("""COMPUTED_VALUE"""),"SOFTWARE / LICENCIAS &gt; LICENCIA MONITOREO ENTERPRISE")</f>
        <v>SOFTWARE / LICENCIAS &gt; LICENCIA MONITOREO ENTERPRISE</v>
      </c>
      <c r="G1303" s="5"/>
      <c r="H1303" s="6">
        <f>IFERROR(__xludf.DUMMYFUNCTION("""COMPUTED_VALUE"""),7948.96)</f>
        <v>7948.96</v>
      </c>
      <c r="I1303" s="7">
        <f>IFERROR(__xludf.DUMMYFUNCTION("""COMPUTED_VALUE"""),21.0)</f>
        <v>21</v>
      </c>
      <c r="J1303" s="6">
        <f>IFERROR(__xludf.DUMMYFUNCTION("""COMPUTED_VALUE"""),9538.75)</f>
        <v>9538.75</v>
      </c>
      <c r="K1303" s="6">
        <f>IFERROR(__xludf.DUMMYFUNCTION("""COMPUTED_VALUE"""),11128.54)</f>
        <v>11128.54</v>
      </c>
      <c r="L1303" s="3"/>
      <c r="M1303" s="3"/>
    </row>
    <row r="1304" ht="48.0" customHeight="1">
      <c r="A1304" s="3" t="str">
        <f>IFERROR(__xludf.DUMMYFUNCTION("""COMPUTED_VALUE"""),"DGUPVEN1008V7")</f>
        <v>DGUPVEN1008V7</v>
      </c>
      <c r="B1304" s="4" t="str">
        <f>IFERROR(__xludf.DUMMYFUNCTION("""COMPUTED_VALUE"""),"DIGIFORT SYSTEM ENTERPRICE- VERSION FOR WINDOWS")</f>
        <v>DIGIFORT SYSTEM ENTERPRICE- VERSION FOR WINDOWS</v>
      </c>
      <c r="C1304" s="4" t="str">
        <f>IFERROR(__xludf.DUMMYFUNCTION("""COMPUTED_VALUE"""),"Digifort System Enterprice- Version for Windows - Upgrade of base license of previous versions to version 7")</f>
        <v>Digifort System Enterprice- Version for Windows - Upgrade of base license of previous versions to version 7</v>
      </c>
      <c r="D1304" s="4" t="str">
        <f>IFERROR(__xludf.DUMMYFUNCTION("""COMPUTED_VALUE"""),"DIGIFORT")</f>
        <v>DIGIFORT</v>
      </c>
      <c r="E1304" s="4" t="str">
        <f>IFERROR(__xludf.DUMMYFUNCTION("""COMPUTED_VALUE"""),"DGUPVEN1008V7")</f>
        <v>DGUPVEN1008V7</v>
      </c>
      <c r="F1304" s="4" t="str">
        <f>IFERROR(__xludf.DUMMYFUNCTION("""COMPUTED_VALUE"""),"SOFTWARE / LICENCIAS &gt; UPGRADEDE VERSIONES ANTERIORES A LA VERSION 7 ENTERPRISE")</f>
        <v>SOFTWARE / LICENCIAS &gt; UPGRADEDE VERSIONES ANTERIORES A LA VERSION 7 ENTERPRISE</v>
      </c>
      <c r="G1304" s="5"/>
      <c r="H1304" s="6">
        <f>IFERROR(__xludf.DUMMYFUNCTION("""COMPUTED_VALUE"""),594.85)</f>
        <v>594.85</v>
      </c>
      <c r="I1304" s="7">
        <f>IFERROR(__xludf.DUMMYFUNCTION("""COMPUTED_VALUE"""),21.0)</f>
        <v>21</v>
      </c>
      <c r="J1304" s="6">
        <f>IFERROR(__xludf.DUMMYFUNCTION("""COMPUTED_VALUE"""),713.82)</f>
        <v>713.82</v>
      </c>
      <c r="K1304" s="6">
        <f>IFERROR(__xludf.DUMMYFUNCTION("""COMPUTED_VALUE"""),832.79)</f>
        <v>832.79</v>
      </c>
      <c r="L1304" s="3"/>
      <c r="M1304" s="3"/>
    </row>
    <row r="1305" ht="48.0" customHeight="1">
      <c r="A1305" s="3" t="str">
        <f>IFERROR(__xludf.DUMMYFUNCTION("""COMPUTED_VALUE"""),"DGUPVEN1102V7")</f>
        <v>DGUPVEN1102V7</v>
      </c>
      <c r="B1305" s="4" t="str">
        <f>IFERROR(__xludf.DUMMYFUNCTION("""COMPUTED_VALUE"""),"DIGIFORT SYSTEM ENTERPRICE VERSION FOR WINDOWS")</f>
        <v>DIGIFORT SYSTEM ENTERPRICE VERSION FOR WINDOWS</v>
      </c>
      <c r="C1305" s="4" t="str">
        <f>IFERROR(__xludf.DUMMYFUNCTION("""COMPUTED_VALUE"""),"Digifort System Enterprice Version for Windows - Upgrade of pack license 2 cameras of previous versions to version 7")</f>
        <v>Digifort System Enterprice Version for Windows - Upgrade of pack license 2 cameras of previous versions to version 7</v>
      </c>
      <c r="D1305" s="4" t="str">
        <f>IFERROR(__xludf.DUMMYFUNCTION("""COMPUTED_VALUE"""),"DIGIFORT")</f>
        <v>DIGIFORT</v>
      </c>
      <c r="E1305" s="4" t="str">
        <f>IFERROR(__xludf.DUMMYFUNCTION("""COMPUTED_VALUE"""),"DGUPVEN1102V7")</f>
        <v>DGUPVEN1102V7</v>
      </c>
      <c r="F1305" s="4" t="str">
        <f>IFERROR(__xludf.DUMMYFUNCTION("""COMPUTED_VALUE"""),"SOFTWARE / LICENCIAS &gt; UPGRADEDE VERSIONES ANTERIORES A LA VERSION 7 ENTERPRISE")</f>
        <v>SOFTWARE / LICENCIAS &gt; UPGRADEDE VERSIONES ANTERIORES A LA VERSION 7 ENTERPRISE</v>
      </c>
      <c r="G1305" s="5"/>
      <c r="H1305" s="6">
        <f>IFERROR(__xludf.DUMMYFUNCTION("""COMPUTED_VALUE"""),110.04)</f>
        <v>110.04</v>
      </c>
      <c r="I1305" s="7">
        <f>IFERROR(__xludf.DUMMYFUNCTION("""COMPUTED_VALUE"""),21.0)</f>
        <v>21</v>
      </c>
      <c r="J1305" s="6">
        <f>IFERROR(__xludf.DUMMYFUNCTION("""COMPUTED_VALUE"""),132.05)</f>
        <v>132.05</v>
      </c>
      <c r="K1305" s="6">
        <f>IFERROR(__xludf.DUMMYFUNCTION("""COMPUTED_VALUE"""),154.06)</f>
        <v>154.06</v>
      </c>
      <c r="L1305" s="3"/>
      <c r="M1305" s="3"/>
    </row>
    <row r="1306" ht="48.0" customHeight="1">
      <c r="A1306" s="3" t="str">
        <f>IFERROR(__xludf.DUMMYFUNCTION("""COMPUTED_VALUE"""),"DGUPVEN1104V7")</f>
        <v>DGUPVEN1104V7</v>
      </c>
      <c r="B1306" s="4" t="str">
        <f>IFERROR(__xludf.DUMMYFUNCTION("""COMPUTED_VALUE"""),"DIGIFORT SYSTEM ENTERPRICE VERSION FOR WINDOWS")</f>
        <v>DIGIFORT SYSTEM ENTERPRICE VERSION FOR WINDOWS</v>
      </c>
      <c r="C1306" s="4" t="str">
        <f>IFERROR(__xludf.DUMMYFUNCTION("""COMPUTED_VALUE"""),"Digifort System Enterprice Version for Windows - Upgrade of pack license 4 cameras of previous versions to version 7")</f>
        <v>Digifort System Enterprice Version for Windows - Upgrade of pack license 4 cameras of previous versions to version 7</v>
      </c>
      <c r="D1306" s="4" t="str">
        <f>IFERROR(__xludf.DUMMYFUNCTION("""COMPUTED_VALUE"""),"DIGIFORT")</f>
        <v>DIGIFORT</v>
      </c>
      <c r="E1306" s="4" t="str">
        <f>IFERROR(__xludf.DUMMYFUNCTION("""COMPUTED_VALUE"""),"DGUPVEN1104V7")</f>
        <v>DGUPVEN1104V7</v>
      </c>
      <c r="F1306" s="4" t="str">
        <f>IFERROR(__xludf.DUMMYFUNCTION("""COMPUTED_VALUE"""),"SOFTWARE / LICENCIAS &gt; UPGRADEDE VERSIONES ANTERIORES A LA VERSION 7 ENTERPRISE")</f>
        <v>SOFTWARE / LICENCIAS &gt; UPGRADEDE VERSIONES ANTERIORES A LA VERSION 7 ENTERPRISE</v>
      </c>
      <c r="G1306" s="5"/>
      <c r="H1306" s="6">
        <f>IFERROR(__xludf.DUMMYFUNCTION("""COMPUTED_VALUE"""),203.59)</f>
        <v>203.59</v>
      </c>
      <c r="I1306" s="7">
        <f>IFERROR(__xludf.DUMMYFUNCTION("""COMPUTED_VALUE"""),21.0)</f>
        <v>21</v>
      </c>
      <c r="J1306" s="6">
        <f>IFERROR(__xludf.DUMMYFUNCTION("""COMPUTED_VALUE"""),244.31)</f>
        <v>244.31</v>
      </c>
      <c r="K1306" s="6">
        <f>IFERROR(__xludf.DUMMYFUNCTION("""COMPUTED_VALUE"""),285.03)</f>
        <v>285.03</v>
      </c>
      <c r="L1306" s="3"/>
      <c r="M1306" s="3"/>
    </row>
    <row r="1307" ht="48.0" customHeight="1">
      <c r="A1307" s="3" t="str">
        <f>IFERROR(__xludf.DUMMYFUNCTION("""COMPUTED_VALUE"""),"DGUPVEN1108V7")</f>
        <v>DGUPVEN1108V7</v>
      </c>
      <c r="B1307" s="4" t="str">
        <f>IFERROR(__xludf.DUMMYFUNCTION("""COMPUTED_VALUE"""),"DIGIFORT SYSTEM ENTERPRICE VERSION FOR WINDOWS")</f>
        <v>DIGIFORT SYSTEM ENTERPRICE VERSION FOR WINDOWS</v>
      </c>
      <c r="C1307" s="4" t="str">
        <f>IFERROR(__xludf.DUMMYFUNCTION("""COMPUTED_VALUE"""),"Digifort System Enterprice Version for Windows - Upgrade of pack license 8 cameras of previous versions to version 7")</f>
        <v>Digifort System Enterprice Version for Windows - Upgrade of pack license 8 cameras of previous versions to version 7</v>
      </c>
      <c r="D1307" s="4" t="str">
        <f>IFERROR(__xludf.DUMMYFUNCTION("""COMPUTED_VALUE"""),"DIGIFORT")</f>
        <v>DIGIFORT</v>
      </c>
      <c r="E1307" s="4" t="str">
        <f>IFERROR(__xludf.DUMMYFUNCTION("""COMPUTED_VALUE"""),"DGUPVEN1108V7")</f>
        <v>DGUPVEN1108V7</v>
      </c>
      <c r="F1307" s="4" t="str">
        <f>IFERROR(__xludf.DUMMYFUNCTION("""COMPUTED_VALUE"""),"SOFTWARE / LICENCIAS &gt; UPGRADEDE VERSIONES ANTERIORES A LA VERSION 7 ENTERPRISE")</f>
        <v>SOFTWARE / LICENCIAS &gt; UPGRADEDE VERSIONES ANTERIORES A LA VERSION 7 ENTERPRISE</v>
      </c>
      <c r="G1307" s="5"/>
      <c r="H1307" s="6">
        <f>IFERROR(__xludf.DUMMYFUNCTION("""COMPUTED_VALUE"""),376.63)</f>
        <v>376.63</v>
      </c>
      <c r="I1307" s="7">
        <f>IFERROR(__xludf.DUMMYFUNCTION("""COMPUTED_VALUE"""),21.0)</f>
        <v>21</v>
      </c>
      <c r="J1307" s="6">
        <f>IFERROR(__xludf.DUMMYFUNCTION("""COMPUTED_VALUE"""),451.96)</f>
        <v>451.96</v>
      </c>
      <c r="K1307" s="6">
        <f>IFERROR(__xludf.DUMMYFUNCTION("""COMPUTED_VALUE"""),527.28)</f>
        <v>527.28</v>
      </c>
      <c r="L1307" s="3"/>
      <c r="M1307" s="3"/>
    </row>
    <row r="1308" ht="48.0" customHeight="1">
      <c r="A1308" s="3" t="str">
        <f>IFERROR(__xludf.DUMMYFUNCTION("""COMPUTED_VALUE"""),"DGUPVEN1116V7")</f>
        <v>DGUPVEN1116V7</v>
      </c>
      <c r="B1308" s="4" t="str">
        <f>IFERROR(__xludf.DUMMYFUNCTION("""COMPUTED_VALUE"""),"DIGIFORT SYSTEM ENTERPRICE VERSION FOR WINDOWS")</f>
        <v>DIGIFORT SYSTEM ENTERPRICE VERSION FOR WINDOWS</v>
      </c>
      <c r="C1308" s="4" t="str">
        <f>IFERROR(__xludf.DUMMYFUNCTION("""COMPUTED_VALUE"""),"Digifort System Enterprice Version for Windows - Upgrade of pack license 16 cameras of previous versions to version 7")</f>
        <v>Digifort System Enterprice Version for Windows - Upgrade of pack license 16 cameras of previous versions to version 7</v>
      </c>
      <c r="D1308" s="4" t="str">
        <f>IFERROR(__xludf.DUMMYFUNCTION("""COMPUTED_VALUE"""),"DIGIFORT")</f>
        <v>DIGIFORT</v>
      </c>
      <c r="E1308" s="4" t="str">
        <f>IFERROR(__xludf.DUMMYFUNCTION("""COMPUTED_VALUE"""),"DGUPVEN1116V7")</f>
        <v>DGUPVEN1116V7</v>
      </c>
      <c r="F1308" s="4" t="str">
        <f>IFERROR(__xludf.DUMMYFUNCTION("""COMPUTED_VALUE"""),"SOFTWARE / LICENCIAS &gt; UPGRADEDE VERSIONES ANTERIORES A LA VERSION 7 ENTERPRISE")</f>
        <v>SOFTWARE / LICENCIAS &gt; UPGRADEDE VERSIONES ANTERIORES A LA VERSION 7 ENTERPRISE</v>
      </c>
      <c r="G1308" s="5"/>
      <c r="H1308" s="6">
        <f>IFERROR(__xludf.DUMMYFUNCTION("""COMPUTED_VALUE"""),696.77)</f>
        <v>696.77</v>
      </c>
      <c r="I1308" s="7">
        <f>IFERROR(__xludf.DUMMYFUNCTION("""COMPUTED_VALUE"""),21.0)</f>
        <v>21</v>
      </c>
      <c r="J1308" s="6">
        <f>IFERROR(__xludf.DUMMYFUNCTION("""COMPUTED_VALUE"""),836.12)</f>
        <v>836.12</v>
      </c>
      <c r="K1308" s="6">
        <f>IFERROR(__xludf.DUMMYFUNCTION("""COMPUTED_VALUE"""),975.48)</f>
        <v>975.48</v>
      </c>
      <c r="L1308" s="3"/>
      <c r="M1308" s="3"/>
    </row>
    <row r="1309" ht="48.0" customHeight="1">
      <c r="A1309" s="3" t="str">
        <f>IFERROR(__xludf.DUMMYFUNCTION("""COMPUTED_VALUE"""),"DGUPVEN1132V7")</f>
        <v>DGUPVEN1132V7</v>
      </c>
      <c r="B1309" s="4" t="str">
        <f>IFERROR(__xludf.DUMMYFUNCTION("""COMPUTED_VALUE"""),"DIGIFORT SYSTEM ENTERPRICE VERSION FOR WINDOWS")</f>
        <v>DIGIFORT SYSTEM ENTERPRICE VERSION FOR WINDOWS</v>
      </c>
      <c r="C1309" s="4" t="str">
        <f>IFERROR(__xludf.DUMMYFUNCTION("""COMPUTED_VALUE"""),"Digifort System Enterprice Version for Windows - Upgrade of pack license 32 cameras of previous versions to version 7")</f>
        <v>Digifort System Enterprice Version for Windows - Upgrade of pack license 32 cameras of previous versions to version 7</v>
      </c>
      <c r="D1309" s="4" t="str">
        <f>IFERROR(__xludf.DUMMYFUNCTION("""COMPUTED_VALUE"""),"DIGIFORT")</f>
        <v>DIGIFORT</v>
      </c>
      <c r="E1309" s="4" t="str">
        <f>IFERROR(__xludf.DUMMYFUNCTION("""COMPUTED_VALUE"""),"DGUPVEN1132V7")</f>
        <v>DGUPVEN1132V7</v>
      </c>
      <c r="F1309" s="4" t="str">
        <f>IFERROR(__xludf.DUMMYFUNCTION("""COMPUTED_VALUE"""),"SOFTWARE / LICENCIAS &gt; UPGRADEDE VERSIONES ANTERIORES A LA VERSION 7 ENTERPRISE")</f>
        <v>SOFTWARE / LICENCIAS &gt; UPGRADEDE VERSIONES ANTERIORES A LA VERSION 7 ENTERPRISE</v>
      </c>
      <c r="G1309" s="5"/>
      <c r="H1309" s="6">
        <f>IFERROR(__xludf.DUMMYFUNCTION("""COMPUTED_VALUE"""),1289.02)</f>
        <v>1289.02</v>
      </c>
      <c r="I1309" s="7">
        <f>IFERROR(__xludf.DUMMYFUNCTION("""COMPUTED_VALUE"""),21.0)</f>
        <v>21</v>
      </c>
      <c r="J1309" s="6">
        <f>IFERROR(__xludf.DUMMYFUNCTION("""COMPUTED_VALUE"""),1546.82)</f>
        <v>1546.82</v>
      </c>
      <c r="K1309" s="6">
        <f>IFERROR(__xludf.DUMMYFUNCTION("""COMPUTED_VALUE"""),1804.63)</f>
        <v>1804.63</v>
      </c>
      <c r="L1309" s="3"/>
      <c r="M1309" s="3"/>
    </row>
    <row r="1310" ht="48.0" customHeight="1">
      <c r="A1310" s="3" t="str">
        <f>IFERROR(__xludf.DUMMYFUNCTION("""COMPUTED_VALUE"""),"DGUPVEN1164V7")</f>
        <v>DGUPVEN1164V7</v>
      </c>
      <c r="B1310" s="4" t="str">
        <f>IFERROR(__xludf.DUMMYFUNCTION("""COMPUTED_VALUE"""),"DIGIFORT SYSTEM ENTERPRICE VERSION FOR WINDOWS")</f>
        <v>DIGIFORT SYSTEM ENTERPRICE VERSION FOR WINDOWS</v>
      </c>
      <c r="C1310" s="4" t="str">
        <f>IFERROR(__xludf.DUMMYFUNCTION("""COMPUTED_VALUE"""),"Digifort System Enterprice Version for Windows - Upgrade of pack license 64 cameras of previous versions to version 7")</f>
        <v>Digifort System Enterprice Version for Windows - Upgrade of pack license 64 cameras of previous versions to version 7</v>
      </c>
      <c r="D1310" s="4" t="str">
        <f>IFERROR(__xludf.DUMMYFUNCTION("""COMPUTED_VALUE"""),"DIGIFORT")</f>
        <v>DIGIFORT</v>
      </c>
      <c r="E1310" s="4" t="str">
        <f>IFERROR(__xludf.DUMMYFUNCTION("""COMPUTED_VALUE"""),"DGUPVEN1164V7")</f>
        <v>DGUPVEN1164V7</v>
      </c>
      <c r="F1310" s="4" t="str">
        <f>IFERROR(__xludf.DUMMYFUNCTION("""COMPUTED_VALUE"""),"SOFTWARE / LICENCIAS &gt; UPGRADEDE VERSIONES ANTERIORES A LA VERSION 7 ENTERPRISE")</f>
        <v>SOFTWARE / LICENCIAS &gt; UPGRADEDE VERSIONES ANTERIORES A LA VERSION 7 ENTERPRISE</v>
      </c>
      <c r="G1310" s="5"/>
      <c r="H1310" s="6">
        <f>IFERROR(__xludf.DUMMYFUNCTION("""COMPUTED_VALUE"""),2384.69)</f>
        <v>2384.69</v>
      </c>
      <c r="I1310" s="7">
        <f>IFERROR(__xludf.DUMMYFUNCTION("""COMPUTED_VALUE"""),21.0)</f>
        <v>21</v>
      </c>
      <c r="J1310" s="6">
        <f>IFERROR(__xludf.DUMMYFUNCTION("""COMPUTED_VALUE"""),2861.63)</f>
        <v>2861.63</v>
      </c>
      <c r="K1310" s="6">
        <f>IFERROR(__xludf.DUMMYFUNCTION("""COMPUTED_VALUE"""),3338.57)</f>
        <v>3338.57</v>
      </c>
      <c r="L1310" s="3"/>
      <c r="M1310" s="3"/>
    </row>
    <row r="1311" ht="48.0" customHeight="1">
      <c r="A1311" s="3" t="str">
        <f>IFERROR(__xludf.DUMMYFUNCTION("""COMPUTED_VALUE"""),"DGFEN2001V7")</f>
        <v>DGFEN2001V7</v>
      </c>
      <c r="B1311" s="4" t="str">
        <f>IFERROR(__xludf.DUMMYFUNCTION("""COMPUTED_VALUE"""),"DIGIFORT SYSTEM ENTERPRISE VERSION FOR WINDOWS- BASE FOR MANAGEMENT")</f>
        <v>DIGIFORT SYSTEM ENTERPRISE VERSION FOR WINDOWS- BASE FOR MANAGEMENT</v>
      </c>
      <c r="C1311" s="4" t="str">
        <f>IFERROR(__xludf.DUMMYFUNCTION("""COMPUTED_VALUE"""),"Digifort System Enterprise Version for Windows- Base for Management 1 alarm board")</f>
        <v>Digifort System Enterprise Version for Windows- Base for Management 1 alarm board</v>
      </c>
      <c r="D1311" s="4" t="str">
        <f>IFERROR(__xludf.DUMMYFUNCTION("""COMPUTED_VALUE"""),"DIGIFORT")</f>
        <v>DIGIFORT</v>
      </c>
      <c r="E1311" s="4" t="str">
        <f>IFERROR(__xludf.DUMMYFUNCTION("""COMPUTED_VALUE"""),"DGFEN2001V7")</f>
        <v>DGFEN2001V7</v>
      </c>
      <c r="F1311" s="4" t="str">
        <f>IFERROR(__xludf.DUMMYFUNCTION("""COMPUTED_VALUE"""),"SOFTWARE / LICENCIAS &gt; LICENCIA ALARMAS PARA : ENTERPRISE")</f>
        <v>SOFTWARE / LICENCIAS &gt; LICENCIA ALARMAS PARA : ENTERPRISE</v>
      </c>
      <c r="G1311" s="5"/>
      <c r="H1311" s="6">
        <f>IFERROR(__xludf.DUMMYFUNCTION("""COMPUTED_VALUE"""),352.92)</f>
        <v>352.92</v>
      </c>
      <c r="I1311" s="7">
        <f>IFERROR(__xludf.DUMMYFUNCTION("""COMPUTED_VALUE"""),21.0)</f>
        <v>21</v>
      </c>
      <c r="J1311" s="6">
        <f>IFERROR(__xludf.DUMMYFUNCTION("""COMPUTED_VALUE"""),423.5)</f>
        <v>423.5</v>
      </c>
      <c r="K1311" s="6">
        <f>IFERROR(__xludf.DUMMYFUNCTION("""COMPUTED_VALUE"""),494.09)</f>
        <v>494.09</v>
      </c>
      <c r="L1311" s="3"/>
      <c r="M1311" s="3"/>
    </row>
    <row r="1312" ht="48.0" customHeight="1">
      <c r="A1312" s="3" t="str">
        <f>IFERROR(__xludf.DUMMYFUNCTION("""COMPUTED_VALUE"""),"DGFEN2101V7")</f>
        <v>DGFEN2101V7</v>
      </c>
      <c r="B1312" s="4" t="str">
        <f>IFERROR(__xludf.DUMMYFUNCTION("""COMPUTED_VALUE"""),"DIGIFORT SYSTEM ENTERPRISE VERSION FOR WINDOWS- PACK FOR MANAGEMENT")</f>
        <v>DIGIFORT SYSTEM ENTERPRISE VERSION FOR WINDOWS- PACK FOR MANAGEMENT</v>
      </c>
      <c r="C1312" s="4" t="str">
        <f>IFERROR(__xludf.DUMMYFUNCTION("""COMPUTED_VALUE"""),"Digifort System Enterprise Version for Windows- Pack for management of 1 alarm board")</f>
        <v>Digifort System Enterprise Version for Windows- Pack for management of 1 alarm board</v>
      </c>
      <c r="D1312" s="4" t="str">
        <f>IFERROR(__xludf.DUMMYFUNCTION("""COMPUTED_VALUE"""),"DIGIFORT")</f>
        <v>DIGIFORT</v>
      </c>
      <c r="E1312" s="4" t="str">
        <f>IFERROR(__xludf.DUMMYFUNCTION("""COMPUTED_VALUE"""),"DGFEN2101V7")</f>
        <v>DGFEN2101V7</v>
      </c>
      <c r="F1312" s="4" t="str">
        <f>IFERROR(__xludf.DUMMYFUNCTION("""COMPUTED_VALUE"""),"SOFTWARE / LICENCIAS &gt; LICENCIA ALARMAS PARA : ENTERPRISE")</f>
        <v>SOFTWARE / LICENCIAS &gt; LICENCIA ALARMAS PARA : ENTERPRISE</v>
      </c>
      <c r="G1312" s="5"/>
      <c r="H1312" s="6">
        <f>IFERROR(__xludf.DUMMYFUNCTION("""COMPUTED_VALUE"""),220.58)</f>
        <v>220.58</v>
      </c>
      <c r="I1312" s="7">
        <f>IFERROR(__xludf.DUMMYFUNCTION("""COMPUTED_VALUE"""),21.0)</f>
        <v>21</v>
      </c>
      <c r="J1312" s="6">
        <f>IFERROR(__xludf.DUMMYFUNCTION("""COMPUTED_VALUE"""),264.7)</f>
        <v>264.7</v>
      </c>
      <c r="K1312" s="6">
        <f>IFERROR(__xludf.DUMMYFUNCTION("""COMPUTED_VALUE"""),308.81)</f>
        <v>308.81</v>
      </c>
      <c r="L1312" s="3"/>
      <c r="M1312" s="3"/>
    </row>
    <row r="1313" ht="48.0" customHeight="1">
      <c r="A1313" s="3" t="str">
        <f>IFERROR(__xludf.DUMMYFUNCTION("""COMPUTED_VALUE"""),"DGFEN2102V7")</f>
        <v>DGFEN2102V7</v>
      </c>
      <c r="B1313" s="4" t="str">
        <f>IFERROR(__xludf.DUMMYFUNCTION("""COMPUTED_VALUE"""),"DIGIFORT SYSTEM ENTERPRISE VERSION FOR WINDOWS- PACK FOR MANAGEMENT")</f>
        <v>DIGIFORT SYSTEM ENTERPRISE VERSION FOR WINDOWS- PACK FOR MANAGEMENT</v>
      </c>
      <c r="C1313" s="4" t="str">
        <f>IFERROR(__xludf.DUMMYFUNCTION("""COMPUTED_VALUE"""),"Digifort System Enterprise Version for Windows- Pack for management of 2 alarm boards")</f>
        <v>Digifort System Enterprise Version for Windows- Pack for management of 2 alarm boards</v>
      </c>
      <c r="D1313" s="4" t="str">
        <f>IFERROR(__xludf.DUMMYFUNCTION("""COMPUTED_VALUE"""),"DIGIFORT")</f>
        <v>DIGIFORT</v>
      </c>
      <c r="E1313" s="4" t="str">
        <f>IFERROR(__xludf.DUMMYFUNCTION("""COMPUTED_VALUE"""),"DGFEN2102V7")</f>
        <v>DGFEN2102V7</v>
      </c>
      <c r="F1313" s="4" t="str">
        <f>IFERROR(__xludf.DUMMYFUNCTION("""COMPUTED_VALUE"""),"SOFTWARE / LICENCIAS &gt; LICENCIA ALARMAS PARA : ENTERPRISE")</f>
        <v>SOFTWARE / LICENCIAS &gt; LICENCIA ALARMAS PARA : ENTERPRISE</v>
      </c>
      <c r="G1313" s="5"/>
      <c r="H1313" s="6">
        <f>IFERROR(__xludf.DUMMYFUNCTION("""COMPUTED_VALUE"""),397.05)</f>
        <v>397.05</v>
      </c>
      <c r="I1313" s="7">
        <f>IFERROR(__xludf.DUMMYFUNCTION("""COMPUTED_VALUE"""),21.0)</f>
        <v>21</v>
      </c>
      <c r="J1313" s="6">
        <f>IFERROR(__xludf.DUMMYFUNCTION("""COMPUTED_VALUE"""),476.46)</f>
        <v>476.46</v>
      </c>
      <c r="K1313" s="6">
        <f>IFERROR(__xludf.DUMMYFUNCTION("""COMPUTED_VALUE"""),555.87)</f>
        <v>555.87</v>
      </c>
      <c r="L1313" s="3"/>
      <c r="M1313" s="3"/>
    </row>
    <row r="1314" ht="48.0" customHeight="1">
      <c r="A1314" s="3" t="str">
        <f>IFERROR(__xludf.DUMMYFUNCTION("""COMPUTED_VALUE"""),"DGFEN2104V7")</f>
        <v>DGFEN2104V7</v>
      </c>
      <c r="B1314" s="4" t="str">
        <f>IFERROR(__xludf.DUMMYFUNCTION("""COMPUTED_VALUE"""),"DIGIFORT SYSTEM ENTERPRISE VERSION FOR WINDOWS- PACK FOR MANAGEMENT")</f>
        <v>DIGIFORT SYSTEM ENTERPRISE VERSION FOR WINDOWS- PACK FOR MANAGEMENT</v>
      </c>
      <c r="C1314" s="4" t="str">
        <f>IFERROR(__xludf.DUMMYFUNCTION("""COMPUTED_VALUE"""),"Digifort System Enterprise Version for Windows- Pack for management of 4 alarm boards")</f>
        <v>Digifort System Enterprise Version for Windows- Pack for management of 4 alarm boards</v>
      </c>
      <c r="D1314" s="4" t="str">
        <f>IFERROR(__xludf.DUMMYFUNCTION("""COMPUTED_VALUE"""),"DIGIFORT")</f>
        <v>DIGIFORT</v>
      </c>
      <c r="E1314" s="4" t="str">
        <f>IFERROR(__xludf.DUMMYFUNCTION("""COMPUTED_VALUE"""),"DGFEN2104V7")</f>
        <v>DGFEN2104V7</v>
      </c>
      <c r="F1314" s="4" t="str">
        <f>IFERROR(__xludf.DUMMYFUNCTION("""COMPUTED_VALUE"""),"SOFTWARE / LICENCIAS &gt; LICENCIA ALARMAS PARA : ENTERPRISE")</f>
        <v>SOFTWARE / LICENCIAS &gt; LICENCIA ALARMAS PARA : ENTERPRISE</v>
      </c>
      <c r="G1314" s="5"/>
      <c r="H1314" s="6">
        <f>IFERROR(__xludf.DUMMYFUNCTION("""COMPUTED_VALUE"""),714.67)</f>
        <v>714.67</v>
      </c>
      <c r="I1314" s="7">
        <f>IFERROR(__xludf.DUMMYFUNCTION("""COMPUTED_VALUE"""),21.0)</f>
        <v>21</v>
      </c>
      <c r="J1314" s="6">
        <f>IFERROR(__xludf.DUMMYFUNCTION("""COMPUTED_VALUE"""),857.6)</f>
        <v>857.6</v>
      </c>
      <c r="K1314" s="6">
        <f>IFERROR(__xludf.DUMMYFUNCTION("""COMPUTED_VALUE"""),1000.54)</f>
        <v>1000.54</v>
      </c>
      <c r="L1314" s="3"/>
      <c r="M1314" s="3"/>
    </row>
    <row r="1315" ht="48.0" customHeight="1">
      <c r="A1315" s="3" t="str">
        <f>IFERROR(__xludf.DUMMYFUNCTION("""COMPUTED_VALUE"""),"DGFEN2108V7")</f>
        <v>DGFEN2108V7</v>
      </c>
      <c r="B1315" s="4" t="str">
        <f>IFERROR(__xludf.DUMMYFUNCTION("""COMPUTED_VALUE"""),"DIGIFORT SYSTEM ENTERPRISE VERSION FOR WINDOWS- PACK FOR MANAGEMENT")</f>
        <v>DIGIFORT SYSTEM ENTERPRISE VERSION FOR WINDOWS- PACK FOR MANAGEMENT</v>
      </c>
      <c r="C1315" s="4" t="str">
        <f>IFERROR(__xludf.DUMMYFUNCTION("""COMPUTED_VALUE"""),"Digifort System Enterprise Version for Windows- Pack for management of 8 alarm boards")</f>
        <v>Digifort System Enterprise Version for Windows- Pack for management of 8 alarm boards</v>
      </c>
      <c r="D1315" s="4" t="str">
        <f>IFERROR(__xludf.DUMMYFUNCTION("""COMPUTED_VALUE"""),"DIGIFORT")</f>
        <v>DIGIFORT</v>
      </c>
      <c r="E1315" s="4" t="str">
        <f>IFERROR(__xludf.DUMMYFUNCTION("""COMPUTED_VALUE"""),"DGFEN2108V7")</f>
        <v>DGFEN2108V7</v>
      </c>
      <c r="F1315" s="4" t="str">
        <f>IFERROR(__xludf.DUMMYFUNCTION("""COMPUTED_VALUE"""),"SOFTWARE / LICENCIAS &gt; LICENCIA ALARMAS PARA : ENTERPRISE")</f>
        <v>SOFTWARE / LICENCIAS &gt; LICENCIA ALARMAS PARA : ENTERPRISE</v>
      </c>
      <c r="G1315" s="5"/>
      <c r="H1315" s="6">
        <f>IFERROR(__xludf.DUMMYFUNCTION("""COMPUTED_VALUE"""),1286.42)</f>
        <v>1286.42</v>
      </c>
      <c r="I1315" s="7">
        <f>IFERROR(__xludf.DUMMYFUNCTION("""COMPUTED_VALUE"""),21.0)</f>
        <v>21</v>
      </c>
      <c r="J1315" s="6">
        <f>IFERROR(__xludf.DUMMYFUNCTION("""COMPUTED_VALUE"""),1543.7)</f>
        <v>1543.7</v>
      </c>
      <c r="K1315" s="6">
        <f>IFERROR(__xludf.DUMMYFUNCTION("""COMPUTED_VALUE"""),1800.99)</f>
        <v>1800.99</v>
      </c>
      <c r="L1315" s="3"/>
      <c r="M1315" s="3"/>
    </row>
    <row r="1316" ht="48.0" customHeight="1">
      <c r="A1316" s="3" t="str">
        <f>IFERROR(__xludf.DUMMYFUNCTION("""COMPUTED_VALUE"""),"DGFEN2116V7")</f>
        <v>DGFEN2116V7</v>
      </c>
      <c r="B1316" s="4" t="str">
        <f>IFERROR(__xludf.DUMMYFUNCTION("""COMPUTED_VALUE"""),"DIGIFORT SYSTEM ENTERPRISE VERSION FOR WINDOWS- PACK FOR MANAGEMENT")</f>
        <v>DIGIFORT SYSTEM ENTERPRISE VERSION FOR WINDOWS- PACK FOR MANAGEMENT</v>
      </c>
      <c r="C1316" s="4" t="str">
        <f>IFERROR(__xludf.DUMMYFUNCTION("""COMPUTED_VALUE"""),"Digifort System Enterprise Version for Windows- Pack for management of 16 alarm boards")</f>
        <v>Digifort System Enterprise Version for Windows- Pack for management of 16 alarm boards</v>
      </c>
      <c r="D1316" s="4" t="str">
        <f>IFERROR(__xludf.DUMMYFUNCTION("""COMPUTED_VALUE"""),"DIGIFORT")</f>
        <v>DIGIFORT</v>
      </c>
      <c r="E1316" s="4" t="str">
        <f>IFERROR(__xludf.DUMMYFUNCTION("""COMPUTED_VALUE"""),"DGFEN2116V7")</f>
        <v>DGFEN2116V7</v>
      </c>
      <c r="F1316" s="4" t="str">
        <f>IFERROR(__xludf.DUMMYFUNCTION("""COMPUTED_VALUE"""),"SOFTWARE / LICENCIAS &gt; LICENCIA ALARMAS PARA : ENTERPRISE")</f>
        <v>SOFTWARE / LICENCIAS &gt; LICENCIA ALARMAS PARA : ENTERPRISE</v>
      </c>
      <c r="G1316" s="5"/>
      <c r="H1316" s="6">
        <f>IFERROR(__xludf.DUMMYFUNCTION("""COMPUTED_VALUE"""),2315.54)</f>
        <v>2315.54</v>
      </c>
      <c r="I1316" s="7">
        <f>IFERROR(__xludf.DUMMYFUNCTION("""COMPUTED_VALUE"""),21.0)</f>
        <v>21</v>
      </c>
      <c r="J1316" s="6">
        <f>IFERROR(__xludf.DUMMYFUNCTION("""COMPUTED_VALUE"""),2778.65)</f>
        <v>2778.65</v>
      </c>
      <c r="K1316" s="6">
        <f>IFERROR(__xludf.DUMMYFUNCTION("""COMPUTED_VALUE"""),3241.76)</f>
        <v>3241.76</v>
      </c>
      <c r="L1316" s="3"/>
      <c r="M1316" s="3"/>
    </row>
    <row r="1317" ht="48.0" customHeight="1">
      <c r="A1317" s="3" t="str">
        <f>IFERROR(__xludf.DUMMYFUNCTION("""COMPUTED_VALUE"""),"DGFEN2132V7")</f>
        <v>DGFEN2132V7</v>
      </c>
      <c r="B1317" s="4" t="str">
        <f>IFERROR(__xludf.DUMMYFUNCTION("""COMPUTED_VALUE"""),"DIGIFORT SYSTEM ENTERPRISE VERSION FOR WINDOWS- PACK FOR MANAGEMENT")</f>
        <v>DIGIFORT SYSTEM ENTERPRISE VERSION FOR WINDOWS- PACK FOR MANAGEMENT</v>
      </c>
      <c r="C1317" s="4" t="str">
        <f>IFERROR(__xludf.DUMMYFUNCTION("""COMPUTED_VALUE"""),"Digifort System Enterprise Version for Windows- Pack for management of 32 alarm boards")</f>
        <v>Digifort System Enterprise Version for Windows- Pack for management of 32 alarm boards</v>
      </c>
      <c r="D1317" s="4" t="str">
        <f>IFERROR(__xludf.DUMMYFUNCTION("""COMPUTED_VALUE"""),"DIGIFORT")</f>
        <v>DIGIFORT</v>
      </c>
      <c r="E1317" s="4" t="str">
        <f>IFERROR(__xludf.DUMMYFUNCTION("""COMPUTED_VALUE"""),"DGFEN2132V7")</f>
        <v>DGFEN2132V7</v>
      </c>
      <c r="F1317" s="4" t="str">
        <f>IFERROR(__xludf.DUMMYFUNCTION("""COMPUTED_VALUE"""),"SOFTWARE / LICENCIAS &gt; LICENCIA ALARMAS PARA : ENTERPRISE")</f>
        <v>SOFTWARE / LICENCIAS &gt; LICENCIA ALARMAS PARA : ENTERPRISE</v>
      </c>
      <c r="G1317" s="5"/>
      <c r="H1317" s="6">
        <f>IFERROR(__xludf.DUMMYFUNCTION("""COMPUTED_VALUE"""),4167.99)</f>
        <v>4167.99</v>
      </c>
      <c r="I1317" s="7">
        <f>IFERROR(__xludf.DUMMYFUNCTION("""COMPUTED_VALUE"""),21.0)</f>
        <v>21</v>
      </c>
      <c r="J1317" s="6">
        <f>IFERROR(__xludf.DUMMYFUNCTION("""COMPUTED_VALUE"""),5001.59)</f>
        <v>5001.59</v>
      </c>
      <c r="K1317" s="6">
        <f>IFERROR(__xludf.DUMMYFUNCTION("""COMPUTED_VALUE"""),5835.19)</f>
        <v>5835.19</v>
      </c>
      <c r="L1317" s="3"/>
      <c r="M1317" s="3"/>
    </row>
    <row r="1318" ht="48.0" customHeight="1">
      <c r="A1318" s="3" t="str">
        <f>IFERROR(__xludf.DUMMYFUNCTION("""COMPUTED_VALUE"""),"DGFEN2164V7")</f>
        <v>DGFEN2164V7</v>
      </c>
      <c r="B1318" s="4" t="str">
        <f>IFERROR(__xludf.DUMMYFUNCTION("""COMPUTED_VALUE"""),"DIGIFORT SYSTEM ENTERPRISE VERSION FOR WINDOWS- BASE FOR MANAGEMENT")</f>
        <v>DIGIFORT SYSTEM ENTERPRISE VERSION FOR WINDOWS- BASE FOR MANAGEMENT</v>
      </c>
      <c r="C1318" s="4" t="str">
        <f>IFERROR(__xludf.DUMMYFUNCTION("""COMPUTED_VALUE"""),"Digifort System Enterprise Version for Windows- Base for management of 64 alarm boards")</f>
        <v>Digifort System Enterprise Version for Windows- Base for management of 64 alarm boards</v>
      </c>
      <c r="D1318" s="4" t="str">
        <f>IFERROR(__xludf.DUMMYFUNCTION("""COMPUTED_VALUE"""),"DIGIFORT")</f>
        <v>DIGIFORT</v>
      </c>
      <c r="E1318" s="4" t="str">
        <f>IFERROR(__xludf.DUMMYFUNCTION("""COMPUTED_VALUE"""),"DGFEN2164V7")</f>
        <v>DGFEN2164V7</v>
      </c>
      <c r="F1318" s="4" t="str">
        <f>IFERROR(__xludf.DUMMYFUNCTION("""COMPUTED_VALUE"""),"SOFTWARE / LICENCIAS &gt; LICENCIA ALARMAS PARA : ENTERPRISE")</f>
        <v>SOFTWARE / LICENCIAS &gt; LICENCIA ALARMAS PARA : ENTERPRISE</v>
      </c>
      <c r="G1318" s="5"/>
      <c r="H1318" s="6">
        <f>IFERROR(__xludf.DUMMYFUNCTION("""COMPUTED_VALUE"""),7502.37)</f>
        <v>7502.37</v>
      </c>
      <c r="I1318" s="7">
        <f>IFERROR(__xludf.DUMMYFUNCTION("""COMPUTED_VALUE"""),21.0)</f>
        <v>21</v>
      </c>
      <c r="J1318" s="6">
        <f>IFERROR(__xludf.DUMMYFUNCTION("""COMPUTED_VALUE"""),9002.84)</f>
        <v>9002.84</v>
      </c>
      <c r="K1318" s="6">
        <f>IFERROR(__xludf.DUMMYFUNCTION("""COMPUTED_VALUE"""),10503.32)</f>
        <v>10503.32</v>
      </c>
      <c r="L1318" s="3"/>
      <c r="M1318" s="3"/>
    </row>
    <row r="1319" ht="48.0" customHeight="1">
      <c r="A1319" s="3" t="str">
        <f>IFERROR(__xludf.DUMMYFUNCTION("""COMPUTED_VALUE"""),"DGFST3101V7")</f>
        <v>DGFST3101V7</v>
      </c>
      <c r="B1319" s="4" t="str">
        <f>IFERROR(__xludf.DUMMYFUNCTION("""COMPUTED_VALUE"""),"SISTEMA DIGIFORT EDICIÓN STANDARD PARA WINDOWS")</f>
        <v>SISTEMA DIGIFORT EDICIÓN STANDARD PARA WINDOWS</v>
      </c>
      <c r="C1319" s="4" t="str">
        <f>IFERROR(__xludf.DUMMYFUNCTION("""COMPUTED_VALUE"""),"Sistema Digifort edición Standard para Windows - Pack para gestión de analítico en 1 cámara.")</f>
        <v>Sistema Digifort edición Standard para Windows - Pack para gestión de analítico en 1 cámara.</v>
      </c>
      <c r="D1319" s="4" t="str">
        <f>IFERROR(__xludf.DUMMYFUNCTION("""COMPUTED_VALUE"""),"DIGIFORT")</f>
        <v>DIGIFORT</v>
      </c>
      <c r="E1319" s="4" t="str">
        <f>IFERROR(__xludf.DUMMYFUNCTION("""COMPUTED_VALUE"""),"DGFST3101V7")</f>
        <v>DGFST3101V7</v>
      </c>
      <c r="F1319" s="4" t="str">
        <f>IFERROR(__xludf.DUMMYFUNCTION("""COMPUTED_VALUE"""),"SOFTWARE / LICENCIAS &gt; LICENCIA ANALITICAS EDGE STANDARD (LICENCIAS PARA CÁMARAS SOPORTADAS Y QUE POSEAN EMBEBIDO FUNCIONES DE ANALITICAS)")</f>
        <v>SOFTWARE / LICENCIAS &gt; LICENCIA ANALITICAS EDGE STANDARD (LICENCIAS PARA CÁMARAS SOPORTADAS Y QUE POSEAN EMBEBIDO FUNCIONES DE ANALITICAS)</v>
      </c>
      <c r="G1319" s="5"/>
      <c r="H1319" s="6">
        <f>IFERROR(__xludf.DUMMYFUNCTION("""COMPUTED_VALUE"""),58.36)</f>
        <v>58.36</v>
      </c>
      <c r="I1319" s="7">
        <f>IFERROR(__xludf.DUMMYFUNCTION("""COMPUTED_VALUE"""),21.0)</f>
        <v>21</v>
      </c>
      <c r="J1319" s="6">
        <f>IFERROR(__xludf.DUMMYFUNCTION("""COMPUTED_VALUE"""),70.03)</f>
        <v>70.03</v>
      </c>
      <c r="K1319" s="6">
        <f>IFERROR(__xludf.DUMMYFUNCTION("""COMPUTED_VALUE"""),81.7)</f>
        <v>81.7</v>
      </c>
      <c r="L1319" s="3"/>
      <c r="M1319" s="3"/>
    </row>
    <row r="1320" ht="48.0" customHeight="1">
      <c r="A1320" s="3" t="str">
        <f>IFERROR(__xludf.DUMMYFUNCTION("""COMPUTED_VALUE"""),"DGFST3102V7")</f>
        <v>DGFST3102V7</v>
      </c>
      <c r="B1320" s="4" t="str">
        <f>IFERROR(__xludf.DUMMYFUNCTION("""COMPUTED_VALUE"""),"SISTEMA DIGIFORT EDICIÓN STANDARD PARA WINDOWS")</f>
        <v>SISTEMA DIGIFORT EDICIÓN STANDARD PARA WINDOWS</v>
      </c>
      <c r="C1320" s="4" t="str">
        <f>IFERROR(__xludf.DUMMYFUNCTION("""COMPUTED_VALUE"""),"Sistema Digifort edición Standard para Windows - Pack para gestión de analítico en 2 cámaras adicionales.")</f>
        <v>Sistema Digifort edición Standard para Windows - Pack para gestión de analítico en 2 cámaras adicionales.</v>
      </c>
      <c r="D1320" s="4" t="str">
        <f>IFERROR(__xludf.DUMMYFUNCTION("""COMPUTED_VALUE"""),"DIGIFORT")</f>
        <v>DIGIFORT</v>
      </c>
      <c r="E1320" s="4" t="str">
        <f>IFERROR(__xludf.DUMMYFUNCTION("""COMPUTED_VALUE"""),"DGFST3102V7")</f>
        <v>DGFST3102V7</v>
      </c>
      <c r="F1320" s="4" t="str">
        <f>IFERROR(__xludf.DUMMYFUNCTION("""COMPUTED_VALUE"""),"SOFTWARE / LICENCIAS &gt; LICENCIA ANALITICAS EDGE STANDARD (LICENCIAS PARA CÁMARAS SOPORTADAS Y QUE POSEAN EMBEBIDO FUNCIONES DE ANALITICAS)")</f>
        <v>SOFTWARE / LICENCIAS &gt; LICENCIA ANALITICAS EDGE STANDARD (LICENCIAS PARA CÁMARAS SOPORTADAS Y QUE POSEAN EMBEBIDO FUNCIONES DE ANALITICAS)</v>
      </c>
      <c r="G1320" s="5"/>
      <c r="H1320" s="6">
        <f>IFERROR(__xludf.DUMMYFUNCTION("""COMPUTED_VALUE"""),116.71)</f>
        <v>116.71</v>
      </c>
      <c r="I1320" s="7">
        <f>IFERROR(__xludf.DUMMYFUNCTION("""COMPUTED_VALUE"""),21.0)</f>
        <v>21</v>
      </c>
      <c r="J1320" s="6">
        <f>IFERROR(__xludf.DUMMYFUNCTION("""COMPUTED_VALUE"""),140.05)</f>
        <v>140.05</v>
      </c>
      <c r="K1320" s="6">
        <f>IFERROR(__xludf.DUMMYFUNCTION("""COMPUTED_VALUE"""),163.39)</f>
        <v>163.39</v>
      </c>
      <c r="L1320" s="3"/>
      <c r="M1320" s="3"/>
    </row>
    <row r="1321" ht="48.0" customHeight="1">
      <c r="A1321" s="3" t="str">
        <f>IFERROR(__xludf.DUMMYFUNCTION("""COMPUTED_VALUE"""),"DGFST3104V7")</f>
        <v>DGFST3104V7</v>
      </c>
      <c r="B1321" s="4" t="str">
        <f>IFERROR(__xludf.DUMMYFUNCTION("""COMPUTED_VALUE"""),"SISTEMA DIGIFORT EDICIÓN STANDARD PARA WINDOWS")</f>
        <v>SISTEMA DIGIFORT EDICIÓN STANDARD PARA WINDOWS</v>
      </c>
      <c r="C1321" s="4" t="str">
        <f>IFERROR(__xludf.DUMMYFUNCTION("""COMPUTED_VALUE"""),"Sistema Digifort edición Standard para Windows - Pack para gestión de analítico en 4 cámaras adicionales.")</f>
        <v>Sistema Digifort edición Standard para Windows - Pack para gestión de analítico en 4 cámaras adicionales.</v>
      </c>
      <c r="D1321" s="4" t="str">
        <f>IFERROR(__xludf.DUMMYFUNCTION("""COMPUTED_VALUE"""),"DIGIFORT")</f>
        <v>DIGIFORT</v>
      </c>
      <c r="E1321" s="4" t="str">
        <f>IFERROR(__xludf.DUMMYFUNCTION("""COMPUTED_VALUE"""),"DGFST3104V7")</f>
        <v>DGFST3104V7</v>
      </c>
      <c r="F1321" s="4" t="str">
        <f>IFERROR(__xludf.DUMMYFUNCTION("""COMPUTED_VALUE"""),"SOFTWARE / LICENCIAS &gt; LICENCIA ANALITICAS EDGE STANDARD (LICENCIAS PARA CÁMARAS SOPORTADAS Y QUE POSEAN EMBEBIDO FUNCIONES DE ANALITICAS)")</f>
        <v>SOFTWARE / LICENCIAS &gt; LICENCIA ANALITICAS EDGE STANDARD (LICENCIAS PARA CÁMARAS SOPORTADAS Y QUE POSEAN EMBEBIDO FUNCIONES DE ANALITICAS)</v>
      </c>
      <c r="G1321" s="5"/>
      <c r="H1321" s="6">
        <f>IFERROR(__xludf.DUMMYFUNCTION("""COMPUTED_VALUE"""),215.92)</f>
        <v>215.92</v>
      </c>
      <c r="I1321" s="7">
        <f>IFERROR(__xludf.DUMMYFUNCTION("""COMPUTED_VALUE"""),21.0)</f>
        <v>21</v>
      </c>
      <c r="J1321" s="6">
        <f>IFERROR(__xludf.DUMMYFUNCTION("""COMPUTED_VALUE"""),259.1)</f>
        <v>259.1</v>
      </c>
      <c r="K1321" s="6">
        <f>IFERROR(__xludf.DUMMYFUNCTION("""COMPUTED_VALUE"""),302.29)</f>
        <v>302.29</v>
      </c>
      <c r="L1321" s="3"/>
      <c r="M1321" s="3"/>
    </row>
    <row r="1322" ht="48.0" customHeight="1">
      <c r="A1322" s="3" t="str">
        <f>IFERROR(__xludf.DUMMYFUNCTION("""COMPUTED_VALUE"""),"DGFST3108V7")</f>
        <v>DGFST3108V7</v>
      </c>
      <c r="B1322" s="4" t="str">
        <f>IFERROR(__xludf.DUMMYFUNCTION("""COMPUTED_VALUE"""),"SISTEMA DIGIFORT EDICIÓN STANDARD PARA WINDOWS")</f>
        <v>SISTEMA DIGIFORT EDICIÓN STANDARD PARA WINDOWS</v>
      </c>
      <c r="C1322" s="4" t="str">
        <f>IFERROR(__xludf.DUMMYFUNCTION("""COMPUTED_VALUE"""),"Sistema Digifort edición Standard para Windows - Pack para gestión de analítico en 8 cámaras adicionales.")</f>
        <v>Sistema Digifort edición Standard para Windows - Pack para gestión de analítico en 8 cámaras adicionales.</v>
      </c>
      <c r="D1322" s="4" t="str">
        <f>IFERROR(__xludf.DUMMYFUNCTION("""COMPUTED_VALUE"""),"DIGIFORT")</f>
        <v>DIGIFORT</v>
      </c>
      <c r="E1322" s="4" t="str">
        <f>IFERROR(__xludf.DUMMYFUNCTION("""COMPUTED_VALUE"""),"DGFST3108V7")</f>
        <v>DGFST3108V7</v>
      </c>
      <c r="F1322" s="4" t="str">
        <f>IFERROR(__xludf.DUMMYFUNCTION("""COMPUTED_VALUE"""),"SOFTWARE / LICENCIAS &gt; LICENCIA ANALITICAS EDGE STANDARD (LICENCIAS PARA CÁMARAS SOPORTADAS Y QUE POSEAN EMBEBIDO FUNCIONES DE ANALITICAS)")</f>
        <v>SOFTWARE / LICENCIAS &gt; LICENCIA ANALITICAS EDGE STANDARD (LICENCIAS PARA CÁMARAS SOPORTADAS Y QUE POSEAN EMBEBIDO FUNCIONES DE ANALITICAS)</v>
      </c>
      <c r="G1322" s="5"/>
      <c r="H1322" s="6">
        <f>IFERROR(__xludf.DUMMYFUNCTION("""COMPUTED_VALUE"""),399.45)</f>
        <v>399.45</v>
      </c>
      <c r="I1322" s="7">
        <f>IFERROR(__xludf.DUMMYFUNCTION("""COMPUTED_VALUE"""),21.0)</f>
        <v>21</v>
      </c>
      <c r="J1322" s="6">
        <f>IFERROR(__xludf.DUMMYFUNCTION("""COMPUTED_VALUE"""),479.34)</f>
        <v>479.34</v>
      </c>
      <c r="K1322" s="6">
        <f>IFERROR(__xludf.DUMMYFUNCTION("""COMPUTED_VALUE"""),559.23)</f>
        <v>559.23</v>
      </c>
      <c r="L1322" s="3"/>
      <c r="M1322" s="3"/>
    </row>
    <row r="1323" ht="48.0" customHeight="1">
      <c r="A1323" s="3" t="str">
        <f>IFERROR(__xludf.DUMMYFUNCTION("""COMPUTED_VALUE"""),"DGFST3116V7")</f>
        <v>DGFST3116V7</v>
      </c>
      <c r="B1323" s="4" t="str">
        <f>IFERROR(__xludf.DUMMYFUNCTION("""COMPUTED_VALUE"""),"SISTEMA DIGIFORT EDICIÓN STANDARD PARA WINDOWS")</f>
        <v>SISTEMA DIGIFORT EDICIÓN STANDARD PARA WINDOWS</v>
      </c>
      <c r="C1323" s="4" t="str">
        <f>IFERROR(__xludf.DUMMYFUNCTION("""COMPUTED_VALUE"""),"Sistema Digifort edición Standard para Windows - Pack para gestión de analítico en 16 cámaras adicionales.")</f>
        <v>Sistema Digifort edición Standard para Windows - Pack para gestión de analítico en 16 cámaras adicionales.</v>
      </c>
      <c r="D1323" s="4" t="str">
        <f>IFERROR(__xludf.DUMMYFUNCTION("""COMPUTED_VALUE"""),"DIGIFORT")</f>
        <v>DIGIFORT</v>
      </c>
      <c r="E1323" s="4" t="str">
        <f>IFERROR(__xludf.DUMMYFUNCTION("""COMPUTED_VALUE"""),"DGFST3116V7")</f>
        <v>DGFST3116V7</v>
      </c>
      <c r="F1323" s="4" t="str">
        <f>IFERROR(__xludf.DUMMYFUNCTION("""COMPUTED_VALUE"""),"SOFTWARE / LICENCIAS &gt; LICENCIA ANALITICAS EDGE STANDARD (LICENCIAS PARA CÁMARAS SOPORTADAS Y QUE POSEAN EMBEBIDO FUNCIONES DE ANALITICAS)")</f>
        <v>SOFTWARE / LICENCIAS &gt; LICENCIA ANALITICAS EDGE STANDARD (LICENCIAS PARA CÁMARAS SOPORTADAS Y QUE POSEAN EMBEBIDO FUNCIONES DE ANALITICAS)</v>
      </c>
      <c r="G1323" s="5"/>
      <c r="H1323" s="6">
        <f>IFERROR(__xludf.DUMMYFUNCTION("""COMPUTED_VALUE"""),739.0)</f>
        <v>739</v>
      </c>
      <c r="I1323" s="7">
        <f>IFERROR(__xludf.DUMMYFUNCTION("""COMPUTED_VALUE"""),21.0)</f>
        <v>21</v>
      </c>
      <c r="J1323" s="6">
        <f>IFERROR(__xludf.DUMMYFUNCTION("""COMPUTED_VALUE"""),886.8)</f>
        <v>886.8</v>
      </c>
      <c r="K1323" s="6">
        <f>IFERROR(__xludf.DUMMYFUNCTION("""COMPUTED_VALUE"""),1034.6)</f>
        <v>1034.6</v>
      </c>
      <c r="L1323" s="3"/>
      <c r="M1323" s="3"/>
    </row>
    <row r="1324" ht="48.0" customHeight="1">
      <c r="A1324" s="3" t="str">
        <f>IFERROR(__xludf.DUMMYFUNCTION("""COMPUTED_VALUE"""),"DGFPR3101V7")</f>
        <v>DGFPR3101V7</v>
      </c>
      <c r="B1324" s="4" t="str">
        <f>IFERROR(__xludf.DUMMYFUNCTION("""COMPUTED_VALUE"""),"SISTEMA DIGIFORT EDICIÓN PROFESSIONAL PARA WINDOWS")</f>
        <v>SISTEMA DIGIFORT EDICIÓN PROFESSIONAL PARA WINDOWS</v>
      </c>
      <c r="C1324" s="4" t="str">
        <f>IFERROR(__xludf.DUMMYFUNCTION("""COMPUTED_VALUE"""),"Sistema Digifort edición Professional para Windows - Pack para gestión de analítico en 1 cámara.")</f>
        <v>Sistema Digifort edición Professional para Windows - Pack para gestión de analítico en 1 cámara.</v>
      </c>
      <c r="D1324" s="4" t="str">
        <f>IFERROR(__xludf.DUMMYFUNCTION("""COMPUTED_VALUE"""),"DIGIFORT")</f>
        <v>DIGIFORT</v>
      </c>
      <c r="E1324" s="4" t="str">
        <f>IFERROR(__xludf.DUMMYFUNCTION("""COMPUTED_VALUE"""),"DGFPR3101V7")</f>
        <v>DGFPR3101V7</v>
      </c>
      <c r="F1324" s="4" t="str">
        <f>IFERROR(__xludf.DUMMYFUNCTION("""COMPUTED_VALUE"""),"SOFTWARE / LICENCIAS &gt; LICENCIA ANALITICAS EDGE PROFESSIONAL (LICENCIAS PARA CÁMARAS SOPORTADAS Y QUE POSEAN EMBEBIDO FUNCIONES DE ANALITICAS)")</f>
        <v>SOFTWARE / LICENCIAS &gt; LICENCIA ANALITICAS EDGE PROFESSIONAL (LICENCIAS PARA CÁMARAS SOPORTADAS Y QUE POSEAN EMBEBIDO FUNCIONES DE ANALITICAS)</v>
      </c>
      <c r="G1324" s="5"/>
      <c r="H1324" s="6">
        <f>IFERROR(__xludf.DUMMYFUNCTION("""COMPUTED_VALUE"""),58.36)</f>
        <v>58.36</v>
      </c>
      <c r="I1324" s="7">
        <f>IFERROR(__xludf.DUMMYFUNCTION("""COMPUTED_VALUE"""),21.0)</f>
        <v>21</v>
      </c>
      <c r="J1324" s="6">
        <f>IFERROR(__xludf.DUMMYFUNCTION("""COMPUTED_VALUE"""),70.03)</f>
        <v>70.03</v>
      </c>
      <c r="K1324" s="6">
        <f>IFERROR(__xludf.DUMMYFUNCTION("""COMPUTED_VALUE"""),81.7)</f>
        <v>81.7</v>
      </c>
      <c r="L1324" s="3"/>
      <c r="M1324" s="3"/>
    </row>
    <row r="1325" ht="48.0" customHeight="1">
      <c r="A1325" s="3" t="str">
        <f>IFERROR(__xludf.DUMMYFUNCTION("""COMPUTED_VALUE"""),"DGFPR3102V7")</f>
        <v>DGFPR3102V7</v>
      </c>
      <c r="B1325" s="4" t="str">
        <f>IFERROR(__xludf.DUMMYFUNCTION("""COMPUTED_VALUE"""),"SISTEMA DIGIFORT EDICIÓN PROFESSIONAL PARA WINDOWS")</f>
        <v>SISTEMA DIGIFORT EDICIÓN PROFESSIONAL PARA WINDOWS</v>
      </c>
      <c r="C1325" s="4" t="str">
        <f>IFERROR(__xludf.DUMMYFUNCTION("""COMPUTED_VALUE"""),"Sistema Digifort edición Professional para Windows - Pack para gestión de analítico en 2 cámaras adicionales.")</f>
        <v>Sistema Digifort edición Professional para Windows - Pack para gestión de analítico en 2 cámaras adicionales.</v>
      </c>
      <c r="D1325" s="4" t="str">
        <f>IFERROR(__xludf.DUMMYFUNCTION("""COMPUTED_VALUE"""),"DIGIFORT")</f>
        <v>DIGIFORT</v>
      </c>
      <c r="E1325" s="4" t="str">
        <f>IFERROR(__xludf.DUMMYFUNCTION("""COMPUTED_VALUE"""),"DGFPR3102V7")</f>
        <v>DGFPR3102V7</v>
      </c>
      <c r="F1325" s="4" t="str">
        <f>IFERROR(__xludf.DUMMYFUNCTION("""COMPUTED_VALUE"""),"SOFTWARE / LICENCIAS &gt; LICENCIA ANALITICAS EDGE PROFESSIONAL (LICENCIAS PARA CÁMARAS SOPORTADAS Y QUE POSEAN EMBEBIDO FUNCIONES DE ANALITICAS)")</f>
        <v>SOFTWARE / LICENCIAS &gt; LICENCIA ANALITICAS EDGE PROFESSIONAL (LICENCIAS PARA CÁMARAS SOPORTADAS Y QUE POSEAN EMBEBIDO FUNCIONES DE ANALITICAS)</v>
      </c>
      <c r="G1325" s="5"/>
      <c r="H1325" s="6">
        <f>IFERROR(__xludf.DUMMYFUNCTION("""COMPUTED_VALUE"""),116.71)</f>
        <v>116.71</v>
      </c>
      <c r="I1325" s="7">
        <f>IFERROR(__xludf.DUMMYFUNCTION("""COMPUTED_VALUE"""),21.0)</f>
        <v>21</v>
      </c>
      <c r="J1325" s="6">
        <f>IFERROR(__xludf.DUMMYFUNCTION("""COMPUTED_VALUE"""),140.05)</f>
        <v>140.05</v>
      </c>
      <c r="K1325" s="6">
        <f>IFERROR(__xludf.DUMMYFUNCTION("""COMPUTED_VALUE"""),163.39)</f>
        <v>163.39</v>
      </c>
      <c r="L1325" s="3"/>
      <c r="M1325" s="3"/>
    </row>
    <row r="1326" ht="48.0" customHeight="1">
      <c r="A1326" s="3" t="str">
        <f>IFERROR(__xludf.DUMMYFUNCTION("""COMPUTED_VALUE"""),"DGFPR3104V7")</f>
        <v>DGFPR3104V7</v>
      </c>
      <c r="B1326" s="4" t="str">
        <f>IFERROR(__xludf.DUMMYFUNCTION("""COMPUTED_VALUE"""),"SISTEMA DIGIFORT EDICIÓN PROFESSIONAL PARA WINDOWS")</f>
        <v>SISTEMA DIGIFORT EDICIÓN PROFESSIONAL PARA WINDOWS</v>
      </c>
      <c r="C1326" s="4" t="str">
        <f>IFERROR(__xludf.DUMMYFUNCTION("""COMPUTED_VALUE"""),"Sistema Digifort edición Professional para Windows - Pack para gestión de analítico en 4 cámaras adicionales.")</f>
        <v>Sistema Digifort edición Professional para Windows - Pack para gestión de analítico en 4 cámaras adicionales.</v>
      </c>
      <c r="D1326" s="4" t="str">
        <f>IFERROR(__xludf.DUMMYFUNCTION("""COMPUTED_VALUE"""),"DIGIFORT")</f>
        <v>DIGIFORT</v>
      </c>
      <c r="E1326" s="4" t="str">
        <f>IFERROR(__xludf.DUMMYFUNCTION("""COMPUTED_VALUE"""),"DGFPR3104V7")</f>
        <v>DGFPR3104V7</v>
      </c>
      <c r="F1326" s="4" t="str">
        <f>IFERROR(__xludf.DUMMYFUNCTION("""COMPUTED_VALUE"""),"SOFTWARE / LICENCIAS &gt; LICENCIA ANALITICAS EDGE PROFESSIONAL (LICENCIAS PARA CÁMARAS SOPORTADAS Y QUE POSEAN EMBEBIDO FUNCIONES DE ANALITICAS)")</f>
        <v>SOFTWARE / LICENCIAS &gt; LICENCIA ANALITICAS EDGE PROFESSIONAL (LICENCIAS PARA CÁMARAS SOPORTADAS Y QUE POSEAN EMBEBIDO FUNCIONES DE ANALITICAS)</v>
      </c>
      <c r="G1326" s="5"/>
      <c r="H1326" s="6">
        <f>IFERROR(__xludf.DUMMYFUNCTION("""COMPUTED_VALUE"""),215.92)</f>
        <v>215.92</v>
      </c>
      <c r="I1326" s="7">
        <f>IFERROR(__xludf.DUMMYFUNCTION("""COMPUTED_VALUE"""),21.0)</f>
        <v>21</v>
      </c>
      <c r="J1326" s="6">
        <f>IFERROR(__xludf.DUMMYFUNCTION("""COMPUTED_VALUE"""),259.1)</f>
        <v>259.1</v>
      </c>
      <c r="K1326" s="6">
        <f>IFERROR(__xludf.DUMMYFUNCTION("""COMPUTED_VALUE"""),302.29)</f>
        <v>302.29</v>
      </c>
      <c r="L1326" s="3"/>
      <c r="M1326" s="3"/>
    </row>
    <row r="1327" ht="48.0" customHeight="1">
      <c r="A1327" s="3" t="str">
        <f>IFERROR(__xludf.DUMMYFUNCTION("""COMPUTED_VALUE"""),"DGFPR3108V7")</f>
        <v>DGFPR3108V7</v>
      </c>
      <c r="B1327" s="4" t="str">
        <f>IFERROR(__xludf.DUMMYFUNCTION("""COMPUTED_VALUE"""),"SISTEMA DIGIFORT EDICIÓN PROFESSIONAL PARA WINDOWS")</f>
        <v>SISTEMA DIGIFORT EDICIÓN PROFESSIONAL PARA WINDOWS</v>
      </c>
      <c r="C1327" s="4" t="str">
        <f>IFERROR(__xludf.DUMMYFUNCTION("""COMPUTED_VALUE"""),"Sistema Digifort edición Professional para Windows - Pack para gestión de analítico en 8 cámaras adicionales.")</f>
        <v>Sistema Digifort edición Professional para Windows - Pack para gestión de analítico en 8 cámaras adicionales.</v>
      </c>
      <c r="D1327" s="4" t="str">
        <f>IFERROR(__xludf.DUMMYFUNCTION("""COMPUTED_VALUE"""),"DIGIFORT")</f>
        <v>DIGIFORT</v>
      </c>
      <c r="E1327" s="4" t="str">
        <f>IFERROR(__xludf.DUMMYFUNCTION("""COMPUTED_VALUE"""),"DGFPR3108V7")</f>
        <v>DGFPR3108V7</v>
      </c>
      <c r="F1327" s="4" t="str">
        <f>IFERROR(__xludf.DUMMYFUNCTION("""COMPUTED_VALUE"""),"SOFTWARE / LICENCIAS &gt; LICENCIA ANALITICAS EDGE PROFESSIONAL (LICENCIAS PARA CÁMARAS SOPORTADAS Y QUE POSEAN EMBEBIDO FUNCIONES DE ANALITICAS)")</f>
        <v>SOFTWARE / LICENCIAS &gt; LICENCIA ANALITICAS EDGE PROFESSIONAL (LICENCIAS PARA CÁMARAS SOPORTADAS Y QUE POSEAN EMBEBIDO FUNCIONES DE ANALITICAS)</v>
      </c>
      <c r="G1327" s="5"/>
      <c r="H1327" s="6">
        <f>IFERROR(__xludf.DUMMYFUNCTION("""COMPUTED_VALUE"""),399.45)</f>
        <v>399.45</v>
      </c>
      <c r="I1327" s="7">
        <f>IFERROR(__xludf.DUMMYFUNCTION("""COMPUTED_VALUE"""),21.0)</f>
        <v>21</v>
      </c>
      <c r="J1327" s="6">
        <f>IFERROR(__xludf.DUMMYFUNCTION("""COMPUTED_VALUE"""),479.34)</f>
        <v>479.34</v>
      </c>
      <c r="K1327" s="6">
        <f>IFERROR(__xludf.DUMMYFUNCTION("""COMPUTED_VALUE"""),559.23)</f>
        <v>559.23</v>
      </c>
      <c r="L1327" s="3"/>
      <c r="M1327" s="3"/>
    </row>
    <row r="1328" ht="48.0" customHeight="1">
      <c r="A1328" s="3" t="str">
        <f>IFERROR(__xludf.DUMMYFUNCTION("""COMPUTED_VALUE"""),"DGFPR3116V7")</f>
        <v>DGFPR3116V7</v>
      </c>
      <c r="B1328" s="4" t="str">
        <f>IFERROR(__xludf.DUMMYFUNCTION("""COMPUTED_VALUE"""),"SISTEMA DIGIFORT EDICIÓN PROFESSIONAL PARA WINDOWS")</f>
        <v>SISTEMA DIGIFORT EDICIÓN PROFESSIONAL PARA WINDOWS</v>
      </c>
      <c r="C1328" s="4" t="str">
        <f>IFERROR(__xludf.DUMMYFUNCTION("""COMPUTED_VALUE"""),"Sistema Digifort edición Professional para Windows - Pack para gestión de analítico en 16 cámaras adicionales.")</f>
        <v>Sistema Digifort edición Professional para Windows - Pack para gestión de analítico en 16 cámaras adicionales.</v>
      </c>
      <c r="D1328" s="4" t="str">
        <f>IFERROR(__xludf.DUMMYFUNCTION("""COMPUTED_VALUE"""),"DIGIFORT")</f>
        <v>DIGIFORT</v>
      </c>
      <c r="E1328" s="4" t="str">
        <f>IFERROR(__xludf.DUMMYFUNCTION("""COMPUTED_VALUE"""),"DGFPR3116V7")</f>
        <v>DGFPR3116V7</v>
      </c>
      <c r="F1328" s="4" t="str">
        <f>IFERROR(__xludf.DUMMYFUNCTION("""COMPUTED_VALUE"""),"SOFTWARE / LICENCIAS &gt; LICENCIA ANALITICAS EDGE PROFESSIONAL (LICENCIAS PARA CÁMARAS SOPORTADAS Y QUE POSEAN EMBEBIDO FUNCIONES DE ANALITICAS)")</f>
        <v>SOFTWARE / LICENCIAS &gt; LICENCIA ANALITICAS EDGE PROFESSIONAL (LICENCIAS PARA CÁMARAS SOPORTADAS Y QUE POSEAN EMBEBIDO FUNCIONES DE ANALITICAS)</v>
      </c>
      <c r="G1328" s="5"/>
      <c r="H1328" s="6">
        <f>IFERROR(__xludf.DUMMYFUNCTION("""COMPUTED_VALUE"""),739.0)</f>
        <v>739</v>
      </c>
      <c r="I1328" s="7">
        <f>IFERROR(__xludf.DUMMYFUNCTION("""COMPUTED_VALUE"""),21.0)</f>
        <v>21</v>
      </c>
      <c r="J1328" s="6">
        <f>IFERROR(__xludf.DUMMYFUNCTION("""COMPUTED_VALUE"""),886.8)</f>
        <v>886.8</v>
      </c>
      <c r="K1328" s="6">
        <f>IFERROR(__xludf.DUMMYFUNCTION("""COMPUTED_VALUE"""),1034.6)</f>
        <v>1034.6</v>
      </c>
      <c r="L1328" s="3"/>
      <c r="M1328" s="3"/>
    </row>
    <row r="1329" ht="48.0" customHeight="1">
      <c r="A1329" s="3" t="str">
        <f>IFERROR(__xludf.DUMMYFUNCTION("""COMPUTED_VALUE"""),"DGFPR3132V7")</f>
        <v>DGFPR3132V7</v>
      </c>
      <c r="B1329" s="4" t="str">
        <f>IFERROR(__xludf.DUMMYFUNCTION("""COMPUTED_VALUE"""),"SISTEMA DIGIFORT EDICIÓN PROFESSIONAL PARA WINDOWS")</f>
        <v>SISTEMA DIGIFORT EDICIÓN PROFESSIONAL PARA WINDOWS</v>
      </c>
      <c r="C1329" s="4" t="str">
        <f>IFERROR(__xludf.DUMMYFUNCTION("""COMPUTED_VALUE"""),"Sistema Digifort edición Professional para Windows - Pack para gestión de analítico en 32 cámaras adicionales.")</f>
        <v>Sistema Digifort edición Professional para Windows - Pack para gestión de analítico en 32 cámaras adicionales.</v>
      </c>
      <c r="D1329" s="4" t="str">
        <f>IFERROR(__xludf.DUMMYFUNCTION("""COMPUTED_VALUE"""),"DIGIFORT")</f>
        <v>DIGIFORT</v>
      </c>
      <c r="E1329" s="4" t="str">
        <f>IFERROR(__xludf.DUMMYFUNCTION("""COMPUTED_VALUE"""),"DGFPR3132V7")</f>
        <v>DGFPR3132V7</v>
      </c>
      <c r="F1329" s="4" t="str">
        <f>IFERROR(__xludf.DUMMYFUNCTION("""COMPUTED_VALUE"""),"SOFTWARE / LICENCIAS &gt; LICENCIA ANALITICAS EDGE PROFESSIONAL (LICENCIAS PARA CÁMARAS SOPORTADAS Y QUE POSEAN EMBEBIDO FUNCIONES DE ANALITICAS)")</f>
        <v>SOFTWARE / LICENCIAS &gt; LICENCIA ANALITICAS EDGE PROFESSIONAL (LICENCIAS PARA CÁMARAS SOPORTADAS Y QUE POSEAN EMBEBIDO FUNCIONES DE ANALITICAS)</v>
      </c>
      <c r="G1329" s="5"/>
      <c r="H1329" s="6">
        <f>IFERROR(__xludf.DUMMYFUNCTION("""COMPUTED_VALUE"""),1367.15)</f>
        <v>1367.15</v>
      </c>
      <c r="I1329" s="7">
        <f>IFERROR(__xludf.DUMMYFUNCTION("""COMPUTED_VALUE"""),21.0)</f>
        <v>21</v>
      </c>
      <c r="J1329" s="6">
        <f>IFERROR(__xludf.DUMMYFUNCTION("""COMPUTED_VALUE"""),1640.58)</f>
        <v>1640.58</v>
      </c>
      <c r="K1329" s="6">
        <f>IFERROR(__xludf.DUMMYFUNCTION("""COMPUTED_VALUE"""),1914.01)</f>
        <v>1914.01</v>
      </c>
      <c r="L1329" s="3"/>
      <c r="M1329" s="3"/>
    </row>
    <row r="1330" ht="48.0" customHeight="1">
      <c r="A1330" s="3" t="str">
        <f>IFERROR(__xludf.DUMMYFUNCTION("""COMPUTED_VALUE"""),"DGFEN3101V7")</f>
        <v>DGFEN3101V7</v>
      </c>
      <c r="B1330" s="4" t="str">
        <f>IFERROR(__xludf.DUMMYFUNCTION("""COMPUTED_VALUE"""),"SISTEMA DIGIFORT EDICIÓN ENTERPRISE PARA WINDOWS")</f>
        <v>SISTEMA DIGIFORT EDICIÓN ENTERPRISE PARA WINDOWS</v>
      </c>
      <c r="C1330" s="4" t="str">
        <f>IFERROR(__xludf.DUMMYFUNCTION("""COMPUTED_VALUE"""),"Sistema Digifort edición Enterprise para Windows - Pack para gestión de analítico en 1 cámara.")</f>
        <v>Sistema Digifort edición Enterprise para Windows - Pack para gestión de analítico en 1 cámara.</v>
      </c>
      <c r="D1330" s="4" t="str">
        <f>IFERROR(__xludf.DUMMYFUNCTION("""COMPUTED_VALUE"""),"DIGIFORT")</f>
        <v>DIGIFORT</v>
      </c>
      <c r="E1330" s="4" t="str">
        <f>IFERROR(__xludf.DUMMYFUNCTION("""COMPUTED_VALUE"""),"DGFEN3101V7")</f>
        <v>DGFEN3101V7</v>
      </c>
      <c r="F1330" s="4" t="str">
        <f>IFERROR(__xludf.DUMMYFUNCTION("""COMPUTED_VALUE"""),"SOFTWARE / LICENCIAS &gt; LICENCIA ANALITICAS EDGE ENTERPRISE (LICENCIAS PARA CÁMARAS SOPORTADAS Y QUE POSEAN EMBEBIDO FUNCIONES DE ANALITICAS)")</f>
        <v>SOFTWARE / LICENCIAS &gt; LICENCIA ANALITICAS EDGE ENTERPRISE (LICENCIAS PARA CÁMARAS SOPORTADAS Y QUE POSEAN EMBEBIDO FUNCIONES DE ANALITICAS)</v>
      </c>
      <c r="G1330" s="5"/>
      <c r="H1330" s="6">
        <f>IFERROR(__xludf.DUMMYFUNCTION("""COMPUTED_VALUE"""),58.36)</f>
        <v>58.36</v>
      </c>
      <c r="I1330" s="7">
        <f>IFERROR(__xludf.DUMMYFUNCTION("""COMPUTED_VALUE"""),21.0)</f>
        <v>21</v>
      </c>
      <c r="J1330" s="6">
        <f>IFERROR(__xludf.DUMMYFUNCTION("""COMPUTED_VALUE"""),70.03)</f>
        <v>70.03</v>
      </c>
      <c r="K1330" s="6">
        <f>IFERROR(__xludf.DUMMYFUNCTION("""COMPUTED_VALUE"""),81.7)</f>
        <v>81.7</v>
      </c>
      <c r="L1330" s="3"/>
      <c r="M1330" s="3"/>
    </row>
    <row r="1331" ht="48.0" customHeight="1">
      <c r="A1331" s="3" t="str">
        <f>IFERROR(__xludf.DUMMYFUNCTION("""COMPUTED_VALUE"""),"DGFEN3102V7")</f>
        <v>DGFEN3102V7</v>
      </c>
      <c r="B1331" s="4" t="str">
        <f>IFERROR(__xludf.DUMMYFUNCTION("""COMPUTED_VALUE"""),"SISTEMA DIGIFORT EDICIÓN ENTERPRISE PARA WINDOWS")</f>
        <v>SISTEMA DIGIFORT EDICIÓN ENTERPRISE PARA WINDOWS</v>
      </c>
      <c r="C1331" s="4" t="str">
        <f>IFERROR(__xludf.DUMMYFUNCTION("""COMPUTED_VALUE"""),"Sistema Digifort edición Enterprise para Windows - Pack para gestión de analítico en 2 cámaras adicionales.")</f>
        <v>Sistema Digifort edición Enterprise para Windows - Pack para gestión de analítico en 2 cámaras adicionales.</v>
      </c>
      <c r="D1331" s="4" t="str">
        <f>IFERROR(__xludf.DUMMYFUNCTION("""COMPUTED_VALUE"""),"DIGIFORT")</f>
        <v>DIGIFORT</v>
      </c>
      <c r="E1331" s="4" t="str">
        <f>IFERROR(__xludf.DUMMYFUNCTION("""COMPUTED_VALUE"""),"DGFEN3102V7")</f>
        <v>DGFEN3102V7</v>
      </c>
      <c r="F1331" s="4" t="str">
        <f>IFERROR(__xludf.DUMMYFUNCTION("""COMPUTED_VALUE"""),"SOFTWARE / LICENCIAS &gt; LICENCIA ANALITICAS EDGE ENTERPRISE (LICENCIAS PARA CÁMARAS SOPORTADAS Y QUE POSEAN EMBEBIDO FUNCIONES DE ANALITICAS)")</f>
        <v>SOFTWARE / LICENCIAS &gt; LICENCIA ANALITICAS EDGE ENTERPRISE (LICENCIAS PARA CÁMARAS SOPORTADAS Y QUE POSEAN EMBEBIDO FUNCIONES DE ANALITICAS)</v>
      </c>
      <c r="G1331" s="5"/>
      <c r="H1331" s="6">
        <f>IFERROR(__xludf.DUMMYFUNCTION("""COMPUTED_VALUE"""),116.71)</f>
        <v>116.71</v>
      </c>
      <c r="I1331" s="7">
        <f>IFERROR(__xludf.DUMMYFUNCTION("""COMPUTED_VALUE"""),21.0)</f>
        <v>21</v>
      </c>
      <c r="J1331" s="6">
        <f>IFERROR(__xludf.DUMMYFUNCTION("""COMPUTED_VALUE"""),140.05)</f>
        <v>140.05</v>
      </c>
      <c r="K1331" s="6">
        <f>IFERROR(__xludf.DUMMYFUNCTION("""COMPUTED_VALUE"""),163.39)</f>
        <v>163.39</v>
      </c>
      <c r="L1331" s="3"/>
      <c r="M1331" s="3"/>
    </row>
    <row r="1332" ht="48.0" customHeight="1">
      <c r="A1332" s="3" t="str">
        <f>IFERROR(__xludf.DUMMYFUNCTION("""COMPUTED_VALUE"""),"DGFEN3104V7")</f>
        <v>DGFEN3104V7</v>
      </c>
      <c r="B1332" s="4" t="str">
        <f>IFERROR(__xludf.DUMMYFUNCTION("""COMPUTED_VALUE"""),"SISTEMA DIGIFORT EDICIÓN ENTERPRISE PARA WINDOWS")</f>
        <v>SISTEMA DIGIFORT EDICIÓN ENTERPRISE PARA WINDOWS</v>
      </c>
      <c r="C1332" s="4" t="str">
        <f>IFERROR(__xludf.DUMMYFUNCTION("""COMPUTED_VALUE"""),"Sistema Digifort edición Enterprise para Windows - Pack para gestión de analítico en 4 cámaras adicionales.")</f>
        <v>Sistema Digifort edición Enterprise para Windows - Pack para gestión de analítico en 4 cámaras adicionales.</v>
      </c>
      <c r="D1332" s="4" t="str">
        <f>IFERROR(__xludf.DUMMYFUNCTION("""COMPUTED_VALUE"""),"DIGIFORT")</f>
        <v>DIGIFORT</v>
      </c>
      <c r="E1332" s="4" t="str">
        <f>IFERROR(__xludf.DUMMYFUNCTION("""COMPUTED_VALUE"""),"DGFEN3104V7")</f>
        <v>DGFEN3104V7</v>
      </c>
      <c r="F1332" s="4" t="str">
        <f>IFERROR(__xludf.DUMMYFUNCTION("""COMPUTED_VALUE"""),"SOFTWARE / LICENCIAS &gt; LICENCIA ANALITICAS EDGE ENTERPRISE (LICENCIAS PARA CÁMARAS SOPORTADAS Y QUE POSEAN EMBEBIDO FUNCIONES DE ANALITICAS)")</f>
        <v>SOFTWARE / LICENCIAS &gt; LICENCIA ANALITICAS EDGE ENTERPRISE (LICENCIAS PARA CÁMARAS SOPORTADAS Y QUE POSEAN EMBEBIDO FUNCIONES DE ANALITICAS)</v>
      </c>
      <c r="G1332" s="5"/>
      <c r="H1332" s="6">
        <f>IFERROR(__xludf.DUMMYFUNCTION("""COMPUTED_VALUE"""),215.92)</f>
        <v>215.92</v>
      </c>
      <c r="I1332" s="7">
        <f>IFERROR(__xludf.DUMMYFUNCTION("""COMPUTED_VALUE"""),21.0)</f>
        <v>21</v>
      </c>
      <c r="J1332" s="6">
        <f>IFERROR(__xludf.DUMMYFUNCTION("""COMPUTED_VALUE"""),259.1)</f>
        <v>259.1</v>
      </c>
      <c r="K1332" s="6">
        <f>IFERROR(__xludf.DUMMYFUNCTION("""COMPUTED_VALUE"""),302.29)</f>
        <v>302.29</v>
      </c>
      <c r="L1332" s="3"/>
      <c r="M1332" s="3"/>
    </row>
    <row r="1333" ht="48.0" customHeight="1">
      <c r="A1333" s="3" t="str">
        <f>IFERROR(__xludf.DUMMYFUNCTION("""COMPUTED_VALUE"""),"DGFEN3108V7")</f>
        <v>DGFEN3108V7</v>
      </c>
      <c r="B1333" s="4" t="str">
        <f>IFERROR(__xludf.DUMMYFUNCTION("""COMPUTED_VALUE"""),"SISTEMA DIGIFORT EDICIÓN ENTERPRISE PARA WINDOWS")</f>
        <v>SISTEMA DIGIFORT EDICIÓN ENTERPRISE PARA WINDOWS</v>
      </c>
      <c r="C1333" s="4" t="str">
        <f>IFERROR(__xludf.DUMMYFUNCTION("""COMPUTED_VALUE"""),"Sistema Digifort edición Enterprise para Windows - Pack para gestión de analítico en 8 cámaras adicionales.")</f>
        <v>Sistema Digifort edición Enterprise para Windows - Pack para gestión de analítico en 8 cámaras adicionales.</v>
      </c>
      <c r="D1333" s="4" t="str">
        <f>IFERROR(__xludf.DUMMYFUNCTION("""COMPUTED_VALUE"""),"DIGIFORT")</f>
        <v>DIGIFORT</v>
      </c>
      <c r="E1333" s="4" t="str">
        <f>IFERROR(__xludf.DUMMYFUNCTION("""COMPUTED_VALUE"""),"DGFEN3108V7")</f>
        <v>DGFEN3108V7</v>
      </c>
      <c r="F1333" s="4" t="str">
        <f>IFERROR(__xludf.DUMMYFUNCTION("""COMPUTED_VALUE"""),"SOFTWARE / LICENCIAS &gt; LICENCIA ANALITICAS EDGE ENTERPRISE (LICENCIAS PARA CÁMARAS SOPORTADAS Y QUE POSEAN EMBEBIDO FUNCIONES DE ANALITICAS)")</f>
        <v>SOFTWARE / LICENCIAS &gt; LICENCIA ANALITICAS EDGE ENTERPRISE (LICENCIAS PARA CÁMARAS SOPORTADAS Y QUE POSEAN EMBEBIDO FUNCIONES DE ANALITICAS)</v>
      </c>
      <c r="G1333" s="5"/>
      <c r="H1333" s="6">
        <f>IFERROR(__xludf.DUMMYFUNCTION("""COMPUTED_VALUE"""),399.45)</f>
        <v>399.45</v>
      </c>
      <c r="I1333" s="7">
        <f>IFERROR(__xludf.DUMMYFUNCTION("""COMPUTED_VALUE"""),21.0)</f>
        <v>21</v>
      </c>
      <c r="J1333" s="6">
        <f>IFERROR(__xludf.DUMMYFUNCTION("""COMPUTED_VALUE"""),479.34)</f>
        <v>479.34</v>
      </c>
      <c r="K1333" s="6">
        <f>IFERROR(__xludf.DUMMYFUNCTION("""COMPUTED_VALUE"""),559.23)</f>
        <v>559.23</v>
      </c>
      <c r="L1333" s="3"/>
      <c r="M1333" s="3"/>
    </row>
    <row r="1334" ht="48.0" customHeight="1">
      <c r="A1334" s="3" t="str">
        <f>IFERROR(__xludf.DUMMYFUNCTION("""COMPUTED_VALUE"""),"DGFEN3116V7")</f>
        <v>DGFEN3116V7</v>
      </c>
      <c r="B1334" s="4" t="str">
        <f>IFERROR(__xludf.DUMMYFUNCTION("""COMPUTED_VALUE"""),"SISTEMA DIGIFORT EDICIÓN ENTERPRISE PARA WINDOWS")</f>
        <v>SISTEMA DIGIFORT EDICIÓN ENTERPRISE PARA WINDOWS</v>
      </c>
      <c r="C1334" s="4" t="str">
        <f>IFERROR(__xludf.DUMMYFUNCTION("""COMPUTED_VALUE"""),"Sistema Digifort edición Enterprise para Windows - Pack para gestión de analítico en 16 cámaras adicionales.")</f>
        <v>Sistema Digifort edición Enterprise para Windows - Pack para gestión de analítico en 16 cámaras adicionales.</v>
      </c>
      <c r="D1334" s="4" t="str">
        <f>IFERROR(__xludf.DUMMYFUNCTION("""COMPUTED_VALUE"""),"DIGIFORT")</f>
        <v>DIGIFORT</v>
      </c>
      <c r="E1334" s="4" t="str">
        <f>IFERROR(__xludf.DUMMYFUNCTION("""COMPUTED_VALUE"""),"DGFEN3116V7")</f>
        <v>DGFEN3116V7</v>
      </c>
      <c r="F1334" s="4" t="str">
        <f>IFERROR(__xludf.DUMMYFUNCTION("""COMPUTED_VALUE"""),"SOFTWARE / LICENCIAS &gt; LICENCIA ANALITICAS EDGE ENTERPRISE (LICENCIAS PARA CÁMARAS SOPORTADAS Y QUE POSEAN EMBEBIDO FUNCIONES DE ANALITICAS)")</f>
        <v>SOFTWARE / LICENCIAS &gt; LICENCIA ANALITICAS EDGE ENTERPRISE (LICENCIAS PARA CÁMARAS SOPORTADAS Y QUE POSEAN EMBEBIDO FUNCIONES DE ANALITICAS)</v>
      </c>
      <c r="G1334" s="5"/>
      <c r="H1334" s="6">
        <f>IFERROR(__xludf.DUMMYFUNCTION("""COMPUTED_VALUE"""),739.0)</f>
        <v>739</v>
      </c>
      <c r="I1334" s="7">
        <f>IFERROR(__xludf.DUMMYFUNCTION("""COMPUTED_VALUE"""),21.0)</f>
        <v>21</v>
      </c>
      <c r="J1334" s="6">
        <f>IFERROR(__xludf.DUMMYFUNCTION("""COMPUTED_VALUE"""),886.8)</f>
        <v>886.8</v>
      </c>
      <c r="K1334" s="6">
        <f>IFERROR(__xludf.DUMMYFUNCTION("""COMPUTED_VALUE"""),1034.6)</f>
        <v>1034.6</v>
      </c>
      <c r="L1334" s="3"/>
      <c r="M1334" s="3"/>
    </row>
    <row r="1335" ht="48.0" customHeight="1">
      <c r="A1335" s="3" t="str">
        <f>IFERROR(__xludf.DUMMYFUNCTION("""COMPUTED_VALUE"""),"DGFEN3132V7")</f>
        <v>DGFEN3132V7</v>
      </c>
      <c r="B1335" s="4" t="str">
        <f>IFERROR(__xludf.DUMMYFUNCTION("""COMPUTED_VALUE"""),"SISTEMA DIGIFORT EDICIÓN ENTERPRISE PARA WINDOWS")</f>
        <v>SISTEMA DIGIFORT EDICIÓN ENTERPRISE PARA WINDOWS</v>
      </c>
      <c r="C1335" s="4" t="str">
        <f>IFERROR(__xludf.DUMMYFUNCTION("""COMPUTED_VALUE"""),"Sistema Digifort edición Enterprise para Windows - Pack para gestión de analítico en 32 cámaras adicionales.")</f>
        <v>Sistema Digifort edición Enterprise para Windows - Pack para gestión de analítico en 32 cámaras adicionales.</v>
      </c>
      <c r="D1335" s="4" t="str">
        <f>IFERROR(__xludf.DUMMYFUNCTION("""COMPUTED_VALUE"""),"DIGIFORT")</f>
        <v>DIGIFORT</v>
      </c>
      <c r="E1335" s="4" t="str">
        <f>IFERROR(__xludf.DUMMYFUNCTION("""COMPUTED_VALUE"""),"DGFEN3132V7")</f>
        <v>DGFEN3132V7</v>
      </c>
      <c r="F1335" s="4" t="str">
        <f>IFERROR(__xludf.DUMMYFUNCTION("""COMPUTED_VALUE"""),"SOFTWARE / LICENCIAS &gt; LICENCIA ANALITICAS EDGE ENTERPRISE (LICENCIAS PARA CÁMARAS SOPORTADAS Y QUE POSEAN EMBEBIDO FUNCIONES DE ANALITICAS)")</f>
        <v>SOFTWARE / LICENCIAS &gt; LICENCIA ANALITICAS EDGE ENTERPRISE (LICENCIAS PARA CÁMARAS SOPORTADAS Y QUE POSEAN EMBEBIDO FUNCIONES DE ANALITICAS)</v>
      </c>
      <c r="G1335" s="5"/>
      <c r="H1335" s="6">
        <f>IFERROR(__xludf.DUMMYFUNCTION("""COMPUTED_VALUE"""),1367.15)</f>
        <v>1367.15</v>
      </c>
      <c r="I1335" s="7">
        <f>IFERROR(__xludf.DUMMYFUNCTION("""COMPUTED_VALUE"""),21.0)</f>
        <v>21</v>
      </c>
      <c r="J1335" s="6">
        <f>IFERROR(__xludf.DUMMYFUNCTION("""COMPUTED_VALUE"""),1640.58)</f>
        <v>1640.58</v>
      </c>
      <c r="K1335" s="6">
        <f>IFERROR(__xludf.DUMMYFUNCTION("""COMPUTED_VALUE"""),1914.01)</f>
        <v>1914.01</v>
      </c>
      <c r="L1335" s="3"/>
      <c r="M1335" s="3"/>
    </row>
    <row r="1336" ht="48.0" customHeight="1">
      <c r="A1336" s="3" t="str">
        <f>IFERROR(__xludf.DUMMYFUNCTION("""COMPUTED_VALUE"""),"DGFEN3164V7")</f>
        <v>DGFEN3164V7</v>
      </c>
      <c r="B1336" s="4" t="str">
        <f>IFERROR(__xludf.DUMMYFUNCTION("""COMPUTED_VALUE"""),"SISTEMA DIGIFORT EDICIÓN ENTERPRISE PARA WINDOWS")</f>
        <v>SISTEMA DIGIFORT EDICIÓN ENTERPRISE PARA WINDOWS</v>
      </c>
      <c r="C1336" s="4" t="str">
        <f>IFERROR(__xludf.DUMMYFUNCTION("""COMPUTED_VALUE"""),"Sistema Digifort edición Enterprise para Windows - Pack para gestión de analítico en 64 cámaras adicionales.")</f>
        <v>Sistema Digifort edición Enterprise para Windows - Pack para gestión de analítico en 64 cámaras adicionales.</v>
      </c>
      <c r="D1336" s="4" t="str">
        <f>IFERROR(__xludf.DUMMYFUNCTION("""COMPUTED_VALUE"""),"DIGIFORT")</f>
        <v>DIGIFORT</v>
      </c>
      <c r="E1336" s="4" t="str">
        <f>IFERROR(__xludf.DUMMYFUNCTION("""COMPUTED_VALUE"""),"DGFEN3164V7")</f>
        <v>DGFEN3164V7</v>
      </c>
      <c r="F1336" s="4" t="str">
        <f>IFERROR(__xludf.DUMMYFUNCTION("""COMPUTED_VALUE"""),"SOFTWARE / LICENCIAS &gt; LICENCIA ANALITICAS EDGE ENTERPRISE (LICENCIAS PARA CÁMARAS SOPORTADAS Y QUE POSEAN EMBEBIDO FUNCIONES DE ANALITICAS)")</f>
        <v>SOFTWARE / LICENCIAS &gt; LICENCIA ANALITICAS EDGE ENTERPRISE (LICENCIAS PARA CÁMARAS SOPORTADAS Y QUE POSEAN EMBEBIDO FUNCIONES DE ANALITICAS)</v>
      </c>
      <c r="G1336" s="5"/>
      <c r="H1336" s="6">
        <f>IFERROR(__xludf.DUMMYFUNCTION("""COMPUTED_VALUE"""),2529.22)</f>
        <v>2529.22</v>
      </c>
      <c r="I1336" s="7">
        <f>IFERROR(__xludf.DUMMYFUNCTION("""COMPUTED_VALUE"""),21.0)</f>
        <v>21</v>
      </c>
      <c r="J1336" s="6">
        <f>IFERROR(__xludf.DUMMYFUNCTION("""COMPUTED_VALUE"""),3035.06)</f>
        <v>3035.06</v>
      </c>
      <c r="K1336" s="6">
        <f>IFERROR(__xludf.DUMMYFUNCTION("""COMPUTED_VALUE"""),3540.91)</f>
        <v>3540.91</v>
      </c>
      <c r="L1336" s="3"/>
      <c r="M1336" s="3"/>
    </row>
    <row r="1337" ht="48.0" customHeight="1">
      <c r="A1337" s="3" t="str">
        <f>IFERROR(__xludf.DUMMYFUNCTION("""COMPUTED_VALUE"""),"DGFAN1000V7")</f>
        <v>DGFAN1000V7</v>
      </c>
      <c r="B1337" s="4" t="str">
        <f>IFERROR(__xludf.DUMMYFUNCTION("""COMPUTED_VALUE"""),"SISTEMA DIGIFORT ANALÍTICO")</f>
        <v>SISTEMA DIGIFORT ANALÍTICO</v>
      </c>
      <c r="C1337" s="4" t="str">
        <f>IFERROR(__xludf.DUMMYFUNCTION("""COMPUTED_VALUE"""),"Sistema Digifort Analítico - Base para administración de 1 servidor (1.- Detección de intrusión o comportamientos extraño en un área (loitering) 2.-Protección y análisis en el perímetro 3.- Cancelación de vibraciones 4.-Detección de sabotaje o tampering 6"&amp;".- Filtros para personas y objetos que aparecen y desaparecen 7.-Filtros de detención 8.-Filtro en áreas habitadas 9.-Filtro en cambios de dirección 10.- Conteo de personas y objetos 11.- Detección de objetos abandonados 12.- Detección de objetos removido"&amp;"s 13.- Zonas y líneas marcadas 14.- Filtro de velocidad 15.- Analítica en Calibración 3D 16.- Filtro de acumulación de personas en línea (Tailgating) 17.- Reglas lógicas 18.- Deteccion de rostros")</f>
        <v>Sistema Digifort Analítico - Base para administración de 1 servidor (1.- Detección de intrusión o comportamientos extraño en un área (loitering) 2.-Protección y análisis en el perímetro 3.- Cancelación de vibraciones 4.-Detección de sabotaje o tampering 6.- Filtros para personas y objetos que aparecen y desaparecen 7.-Filtros de detención 8.-Filtro en áreas habitadas 9.-Filtro en cambios de dirección 10.- Conteo de personas y objetos 11.- Detección de objetos abandonados 12.- Detección de objetos removidos 13.- Zonas y líneas marcadas 14.- Filtro de velocidad 15.- Analítica en Calibración 3D 16.- Filtro de acumulación de personas en línea (Tailgating) 17.- Reglas lógicas 18.- Deteccion de rostros</v>
      </c>
      <c r="D1337" s="4" t="str">
        <f>IFERROR(__xludf.DUMMYFUNCTION("""COMPUTED_VALUE"""),"DIGIFORT")</f>
        <v>DIGIFORT</v>
      </c>
      <c r="E1337" s="4" t="str">
        <f>IFERROR(__xludf.DUMMYFUNCTION("""COMPUTED_VALUE"""),"DGFAN1000V7")</f>
        <v>DGFAN1000V7</v>
      </c>
      <c r="F1337" s="4" t="str">
        <f>IFERROR(__xludf.DUMMYFUNCTION("""COMPUTED_VALUE"""),"SOFTWARE / LICENCIAS &gt; LICENCIA ANALYTICS PRO PARA : STANDARD/PROFESIONAL/ENTERPRISE")</f>
        <v>SOFTWARE / LICENCIAS &gt; LICENCIA ANALYTICS PRO PARA : STANDARD/PROFESIONAL/ENTERPRISE</v>
      </c>
      <c r="G1337" s="5"/>
      <c r="H1337" s="6">
        <f>IFERROR(__xludf.DUMMYFUNCTION("""COMPUTED_VALUE"""),1430.0)</f>
        <v>1430</v>
      </c>
      <c r="I1337" s="7">
        <f>IFERROR(__xludf.DUMMYFUNCTION("""COMPUTED_VALUE"""),21.0)</f>
        <v>21</v>
      </c>
      <c r="J1337" s="6">
        <f>IFERROR(__xludf.DUMMYFUNCTION("""COMPUTED_VALUE"""),1716.0)</f>
        <v>1716</v>
      </c>
      <c r="K1337" s="6">
        <f>IFERROR(__xludf.DUMMYFUNCTION("""COMPUTED_VALUE"""),2002.0)</f>
        <v>2002</v>
      </c>
      <c r="L1337" s="3"/>
      <c r="M1337" s="3"/>
    </row>
    <row r="1338" ht="48.0" customHeight="1">
      <c r="A1338" s="3" t="str">
        <f>IFERROR(__xludf.DUMMYFUNCTION("""COMPUTED_VALUE"""),"DGFAP1101V1")</f>
        <v>DGFAP1101V1</v>
      </c>
      <c r="B1338" s="4" t="str">
        <f>IFERROR(__xludf.DUMMYFUNCTION("""COMPUTED_VALUE"""),"SISTEMA DIGIFORT ANALÍTICO PRO")</f>
        <v>SISTEMA DIGIFORT ANALÍTICO PRO</v>
      </c>
      <c r="C1338" s="4" t="str">
        <f>IFERROR(__xludf.DUMMYFUNCTION("""COMPUTED_VALUE"""),"Sistema Digifort Analítico Pro - Pack para administración de 1 cámara")</f>
        <v>Sistema Digifort Analítico Pro - Pack para administración de 1 cámara</v>
      </c>
      <c r="D1338" s="4" t="str">
        <f>IFERROR(__xludf.DUMMYFUNCTION("""COMPUTED_VALUE"""),"DIGIFORT")</f>
        <v>DIGIFORT</v>
      </c>
      <c r="E1338" s="4" t="str">
        <f>IFERROR(__xludf.DUMMYFUNCTION("""COMPUTED_VALUE"""),"DGFAP1101V1")</f>
        <v>DGFAP1101V1</v>
      </c>
      <c r="F1338" s="4" t="str">
        <f>IFERROR(__xludf.DUMMYFUNCTION("""COMPUTED_VALUE"""),"SOFTWARE / LICENCIAS &gt; LICENCIA ANALYTICS PRO PARA : STANDARD/PROFESIONAL/ENTERPRISE")</f>
        <v>SOFTWARE / LICENCIAS &gt; LICENCIA ANALYTICS PRO PARA : STANDARD/PROFESIONAL/ENTERPRISE</v>
      </c>
      <c r="G1338" s="5"/>
      <c r="H1338" s="6">
        <f>IFERROR(__xludf.DUMMYFUNCTION("""COMPUTED_VALUE"""),713.86)</f>
        <v>713.86</v>
      </c>
      <c r="I1338" s="7">
        <f>IFERROR(__xludf.DUMMYFUNCTION("""COMPUTED_VALUE"""),21.0)</f>
        <v>21</v>
      </c>
      <c r="J1338" s="6">
        <f>IFERROR(__xludf.DUMMYFUNCTION("""COMPUTED_VALUE"""),856.63)</f>
        <v>856.63</v>
      </c>
      <c r="K1338" s="6">
        <f>IFERROR(__xludf.DUMMYFUNCTION("""COMPUTED_VALUE"""),999.4)</f>
        <v>999.4</v>
      </c>
      <c r="L1338" s="3"/>
      <c r="M1338" s="3"/>
    </row>
    <row r="1339" ht="48.0" customHeight="1">
      <c r="A1339" s="3" t="str">
        <f>IFERROR(__xludf.DUMMYFUNCTION("""COMPUTED_VALUE"""),"DGFAP1102V1")</f>
        <v>DGFAP1102V1</v>
      </c>
      <c r="B1339" s="4" t="str">
        <f>IFERROR(__xludf.DUMMYFUNCTION("""COMPUTED_VALUE"""),"SISTEMA DIGIFORT ANALÍTICO PRO")</f>
        <v>SISTEMA DIGIFORT ANALÍTICO PRO</v>
      </c>
      <c r="C1339" s="4" t="str">
        <f>IFERROR(__xludf.DUMMYFUNCTION("""COMPUTED_VALUE"""),"Sistema Digifort Analítico Pro - Pack para administración de 2 cámaras")</f>
        <v>Sistema Digifort Analítico Pro - Pack para administración de 2 cámaras</v>
      </c>
      <c r="D1339" s="4" t="str">
        <f>IFERROR(__xludf.DUMMYFUNCTION("""COMPUTED_VALUE"""),"DIGIFORT")</f>
        <v>DIGIFORT</v>
      </c>
      <c r="E1339" s="4" t="str">
        <f>IFERROR(__xludf.DUMMYFUNCTION("""COMPUTED_VALUE"""),"DGFAP1102V1")</f>
        <v>DGFAP1102V1</v>
      </c>
      <c r="F1339" s="4" t="str">
        <f>IFERROR(__xludf.DUMMYFUNCTION("""COMPUTED_VALUE"""),"SOFTWARE / LICENCIAS &gt; LICENCIA ANALYTICS PRO PARA : STANDARD/PROFESIONAL/ENTERPRISE")</f>
        <v>SOFTWARE / LICENCIAS &gt; LICENCIA ANALYTICS PRO PARA : STANDARD/PROFESIONAL/ENTERPRISE</v>
      </c>
      <c r="G1339" s="5"/>
      <c r="H1339" s="6">
        <f>IFERROR(__xludf.DUMMYFUNCTION("""COMPUTED_VALUE"""),928.02)</f>
        <v>928.02</v>
      </c>
      <c r="I1339" s="7">
        <f>IFERROR(__xludf.DUMMYFUNCTION("""COMPUTED_VALUE"""),21.0)</f>
        <v>21</v>
      </c>
      <c r="J1339" s="6">
        <f>IFERROR(__xludf.DUMMYFUNCTION("""COMPUTED_VALUE"""),1113.62)</f>
        <v>1113.62</v>
      </c>
      <c r="K1339" s="6">
        <f>IFERROR(__xludf.DUMMYFUNCTION("""COMPUTED_VALUE"""),1299.23)</f>
        <v>1299.23</v>
      </c>
      <c r="L1339" s="3"/>
      <c r="M1339" s="3"/>
    </row>
    <row r="1340" ht="48.0" customHeight="1">
      <c r="A1340" s="3" t="str">
        <f>IFERROR(__xludf.DUMMYFUNCTION("""COMPUTED_VALUE"""),"DGFAP1104V1")</f>
        <v>DGFAP1104V1</v>
      </c>
      <c r="B1340" s="4" t="str">
        <f>IFERROR(__xludf.DUMMYFUNCTION("""COMPUTED_VALUE"""),"SISTEMA DIGIFORT ANALÍTICO PRO")</f>
        <v>SISTEMA DIGIFORT ANALÍTICO PRO</v>
      </c>
      <c r="C1340" s="4" t="str">
        <f>IFERROR(__xludf.DUMMYFUNCTION("""COMPUTED_VALUE"""),"Sistema Digifort Analítico Pro - Pack para administración de 4 cámaras")</f>
        <v>Sistema Digifort Analítico Pro - Pack para administración de 4 cámaras</v>
      </c>
      <c r="D1340" s="4" t="str">
        <f>IFERROR(__xludf.DUMMYFUNCTION("""COMPUTED_VALUE"""),"DIGIFORT")</f>
        <v>DIGIFORT</v>
      </c>
      <c r="E1340" s="4" t="str">
        <f>IFERROR(__xludf.DUMMYFUNCTION("""COMPUTED_VALUE"""),"DGFAP1104V1")</f>
        <v>DGFAP1104V1</v>
      </c>
      <c r="F1340" s="4" t="str">
        <f>IFERROR(__xludf.DUMMYFUNCTION("""COMPUTED_VALUE"""),"SOFTWARE / LICENCIAS &gt; LICENCIA ANALYTICS PRO PARA : STANDARD/PROFESIONAL/ENTERPRISE")</f>
        <v>SOFTWARE / LICENCIAS &gt; LICENCIA ANALYTICS PRO PARA : STANDARD/PROFESIONAL/ENTERPRISE</v>
      </c>
      <c r="G1340" s="5"/>
      <c r="H1340" s="6">
        <f>IFERROR(__xludf.DUMMYFUNCTION("""COMPUTED_VALUE"""),1206.41)</f>
        <v>1206.41</v>
      </c>
      <c r="I1340" s="7">
        <f>IFERROR(__xludf.DUMMYFUNCTION("""COMPUTED_VALUE"""),21.0)</f>
        <v>21</v>
      </c>
      <c r="J1340" s="6">
        <f>IFERROR(__xludf.DUMMYFUNCTION("""COMPUTED_VALUE"""),1447.69)</f>
        <v>1447.69</v>
      </c>
      <c r="K1340" s="6">
        <f>IFERROR(__xludf.DUMMYFUNCTION("""COMPUTED_VALUE"""),1688.97)</f>
        <v>1688.97</v>
      </c>
      <c r="L1340" s="3"/>
      <c r="M1340" s="3"/>
    </row>
    <row r="1341" ht="48.0" customHeight="1">
      <c r="A1341" s="3" t="str">
        <f>IFERROR(__xludf.DUMMYFUNCTION("""COMPUTED_VALUE"""),"DGFAP1108V1")</f>
        <v>DGFAP1108V1</v>
      </c>
      <c r="B1341" s="4" t="str">
        <f>IFERROR(__xludf.DUMMYFUNCTION("""COMPUTED_VALUE"""),"SISTEMA DIGIFORT ANALÍTICO PRO")</f>
        <v>SISTEMA DIGIFORT ANALÍTICO PRO</v>
      </c>
      <c r="C1341" s="4" t="str">
        <f>IFERROR(__xludf.DUMMYFUNCTION("""COMPUTED_VALUE"""),"Sistema Digifort Analítico Pro - Pack para administración de 8 cámaras")</f>
        <v>Sistema Digifort Analítico Pro - Pack para administración de 8 cámaras</v>
      </c>
      <c r="D1341" s="4" t="str">
        <f>IFERROR(__xludf.DUMMYFUNCTION("""COMPUTED_VALUE"""),"DIGIFORT")</f>
        <v>DIGIFORT</v>
      </c>
      <c r="E1341" s="4" t="str">
        <f>IFERROR(__xludf.DUMMYFUNCTION("""COMPUTED_VALUE"""),"DGFAP1108V1")</f>
        <v>DGFAP1108V1</v>
      </c>
      <c r="F1341" s="4" t="str">
        <f>IFERROR(__xludf.DUMMYFUNCTION("""COMPUTED_VALUE"""),"SOFTWARE / LICENCIAS &gt; LICENCIA ANALYTICS PRO PARA : STANDARD/PROFESIONAL/ENTERPRISE")</f>
        <v>SOFTWARE / LICENCIAS &gt; LICENCIA ANALYTICS PRO PARA : STANDARD/PROFESIONAL/ENTERPRISE</v>
      </c>
      <c r="G1341" s="5"/>
      <c r="H1341" s="6">
        <f>IFERROR(__xludf.DUMMYFUNCTION("""COMPUTED_VALUE"""),1568.35)</f>
        <v>1568.35</v>
      </c>
      <c r="I1341" s="7">
        <f>IFERROR(__xludf.DUMMYFUNCTION("""COMPUTED_VALUE"""),21.0)</f>
        <v>21</v>
      </c>
      <c r="J1341" s="6">
        <f>IFERROR(__xludf.DUMMYFUNCTION("""COMPUTED_VALUE"""),1882.02)</f>
        <v>1882.02</v>
      </c>
      <c r="K1341" s="6">
        <f>IFERROR(__xludf.DUMMYFUNCTION("""COMPUTED_VALUE"""),2195.69)</f>
        <v>2195.69</v>
      </c>
      <c r="L1341" s="3"/>
      <c r="M1341" s="3"/>
    </row>
    <row r="1342" ht="48.0" customHeight="1">
      <c r="A1342" s="3" t="str">
        <f>IFERROR(__xludf.DUMMYFUNCTION("""COMPUTED_VALUE"""),"DGFAP1116V1")</f>
        <v>DGFAP1116V1</v>
      </c>
      <c r="B1342" s="4" t="str">
        <f>IFERROR(__xludf.DUMMYFUNCTION("""COMPUTED_VALUE"""),"SISTEMA DIGIFORT ANALÍTICO PRO")</f>
        <v>SISTEMA DIGIFORT ANALÍTICO PRO</v>
      </c>
      <c r="C1342" s="4" t="str">
        <f>IFERROR(__xludf.DUMMYFUNCTION("""COMPUTED_VALUE"""),"Sistema Digifort Analítico Pro - Pack para administración de 16 cámaras")</f>
        <v>Sistema Digifort Analítico Pro - Pack para administración de 16 cámaras</v>
      </c>
      <c r="D1342" s="4" t="str">
        <f>IFERROR(__xludf.DUMMYFUNCTION("""COMPUTED_VALUE"""),"DIGIFORT")</f>
        <v>DIGIFORT</v>
      </c>
      <c r="E1342" s="4" t="str">
        <f>IFERROR(__xludf.DUMMYFUNCTION("""COMPUTED_VALUE"""),"DGFAP1116V1")</f>
        <v>DGFAP1116V1</v>
      </c>
      <c r="F1342" s="4" t="str">
        <f>IFERROR(__xludf.DUMMYFUNCTION("""COMPUTED_VALUE"""),"SOFTWARE / LICENCIAS &gt; LICENCIA ANALYTICS PRO PARA : STANDARD/PROFESIONAL/ENTERPRISE")</f>
        <v>SOFTWARE / LICENCIAS &gt; LICENCIA ANALYTICS PRO PARA : STANDARD/PROFESIONAL/ENTERPRISE</v>
      </c>
      <c r="G1342" s="5"/>
      <c r="H1342" s="6">
        <f>IFERROR(__xludf.DUMMYFUNCTION("""COMPUTED_VALUE"""),2038.84)</f>
        <v>2038.84</v>
      </c>
      <c r="I1342" s="7">
        <f>IFERROR(__xludf.DUMMYFUNCTION("""COMPUTED_VALUE"""),21.0)</f>
        <v>21</v>
      </c>
      <c r="J1342" s="6">
        <f>IFERROR(__xludf.DUMMYFUNCTION("""COMPUTED_VALUE"""),2446.61)</f>
        <v>2446.61</v>
      </c>
      <c r="K1342" s="6">
        <f>IFERROR(__xludf.DUMMYFUNCTION("""COMPUTED_VALUE"""),2854.38)</f>
        <v>2854.38</v>
      </c>
      <c r="L1342" s="3"/>
      <c r="M1342" s="3"/>
    </row>
    <row r="1343" ht="48.0" customHeight="1">
      <c r="A1343" s="3" t="str">
        <f>IFERROR(__xludf.DUMMYFUNCTION("""COMPUTED_VALUE"""),"DGFLP1000V7")</f>
        <v>DGFLP1000V7</v>
      </c>
      <c r="B1343" s="4" t="str">
        <f>IFERROR(__xludf.DUMMYFUNCTION("""COMPUTED_VALUE"""),"SISTEMA DIGIFORT LPR")</f>
        <v>SISTEMA DIGIFORT LPR</v>
      </c>
      <c r="C1343" s="4" t="str">
        <f>IFERROR(__xludf.DUMMYFUNCTION("""COMPUTED_VALUE"""),"Sistema Digifort LPR - Sistema Base LPR")</f>
        <v>Sistema Digifort LPR - Sistema Base LPR</v>
      </c>
      <c r="D1343" s="4" t="str">
        <f>IFERROR(__xludf.DUMMYFUNCTION("""COMPUTED_VALUE"""),"DIGIFORT")</f>
        <v>DIGIFORT</v>
      </c>
      <c r="E1343" s="4" t="str">
        <f>IFERROR(__xludf.DUMMYFUNCTION("""COMPUTED_VALUE"""),"DGFLP1000V7")</f>
        <v>DGFLP1000V7</v>
      </c>
      <c r="F1343" s="4" t="str">
        <f>IFERROR(__xludf.DUMMYFUNCTION("""COMPUTED_VALUE"""),"SOFTWARE / LICENCIAS &gt; LICENCIA LPR (PATENTES) PARA : STANDARD/PROFESIONAL/ENTERPRISE")</f>
        <v>SOFTWARE / LICENCIAS &gt; LICENCIA LPR (PATENTES) PARA : STANDARD/PROFESIONAL/ENTERPRISE</v>
      </c>
      <c r="G1343" s="5"/>
      <c r="H1343" s="6">
        <f>IFERROR(__xludf.DUMMYFUNCTION("""COMPUTED_VALUE"""),1001.0)</f>
        <v>1001</v>
      </c>
      <c r="I1343" s="7">
        <f>IFERROR(__xludf.DUMMYFUNCTION("""COMPUTED_VALUE"""),21.0)</f>
        <v>21</v>
      </c>
      <c r="J1343" s="6">
        <f>IFERROR(__xludf.DUMMYFUNCTION("""COMPUTED_VALUE"""),1201.2)</f>
        <v>1201.2</v>
      </c>
      <c r="K1343" s="6">
        <f>IFERROR(__xludf.DUMMYFUNCTION("""COMPUTED_VALUE"""),1401.4)</f>
        <v>1401.4</v>
      </c>
      <c r="L1343" s="3"/>
      <c r="M1343" s="3"/>
    </row>
    <row r="1344" ht="48.0" customHeight="1">
      <c r="A1344" s="3" t="str">
        <f>IFERROR(__xludf.DUMMYFUNCTION("""COMPUTED_VALUE"""),"DGFNL1101V1")</f>
        <v>DGFNL1101V1</v>
      </c>
      <c r="B1344" s="4" t="str">
        <f>IFERROR(__xludf.DUMMYFUNCTION("""COMPUTED_VALUE"""),"MOTOR LPR")</f>
        <v>MOTOR LPR</v>
      </c>
      <c r="C1344" s="4" t="str">
        <f>IFERROR(__xludf.DUMMYFUNCTION("""COMPUTED_VALUE"""),"Motor LPR - Single Core Motor LPR Neural Labs, Licencia para 1 Nucleo de Procesamiento ( STOP &amp; GO hasta 8 Cámaras, de 20 a 40 Km/H hasta 6 Cámaras de 40 a 100 Km/H hasta 4 Cámaras y de 100 a 150 Km/H hasta 1 Cámara )")</f>
        <v>Motor LPR - Single Core Motor LPR Neural Labs, Licencia para 1 Nucleo de Procesamiento ( STOP &amp; GO hasta 8 Cámaras, de 20 a 40 Km/H hasta 6 Cámaras de 40 a 100 Km/H hasta 4 Cámaras y de 100 a 150 Km/H hasta 1 Cámara )</v>
      </c>
      <c r="D1344" s="4" t="str">
        <f>IFERROR(__xludf.DUMMYFUNCTION("""COMPUTED_VALUE"""),"DIGIFORT")</f>
        <v>DIGIFORT</v>
      </c>
      <c r="E1344" s="4" t="str">
        <f>IFERROR(__xludf.DUMMYFUNCTION("""COMPUTED_VALUE"""),"DGFNL1101V1")</f>
        <v>DGFNL1101V1</v>
      </c>
      <c r="F1344" s="4" t="str">
        <f>IFERROR(__xludf.DUMMYFUNCTION("""COMPUTED_VALUE"""),"SOFTWARE / LICENCIAS &gt; LICENCIA LPR (PATENTES) PARA : STANDARD/PROFESIONAL/ENTERPRISE")</f>
        <v>SOFTWARE / LICENCIAS &gt; LICENCIA LPR (PATENTES) PARA : STANDARD/PROFESIONAL/ENTERPRISE</v>
      </c>
      <c r="G1344" s="5"/>
      <c r="H1344" s="6">
        <f>IFERROR(__xludf.DUMMYFUNCTION("""COMPUTED_VALUE"""),2334.75)</f>
        <v>2334.75</v>
      </c>
      <c r="I1344" s="7">
        <f>IFERROR(__xludf.DUMMYFUNCTION("""COMPUTED_VALUE"""),21.0)</f>
        <v>21</v>
      </c>
      <c r="J1344" s="6">
        <f>IFERROR(__xludf.DUMMYFUNCTION("""COMPUTED_VALUE"""),2801.7)</f>
        <v>2801.7</v>
      </c>
      <c r="K1344" s="6">
        <f>IFERROR(__xludf.DUMMYFUNCTION("""COMPUTED_VALUE"""),3268.65)</f>
        <v>3268.65</v>
      </c>
      <c r="L1344" s="3"/>
      <c r="M1344" s="3"/>
    </row>
    <row r="1345" ht="48.0" customHeight="1">
      <c r="A1345" s="3" t="str">
        <f>IFERROR(__xludf.DUMMYFUNCTION("""COMPUTED_VALUE"""),"DGFNL1102V1")</f>
        <v>DGFNL1102V1</v>
      </c>
      <c r="B1345" s="4" t="str">
        <f>IFERROR(__xludf.DUMMYFUNCTION("""COMPUTED_VALUE"""),"MOTOR LPR")</f>
        <v>MOTOR LPR</v>
      </c>
      <c r="C1345" s="4" t="str">
        <f>IFERROR(__xludf.DUMMYFUNCTION("""COMPUTED_VALUE"""),"Motor LPR - Dual Core Motor LPR Neural Labs, Licencia para 2 Nucleos de Procesamiento (STOP &amp; GO hasta 16 Cámaras, de 20 a 40 Km/H hasta 8 Cámaras, de 40 a 100 Km/H hasta 8 Cámaras y de 100 a 150 Km/H hasta 2 Cámaras)")</f>
        <v>Motor LPR - Dual Core Motor LPR Neural Labs, Licencia para 2 Nucleos de Procesamiento (STOP &amp; GO hasta 16 Cámaras, de 20 a 40 Km/H hasta 8 Cámaras, de 40 a 100 Km/H hasta 8 Cámaras y de 100 a 150 Km/H hasta 2 Cámaras)</v>
      </c>
      <c r="D1345" s="4" t="str">
        <f>IFERROR(__xludf.DUMMYFUNCTION("""COMPUTED_VALUE"""),"DIGIFORT")</f>
        <v>DIGIFORT</v>
      </c>
      <c r="E1345" s="4" t="str">
        <f>IFERROR(__xludf.DUMMYFUNCTION("""COMPUTED_VALUE"""),"DGFNL1102V1")</f>
        <v>DGFNL1102V1</v>
      </c>
      <c r="F1345" s="4" t="str">
        <f>IFERROR(__xludf.DUMMYFUNCTION("""COMPUTED_VALUE"""),"SOFTWARE / LICENCIAS &gt; LICENCIA LPR (PATENTES) PARA : STANDARD/PROFESIONAL/ENTERPRISE")</f>
        <v>SOFTWARE / LICENCIAS &gt; LICENCIA LPR (PATENTES) PARA : STANDARD/PROFESIONAL/ENTERPRISE</v>
      </c>
      <c r="G1345" s="5"/>
      <c r="H1345" s="6">
        <f>IFERROR(__xludf.DUMMYFUNCTION("""COMPUTED_VALUE"""),3415.5)</f>
        <v>3415.5</v>
      </c>
      <c r="I1345" s="7">
        <f>IFERROR(__xludf.DUMMYFUNCTION("""COMPUTED_VALUE"""),21.0)</f>
        <v>21</v>
      </c>
      <c r="J1345" s="6">
        <f>IFERROR(__xludf.DUMMYFUNCTION("""COMPUTED_VALUE"""),4098.6)</f>
        <v>4098.6</v>
      </c>
      <c r="K1345" s="6">
        <f>IFERROR(__xludf.DUMMYFUNCTION("""COMPUTED_VALUE"""),4781.7)</f>
        <v>4781.7</v>
      </c>
      <c r="L1345" s="3"/>
      <c r="M1345" s="3"/>
    </row>
    <row r="1346" ht="48.0" customHeight="1">
      <c r="A1346" s="3" t="str">
        <f>IFERROR(__xludf.DUMMYFUNCTION("""COMPUTED_VALUE"""),"DGFNL1104V1")</f>
        <v>DGFNL1104V1</v>
      </c>
      <c r="B1346" s="4" t="str">
        <f>IFERROR(__xludf.DUMMYFUNCTION("""COMPUTED_VALUE"""),"MOTOR LPR")</f>
        <v>MOTOR LPR</v>
      </c>
      <c r="C1346" s="4" t="str">
        <f>IFERROR(__xludf.DUMMYFUNCTION("""COMPUTED_VALUE"""),"Motor LPR - Quad Core Motor LPR Neural Labs, Licencia para 4 Nucleos de Procesamiento (STOP &amp; GO hasta 32 Cámaras, de 20 a 40 Km/H hasta 24 Cámaras, de 40 a 100 Km/H hasta 16 Cámaras y de 100 a 150 Km/H hasta 4 Cámaras)")</f>
        <v>Motor LPR - Quad Core Motor LPR Neural Labs, Licencia para 4 Nucleos de Procesamiento (STOP &amp; GO hasta 32 Cámaras, de 20 a 40 Km/H hasta 24 Cámaras, de 40 a 100 Km/H hasta 16 Cámaras y de 100 a 150 Km/H hasta 4 Cámaras)</v>
      </c>
      <c r="D1346" s="4" t="str">
        <f>IFERROR(__xludf.DUMMYFUNCTION("""COMPUTED_VALUE"""),"DIGIFORT")</f>
        <v>DIGIFORT</v>
      </c>
      <c r="E1346" s="4" t="str">
        <f>IFERROR(__xludf.DUMMYFUNCTION("""COMPUTED_VALUE"""),"DGFNL1104V1")</f>
        <v>DGFNL1104V1</v>
      </c>
      <c r="F1346" s="4" t="str">
        <f>IFERROR(__xludf.DUMMYFUNCTION("""COMPUTED_VALUE"""),"SOFTWARE / LICENCIAS &gt; LICENCIA LPR (PATENTES) PARA : STANDARD/PROFESIONAL/ENTERPRISE")</f>
        <v>SOFTWARE / LICENCIAS &gt; LICENCIA LPR (PATENTES) PARA : STANDARD/PROFESIONAL/ENTERPRISE</v>
      </c>
      <c r="G1346" s="5"/>
      <c r="H1346" s="6">
        <f>IFERROR(__xludf.DUMMYFUNCTION("""COMPUTED_VALUE"""),5032.5)</f>
        <v>5032.5</v>
      </c>
      <c r="I1346" s="7">
        <f>IFERROR(__xludf.DUMMYFUNCTION("""COMPUTED_VALUE"""),21.0)</f>
        <v>21</v>
      </c>
      <c r="J1346" s="6">
        <f>IFERROR(__xludf.DUMMYFUNCTION("""COMPUTED_VALUE"""),6039.0)</f>
        <v>6039</v>
      </c>
      <c r="K1346" s="6">
        <f>IFERROR(__xludf.DUMMYFUNCTION("""COMPUTED_VALUE"""),7045.5)</f>
        <v>7045.5</v>
      </c>
      <c r="L1346" s="3"/>
      <c r="M1346" s="3"/>
    </row>
    <row r="1347" ht="48.0" customHeight="1">
      <c r="A1347" s="3" t="str">
        <f>IFERROR(__xludf.DUMMYFUNCTION("""COMPUTED_VALUE"""),"DGFNL1108V1")</f>
        <v>DGFNL1108V1</v>
      </c>
      <c r="B1347" s="4" t="str">
        <f>IFERROR(__xludf.DUMMYFUNCTION("""COMPUTED_VALUE"""),"MOTOR LPR")</f>
        <v>MOTOR LPR</v>
      </c>
      <c r="C1347" s="4" t="str">
        <f>IFERROR(__xludf.DUMMYFUNCTION("""COMPUTED_VALUE"""),"Motor LPR - Eight Core Motor LPR Neural Labs, Licencia para 8 Nucleos de Procesamiento (STOP &amp; GO hasta 64 Cámaras, de 20 a 40 Km/H hasta 48 Cámaras, de 40 a 100 Km/H hasta 32 Cámaras y de 100 a 150 Km/H hasta 8 Cámaras)")</f>
        <v>Motor LPR - Eight Core Motor LPR Neural Labs, Licencia para 8 Nucleos de Procesamiento (STOP &amp; GO hasta 64 Cámaras, de 20 a 40 Km/H hasta 48 Cámaras, de 40 a 100 Km/H hasta 32 Cámaras y de 100 a 150 Km/H hasta 8 Cámaras)</v>
      </c>
      <c r="D1347" s="4" t="str">
        <f>IFERROR(__xludf.DUMMYFUNCTION("""COMPUTED_VALUE"""),"DIGIFORT")</f>
        <v>DIGIFORT</v>
      </c>
      <c r="E1347" s="4" t="str">
        <f>IFERROR(__xludf.DUMMYFUNCTION("""COMPUTED_VALUE"""),"DGFNL1108V1")</f>
        <v>DGFNL1108V1</v>
      </c>
      <c r="F1347" s="4" t="str">
        <f>IFERROR(__xludf.DUMMYFUNCTION("""COMPUTED_VALUE"""),"SOFTWARE / LICENCIAS &gt; LICENCIA LPR (PATENTES) PARA : STANDARD/PROFESIONAL/ENTERPRISE")</f>
        <v>SOFTWARE / LICENCIAS &gt; LICENCIA LPR (PATENTES) PARA : STANDARD/PROFESIONAL/ENTERPRISE</v>
      </c>
      <c r="G1347" s="5"/>
      <c r="H1347" s="6">
        <f>IFERROR(__xludf.DUMMYFUNCTION("""COMPUTED_VALUE"""),7474.5)</f>
        <v>7474.5</v>
      </c>
      <c r="I1347" s="7">
        <f>IFERROR(__xludf.DUMMYFUNCTION("""COMPUTED_VALUE"""),21.0)</f>
        <v>21</v>
      </c>
      <c r="J1347" s="6">
        <f>IFERROR(__xludf.DUMMYFUNCTION("""COMPUTED_VALUE"""),8969.4)</f>
        <v>8969.4</v>
      </c>
      <c r="K1347" s="6">
        <f>IFERROR(__xludf.DUMMYFUNCTION("""COMPUTED_VALUE"""),10464.3)</f>
        <v>10464.3</v>
      </c>
      <c r="L1347" s="3"/>
      <c r="M1347" s="3"/>
    </row>
    <row r="1348" ht="48.0" customHeight="1">
      <c r="A1348" s="3" t="str">
        <f>IFERROR(__xludf.DUMMYFUNCTION("""COMPUTED_VALUE"""),"DGFNL1116V1")</f>
        <v>DGFNL1116V1</v>
      </c>
      <c r="B1348" s="4" t="str">
        <f>IFERROR(__xludf.DUMMYFUNCTION("""COMPUTED_VALUE"""),"MOTOR LPR")</f>
        <v>MOTOR LPR</v>
      </c>
      <c r="C1348" s="4" t="str">
        <f>IFERROR(__xludf.DUMMYFUNCTION("""COMPUTED_VALUE"""),"Motor LPR - 16 Core Motor LPR Neural Labs, Licencia para 16 Nucleos de Procesamiento (STOP &amp; GO hasta 128 Cámaras, de 20 a 40 Km/H hasta 96 Cámaras, de 40 a 100 Km/H hasta 64 Cámaras y de 100 a 150 Km/H hasta16 Cámaras)")</f>
        <v>Motor LPR - 16 Core Motor LPR Neural Labs, Licencia para 16 Nucleos de Procesamiento (STOP &amp; GO hasta 128 Cámaras, de 20 a 40 Km/H hasta 96 Cámaras, de 40 a 100 Km/H hasta 64 Cámaras y de 100 a 150 Km/H hasta16 Cámaras)</v>
      </c>
      <c r="D1348" s="4" t="str">
        <f>IFERROR(__xludf.DUMMYFUNCTION("""COMPUTED_VALUE"""),"DIGIFORT")</f>
        <v>DIGIFORT</v>
      </c>
      <c r="E1348" s="4" t="str">
        <f>IFERROR(__xludf.DUMMYFUNCTION("""COMPUTED_VALUE"""),"DGFNL1116V1")</f>
        <v>DGFNL1116V1</v>
      </c>
      <c r="F1348" s="4" t="str">
        <f>IFERROR(__xludf.DUMMYFUNCTION("""COMPUTED_VALUE"""),"SOFTWARE / LICENCIAS &gt; LICENCIA LPR (PATENTES) PARA : STANDARD/PROFESIONAL/ENTERPRISE")</f>
        <v>SOFTWARE / LICENCIAS &gt; LICENCIA LPR (PATENTES) PARA : STANDARD/PROFESIONAL/ENTERPRISE</v>
      </c>
      <c r="G1348" s="5"/>
      <c r="H1348" s="6">
        <f>IFERROR(__xludf.DUMMYFUNCTION("""COMPUTED_VALUE"""),11129.25)</f>
        <v>11129.25</v>
      </c>
      <c r="I1348" s="7">
        <f>IFERROR(__xludf.DUMMYFUNCTION("""COMPUTED_VALUE"""),21.0)</f>
        <v>21</v>
      </c>
      <c r="J1348" s="6">
        <f>IFERROR(__xludf.DUMMYFUNCTION("""COMPUTED_VALUE"""),13355.1)</f>
        <v>13355.1</v>
      </c>
      <c r="K1348" s="6">
        <f>IFERROR(__xludf.DUMMYFUNCTION("""COMPUTED_VALUE"""),15580.95)</f>
        <v>15580.95</v>
      </c>
      <c r="L1348" s="3"/>
      <c r="M1348" s="3"/>
    </row>
    <row r="1349" ht="48.0" customHeight="1">
      <c r="A1349" s="3" t="str">
        <f>IFERROR(__xludf.DUMMYFUNCTION("""COMPUTED_VALUE"""),"DGFST4101V7")</f>
        <v>DGFST4101V7</v>
      </c>
      <c r="B1349" s="4" t="str">
        <f>IFERROR(__xludf.DUMMYFUNCTION("""COMPUTED_VALUE"""),"SISTEMA DIGIFORT EDICIÓN STANDARD PARA WINDOWS")</f>
        <v>SISTEMA DIGIFORT EDICIÓN STANDARD PARA WINDOWS</v>
      </c>
      <c r="C1349" s="4" t="str">
        <f>IFERROR(__xludf.DUMMYFUNCTION("""COMPUTED_VALUE"""),"Sistema Digifort Edición Standard para Windows - Pack para administración de LPR Embebido (EDGE LPR) para 01 cámara")</f>
        <v>Sistema Digifort Edición Standard para Windows - Pack para administración de LPR Embebido (EDGE LPR) para 01 cámara</v>
      </c>
      <c r="D1349" s="4" t="str">
        <f>IFERROR(__xludf.DUMMYFUNCTION("""COMPUTED_VALUE"""),"DIGIFORT")</f>
        <v>DIGIFORT</v>
      </c>
      <c r="E1349" s="4" t="str">
        <f>IFERROR(__xludf.DUMMYFUNCTION("""COMPUTED_VALUE"""),"DGFST4101V7")</f>
        <v>DGFST4101V7</v>
      </c>
      <c r="F1349" s="4" t="str">
        <f>IFERROR(__xludf.DUMMYFUNCTION("""COMPUTED_VALUE"""),"SOFTWARE / LICENCIAS &gt; DIGIFORT EDGE LPR STANDARD (LICENCIAS PARA CÁMARAS SOPORTADAS Y QUE POSEAN EMBEBIDO EL RECONOCIMIENTO LPR)")</f>
        <v>SOFTWARE / LICENCIAS &gt; DIGIFORT EDGE LPR STANDARD (LICENCIAS PARA CÁMARAS SOPORTADAS Y QUE POSEAN EMBEBIDO EL RECONOCIMIENTO LPR)</v>
      </c>
      <c r="G1349" s="5"/>
      <c r="H1349" s="6">
        <f>IFERROR(__xludf.DUMMYFUNCTION("""COMPUTED_VALUE"""),415.66)</f>
        <v>415.66</v>
      </c>
      <c r="I1349" s="7">
        <f>IFERROR(__xludf.DUMMYFUNCTION("""COMPUTED_VALUE"""),21.0)</f>
        <v>21</v>
      </c>
      <c r="J1349" s="6">
        <f>IFERROR(__xludf.DUMMYFUNCTION("""COMPUTED_VALUE"""),498.79)</f>
        <v>498.79</v>
      </c>
      <c r="K1349" s="6">
        <f>IFERROR(__xludf.DUMMYFUNCTION("""COMPUTED_VALUE"""),581.92)</f>
        <v>581.92</v>
      </c>
      <c r="L1349" s="3"/>
      <c r="M1349" s="3"/>
    </row>
    <row r="1350" ht="48.0" customHeight="1">
      <c r="A1350" s="3" t="str">
        <f>IFERROR(__xludf.DUMMYFUNCTION("""COMPUTED_VALUE"""),"DGFST4102V7")</f>
        <v>DGFST4102V7</v>
      </c>
      <c r="B1350" s="4" t="str">
        <f>IFERROR(__xludf.DUMMYFUNCTION("""COMPUTED_VALUE"""),"SISTEMA DIGIFORT EDICIÓN STANDARD PARA WINDOWS")</f>
        <v>SISTEMA DIGIFORT EDICIÓN STANDARD PARA WINDOWS</v>
      </c>
      <c r="C1350" s="4" t="str">
        <f>IFERROR(__xludf.DUMMYFUNCTION("""COMPUTED_VALUE"""),"Sistema Digifort Edición Standard para Windows - Pack para administración de LPR Embebido (EDGE LPR) para 02 cámaras")</f>
        <v>Sistema Digifort Edición Standard para Windows - Pack para administración de LPR Embebido (EDGE LPR) para 02 cámaras</v>
      </c>
      <c r="D1350" s="4" t="str">
        <f>IFERROR(__xludf.DUMMYFUNCTION("""COMPUTED_VALUE"""),"DIGIFORT")</f>
        <v>DIGIFORT</v>
      </c>
      <c r="E1350" s="4" t="str">
        <f>IFERROR(__xludf.DUMMYFUNCTION("""COMPUTED_VALUE"""),"DGFST4102V7")</f>
        <v>DGFST4102V7</v>
      </c>
      <c r="F1350" s="4" t="str">
        <f>IFERROR(__xludf.DUMMYFUNCTION("""COMPUTED_VALUE"""),"SOFTWARE / LICENCIAS &gt; DIGIFORT EDGE LPR STANDARD (LICENCIAS PARA CÁMARAS SOPORTADAS Y QUE POSEAN EMBEBIDO EL RECONOCIMIENTO LPR)")</f>
        <v>SOFTWARE / LICENCIAS &gt; DIGIFORT EDGE LPR STANDARD (LICENCIAS PARA CÁMARAS SOPORTADAS Y QUE POSEAN EMBEBIDO EL RECONOCIMIENTO LPR)</v>
      </c>
      <c r="G1350" s="5"/>
      <c r="H1350" s="6">
        <f>IFERROR(__xludf.DUMMYFUNCTION("""COMPUTED_VALUE"""),748.18)</f>
        <v>748.18</v>
      </c>
      <c r="I1350" s="7">
        <f>IFERROR(__xludf.DUMMYFUNCTION("""COMPUTED_VALUE"""),21.0)</f>
        <v>21</v>
      </c>
      <c r="J1350" s="6">
        <f>IFERROR(__xludf.DUMMYFUNCTION("""COMPUTED_VALUE"""),897.82)</f>
        <v>897.82</v>
      </c>
      <c r="K1350" s="6">
        <f>IFERROR(__xludf.DUMMYFUNCTION("""COMPUTED_VALUE"""),1047.45)</f>
        <v>1047.45</v>
      </c>
      <c r="L1350" s="3"/>
      <c r="M1350" s="3"/>
    </row>
    <row r="1351" ht="48.0" customHeight="1">
      <c r="A1351" s="3" t="str">
        <f>IFERROR(__xludf.DUMMYFUNCTION("""COMPUTED_VALUE"""),"DGFST4104V7")</f>
        <v>DGFST4104V7</v>
      </c>
      <c r="B1351" s="4" t="str">
        <f>IFERROR(__xludf.DUMMYFUNCTION("""COMPUTED_VALUE"""),"SISTEMA DIGIFORT EDICIÓN STANDARD PARA WINDOWS")</f>
        <v>SISTEMA DIGIFORT EDICIÓN STANDARD PARA WINDOWS</v>
      </c>
      <c r="C1351" s="4" t="str">
        <f>IFERROR(__xludf.DUMMYFUNCTION("""COMPUTED_VALUE"""),"Sistema Digifort Edición Standard para Windows - Pack para administración de LPR Embebido (EDGE LPR) para 04 cámaras")</f>
        <v>Sistema Digifort Edición Standard para Windows - Pack para administración de LPR Embebido (EDGE LPR) para 04 cámaras</v>
      </c>
      <c r="D1351" s="4" t="str">
        <f>IFERROR(__xludf.DUMMYFUNCTION("""COMPUTED_VALUE"""),"DIGIFORT")</f>
        <v>DIGIFORT</v>
      </c>
      <c r="E1351" s="4" t="str">
        <f>IFERROR(__xludf.DUMMYFUNCTION("""COMPUTED_VALUE"""),"DGFST4104V7")</f>
        <v>DGFST4104V7</v>
      </c>
      <c r="F1351" s="4" t="str">
        <f>IFERROR(__xludf.DUMMYFUNCTION("""COMPUTED_VALUE"""),"SOFTWARE / LICENCIAS &gt; DIGIFORT EDGE LPR STANDARD (LICENCIAS PARA CÁMARAS SOPORTADAS Y QUE POSEAN EMBEBIDO EL RECONOCIMIENTO LPR)")</f>
        <v>SOFTWARE / LICENCIAS &gt; DIGIFORT EDGE LPR STANDARD (LICENCIAS PARA CÁMARAS SOPORTADAS Y QUE POSEAN EMBEBIDO EL RECONOCIMIENTO LPR)</v>
      </c>
      <c r="G1351" s="5"/>
      <c r="H1351" s="6">
        <f>IFERROR(__xludf.DUMMYFUNCTION("""COMPUTED_VALUE"""),1346.72)</f>
        <v>1346.72</v>
      </c>
      <c r="I1351" s="7">
        <f>IFERROR(__xludf.DUMMYFUNCTION("""COMPUTED_VALUE"""),21.0)</f>
        <v>21</v>
      </c>
      <c r="J1351" s="6">
        <f>IFERROR(__xludf.DUMMYFUNCTION("""COMPUTED_VALUE"""),1616.06)</f>
        <v>1616.06</v>
      </c>
      <c r="K1351" s="6">
        <f>IFERROR(__xludf.DUMMYFUNCTION("""COMPUTED_VALUE"""),1885.41)</f>
        <v>1885.41</v>
      </c>
      <c r="L1351" s="3"/>
      <c r="M1351" s="3"/>
    </row>
    <row r="1352" ht="48.0" customHeight="1">
      <c r="A1352" s="3" t="str">
        <f>IFERROR(__xludf.DUMMYFUNCTION("""COMPUTED_VALUE"""),"DGFST4108V7")</f>
        <v>DGFST4108V7</v>
      </c>
      <c r="B1352" s="4" t="str">
        <f>IFERROR(__xludf.DUMMYFUNCTION("""COMPUTED_VALUE"""),"SISTEMA DIGIFORT EDICIÓN STANDARD PARA WINDOWS")</f>
        <v>SISTEMA DIGIFORT EDICIÓN STANDARD PARA WINDOWS</v>
      </c>
      <c r="C1352" s="4" t="str">
        <f>IFERROR(__xludf.DUMMYFUNCTION("""COMPUTED_VALUE"""),"Sistema Digifort Edición Standard para Windows - Pack para administración de LPR Embebido (EDGE LPR) para 08 cámaras")</f>
        <v>Sistema Digifort Edición Standard para Windows - Pack para administración de LPR Embebido (EDGE LPR) para 08 cámaras</v>
      </c>
      <c r="D1352" s="4" t="str">
        <f>IFERROR(__xludf.DUMMYFUNCTION("""COMPUTED_VALUE"""),"DIGIFORT")</f>
        <v>DIGIFORT</v>
      </c>
      <c r="E1352" s="4" t="str">
        <f>IFERROR(__xludf.DUMMYFUNCTION("""COMPUTED_VALUE"""),"DGFST4108V7")</f>
        <v>DGFST4108V7</v>
      </c>
      <c r="F1352" s="4" t="str">
        <f>IFERROR(__xludf.DUMMYFUNCTION("""COMPUTED_VALUE"""),"SOFTWARE / LICENCIAS &gt; DIGIFORT EDGE LPR STANDARD (LICENCIAS PARA CÁMARAS SOPORTADAS Y QUE POSEAN EMBEBIDO EL RECONOCIMIENTO LPR)")</f>
        <v>SOFTWARE / LICENCIAS &gt; DIGIFORT EDGE LPR STANDARD (LICENCIAS PARA CÁMARAS SOPORTADAS Y QUE POSEAN EMBEBIDO EL RECONOCIMIENTO LPR)</v>
      </c>
      <c r="G1352" s="5"/>
      <c r="H1352" s="6">
        <f>IFERROR(__xludf.DUMMYFUNCTION("""COMPUTED_VALUE"""),2424.1)</f>
        <v>2424.1</v>
      </c>
      <c r="I1352" s="7">
        <f>IFERROR(__xludf.DUMMYFUNCTION("""COMPUTED_VALUE"""),21.0)</f>
        <v>21</v>
      </c>
      <c r="J1352" s="6">
        <f>IFERROR(__xludf.DUMMYFUNCTION("""COMPUTED_VALUE"""),2908.92)</f>
        <v>2908.92</v>
      </c>
      <c r="K1352" s="6">
        <f>IFERROR(__xludf.DUMMYFUNCTION("""COMPUTED_VALUE"""),3393.74)</f>
        <v>3393.74</v>
      </c>
      <c r="L1352" s="3"/>
      <c r="M1352" s="3"/>
    </row>
    <row r="1353" ht="48.0" customHeight="1">
      <c r="A1353" s="3" t="str">
        <f>IFERROR(__xludf.DUMMYFUNCTION("""COMPUTED_VALUE"""),"DGFST4116V7")</f>
        <v>DGFST4116V7</v>
      </c>
      <c r="B1353" s="4" t="str">
        <f>IFERROR(__xludf.DUMMYFUNCTION("""COMPUTED_VALUE"""),"SISTEMA DIGIFORT EDICIÓN STANDARD PARA WINDOWS")</f>
        <v>SISTEMA DIGIFORT EDICIÓN STANDARD PARA WINDOWS</v>
      </c>
      <c r="C1353" s="4" t="str">
        <f>IFERROR(__xludf.DUMMYFUNCTION("""COMPUTED_VALUE"""),"Sistema Digifort Edición Standard para Windows - Pack para administración de LPR Embebido (EDGE LPR) para 16 cámaras")</f>
        <v>Sistema Digifort Edición Standard para Windows - Pack para administración de LPR Embebido (EDGE LPR) para 16 cámaras</v>
      </c>
      <c r="D1353" s="4" t="str">
        <f>IFERROR(__xludf.DUMMYFUNCTION("""COMPUTED_VALUE"""),"DIGIFORT")</f>
        <v>DIGIFORT</v>
      </c>
      <c r="E1353" s="4" t="str">
        <f>IFERROR(__xludf.DUMMYFUNCTION("""COMPUTED_VALUE"""),"DGFST4116V7")</f>
        <v>DGFST4116V7</v>
      </c>
      <c r="F1353" s="4" t="str">
        <f>IFERROR(__xludf.DUMMYFUNCTION("""COMPUTED_VALUE"""),"SOFTWARE / LICENCIAS &gt; DIGIFORT EDGE LPR STANDARD (LICENCIAS PARA CÁMARAS SOPORTADAS Y QUE POSEAN EMBEBIDO EL RECONOCIMIENTO LPR)")</f>
        <v>SOFTWARE / LICENCIAS &gt; DIGIFORT EDGE LPR STANDARD (LICENCIAS PARA CÁMARAS SOPORTADAS Y QUE POSEAN EMBEBIDO EL RECONOCIMIENTO LPR)</v>
      </c>
      <c r="G1353" s="5"/>
      <c r="H1353" s="6">
        <f>IFERROR(__xludf.DUMMYFUNCTION("""COMPUTED_VALUE"""),4363.38)</f>
        <v>4363.38</v>
      </c>
      <c r="I1353" s="7">
        <f>IFERROR(__xludf.DUMMYFUNCTION("""COMPUTED_VALUE"""),21.0)</f>
        <v>21</v>
      </c>
      <c r="J1353" s="6">
        <f>IFERROR(__xludf.DUMMYFUNCTION("""COMPUTED_VALUE"""),5236.06)</f>
        <v>5236.06</v>
      </c>
      <c r="K1353" s="6">
        <f>IFERROR(__xludf.DUMMYFUNCTION("""COMPUTED_VALUE"""),6108.73)</f>
        <v>6108.73</v>
      </c>
      <c r="L1353" s="3"/>
      <c r="M1353" s="3"/>
    </row>
    <row r="1354" ht="48.0" customHeight="1">
      <c r="A1354" s="3" t="str">
        <f>IFERROR(__xludf.DUMMYFUNCTION("""COMPUTED_VALUE"""),"DGFPR4101V7")</f>
        <v>DGFPR4101V7</v>
      </c>
      <c r="B1354" s="4" t="str">
        <f>IFERROR(__xludf.DUMMYFUNCTION("""COMPUTED_VALUE"""),"SISTEMA DIGIFORT EDICIÓN PROFESSIONAL PARA WINDOWS")</f>
        <v>SISTEMA DIGIFORT EDICIÓN PROFESSIONAL PARA WINDOWS</v>
      </c>
      <c r="C1354" s="4" t="str">
        <f>IFERROR(__xludf.DUMMYFUNCTION("""COMPUTED_VALUE"""),"Sistema Digifort Edición Professional para Windows - Pack para administración de LPR Embebido (EDGE LPR) para 01 cámara")</f>
        <v>Sistema Digifort Edición Professional para Windows - Pack para administración de LPR Embebido (EDGE LPR) para 01 cámara</v>
      </c>
      <c r="D1354" s="4" t="str">
        <f>IFERROR(__xludf.DUMMYFUNCTION("""COMPUTED_VALUE"""),"DIGIFORT")</f>
        <v>DIGIFORT</v>
      </c>
      <c r="E1354" s="4" t="str">
        <f>IFERROR(__xludf.DUMMYFUNCTION("""COMPUTED_VALUE"""),"DGFPR4101V7")</f>
        <v>DGFPR4101V7</v>
      </c>
      <c r="F1354" s="4" t="str">
        <f>IFERROR(__xludf.DUMMYFUNCTION("""COMPUTED_VALUE"""),"SOFTWARE / LICENCIAS &gt; DIGIFORT EDGE LPR – PROFESSIONAL (LICENCIAS PARA CÁMARAS SOPORTADAS Y QUE POSEAN EMBEBIDO EL RECONOCIMIENTO LPR)")</f>
        <v>SOFTWARE / LICENCIAS &gt; DIGIFORT EDGE LPR – PROFESSIONAL (LICENCIAS PARA CÁMARAS SOPORTADAS Y QUE POSEAN EMBEBIDO EL RECONOCIMIENTO LPR)</v>
      </c>
      <c r="G1354" s="5"/>
      <c r="H1354" s="6">
        <f>IFERROR(__xludf.DUMMYFUNCTION("""COMPUTED_VALUE"""),415.66)</f>
        <v>415.66</v>
      </c>
      <c r="I1354" s="7">
        <f>IFERROR(__xludf.DUMMYFUNCTION("""COMPUTED_VALUE"""),21.0)</f>
        <v>21</v>
      </c>
      <c r="J1354" s="6">
        <f>IFERROR(__xludf.DUMMYFUNCTION("""COMPUTED_VALUE"""),498.79)</f>
        <v>498.79</v>
      </c>
      <c r="K1354" s="6">
        <f>IFERROR(__xludf.DUMMYFUNCTION("""COMPUTED_VALUE"""),581.92)</f>
        <v>581.92</v>
      </c>
      <c r="L1354" s="3"/>
      <c r="M1354" s="3"/>
    </row>
    <row r="1355" ht="48.0" customHeight="1">
      <c r="A1355" s="3" t="str">
        <f>IFERROR(__xludf.DUMMYFUNCTION("""COMPUTED_VALUE"""),"DGFPR4102V7")</f>
        <v>DGFPR4102V7</v>
      </c>
      <c r="B1355" s="4" t="str">
        <f>IFERROR(__xludf.DUMMYFUNCTION("""COMPUTED_VALUE"""),"SISTEMA DIGIFORT EDICIÓN PROFESSIONAL PARA WINDOWS")</f>
        <v>SISTEMA DIGIFORT EDICIÓN PROFESSIONAL PARA WINDOWS</v>
      </c>
      <c r="C1355" s="4" t="str">
        <f>IFERROR(__xludf.DUMMYFUNCTION("""COMPUTED_VALUE"""),"Sistema Digifort Edición Professional para Windows - Pack para administración de LPR Embebido (EDGE LPR) para 02 cámaras")</f>
        <v>Sistema Digifort Edición Professional para Windows - Pack para administración de LPR Embebido (EDGE LPR) para 02 cámaras</v>
      </c>
      <c r="D1355" s="4" t="str">
        <f>IFERROR(__xludf.DUMMYFUNCTION("""COMPUTED_VALUE"""),"DIGIFORT")</f>
        <v>DIGIFORT</v>
      </c>
      <c r="E1355" s="4" t="str">
        <f>IFERROR(__xludf.DUMMYFUNCTION("""COMPUTED_VALUE"""),"DGFPR4102V7")</f>
        <v>DGFPR4102V7</v>
      </c>
      <c r="F1355" s="4" t="str">
        <f>IFERROR(__xludf.DUMMYFUNCTION("""COMPUTED_VALUE"""),"SOFTWARE / LICENCIAS &gt; DIGIFORT EDGE LPR – PROFESSIONAL (LICENCIAS PARA CÁMARAS SOPORTADAS Y QUE POSEAN EMBEBIDO EL RECONOCIMIENTO LPR)")</f>
        <v>SOFTWARE / LICENCIAS &gt; DIGIFORT EDGE LPR – PROFESSIONAL (LICENCIAS PARA CÁMARAS SOPORTADAS Y QUE POSEAN EMBEBIDO EL RECONOCIMIENTO LPR)</v>
      </c>
      <c r="G1355" s="5"/>
      <c r="H1355" s="6">
        <f>IFERROR(__xludf.DUMMYFUNCTION("""COMPUTED_VALUE"""),748.18)</f>
        <v>748.18</v>
      </c>
      <c r="I1355" s="7">
        <f>IFERROR(__xludf.DUMMYFUNCTION("""COMPUTED_VALUE"""),21.0)</f>
        <v>21</v>
      </c>
      <c r="J1355" s="6">
        <f>IFERROR(__xludf.DUMMYFUNCTION("""COMPUTED_VALUE"""),897.82)</f>
        <v>897.82</v>
      </c>
      <c r="K1355" s="6">
        <f>IFERROR(__xludf.DUMMYFUNCTION("""COMPUTED_VALUE"""),1047.45)</f>
        <v>1047.45</v>
      </c>
      <c r="L1355" s="3"/>
      <c r="M1355" s="3"/>
    </row>
    <row r="1356" ht="48.0" customHeight="1">
      <c r="A1356" s="3" t="str">
        <f>IFERROR(__xludf.DUMMYFUNCTION("""COMPUTED_VALUE"""),"DGFPR4104V7")</f>
        <v>DGFPR4104V7</v>
      </c>
      <c r="B1356" s="4" t="str">
        <f>IFERROR(__xludf.DUMMYFUNCTION("""COMPUTED_VALUE"""),"SISTEMA DIGIFORT EDICIÓN PROFESSIONAL PARA WINDOWS")</f>
        <v>SISTEMA DIGIFORT EDICIÓN PROFESSIONAL PARA WINDOWS</v>
      </c>
      <c r="C1356" s="4" t="str">
        <f>IFERROR(__xludf.DUMMYFUNCTION("""COMPUTED_VALUE"""),"Sistema Digifort Edición Professional para Windows - Pack para administración de LPR Embebido (EDGE LPR) para 04 cámaras")</f>
        <v>Sistema Digifort Edición Professional para Windows - Pack para administración de LPR Embebido (EDGE LPR) para 04 cámaras</v>
      </c>
      <c r="D1356" s="4" t="str">
        <f>IFERROR(__xludf.DUMMYFUNCTION("""COMPUTED_VALUE"""),"DIGIFORT")</f>
        <v>DIGIFORT</v>
      </c>
      <c r="E1356" s="4" t="str">
        <f>IFERROR(__xludf.DUMMYFUNCTION("""COMPUTED_VALUE"""),"DGFPR4104V7")</f>
        <v>DGFPR4104V7</v>
      </c>
      <c r="F1356" s="4" t="str">
        <f>IFERROR(__xludf.DUMMYFUNCTION("""COMPUTED_VALUE"""),"SOFTWARE / LICENCIAS &gt; DIGIFORT EDGE LPR – PROFESSIONAL (LICENCIAS PARA CÁMARAS SOPORTADAS Y QUE POSEAN EMBEBIDO EL RECONOCIMIENTO LPR)")</f>
        <v>SOFTWARE / LICENCIAS &gt; DIGIFORT EDGE LPR – PROFESSIONAL (LICENCIAS PARA CÁMARAS SOPORTADAS Y QUE POSEAN EMBEBIDO EL RECONOCIMIENTO LPR)</v>
      </c>
      <c r="G1356" s="5"/>
      <c r="H1356" s="6">
        <f>IFERROR(__xludf.DUMMYFUNCTION("""COMPUTED_VALUE"""),1346.72)</f>
        <v>1346.72</v>
      </c>
      <c r="I1356" s="7">
        <f>IFERROR(__xludf.DUMMYFUNCTION("""COMPUTED_VALUE"""),21.0)</f>
        <v>21</v>
      </c>
      <c r="J1356" s="6">
        <f>IFERROR(__xludf.DUMMYFUNCTION("""COMPUTED_VALUE"""),1616.06)</f>
        <v>1616.06</v>
      </c>
      <c r="K1356" s="6">
        <f>IFERROR(__xludf.DUMMYFUNCTION("""COMPUTED_VALUE"""),1885.41)</f>
        <v>1885.41</v>
      </c>
      <c r="L1356" s="3"/>
      <c r="M1356" s="3"/>
    </row>
    <row r="1357" ht="48.0" customHeight="1">
      <c r="A1357" s="3" t="str">
        <f>IFERROR(__xludf.DUMMYFUNCTION("""COMPUTED_VALUE"""),"DGFPR4108V7")</f>
        <v>DGFPR4108V7</v>
      </c>
      <c r="B1357" s="4" t="str">
        <f>IFERROR(__xludf.DUMMYFUNCTION("""COMPUTED_VALUE"""),"SISTEMA DIGIFORT EDICIÓN PROFESSIONAL PARA WINDOWS")</f>
        <v>SISTEMA DIGIFORT EDICIÓN PROFESSIONAL PARA WINDOWS</v>
      </c>
      <c r="C1357" s="4" t="str">
        <f>IFERROR(__xludf.DUMMYFUNCTION("""COMPUTED_VALUE"""),"Sistema Digifort Edición Professional para Windows - Pack para administración de LPR Embebido (EDGE LPR) para 08 cámaras")</f>
        <v>Sistema Digifort Edición Professional para Windows - Pack para administración de LPR Embebido (EDGE LPR) para 08 cámaras</v>
      </c>
      <c r="D1357" s="4" t="str">
        <f>IFERROR(__xludf.DUMMYFUNCTION("""COMPUTED_VALUE"""),"DIGIFORT")</f>
        <v>DIGIFORT</v>
      </c>
      <c r="E1357" s="4" t="str">
        <f>IFERROR(__xludf.DUMMYFUNCTION("""COMPUTED_VALUE"""),"DGFPR4108V7")</f>
        <v>DGFPR4108V7</v>
      </c>
      <c r="F1357" s="4" t="str">
        <f>IFERROR(__xludf.DUMMYFUNCTION("""COMPUTED_VALUE"""),"SOFTWARE / LICENCIAS &gt; DIGIFORT EDGE LPR – PROFESSIONAL (LICENCIAS PARA CÁMARAS SOPORTADAS Y QUE POSEAN EMBEBIDO EL RECONOCIMIENTO LPR)")</f>
        <v>SOFTWARE / LICENCIAS &gt; DIGIFORT EDGE LPR – PROFESSIONAL (LICENCIAS PARA CÁMARAS SOPORTADAS Y QUE POSEAN EMBEBIDO EL RECONOCIMIENTO LPR)</v>
      </c>
      <c r="G1357" s="5"/>
      <c r="H1357" s="6">
        <f>IFERROR(__xludf.DUMMYFUNCTION("""COMPUTED_VALUE"""),2424.1)</f>
        <v>2424.1</v>
      </c>
      <c r="I1357" s="7">
        <f>IFERROR(__xludf.DUMMYFUNCTION("""COMPUTED_VALUE"""),21.0)</f>
        <v>21</v>
      </c>
      <c r="J1357" s="6">
        <f>IFERROR(__xludf.DUMMYFUNCTION("""COMPUTED_VALUE"""),2908.92)</f>
        <v>2908.92</v>
      </c>
      <c r="K1357" s="6">
        <f>IFERROR(__xludf.DUMMYFUNCTION("""COMPUTED_VALUE"""),3393.74)</f>
        <v>3393.74</v>
      </c>
      <c r="L1357" s="3"/>
      <c r="M1357" s="3"/>
    </row>
    <row r="1358" ht="48.0" customHeight="1">
      <c r="A1358" s="3" t="str">
        <f>IFERROR(__xludf.DUMMYFUNCTION("""COMPUTED_VALUE"""),"DGFPR4116V7")</f>
        <v>DGFPR4116V7</v>
      </c>
      <c r="B1358" s="4" t="str">
        <f>IFERROR(__xludf.DUMMYFUNCTION("""COMPUTED_VALUE"""),"SISTEMA DIGIFORT EDICIÓN PROFESSIONAL PARA WINDOWS")</f>
        <v>SISTEMA DIGIFORT EDICIÓN PROFESSIONAL PARA WINDOWS</v>
      </c>
      <c r="C1358" s="4" t="str">
        <f>IFERROR(__xludf.DUMMYFUNCTION("""COMPUTED_VALUE"""),"Sistema Digifort Edición Professional para Windows - Pack para administración de LPR Embebido (EDGE LPR) para 16 cámaras")</f>
        <v>Sistema Digifort Edición Professional para Windows - Pack para administración de LPR Embebido (EDGE LPR) para 16 cámaras</v>
      </c>
      <c r="D1358" s="4" t="str">
        <f>IFERROR(__xludf.DUMMYFUNCTION("""COMPUTED_VALUE"""),"DIGIFORT")</f>
        <v>DIGIFORT</v>
      </c>
      <c r="E1358" s="4" t="str">
        <f>IFERROR(__xludf.DUMMYFUNCTION("""COMPUTED_VALUE"""),"DGFPR4116V7")</f>
        <v>DGFPR4116V7</v>
      </c>
      <c r="F1358" s="4" t="str">
        <f>IFERROR(__xludf.DUMMYFUNCTION("""COMPUTED_VALUE"""),"SOFTWARE / LICENCIAS &gt; DIGIFORT EDGE LPR – PROFESSIONAL (LICENCIAS PARA CÁMARAS SOPORTADAS Y QUE POSEAN EMBEBIDO EL RECONOCIMIENTO LPR)")</f>
        <v>SOFTWARE / LICENCIAS &gt; DIGIFORT EDGE LPR – PROFESSIONAL (LICENCIAS PARA CÁMARAS SOPORTADAS Y QUE POSEAN EMBEBIDO EL RECONOCIMIENTO LPR)</v>
      </c>
      <c r="G1358" s="5"/>
      <c r="H1358" s="6">
        <f>IFERROR(__xludf.DUMMYFUNCTION("""COMPUTED_VALUE"""),4363.38)</f>
        <v>4363.38</v>
      </c>
      <c r="I1358" s="7">
        <f>IFERROR(__xludf.DUMMYFUNCTION("""COMPUTED_VALUE"""),21.0)</f>
        <v>21</v>
      </c>
      <c r="J1358" s="6">
        <f>IFERROR(__xludf.DUMMYFUNCTION("""COMPUTED_VALUE"""),5236.06)</f>
        <v>5236.06</v>
      </c>
      <c r="K1358" s="6">
        <f>IFERROR(__xludf.DUMMYFUNCTION("""COMPUTED_VALUE"""),6108.73)</f>
        <v>6108.73</v>
      </c>
      <c r="L1358" s="3"/>
      <c r="M1358" s="3"/>
    </row>
    <row r="1359" ht="48.0" customHeight="1">
      <c r="A1359" s="3" t="str">
        <f>IFERROR(__xludf.DUMMYFUNCTION("""COMPUTED_VALUE"""),"DGFPR4132V7")</f>
        <v>DGFPR4132V7</v>
      </c>
      <c r="B1359" s="4" t="str">
        <f>IFERROR(__xludf.DUMMYFUNCTION("""COMPUTED_VALUE"""),"SISTEMA DIGIFORT EDICIÓN PROFESSIONAL PARA WINDOWS")</f>
        <v>SISTEMA DIGIFORT EDICIÓN PROFESSIONAL PARA WINDOWS</v>
      </c>
      <c r="C1359" s="4" t="str">
        <f>IFERROR(__xludf.DUMMYFUNCTION("""COMPUTED_VALUE"""),"Sistema Digifort Edición Professional para Windows - Pack para administración de LPR Embebido (EDGE LPR) para 32 cámaras")</f>
        <v>Sistema Digifort Edición Professional para Windows - Pack para administración de LPR Embebido (EDGE LPR) para 32 cámaras</v>
      </c>
      <c r="D1359" s="4" t="str">
        <f>IFERROR(__xludf.DUMMYFUNCTION("""COMPUTED_VALUE"""),"DIGIFORT")</f>
        <v>DIGIFORT</v>
      </c>
      <c r="E1359" s="4" t="str">
        <f>IFERROR(__xludf.DUMMYFUNCTION("""COMPUTED_VALUE"""),"DGFPR4132V7")</f>
        <v>DGFPR4132V7</v>
      </c>
      <c r="F1359" s="4" t="str">
        <f>IFERROR(__xludf.DUMMYFUNCTION("""COMPUTED_VALUE"""),"SOFTWARE / LICENCIAS &gt; DIGIFORT EDGE LPR – PROFESSIONAL (LICENCIAS PARA CÁMARAS SOPORTADAS Y QUE POSEAN EMBEBIDO EL RECONOCIMIENTO LPR)")</f>
        <v>SOFTWARE / LICENCIAS &gt; DIGIFORT EDGE LPR – PROFESSIONAL (LICENCIAS PARA CÁMARAS SOPORTADAS Y QUE POSEAN EMBEBIDO EL RECONOCIMIENTO LPR)</v>
      </c>
      <c r="G1359" s="5"/>
      <c r="H1359" s="6">
        <f>IFERROR(__xludf.DUMMYFUNCTION("""COMPUTED_VALUE"""),7854.09)</f>
        <v>7854.09</v>
      </c>
      <c r="I1359" s="7">
        <f>IFERROR(__xludf.DUMMYFUNCTION("""COMPUTED_VALUE"""),21.0)</f>
        <v>21</v>
      </c>
      <c r="J1359" s="6">
        <f>IFERROR(__xludf.DUMMYFUNCTION("""COMPUTED_VALUE"""),9424.91)</f>
        <v>9424.91</v>
      </c>
      <c r="K1359" s="6">
        <f>IFERROR(__xludf.DUMMYFUNCTION("""COMPUTED_VALUE"""),10995.73)</f>
        <v>10995.73</v>
      </c>
      <c r="L1359" s="3"/>
      <c r="M1359" s="3"/>
    </row>
    <row r="1360" ht="48.0" customHeight="1">
      <c r="A1360" s="3" t="str">
        <f>IFERROR(__xludf.DUMMYFUNCTION("""COMPUTED_VALUE"""),"DGFEN4101V7")</f>
        <v>DGFEN4101V7</v>
      </c>
      <c r="B1360" s="4" t="str">
        <f>IFERROR(__xludf.DUMMYFUNCTION("""COMPUTED_VALUE"""),"SISTEMA DIGIFORT EDITION ENTERPRISE PARA WINDOWS")</f>
        <v>SISTEMA DIGIFORT EDITION ENTERPRISE PARA WINDOWS</v>
      </c>
      <c r="C1360" s="4" t="str">
        <f>IFERROR(__xludf.DUMMYFUNCTION("""COMPUTED_VALUE"""),"Sistema Digifort Edition Enterprise para Windows - Pack para administración de LPR Embebido (EDGE LPR) para 01 cámara")</f>
        <v>Sistema Digifort Edition Enterprise para Windows - Pack para administración de LPR Embebido (EDGE LPR) para 01 cámara</v>
      </c>
      <c r="D1360" s="4" t="str">
        <f>IFERROR(__xludf.DUMMYFUNCTION("""COMPUTED_VALUE"""),"DIGIFORT")</f>
        <v>DIGIFORT</v>
      </c>
      <c r="E1360" s="4" t="str">
        <f>IFERROR(__xludf.DUMMYFUNCTION("""COMPUTED_VALUE"""),"DGFEN4101V7")</f>
        <v>DGFEN4101V7</v>
      </c>
      <c r="F1360" s="4" t="str">
        <f>IFERROR(__xludf.DUMMYFUNCTION("""COMPUTED_VALUE"""),"SOFTWARE / LICENCIAS &gt; DIGIFORT EDGE LPR – ENTERPRISE (LICENCIAS PARA CÁMARAS SOPORTADAS Y QUE POSEAN EMBEBIDO EL RECONOCIMIENTO LPR)")</f>
        <v>SOFTWARE / LICENCIAS &gt; DIGIFORT EDGE LPR – ENTERPRISE (LICENCIAS PARA CÁMARAS SOPORTADAS Y QUE POSEAN EMBEBIDO EL RECONOCIMIENTO LPR)</v>
      </c>
      <c r="G1360" s="5"/>
      <c r="H1360" s="6">
        <f>IFERROR(__xludf.DUMMYFUNCTION("""COMPUTED_VALUE"""),415.66)</f>
        <v>415.66</v>
      </c>
      <c r="I1360" s="7">
        <f>IFERROR(__xludf.DUMMYFUNCTION("""COMPUTED_VALUE"""),21.0)</f>
        <v>21</v>
      </c>
      <c r="J1360" s="6">
        <f>IFERROR(__xludf.DUMMYFUNCTION("""COMPUTED_VALUE"""),498.79)</f>
        <v>498.79</v>
      </c>
      <c r="K1360" s="6">
        <f>IFERROR(__xludf.DUMMYFUNCTION("""COMPUTED_VALUE"""),581.92)</f>
        <v>581.92</v>
      </c>
      <c r="L1360" s="3"/>
      <c r="M1360" s="3"/>
    </row>
    <row r="1361" ht="48.0" customHeight="1">
      <c r="A1361" s="3" t="str">
        <f>IFERROR(__xludf.DUMMYFUNCTION("""COMPUTED_VALUE"""),"DGFEN4102V7")</f>
        <v>DGFEN4102V7</v>
      </c>
      <c r="B1361" s="4" t="str">
        <f>IFERROR(__xludf.DUMMYFUNCTION("""COMPUTED_VALUE"""),"SISTEMA DIGIFORT EDITION ENTERPRISE PARA WINDOWS")</f>
        <v>SISTEMA DIGIFORT EDITION ENTERPRISE PARA WINDOWS</v>
      </c>
      <c r="C1361" s="4" t="str">
        <f>IFERROR(__xludf.DUMMYFUNCTION("""COMPUTED_VALUE"""),"Sistema Digifort Edition Enterprise para Windows - Pack para administración de LPR Embebido (EDGE LPR) para 02 cámaras")</f>
        <v>Sistema Digifort Edition Enterprise para Windows - Pack para administración de LPR Embebido (EDGE LPR) para 02 cámaras</v>
      </c>
      <c r="D1361" s="4" t="str">
        <f>IFERROR(__xludf.DUMMYFUNCTION("""COMPUTED_VALUE"""),"DIGIFORT")</f>
        <v>DIGIFORT</v>
      </c>
      <c r="E1361" s="4" t="str">
        <f>IFERROR(__xludf.DUMMYFUNCTION("""COMPUTED_VALUE"""),"DGFEN4102V7")</f>
        <v>DGFEN4102V7</v>
      </c>
      <c r="F1361" s="4" t="str">
        <f>IFERROR(__xludf.DUMMYFUNCTION("""COMPUTED_VALUE"""),"SOFTWARE / LICENCIAS &gt; DIGIFORT EDGE LPR – ENTERPRISE (LICENCIAS PARA CÁMARAS SOPORTADAS Y QUE POSEAN EMBEBIDO EL RECONOCIMIENTO LPR)")</f>
        <v>SOFTWARE / LICENCIAS &gt; DIGIFORT EDGE LPR – ENTERPRISE (LICENCIAS PARA CÁMARAS SOPORTADAS Y QUE POSEAN EMBEBIDO EL RECONOCIMIENTO LPR)</v>
      </c>
      <c r="G1361" s="5"/>
      <c r="H1361" s="6">
        <f>IFERROR(__xludf.DUMMYFUNCTION("""COMPUTED_VALUE"""),748.18)</f>
        <v>748.18</v>
      </c>
      <c r="I1361" s="7">
        <f>IFERROR(__xludf.DUMMYFUNCTION("""COMPUTED_VALUE"""),21.0)</f>
        <v>21</v>
      </c>
      <c r="J1361" s="6">
        <f>IFERROR(__xludf.DUMMYFUNCTION("""COMPUTED_VALUE"""),897.82)</f>
        <v>897.82</v>
      </c>
      <c r="K1361" s="6">
        <f>IFERROR(__xludf.DUMMYFUNCTION("""COMPUTED_VALUE"""),1047.45)</f>
        <v>1047.45</v>
      </c>
      <c r="L1361" s="3"/>
      <c r="M1361" s="3"/>
    </row>
    <row r="1362" ht="48.0" customHeight="1">
      <c r="A1362" s="3" t="str">
        <f>IFERROR(__xludf.DUMMYFUNCTION("""COMPUTED_VALUE"""),"DGFEN4104V7")</f>
        <v>DGFEN4104V7</v>
      </c>
      <c r="B1362" s="4" t="str">
        <f>IFERROR(__xludf.DUMMYFUNCTION("""COMPUTED_VALUE"""),"SISTEMA DIGIFORT EDITION ENTERPRISE PARA WINDOWS")</f>
        <v>SISTEMA DIGIFORT EDITION ENTERPRISE PARA WINDOWS</v>
      </c>
      <c r="C1362" s="4" t="str">
        <f>IFERROR(__xludf.DUMMYFUNCTION("""COMPUTED_VALUE"""),"Sistema Digifort Edition Enterprise para Windows - Pack para administración de LPR Embebido (EDGE LPR) para 04 cámaras")</f>
        <v>Sistema Digifort Edition Enterprise para Windows - Pack para administración de LPR Embebido (EDGE LPR) para 04 cámaras</v>
      </c>
      <c r="D1362" s="4" t="str">
        <f>IFERROR(__xludf.DUMMYFUNCTION("""COMPUTED_VALUE"""),"DIGIFORT")</f>
        <v>DIGIFORT</v>
      </c>
      <c r="E1362" s="4" t="str">
        <f>IFERROR(__xludf.DUMMYFUNCTION("""COMPUTED_VALUE"""),"DGFEN4104V7")</f>
        <v>DGFEN4104V7</v>
      </c>
      <c r="F1362" s="4" t="str">
        <f>IFERROR(__xludf.DUMMYFUNCTION("""COMPUTED_VALUE"""),"SOFTWARE / LICENCIAS &gt; DIGIFORT EDGE LPR – ENTERPRISE (LICENCIAS PARA CÁMARAS SOPORTADAS Y QUE POSEAN EMBEBIDO EL RECONOCIMIENTO LPR)")</f>
        <v>SOFTWARE / LICENCIAS &gt; DIGIFORT EDGE LPR – ENTERPRISE (LICENCIAS PARA CÁMARAS SOPORTADAS Y QUE POSEAN EMBEBIDO EL RECONOCIMIENTO LPR)</v>
      </c>
      <c r="G1362" s="5"/>
      <c r="H1362" s="6">
        <f>IFERROR(__xludf.DUMMYFUNCTION("""COMPUTED_VALUE"""),1346.72)</f>
        <v>1346.72</v>
      </c>
      <c r="I1362" s="7">
        <f>IFERROR(__xludf.DUMMYFUNCTION("""COMPUTED_VALUE"""),21.0)</f>
        <v>21</v>
      </c>
      <c r="J1362" s="6">
        <f>IFERROR(__xludf.DUMMYFUNCTION("""COMPUTED_VALUE"""),1616.06)</f>
        <v>1616.06</v>
      </c>
      <c r="K1362" s="6">
        <f>IFERROR(__xludf.DUMMYFUNCTION("""COMPUTED_VALUE"""),1885.41)</f>
        <v>1885.41</v>
      </c>
      <c r="L1362" s="3"/>
      <c r="M1362" s="3"/>
    </row>
    <row r="1363" ht="48.0" customHeight="1">
      <c r="A1363" s="3" t="str">
        <f>IFERROR(__xludf.DUMMYFUNCTION("""COMPUTED_VALUE"""),"DGFEN4108V7")</f>
        <v>DGFEN4108V7</v>
      </c>
      <c r="B1363" s="4" t="str">
        <f>IFERROR(__xludf.DUMMYFUNCTION("""COMPUTED_VALUE"""),"SISTEMA DIGIFORT EDITION ENTERPRISE PARA WINDOWS")</f>
        <v>SISTEMA DIGIFORT EDITION ENTERPRISE PARA WINDOWS</v>
      </c>
      <c r="C1363" s="4" t="str">
        <f>IFERROR(__xludf.DUMMYFUNCTION("""COMPUTED_VALUE"""),"Sistema Digifort Edition Enterprise para Windows - Pack para administración de LPR Embebido (EDGE LPR) para 08 cámaras")</f>
        <v>Sistema Digifort Edition Enterprise para Windows - Pack para administración de LPR Embebido (EDGE LPR) para 08 cámaras</v>
      </c>
      <c r="D1363" s="4" t="str">
        <f>IFERROR(__xludf.DUMMYFUNCTION("""COMPUTED_VALUE"""),"DIGIFORT")</f>
        <v>DIGIFORT</v>
      </c>
      <c r="E1363" s="4" t="str">
        <f>IFERROR(__xludf.DUMMYFUNCTION("""COMPUTED_VALUE"""),"DGFEN4108V7")</f>
        <v>DGFEN4108V7</v>
      </c>
      <c r="F1363" s="4" t="str">
        <f>IFERROR(__xludf.DUMMYFUNCTION("""COMPUTED_VALUE"""),"SOFTWARE / LICENCIAS &gt; DIGIFORT EDGE LPR – ENTERPRISE (LICENCIAS PARA CÁMARAS SOPORTADAS Y QUE POSEAN EMBEBIDO EL RECONOCIMIENTO LPR)")</f>
        <v>SOFTWARE / LICENCIAS &gt; DIGIFORT EDGE LPR – ENTERPRISE (LICENCIAS PARA CÁMARAS SOPORTADAS Y QUE POSEAN EMBEBIDO EL RECONOCIMIENTO LPR)</v>
      </c>
      <c r="G1363" s="5"/>
      <c r="H1363" s="6">
        <f>IFERROR(__xludf.DUMMYFUNCTION("""COMPUTED_VALUE"""),2424.1)</f>
        <v>2424.1</v>
      </c>
      <c r="I1363" s="7">
        <f>IFERROR(__xludf.DUMMYFUNCTION("""COMPUTED_VALUE"""),21.0)</f>
        <v>21</v>
      </c>
      <c r="J1363" s="6">
        <f>IFERROR(__xludf.DUMMYFUNCTION("""COMPUTED_VALUE"""),2908.92)</f>
        <v>2908.92</v>
      </c>
      <c r="K1363" s="6">
        <f>IFERROR(__xludf.DUMMYFUNCTION("""COMPUTED_VALUE"""),3393.74)</f>
        <v>3393.74</v>
      </c>
      <c r="L1363" s="3"/>
      <c r="M1363" s="3"/>
    </row>
    <row r="1364" ht="48.0" customHeight="1">
      <c r="A1364" s="3" t="str">
        <f>IFERROR(__xludf.DUMMYFUNCTION("""COMPUTED_VALUE"""),"DGFEN4116V7")</f>
        <v>DGFEN4116V7</v>
      </c>
      <c r="B1364" s="4" t="str">
        <f>IFERROR(__xludf.DUMMYFUNCTION("""COMPUTED_VALUE"""),"SISTEMA DIGIFORT EDITION ENTERPRISE PARA WINDOWS")</f>
        <v>SISTEMA DIGIFORT EDITION ENTERPRISE PARA WINDOWS</v>
      </c>
      <c r="C1364" s="4" t="str">
        <f>IFERROR(__xludf.DUMMYFUNCTION("""COMPUTED_VALUE"""),"Sistema Digifort Edition Enterprise para Windows - Pack para administración de LPR Embebido (EDGE LPR) para 16 cámaras")</f>
        <v>Sistema Digifort Edition Enterprise para Windows - Pack para administración de LPR Embebido (EDGE LPR) para 16 cámaras</v>
      </c>
      <c r="D1364" s="4" t="str">
        <f>IFERROR(__xludf.DUMMYFUNCTION("""COMPUTED_VALUE"""),"DIGIFORT")</f>
        <v>DIGIFORT</v>
      </c>
      <c r="E1364" s="4" t="str">
        <f>IFERROR(__xludf.DUMMYFUNCTION("""COMPUTED_VALUE"""),"DGFEN4116V7")</f>
        <v>DGFEN4116V7</v>
      </c>
      <c r="F1364" s="4" t="str">
        <f>IFERROR(__xludf.DUMMYFUNCTION("""COMPUTED_VALUE"""),"SOFTWARE / LICENCIAS &gt; DIGIFORT EDGE LPR – ENTERPRISE (LICENCIAS PARA CÁMARAS SOPORTADAS Y QUE POSEAN EMBEBIDO EL RECONOCIMIENTO LPR)")</f>
        <v>SOFTWARE / LICENCIAS &gt; DIGIFORT EDGE LPR – ENTERPRISE (LICENCIAS PARA CÁMARAS SOPORTADAS Y QUE POSEAN EMBEBIDO EL RECONOCIMIENTO LPR)</v>
      </c>
      <c r="G1364" s="5"/>
      <c r="H1364" s="6">
        <f>IFERROR(__xludf.DUMMYFUNCTION("""COMPUTED_VALUE"""),4363.38)</f>
        <v>4363.38</v>
      </c>
      <c r="I1364" s="7">
        <f>IFERROR(__xludf.DUMMYFUNCTION("""COMPUTED_VALUE"""),21.0)</f>
        <v>21</v>
      </c>
      <c r="J1364" s="6">
        <f>IFERROR(__xludf.DUMMYFUNCTION("""COMPUTED_VALUE"""),5236.06)</f>
        <v>5236.06</v>
      </c>
      <c r="K1364" s="6">
        <f>IFERROR(__xludf.DUMMYFUNCTION("""COMPUTED_VALUE"""),6108.73)</f>
        <v>6108.73</v>
      </c>
      <c r="L1364" s="3"/>
      <c r="M1364" s="3"/>
    </row>
    <row r="1365" ht="48.0" customHeight="1">
      <c r="A1365" s="3" t="str">
        <f>IFERROR(__xludf.DUMMYFUNCTION("""COMPUTED_VALUE"""),"DGFEN4132V7")</f>
        <v>DGFEN4132V7</v>
      </c>
      <c r="B1365" s="4" t="str">
        <f>IFERROR(__xludf.DUMMYFUNCTION("""COMPUTED_VALUE"""),"SISTEMA DIGIFORT EDITION ENTERPRISE PARA WINDOWS")</f>
        <v>SISTEMA DIGIFORT EDITION ENTERPRISE PARA WINDOWS</v>
      </c>
      <c r="C1365" s="4" t="str">
        <f>IFERROR(__xludf.DUMMYFUNCTION("""COMPUTED_VALUE"""),"Sistema Digifort Edition Enterprise para Windows - Pack para administración de LPR Embebido (EDGE LPR) para 32 cámaras")</f>
        <v>Sistema Digifort Edition Enterprise para Windows - Pack para administración de LPR Embebido (EDGE LPR) para 32 cámaras</v>
      </c>
      <c r="D1365" s="4" t="str">
        <f>IFERROR(__xludf.DUMMYFUNCTION("""COMPUTED_VALUE"""),"DIGIFORT")</f>
        <v>DIGIFORT</v>
      </c>
      <c r="E1365" s="4" t="str">
        <f>IFERROR(__xludf.DUMMYFUNCTION("""COMPUTED_VALUE"""),"DGFEN4132V7")</f>
        <v>DGFEN4132V7</v>
      </c>
      <c r="F1365" s="4" t="str">
        <f>IFERROR(__xludf.DUMMYFUNCTION("""COMPUTED_VALUE"""),"SOFTWARE / LICENCIAS &gt; DIGIFORT EDGE LPR – ENTERPRISE (LICENCIAS PARA CÁMARAS SOPORTADAS Y QUE POSEAN EMBEBIDO EL RECONOCIMIENTO LPR)")</f>
        <v>SOFTWARE / LICENCIAS &gt; DIGIFORT EDGE LPR – ENTERPRISE (LICENCIAS PARA CÁMARAS SOPORTADAS Y QUE POSEAN EMBEBIDO EL RECONOCIMIENTO LPR)</v>
      </c>
      <c r="G1365" s="5"/>
      <c r="H1365" s="6">
        <f>IFERROR(__xludf.DUMMYFUNCTION("""COMPUTED_VALUE"""),7854.09)</f>
        <v>7854.09</v>
      </c>
      <c r="I1365" s="7">
        <f>IFERROR(__xludf.DUMMYFUNCTION("""COMPUTED_VALUE"""),21.0)</f>
        <v>21</v>
      </c>
      <c r="J1365" s="6">
        <f>IFERROR(__xludf.DUMMYFUNCTION("""COMPUTED_VALUE"""),9424.91)</f>
        <v>9424.91</v>
      </c>
      <c r="K1365" s="6">
        <f>IFERROR(__xludf.DUMMYFUNCTION("""COMPUTED_VALUE"""),10995.73)</f>
        <v>10995.73</v>
      </c>
      <c r="L1365" s="3"/>
      <c r="M1365" s="3"/>
    </row>
    <row r="1366" ht="48.0" customHeight="1">
      <c r="A1366" s="3" t="str">
        <f>IFERROR(__xludf.DUMMYFUNCTION("""COMPUTED_VALUE"""),"DGFEN4164V7")</f>
        <v>DGFEN4164V7</v>
      </c>
      <c r="B1366" s="4" t="str">
        <f>IFERROR(__xludf.DUMMYFUNCTION("""COMPUTED_VALUE"""),"SISTEMA DIGIFORT EDITION ENTERPRISE PARA WINDOWS")</f>
        <v>SISTEMA DIGIFORT EDITION ENTERPRISE PARA WINDOWS</v>
      </c>
      <c r="C1366" s="4" t="str">
        <f>IFERROR(__xludf.DUMMYFUNCTION("""COMPUTED_VALUE"""),"Sistema Digifort Edition Enterprise para Windows - Pack para administración de LPR Embebido (EDGE LPR) para 64 cámaras")</f>
        <v>Sistema Digifort Edition Enterprise para Windows - Pack para administración de LPR Embebido (EDGE LPR) para 64 cámaras</v>
      </c>
      <c r="D1366" s="4" t="str">
        <f>IFERROR(__xludf.DUMMYFUNCTION("""COMPUTED_VALUE"""),"DIGIFORT")</f>
        <v>DIGIFORT</v>
      </c>
      <c r="E1366" s="4" t="str">
        <f>IFERROR(__xludf.DUMMYFUNCTION("""COMPUTED_VALUE"""),"DGFEN4164V7")</f>
        <v>DGFEN4164V7</v>
      </c>
      <c r="F1366" s="4" t="str">
        <f>IFERROR(__xludf.DUMMYFUNCTION("""COMPUTED_VALUE"""),"SOFTWARE / LICENCIAS &gt; DIGIFORT EDGE LPR – ENTERPRISE (LICENCIAS PARA CÁMARAS SOPORTADAS Y QUE POSEAN EMBEBIDO EL RECONOCIMIENTO LPR)")</f>
        <v>SOFTWARE / LICENCIAS &gt; DIGIFORT EDGE LPR – ENTERPRISE (LICENCIAS PARA CÁMARAS SOPORTADAS Y QUE POSEAN EMBEBIDO EL RECONOCIMIENTO LPR)</v>
      </c>
      <c r="G1366" s="5"/>
      <c r="H1366" s="6">
        <f>IFERROR(__xludf.DUMMYFUNCTION("""COMPUTED_VALUE"""),14137.37)</f>
        <v>14137.37</v>
      </c>
      <c r="I1366" s="7">
        <f>IFERROR(__xludf.DUMMYFUNCTION("""COMPUTED_VALUE"""),21.0)</f>
        <v>21</v>
      </c>
      <c r="J1366" s="6">
        <f>IFERROR(__xludf.DUMMYFUNCTION("""COMPUTED_VALUE"""),16964.84)</f>
        <v>16964.84</v>
      </c>
      <c r="K1366" s="6">
        <f>IFERROR(__xludf.DUMMYFUNCTION("""COMPUTED_VALUE"""),19792.32)</f>
        <v>19792.32</v>
      </c>
      <c r="L1366" s="3"/>
      <c r="M1366" s="3"/>
    </row>
    <row r="1367" ht="48.0" customHeight="1">
      <c r="A1367" s="3" t="str">
        <f>IFERROR(__xludf.DUMMYFUNCTION("""COMPUTED_VALUE"""),"DGFAL10050V7")</f>
        <v>DGFAL10050V7</v>
      </c>
      <c r="B1367" s="4" t="str">
        <f>IFERROR(__xludf.DUMMYFUNCTION("""COMPUTED_VALUE"""),"SISTEMA DIGIFORT ALARM MONITOR")</f>
        <v>SISTEMA DIGIFORT ALARM MONITOR</v>
      </c>
      <c r="C1367" s="4" t="str">
        <f>IFERROR(__xludf.DUMMYFUNCTION("""COMPUTED_VALUE"""),"Sistema Digifort Alarm Monitor - Licencia Base SERVIDOR para administración de Eventos de Alarma con 50 Cuentas (Paneles de alarma).")</f>
        <v>Sistema Digifort Alarm Monitor - Licencia Base SERVIDOR para administración de Eventos de Alarma con 50 Cuentas (Paneles de alarma).</v>
      </c>
      <c r="D1367" s="4" t="str">
        <f>IFERROR(__xludf.DUMMYFUNCTION("""COMPUTED_VALUE"""),"DIGIFORT")</f>
        <v>DIGIFORT</v>
      </c>
      <c r="E1367" s="4" t="str">
        <f>IFERROR(__xludf.DUMMYFUNCTION("""COMPUTED_VALUE"""),"DGFAL10050V7")</f>
        <v>DGFAL10050V7</v>
      </c>
      <c r="F1367" s="4" t="str">
        <f>IFERROR(__xludf.DUMMYFUNCTION("""COMPUTED_VALUE"""),"SOFTWARE / LICENCIAS &gt; LICENCIA MONITOREO DE ALARMAS : STANDARD/PROFESIONAL/ENTERPRISE")</f>
        <v>SOFTWARE / LICENCIAS &gt; LICENCIA MONITOREO DE ALARMAS : STANDARD/PROFESIONAL/ENTERPRISE</v>
      </c>
      <c r="G1367" s="5"/>
      <c r="H1367" s="6">
        <f>IFERROR(__xludf.DUMMYFUNCTION("""COMPUTED_VALUE"""),5181.37)</f>
        <v>5181.37</v>
      </c>
      <c r="I1367" s="7">
        <f>IFERROR(__xludf.DUMMYFUNCTION("""COMPUTED_VALUE"""),21.0)</f>
        <v>21</v>
      </c>
      <c r="J1367" s="6">
        <f>IFERROR(__xludf.DUMMYFUNCTION("""COMPUTED_VALUE"""),6217.64)</f>
        <v>6217.64</v>
      </c>
      <c r="K1367" s="6">
        <f>IFERROR(__xludf.DUMMYFUNCTION("""COMPUTED_VALUE"""),7253.92)</f>
        <v>7253.92</v>
      </c>
      <c r="L1367" s="3"/>
      <c r="M1367" s="3"/>
    </row>
    <row r="1368" ht="48.0" customHeight="1">
      <c r="A1368" s="3" t="str">
        <f>IFERROR(__xludf.DUMMYFUNCTION("""COMPUTED_VALUE"""),"DGFAL11025V7")</f>
        <v>DGFAL11025V7</v>
      </c>
      <c r="B1368" s="4" t="str">
        <f>IFERROR(__xludf.DUMMYFUNCTION("""COMPUTED_VALUE"""),"SISTEMA DIGIFORT ALARM")</f>
        <v>SISTEMA DIGIFORT ALARM</v>
      </c>
      <c r="C1368" s="4" t="str">
        <f>IFERROR(__xludf.DUMMYFUNCTION("""COMPUTED_VALUE"""),"Sistema Digifort Alarm - Pack para administración de 25 cuentas adicionales")</f>
        <v>Sistema Digifort Alarm - Pack para administración de 25 cuentas adicionales</v>
      </c>
      <c r="D1368" s="4" t="str">
        <f>IFERROR(__xludf.DUMMYFUNCTION("""COMPUTED_VALUE"""),"DIGIFORT")</f>
        <v>DIGIFORT</v>
      </c>
      <c r="E1368" s="4" t="str">
        <f>IFERROR(__xludf.DUMMYFUNCTION("""COMPUTED_VALUE"""),"DGFAL11025V7")</f>
        <v>DGFAL11025V7</v>
      </c>
      <c r="F1368" s="4" t="str">
        <f>IFERROR(__xludf.DUMMYFUNCTION("""COMPUTED_VALUE"""),"SOFTWARE / LICENCIAS &gt; LICENCIA MONITOREO DE ALARMAS : STANDARD/PROFESIONAL/ENTERPRISE")</f>
        <v>SOFTWARE / LICENCIAS &gt; LICENCIA MONITOREO DE ALARMAS : STANDARD/PROFESIONAL/ENTERPRISE</v>
      </c>
      <c r="G1368" s="5"/>
      <c r="H1368" s="6">
        <f>IFERROR(__xludf.DUMMYFUNCTION("""COMPUTED_VALUE"""),2525.92)</f>
        <v>2525.92</v>
      </c>
      <c r="I1368" s="7">
        <f>IFERROR(__xludf.DUMMYFUNCTION("""COMPUTED_VALUE"""),21.0)</f>
        <v>21</v>
      </c>
      <c r="J1368" s="6">
        <f>IFERROR(__xludf.DUMMYFUNCTION("""COMPUTED_VALUE"""),3031.1)</f>
        <v>3031.1</v>
      </c>
      <c r="K1368" s="6">
        <f>IFERROR(__xludf.DUMMYFUNCTION("""COMPUTED_VALUE"""),3536.29)</f>
        <v>3536.29</v>
      </c>
      <c r="L1368" s="3"/>
      <c r="M1368" s="3"/>
    </row>
    <row r="1369" ht="48.0" customHeight="1">
      <c r="A1369" s="3" t="str">
        <f>IFERROR(__xludf.DUMMYFUNCTION("""COMPUTED_VALUE"""),"DGFAL11050V7")</f>
        <v>DGFAL11050V7</v>
      </c>
      <c r="B1369" s="4" t="str">
        <f>IFERROR(__xludf.DUMMYFUNCTION("""COMPUTED_VALUE"""),"SISTEMA DIGIFORT ALARM")</f>
        <v>SISTEMA DIGIFORT ALARM</v>
      </c>
      <c r="C1369" s="4" t="str">
        <f>IFERROR(__xludf.DUMMYFUNCTION("""COMPUTED_VALUE"""),"Sistema Digifort Alarm - Pack para administración de 250cuentas adicionales")</f>
        <v>Sistema Digifort Alarm - Pack para administración de 250cuentas adicionales</v>
      </c>
      <c r="D1369" s="4" t="str">
        <f>IFERROR(__xludf.DUMMYFUNCTION("""COMPUTED_VALUE"""),"DIGIFORT")</f>
        <v>DIGIFORT</v>
      </c>
      <c r="E1369" s="4" t="str">
        <f>IFERROR(__xludf.DUMMYFUNCTION("""COMPUTED_VALUE"""),"DGFAL11050V7")</f>
        <v>DGFAL11050V7</v>
      </c>
      <c r="F1369" s="4" t="str">
        <f>IFERROR(__xludf.DUMMYFUNCTION("""COMPUTED_VALUE"""),"SOFTWARE / LICENCIAS &gt; LICENCIA MONITOREO DE ALARMAS : STANDARD/PROFESIONAL/ENTERPRISE")</f>
        <v>SOFTWARE / LICENCIAS &gt; LICENCIA MONITOREO DE ALARMAS : STANDARD/PROFESIONAL/ENTERPRISE</v>
      </c>
      <c r="G1369" s="5"/>
      <c r="H1369" s="6">
        <f>IFERROR(__xludf.DUMMYFUNCTION("""COMPUTED_VALUE"""),4145.1)</f>
        <v>4145.1</v>
      </c>
      <c r="I1369" s="7">
        <f>IFERROR(__xludf.DUMMYFUNCTION("""COMPUTED_VALUE"""),21.0)</f>
        <v>21</v>
      </c>
      <c r="J1369" s="6">
        <f>IFERROR(__xludf.DUMMYFUNCTION("""COMPUTED_VALUE"""),4974.12)</f>
        <v>4974.12</v>
      </c>
      <c r="K1369" s="6">
        <f>IFERROR(__xludf.DUMMYFUNCTION("""COMPUTED_VALUE"""),5803.14)</f>
        <v>5803.14</v>
      </c>
      <c r="L1369" s="3"/>
      <c r="M1369" s="3"/>
    </row>
    <row r="1370" ht="48.0" customHeight="1">
      <c r="A1370" s="3" t="str">
        <f>IFERROR(__xludf.DUMMYFUNCTION("""COMPUTED_VALUE"""),"DGFAL11100V7")</f>
        <v>DGFAL11100V7</v>
      </c>
      <c r="B1370" s="4" t="str">
        <f>IFERROR(__xludf.DUMMYFUNCTION("""COMPUTED_VALUE"""),"SISTEMA DIGIFORT ALARM")</f>
        <v>SISTEMA DIGIFORT ALARM</v>
      </c>
      <c r="C1370" s="4" t="str">
        <f>IFERROR(__xludf.DUMMYFUNCTION("""COMPUTED_VALUE"""),"Sistema Digifort Alarm - Pack para administración de 100 cuentas adicionales")</f>
        <v>Sistema Digifort Alarm - Pack para administración de 100 cuentas adicionales</v>
      </c>
      <c r="D1370" s="4" t="str">
        <f>IFERROR(__xludf.DUMMYFUNCTION("""COMPUTED_VALUE"""),"DIGIFORT")</f>
        <v>DIGIFORT</v>
      </c>
      <c r="E1370" s="4" t="str">
        <f>IFERROR(__xludf.DUMMYFUNCTION("""COMPUTED_VALUE"""),"DGFAL11100V7")</f>
        <v>DGFAL11100V7</v>
      </c>
      <c r="F1370" s="4" t="str">
        <f>IFERROR(__xludf.DUMMYFUNCTION("""COMPUTED_VALUE"""),"SOFTWARE / LICENCIAS &gt; LICENCIA MONITOREO DE ALARMAS : STANDARD/PROFESIONAL/ENTERPRISE")</f>
        <v>SOFTWARE / LICENCIAS &gt; LICENCIA MONITOREO DE ALARMAS : STANDARD/PROFESIONAL/ENTERPRISE</v>
      </c>
      <c r="G1370" s="5"/>
      <c r="H1370" s="6">
        <f>IFERROR(__xludf.DUMMYFUNCTION("""COMPUTED_VALUE"""),6217.7)</f>
        <v>6217.7</v>
      </c>
      <c r="I1370" s="7">
        <f>IFERROR(__xludf.DUMMYFUNCTION("""COMPUTED_VALUE"""),21.0)</f>
        <v>21</v>
      </c>
      <c r="J1370" s="6">
        <f>IFERROR(__xludf.DUMMYFUNCTION("""COMPUTED_VALUE"""),7461.24)</f>
        <v>7461.24</v>
      </c>
      <c r="K1370" s="6">
        <f>IFERROR(__xludf.DUMMYFUNCTION("""COMPUTED_VALUE"""),8704.78)</f>
        <v>8704.78</v>
      </c>
      <c r="L1370" s="3"/>
      <c r="M1370" s="3"/>
    </row>
    <row r="1371" ht="48.0" customHeight="1">
      <c r="A1371" s="3" t="str">
        <f>IFERROR(__xludf.DUMMYFUNCTION("""COMPUTED_VALUE"""),"DGFFE1008V7")</f>
        <v>DGFFE1008V7</v>
      </c>
      <c r="B1371" s="4" t="str">
        <f>IFERROR(__xludf.DUMMYFUNCTION("""COMPUTED_VALUE"""),"SISTEMA DIGIFORT EDICIÓN FAILOVER PARA WINDOWS")</f>
        <v>SISTEMA DIGIFORT EDICIÓN FAILOVER PARA WINDOWS</v>
      </c>
      <c r="C1371" s="4" t="str">
        <f>IFERROR(__xludf.DUMMYFUNCTION("""COMPUTED_VALUE"""),"Sistema Digifort Edición Failover para Windows - Sistema base para gerenciamiento de 8 cámaras.")</f>
        <v>Sistema Digifort Edición Failover para Windows - Sistema base para gerenciamiento de 8 cámaras.</v>
      </c>
      <c r="D1371" s="4" t="str">
        <f>IFERROR(__xludf.DUMMYFUNCTION("""COMPUTED_VALUE"""),"DIGIFORT")</f>
        <v>DIGIFORT</v>
      </c>
      <c r="E1371" s="4" t="str">
        <f>IFERROR(__xludf.DUMMYFUNCTION("""COMPUTED_VALUE"""),"DGFFE1008V7")</f>
        <v>DGFFE1008V7</v>
      </c>
      <c r="F1371" s="4" t="str">
        <f>IFERROR(__xludf.DUMMYFUNCTION("""COMPUTED_VALUE"""),"SOFTWARE / LICENCIAS &gt; LICENCIA FAILOVER PARA : EXPLORER/STANDARD/PROFESIONAL/ENTERPRISE")</f>
        <v>SOFTWARE / LICENCIAS &gt; LICENCIA FAILOVER PARA : EXPLORER/STANDARD/PROFESIONAL/ENTERPRISE</v>
      </c>
      <c r="G1371" s="5"/>
      <c r="H1371" s="6">
        <f>IFERROR(__xludf.DUMMYFUNCTION("""COMPUTED_VALUE"""),1261.76)</f>
        <v>1261.76</v>
      </c>
      <c r="I1371" s="7">
        <f>IFERROR(__xludf.DUMMYFUNCTION("""COMPUTED_VALUE"""),21.0)</f>
        <v>21</v>
      </c>
      <c r="J1371" s="6">
        <f>IFERROR(__xludf.DUMMYFUNCTION("""COMPUTED_VALUE"""),1514.11)</f>
        <v>1514.11</v>
      </c>
      <c r="K1371" s="6">
        <f>IFERROR(__xludf.DUMMYFUNCTION("""COMPUTED_VALUE"""),1766.46)</f>
        <v>1766.46</v>
      </c>
      <c r="L1371" s="3"/>
      <c r="M1371" s="3"/>
    </row>
    <row r="1372" ht="48.0" customHeight="1">
      <c r="A1372" s="3" t="str">
        <f>IFERROR(__xludf.DUMMYFUNCTION("""COMPUTED_VALUE"""),"DGFFE1102V7")</f>
        <v>DGFFE1102V7</v>
      </c>
      <c r="B1372" s="4" t="str">
        <f>IFERROR(__xludf.DUMMYFUNCTION("""COMPUTED_VALUE"""),"SISTEMA DIGIFORT EDICIÓN FAILOVER PARA WINDOWS")</f>
        <v>SISTEMA DIGIFORT EDICIÓN FAILOVER PARA WINDOWS</v>
      </c>
      <c r="C1372" s="4" t="str">
        <f>IFERROR(__xludf.DUMMYFUNCTION("""COMPUTED_VALUE"""),"Sistema Digifort Edición Failover para Windows - Pack para gerenciamiento de 2 cámaras adicionales.")</f>
        <v>Sistema Digifort Edición Failover para Windows - Pack para gerenciamiento de 2 cámaras adicionales.</v>
      </c>
      <c r="D1372" s="4" t="str">
        <f>IFERROR(__xludf.DUMMYFUNCTION("""COMPUTED_VALUE"""),"DIGIFORT")</f>
        <v>DIGIFORT</v>
      </c>
      <c r="E1372" s="4" t="str">
        <f>IFERROR(__xludf.DUMMYFUNCTION("""COMPUTED_VALUE"""),"DGFFE1102V7")</f>
        <v>DGFFE1102V7</v>
      </c>
      <c r="F1372" s="4" t="str">
        <f>IFERROR(__xludf.DUMMYFUNCTION("""COMPUTED_VALUE"""),"SOFTWARE / LICENCIAS &gt; LICENCIA FAILOVER PARA : EXPLORER/STANDARD/PROFESIONAL/ENTERPRISE")</f>
        <v>SOFTWARE / LICENCIAS &gt; LICENCIA FAILOVER PARA : EXPLORER/STANDARD/PROFESIONAL/ENTERPRISE</v>
      </c>
      <c r="G1372" s="5"/>
      <c r="H1372" s="6">
        <f>IFERROR(__xludf.DUMMYFUNCTION("""COMPUTED_VALUE"""),233.42)</f>
        <v>233.42</v>
      </c>
      <c r="I1372" s="7">
        <f>IFERROR(__xludf.DUMMYFUNCTION("""COMPUTED_VALUE"""),21.0)</f>
        <v>21</v>
      </c>
      <c r="J1372" s="6">
        <f>IFERROR(__xludf.DUMMYFUNCTION("""COMPUTED_VALUE"""),280.1)</f>
        <v>280.1</v>
      </c>
      <c r="K1372" s="6">
        <f>IFERROR(__xludf.DUMMYFUNCTION("""COMPUTED_VALUE"""),326.79)</f>
        <v>326.79</v>
      </c>
      <c r="L1372" s="3"/>
      <c r="M1372" s="3"/>
    </row>
    <row r="1373" ht="48.0" customHeight="1">
      <c r="A1373" s="3" t="str">
        <f>IFERROR(__xludf.DUMMYFUNCTION("""COMPUTED_VALUE"""),"DGFFE1104V7")</f>
        <v>DGFFE1104V7</v>
      </c>
      <c r="B1373" s="4" t="str">
        <f>IFERROR(__xludf.DUMMYFUNCTION("""COMPUTED_VALUE"""),"SISTEMA DIGIFORT EDICIÓN FAILOVER PARA WINDOWS")</f>
        <v>SISTEMA DIGIFORT EDICIÓN FAILOVER PARA WINDOWS</v>
      </c>
      <c r="C1373" s="4" t="str">
        <f>IFERROR(__xludf.DUMMYFUNCTION("""COMPUTED_VALUE"""),"Sistema Digifort Edición Failover para Windows - Pack para gerenciamiento de 4 cámaras adicionales.")</f>
        <v>Sistema Digifort Edición Failover para Windows - Pack para gerenciamiento de 4 cámaras adicionales.</v>
      </c>
      <c r="D1373" s="4" t="str">
        <f>IFERROR(__xludf.DUMMYFUNCTION("""COMPUTED_VALUE"""),"DIGIFORT")</f>
        <v>DIGIFORT</v>
      </c>
      <c r="E1373" s="4" t="str">
        <f>IFERROR(__xludf.DUMMYFUNCTION("""COMPUTED_VALUE"""),"DGFFE1104V7")</f>
        <v>DGFFE1104V7</v>
      </c>
      <c r="F1373" s="4" t="str">
        <f>IFERROR(__xludf.DUMMYFUNCTION("""COMPUTED_VALUE"""),"SOFTWARE / LICENCIAS &gt; LICENCIA FAILOVER PARA : EXPLORER/STANDARD/PROFESIONAL/ENTERPRISE")</f>
        <v>SOFTWARE / LICENCIAS &gt; LICENCIA FAILOVER PARA : EXPLORER/STANDARD/PROFESIONAL/ENTERPRISE</v>
      </c>
      <c r="G1373" s="5"/>
      <c r="H1373" s="6">
        <f>IFERROR(__xludf.DUMMYFUNCTION("""COMPUTED_VALUE"""),431.84)</f>
        <v>431.84</v>
      </c>
      <c r="I1373" s="7">
        <f>IFERROR(__xludf.DUMMYFUNCTION("""COMPUTED_VALUE"""),21.0)</f>
        <v>21</v>
      </c>
      <c r="J1373" s="6">
        <f>IFERROR(__xludf.DUMMYFUNCTION("""COMPUTED_VALUE"""),518.21)</f>
        <v>518.21</v>
      </c>
      <c r="K1373" s="6">
        <f>IFERROR(__xludf.DUMMYFUNCTION("""COMPUTED_VALUE"""),604.58)</f>
        <v>604.58</v>
      </c>
      <c r="L1373" s="3"/>
      <c r="M1373" s="3"/>
    </row>
    <row r="1374" ht="48.0" customHeight="1">
      <c r="A1374" s="3" t="str">
        <f>IFERROR(__xludf.DUMMYFUNCTION("""COMPUTED_VALUE"""),"DGFFE1108V7")</f>
        <v>DGFFE1108V7</v>
      </c>
      <c r="B1374" s="4" t="str">
        <f>IFERROR(__xludf.DUMMYFUNCTION("""COMPUTED_VALUE"""),"SISTEMA DIGIFORT EDICIÓN FAILOVER PARA WINDOWS")</f>
        <v>SISTEMA DIGIFORT EDICIÓN FAILOVER PARA WINDOWS</v>
      </c>
      <c r="C1374" s="4" t="str">
        <f>IFERROR(__xludf.DUMMYFUNCTION("""COMPUTED_VALUE"""),"Sistema Digifort Edición Failover para Windows - Pack para gerenciamiento de 8 cámaras adicionales.")</f>
        <v>Sistema Digifort Edición Failover para Windows - Pack para gerenciamiento de 8 cámaras adicionales.</v>
      </c>
      <c r="D1374" s="4" t="str">
        <f>IFERROR(__xludf.DUMMYFUNCTION("""COMPUTED_VALUE"""),"DIGIFORT")</f>
        <v>DIGIFORT</v>
      </c>
      <c r="E1374" s="4" t="str">
        <f>IFERROR(__xludf.DUMMYFUNCTION("""COMPUTED_VALUE"""),"DGFFE1108V7")</f>
        <v>DGFFE1108V7</v>
      </c>
      <c r="F1374" s="4" t="str">
        <f>IFERROR(__xludf.DUMMYFUNCTION("""COMPUTED_VALUE"""),"SOFTWARE / LICENCIAS &gt; LICENCIA FAILOVER PARA : EXPLORER/STANDARD/PROFESIONAL/ENTERPRISE")</f>
        <v>SOFTWARE / LICENCIAS &gt; LICENCIA FAILOVER PARA : EXPLORER/STANDARD/PROFESIONAL/ENTERPRISE</v>
      </c>
      <c r="G1374" s="5"/>
      <c r="H1374" s="6">
        <f>IFERROR(__xludf.DUMMYFUNCTION("""COMPUTED_VALUE"""),798.9)</f>
        <v>798.9</v>
      </c>
      <c r="I1374" s="7">
        <f>IFERROR(__xludf.DUMMYFUNCTION("""COMPUTED_VALUE"""),21.0)</f>
        <v>21</v>
      </c>
      <c r="J1374" s="6">
        <f>IFERROR(__xludf.DUMMYFUNCTION("""COMPUTED_VALUE"""),958.68)</f>
        <v>958.68</v>
      </c>
      <c r="K1374" s="6">
        <f>IFERROR(__xludf.DUMMYFUNCTION("""COMPUTED_VALUE"""),1118.46)</f>
        <v>1118.46</v>
      </c>
      <c r="L1374" s="3"/>
      <c r="M1374" s="3"/>
    </row>
    <row r="1375" ht="48.0" customHeight="1">
      <c r="A1375" s="3" t="str">
        <f>IFERROR(__xludf.DUMMYFUNCTION("""COMPUTED_VALUE"""),"DGFFE1116V7")</f>
        <v>DGFFE1116V7</v>
      </c>
      <c r="B1375" s="4" t="str">
        <f>IFERROR(__xludf.DUMMYFUNCTION("""COMPUTED_VALUE"""),"SISTEMA DIGIFORT EDICIÓN FAILOVER PARA WINDOWS")</f>
        <v>SISTEMA DIGIFORT EDICIÓN FAILOVER PARA WINDOWS</v>
      </c>
      <c r="C1375" s="4" t="str">
        <f>IFERROR(__xludf.DUMMYFUNCTION("""COMPUTED_VALUE"""),"Sistema Digifort Edición Failover para Windows - Pack para gerenciamiento de 16 cámaras adicionales.")</f>
        <v>Sistema Digifort Edición Failover para Windows - Pack para gerenciamiento de 16 cámaras adicionales.</v>
      </c>
      <c r="D1375" s="4" t="str">
        <f>IFERROR(__xludf.DUMMYFUNCTION("""COMPUTED_VALUE"""),"DIGIFORT")</f>
        <v>DIGIFORT</v>
      </c>
      <c r="E1375" s="4" t="str">
        <f>IFERROR(__xludf.DUMMYFUNCTION("""COMPUTED_VALUE"""),"DGFFE1116V7")</f>
        <v>DGFFE1116V7</v>
      </c>
      <c r="F1375" s="4" t="str">
        <f>IFERROR(__xludf.DUMMYFUNCTION("""COMPUTED_VALUE"""),"SOFTWARE / LICENCIAS &gt; LICENCIA FAILOVER PARA : EXPLORER/STANDARD/PROFESIONAL/ENTERPRISE")</f>
        <v>SOFTWARE / LICENCIAS &gt; LICENCIA FAILOVER PARA : EXPLORER/STANDARD/PROFESIONAL/ENTERPRISE</v>
      </c>
      <c r="G1375" s="5"/>
      <c r="H1375" s="6">
        <f>IFERROR(__xludf.DUMMYFUNCTION("""COMPUTED_VALUE"""),1477.96)</f>
        <v>1477.96</v>
      </c>
      <c r="I1375" s="7">
        <f>IFERROR(__xludf.DUMMYFUNCTION("""COMPUTED_VALUE"""),21.0)</f>
        <v>21</v>
      </c>
      <c r="J1375" s="6">
        <f>IFERROR(__xludf.DUMMYFUNCTION("""COMPUTED_VALUE"""),1773.55)</f>
        <v>1773.55</v>
      </c>
      <c r="K1375" s="6">
        <f>IFERROR(__xludf.DUMMYFUNCTION("""COMPUTED_VALUE"""),2069.14)</f>
        <v>2069.14</v>
      </c>
      <c r="L1375" s="3"/>
      <c r="M1375" s="3"/>
    </row>
    <row r="1376" ht="48.0" customHeight="1">
      <c r="A1376" s="3" t="str">
        <f>IFERROR(__xludf.DUMMYFUNCTION("""COMPUTED_VALUE"""),"DGFFE1132V7")</f>
        <v>DGFFE1132V7</v>
      </c>
      <c r="B1376" s="4" t="str">
        <f>IFERROR(__xludf.DUMMYFUNCTION("""COMPUTED_VALUE"""),"SISTEMA DIGIFORT EDICIÓN FAILOVER PARA WINDOWS")</f>
        <v>SISTEMA DIGIFORT EDICIÓN FAILOVER PARA WINDOWS</v>
      </c>
      <c r="C1376" s="4" t="str">
        <f>IFERROR(__xludf.DUMMYFUNCTION("""COMPUTED_VALUE"""),"Sistema Digifort Edición Failover para Windows - Pack para gerenciamiento de 32 cámaras adicionales.")</f>
        <v>Sistema Digifort Edición Failover para Windows - Pack para gerenciamiento de 32 cámaras adicionales.</v>
      </c>
      <c r="D1376" s="4" t="str">
        <f>IFERROR(__xludf.DUMMYFUNCTION("""COMPUTED_VALUE"""),"DIGIFORT")</f>
        <v>DIGIFORT</v>
      </c>
      <c r="E1376" s="4" t="str">
        <f>IFERROR(__xludf.DUMMYFUNCTION("""COMPUTED_VALUE"""),"DGFFE1132V7")</f>
        <v>DGFFE1132V7</v>
      </c>
      <c r="F1376" s="4" t="str">
        <f>IFERROR(__xludf.DUMMYFUNCTION("""COMPUTED_VALUE"""),"SOFTWARE / LICENCIAS &gt; LICENCIA FAILOVER PARA : EXPLORER/STANDARD/PROFESIONAL/ENTERPRISE")</f>
        <v>SOFTWARE / LICENCIAS &gt; LICENCIA FAILOVER PARA : EXPLORER/STANDARD/PROFESIONAL/ENTERPRISE</v>
      </c>
      <c r="G1376" s="5"/>
      <c r="H1376" s="6">
        <f>IFERROR(__xludf.DUMMYFUNCTION("""COMPUTED_VALUE"""),2734.22)</f>
        <v>2734.22</v>
      </c>
      <c r="I1376" s="7">
        <f>IFERROR(__xludf.DUMMYFUNCTION("""COMPUTED_VALUE"""),21.0)</f>
        <v>21</v>
      </c>
      <c r="J1376" s="6">
        <f>IFERROR(__xludf.DUMMYFUNCTION("""COMPUTED_VALUE"""),3281.06)</f>
        <v>3281.06</v>
      </c>
      <c r="K1376" s="6">
        <f>IFERROR(__xludf.DUMMYFUNCTION("""COMPUTED_VALUE"""),3827.91)</f>
        <v>3827.91</v>
      </c>
      <c r="L1376" s="3"/>
      <c r="M1376" s="3"/>
    </row>
    <row r="1377" ht="48.0" customHeight="1">
      <c r="A1377" s="3" t="str">
        <f>IFERROR(__xludf.DUMMYFUNCTION("""COMPUTED_VALUE"""),"DGFFE1164V7")</f>
        <v>DGFFE1164V7</v>
      </c>
      <c r="B1377" s="4" t="str">
        <f>IFERROR(__xludf.DUMMYFUNCTION("""COMPUTED_VALUE"""),"SISTEMA DIGIFORT EDICIÓN FAILOVER PARA WINDOWS")</f>
        <v>SISTEMA DIGIFORT EDICIÓN FAILOVER PARA WINDOWS</v>
      </c>
      <c r="C1377" s="4" t="str">
        <f>IFERROR(__xludf.DUMMYFUNCTION("""COMPUTED_VALUE"""),"Sistema Digifort Edición Failover para Windows - Pack para gerenciamiento de 64 cámaras adicionales.")</f>
        <v>Sistema Digifort Edición Failover para Windows - Pack para gerenciamiento de 64 cámaras adicionales.</v>
      </c>
      <c r="D1377" s="4" t="str">
        <f>IFERROR(__xludf.DUMMYFUNCTION("""COMPUTED_VALUE"""),"DIGIFORT")</f>
        <v>DIGIFORT</v>
      </c>
      <c r="E1377" s="4" t="str">
        <f>IFERROR(__xludf.DUMMYFUNCTION("""COMPUTED_VALUE"""),"DGFFE1164V7")</f>
        <v>DGFFE1164V7</v>
      </c>
      <c r="F1377" s="4" t="str">
        <f>IFERROR(__xludf.DUMMYFUNCTION("""COMPUTED_VALUE"""),"SOFTWARE / LICENCIAS &gt; LICENCIA FAILOVER PARA : EXPLORER/STANDARD/PROFESIONAL/ENTERPRISE")</f>
        <v>SOFTWARE / LICENCIAS &gt; LICENCIA FAILOVER PARA : EXPLORER/STANDARD/PROFESIONAL/ENTERPRISE</v>
      </c>
      <c r="G1377" s="5"/>
      <c r="H1377" s="6">
        <f>IFERROR(__xludf.DUMMYFUNCTION("""COMPUTED_VALUE"""),5058.31)</f>
        <v>5058.31</v>
      </c>
      <c r="I1377" s="7">
        <f>IFERROR(__xludf.DUMMYFUNCTION("""COMPUTED_VALUE"""),21.0)</f>
        <v>21</v>
      </c>
      <c r="J1377" s="6">
        <f>IFERROR(__xludf.DUMMYFUNCTION("""COMPUTED_VALUE"""),6069.97)</f>
        <v>6069.97</v>
      </c>
      <c r="K1377" s="6">
        <f>IFERROR(__xludf.DUMMYFUNCTION("""COMPUTED_VALUE"""),7081.63)</f>
        <v>7081.63</v>
      </c>
      <c r="L1377" s="3"/>
      <c r="M1377" s="3"/>
    </row>
    <row r="1378" ht="48.0" customHeight="1">
      <c r="A1378" s="3" t="str">
        <f>IFERROR(__xludf.DUMMYFUNCTION("""COMPUTED_VALUE"""),"DGFFE2001V7")</f>
        <v>DGFFE2001V7</v>
      </c>
      <c r="B1378" s="4" t="str">
        <f>IFERROR(__xludf.DUMMYFUNCTION("""COMPUTED_VALUE"""),"SISTEMA DIGIFORT EDICIÓN FAILOVER PARA WINDOWS")</f>
        <v>SISTEMA DIGIFORT EDICIÓN FAILOVER PARA WINDOWS</v>
      </c>
      <c r="C1378" s="4" t="str">
        <f>IFERROR(__xludf.DUMMYFUNCTION("""COMPUTED_VALUE"""),"Sistema Digifort Edición Failover para Windows - Base para gerenciamiento de 1 módulo de alarma")</f>
        <v>Sistema Digifort Edición Failover para Windows - Base para gerenciamiento de 1 módulo de alarma</v>
      </c>
      <c r="D1378" s="4" t="str">
        <f>IFERROR(__xludf.DUMMYFUNCTION("""COMPUTED_VALUE"""),"DIGIFORT")</f>
        <v>DIGIFORT</v>
      </c>
      <c r="E1378" s="4" t="str">
        <f>IFERROR(__xludf.DUMMYFUNCTION("""COMPUTED_VALUE"""),"DGFFE2001V7")</f>
        <v>DGFFE2001V7</v>
      </c>
      <c r="F1378" s="4" t="str">
        <f>IFERROR(__xludf.DUMMYFUNCTION("""COMPUTED_VALUE"""),"SOFTWARE / LICENCIAS &gt; LICENCIA FAILOVER PARA PLACAS DE I/O ALARMAS : EXPLORER/STANDARD/PROFESIONAL/ENTERPRISE")</f>
        <v>SOFTWARE / LICENCIAS &gt; LICENCIA FAILOVER PARA PLACAS DE I/O ALARMAS : EXPLORER/STANDARD/PROFESIONAL/ENTERPRISE</v>
      </c>
      <c r="G1378" s="5"/>
      <c r="H1378" s="6">
        <f>IFERROR(__xludf.DUMMYFUNCTION("""COMPUTED_VALUE"""),166.46)</f>
        <v>166.46</v>
      </c>
      <c r="I1378" s="7">
        <f>IFERROR(__xludf.DUMMYFUNCTION("""COMPUTED_VALUE"""),21.0)</f>
        <v>21</v>
      </c>
      <c r="J1378" s="6">
        <f>IFERROR(__xludf.DUMMYFUNCTION("""COMPUTED_VALUE"""),199.75)</f>
        <v>199.75</v>
      </c>
      <c r="K1378" s="6">
        <f>IFERROR(__xludf.DUMMYFUNCTION("""COMPUTED_VALUE"""),233.04)</f>
        <v>233.04</v>
      </c>
      <c r="L1378" s="3"/>
      <c r="M1378" s="3"/>
    </row>
    <row r="1379" ht="48.0" customHeight="1">
      <c r="A1379" s="3" t="str">
        <f>IFERROR(__xludf.DUMMYFUNCTION("""COMPUTED_VALUE"""),"DGFFE2101V7")</f>
        <v>DGFFE2101V7</v>
      </c>
      <c r="B1379" s="4" t="str">
        <f>IFERROR(__xludf.DUMMYFUNCTION("""COMPUTED_VALUE"""),"SISTEMA DIGIFORT EDICIÓN FAILOVER PARA WINDOWS")</f>
        <v>SISTEMA DIGIFORT EDICIÓN FAILOVER PARA WINDOWS</v>
      </c>
      <c r="C1379" s="4" t="str">
        <f>IFERROR(__xludf.DUMMYFUNCTION("""COMPUTED_VALUE"""),"Sistema Digifort Edición Failover para Windows - Pack para gerenciamiento de 1 módulo de alarma adicional")</f>
        <v>Sistema Digifort Edición Failover para Windows - Pack para gerenciamiento de 1 módulo de alarma adicional</v>
      </c>
      <c r="D1379" s="4" t="str">
        <f>IFERROR(__xludf.DUMMYFUNCTION("""COMPUTED_VALUE"""),"DIGIFORT")</f>
        <v>DIGIFORT</v>
      </c>
      <c r="E1379" s="4" t="str">
        <f>IFERROR(__xludf.DUMMYFUNCTION("""COMPUTED_VALUE"""),"DGFFE2101V7")</f>
        <v>DGFFE2101V7</v>
      </c>
      <c r="F1379" s="4" t="str">
        <f>IFERROR(__xludf.DUMMYFUNCTION("""COMPUTED_VALUE"""),"SOFTWARE / LICENCIAS &gt; LICENCIA FAILOVER PARA PLACAS DE I/O ALARMAS : EXPLORER/STANDARD/PROFESIONAL/ENTERPRISE")</f>
        <v>SOFTWARE / LICENCIAS &gt; LICENCIA FAILOVER PARA PLACAS DE I/O ALARMAS : EXPLORER/STANDARD/PROFESIONAL/ENTERPRISE</v>
      </c>
      <c r="G1379" s="5"/>
      <c r="H1379" s="6">
        <f>IFERROR(__xludf.DUMMYFUNCTION("""COMPUTED_VALUE"""),104.04)</f>
        <v>104.04</v>
      </c>
      <c r="I1379" s="7">
        <f>IFERROR(__xludf.DUMMYFUNCTION("""COMPUTED_VALUE"""),21.0)</f>
        <v>21</v>
      </c>
      <c r="J1379" s="6">
        <f>IFERROR(__xludf.DUMMYFUNCTION("""COMPUTED_VALUE"""),124.85)</f>
        <v>124.85</v>
      </c>
      <c r="K1379" s="6">
        <f>IFERROR(__xludf.DUMMYFUNCTION("""COMPUTED_VALUE"""),145.66)</f>
        <v>145.66</v>
      </c>
      <c r="L1379" s="3"/>
      <c r="M1379" s="3"/>
    </row>
    <row r="1380" ht="48.0" customHeight="1">
      <c r="A1380" s="3" t="str">
        <f>IFERROR(__xludf.DUMMYFUNCTION("""COMPUTED_VALUE"""),"DGFFE2102V7")</f>
        <v>DGFFE2102V7</v>
      </c>
      <c r="B1380" s="4" t="str">
        <f>IFERROR(__xludf.DUMMYFUNCTION("""COMPUTED_VALUE"""),"SISTEMA DIGIFORT EDICIÓN FAILOVER PARA WINDOWS")</f>
        <v>SISTEMA DIGIFORT EDICIÓN FAILOVER PARA WINDOWS</v>
      </c>
      <c r="C1380" s="4" t="str">
        <f>IFERROR(__xludf.DUMMYFUNCTION("""COMPUTED_VALUE"""),"Sistema Digifort Edición Failover para Windows - Pack para gerenciamiento de 2 módulos de alarmas adicionales")</f>
        <v>Sistema Digifort Edición Failover para Windows - Pack para gerenciamiento de 2 módulos de alarmas adicionales</v>
      </c>
      <c r="D1380" s="4" t="str">
        <f>IFERROR(__xludf.DUMMYFUNCTION("""COMPUTED_VALUE"""),"DIGIFORT")</f>
        <v>DIGIFORT</v>
      </c>
      <c r="E1380" s="4" t="str">
        <f>IFERROR(__xludf.DUMMYFUNCTION("""COMPUTED_VALUE"""),"DGFFE2102V7")</f>
        <v>DGFFE2102V7</v>
      </c>
      <c r="F1380" s="4" t="str">
        <f>IFERROR(__xludf.DUMMYFUNCTION("""COMPUTED_VALUE"""),"SOFTWARE / LICENCIAS &gt; LICENCIA FAILOVER PARA PLACAS DE I/O ALARMAS : EXPLORER/STANDARD/PROFESIONAL/ENTERPRISE")</f>
        <v>SOFTWARE / LICENCIAS &gt; LICENCIA FAILOVER PARA PLACAS DE I/O ALARMAS : EXPLORER/STANDARD/PROFESIONAL/ENTERPRISE</v>
      </c>
      <c r="G1380" s="5"/>
      <c r="H1380" s="6">
        <f>IFERROR(__xludf.DUMMYFUNCTION("""COMPUTED_VALUE"""),187.28)</f>
        <v>187.28</v>
      </c>
      <c r="I1380" s="7">
        <f>IFERROR(__xludf.DUMMYFUNCTION("""COMPUTED_VALUE"""),21.0)</f>
        <v>21</v>
      </c>
      <c r="J1380" s="6">
        <f>IFERROR(__xludf.DUMMYFUNCTION("""COMPUTED_VALUE"""),224.74)</f>
        <v>224.74</v>
      </c>
      <c r="K1380" s="6">
        <f>IFERROR(__xludf.DUMMYFUNCTION("""COMPUTED_VALUE"""),262.19)</f>
        <v>262.19</v>
      </c>
      <c r="L1380" s="3"/>
      <c r="M1380" s="3"/>
    </row>
    <row r="1381" ht="48.0" customHeight="1">
      <c r="A1381" s="3" t="str">
        <f>IFERROR(__xludf.DUMMYFUNCTION("""COMPUTED_VALUE"""),"DGFFE2104V7")</f>
        <v>DGFFE2104V7</v>
      </c>
      <c r="B1381" s="4" t="str">
        <f>IFERROR(__xludf.DUMMYFUNCTION("""COMPUTED_VALUE"""),"SISTEMA DIGIFORT EDICIÓN FAILOVER PARA WINDOWS")</f>
        <v>SISTEMA DIGIFORT EDICIÓN FAILOVER PARA WINDOWS</v>
      </c>
      <c r="C1381" s="4" t="str">
        <f>IFERROR(__xludf.DUMMYFUNCTION("""COMPUTED_VALUE"""),"Sistema Digifort Edición Failover para Windows - Pack para gerenciamiento de 4 módulos de alarmas adicionales")</f>
        <v>Sistema Digifort Edición Failover para Windows - Pack para gerenciamiento de 4 módulos de alarmas adicionales</v>
      </c>
      <c r="D1381" s="4" t="str">
        <f>IFERROR(__xludf.DUMMYFUNCTION("""COMPUTED_VALUE"""),"DIGIFORT")</f>
        <v>DIGIFORT</v>
      </c>
      <c r="E1381" s="4" t="str">
        <f>IFERROR(__xludf.DUMMYFUNCTION("""COMPUTED_VALUE"""),"DGFFE2104V7")</f>
        <v>DGFFE2104V7</v>
      </c>
      <c r="F1381" s="4" t="str">
        <f>IFERROR(__xludf.DUMMYFUNCTION("""COMPUTED_VALUE"""),"SOFTWARE / LICENCIAS &gt; LICENCIA FAILOVER PARA PLACAS DE I/O ALARMAS : EXPLORER/STANDARD/PROFESIONAL/ENTERPRISE")</f>
        <v>SOFTWARE / LICENCIAS &gt; LICENCIA FAILOVER PARA PLACAS DE I/O ALARMAS : EXPLORER/STANDARD/PROFESIONAL/ENTERPRISE</v>
      </c>
      <c r="G1381" s="5"/>
      <c r="H1381" s="6">
        <f>IFERROR(__xludf.DUMMYFUNCTION("""COMPUTED_VALUE"""),337.1)</f>
        <v>337.1</v>
      </c>
      <c r="I1381" s="7">
        <f>IFERROR(__xludf.DUMMYFUNCTION("""COMPUTED_VALUE"""),21.0)</f>
        <v>21</v>
      </c>
      <c r="J1381" s="6">
        <f>IFERROR(__xludf.DUMMYFUNCTION("""COMPUTED_VALUE"""),404.52)</f>
        <v>404.52</v>
      </c>
      <c r="K1381" s="6">
        <f>IFERROR(__xludf.DUMMYFUNCTION("""COMPUTED_VALUE"""),471.94)</f>
        <v>471.94</v>
      </c>
      <c r="L1381" s="3"/>
      <c r="M1381" s="3"/>
    </row>
    <row r="1382" ht="48.0" customHeight="1">
      <c r="A1382" s="3" t="str">
        <f>IFERROR(__xludf.DUMMYFUNCTION("""COMPUTED_VALUE"""),"DGFFE2108V7")</f>
        <v>DGFFE2108V7</v>
      </c>
      <c r="B1382" s="4" t="str">
        <f>IFERROR(__xludf.DUMMYFUNCTION("""COMPUTED_VALUE"""),"SISTEMA DIGIFORT EDICIÓN FAILOVER PARA WINDOWS")</f>
        <v>SISTEMA DIGIFORT EDICIÓN FAILOVER PARA WINDOWS</v>
      </c>
      <c r="C1382" s="4" t="str">
        <f>IFERROR(__xludf.DUMMYFUNCTION("""COMPUTED_VALUE"""),"Sistema Digifort Edición Failover para Windows - Pack para gerenciamiento de 8 módulos de alarmas adicionales")</f>
        <v>Sistema Digifort Edición Failover para Windows - Pack para gerenciamiento de 8 módulos de alarmas adicionales</v>
      </c>
      <c r="D1382" s="4" t="str">
        <f>IFERROR(__xludf.DUMMYFUNCTION("""COMPUTED_VALUE"""),"DIGIFORT")</f>
        <v>DIGIFORT</v>
      </c>
      <c r="E1382" s="4" t="str">
        <f>IFERROR(__xludf.DUMMYFUNCTION("""COMPUTED_VALUE"""),"DGFFE2108V7")</f>
        <v>DGFFE2108V7</v>
      </c>
      <c r="F1382" s="4" t="str">
        <f>IFERROR(__xludf.DUMMYFUNCTION("""COMPUTED_VALUE"""),"SOFTWARE / LICENCIAS &gt; LICENCIA FAILOVER PARA PLACAS DE I/O ALARMAS : EXPLORER/STANDARD/PROFESIONAL/ENTERPRISE")</f>
        <v>SOFTWARE / LICENCIAS &gt; LICENCIA FAILOVER PARA PLACAS DE I/O ALARMAS : EXPLORER/STANDARD/PROFESIONAL/ENTERPRISE</v>
      </c>
      <c r="G1382" s="5"/>
      <c r="H1382" s="6">
        <f>IFERROR(__xludf.DUMMYFUNCTION("""COMPUTED_VALUE"""),606.77)</f>
        <v>606.77</v>
      </c>
      <c r="I1382" s="7">
        <f>IFERROR(__xludf.DUMMYFUNCTION("""COMPUTED_VALUE"""),21.0)</f>
        <v>21</v>
      </c>
      <c r="J1382" s="6">
        <f>IFERROR(__xludf.DUMMYFUNCTION("""COMPUTED_VALUE"""),728.12)</f>
        <v>728.12</v>
      </c>
      <c r="K1382" s="6">
        <f>IFERROR(__xludf.DUMMYFUNCTION("""COMPUTED_VALUE"""),849.48)</f>
        <v>849.48</v>
      </c>
      <c r="L1382" s="3"/>
      <c r="M1382" s="3"/>
    </row>
    <row r="1383" ht="48.0" customHeight="1">
      <c r="A1383" s="3" t="str">
        <f>IFERROR(__xludf.DUMMYFUNCTION("""COMPUTED_VALUE"""),"DGFFE2116V7")</f>
        <v>DGFFE2116V7</v>
      </c>
      <c r="B1383" s="4" t="str">
        <f>IFERROR(__xludf.DUMMYFUNCTION("""COMPUTED_VALUE"""),"SISTEMA DIGIFORT EDICIÓN FAILOVER PARA WINDOWS")</f>
        <v>SISTEMA DIGIFORT EDICIÓN FAILOVER PARA WINDOWS</v>
      </c>
      <c r="C1383" s="4" t="str">
        <f>IFERROR(__xludf.DUMMYFUNCTION("""COMPUTED_VALUE"""),"Sistema Digifort Edición Failover para Windows - Pack para gerenciamiento de 16 módulos de alarmas adicionales")</f>
        <v>Sistema Digifort Edición Failover para Windows - Pack para gerenciamiento de 16 módulos de alarmas adicionales</v>
      </c>
      <c r="D1383" s="4" t="str">
        <f>IFERROR(__xludf.DUMMYFUNCTION("""COMPUTED_VALUE"""),"DIGIFORT")</f>
        <v>DIGIFORT</v>
      </c>
      <c r="E1383" s="4" t="str">
        <f>IFERROR(__xludf.DUMMYFUNCTION("""COMPUTED_VALUE"""),"DGFFE2116V7")</f>
        <v>DGFFE2116V7</v>
      </c>
      <c r="F1383" s="4" t="str">
        <f>IFERROR(__xludf.DUMMYFUNCTION("""COMPUTED_VALUE"""),"SOFTWARE / LICENCIAS &gt; LICENCIA FAILOVER PARA PLACAS DE I/O ALARMAS : EXPLORER/STANDARD/PROFESIONAL/ENTERPRISE")</f>
        <v>SOFTWARE / LICENCIAS &gt; LICENCIA FAILOVER PARA PLACAS DE I/O ALARMAS : EXPLORER/STANDARD/PROFESIONAL/ENTERPRISE</v>
      </c>
      <c r="G1383" s="5"/>
      <c r="H1383" s="6">
        <f>IFERROR(__xludf.DUMMYFUNCTION("""COMPUTED_VALUE"""),1092.18)</f>
        <v>1092.18</v>
      </c>
      <c r="I1383" s="7">
        <f>IFERROR(__xludf.DUMMYFUNCTION("""COMPUTED_VALUE"""),21.0)</f>
        <v>21</v>
      </c>
      <c r="J1383" s="6">
        <f>IFERROR(__xludf.DUMMYFUNCTION("""COMPUTED_VALUE"""),1310.62)</f>
        <v>1310.62</v>
      </c>
      <c r="K1383" s="6">
        <f>IFERROR(__xludf.DUMMYFUNCTION("""COMPUTED_VALUE"""),1529.05)</f>
        <v>1529.05</v>
      </c>
      <c r="L1383" s="3"/>
      <c r="M1383" s="3"/>
    </row>
    <row r="1384" ht="48.0" customHeight="1">
      <c r="A1384" s="3" t="str">
        <f>IFERROR(__xludf.DUMMYFUNCTION("""COMPUTED_VALUE"""),"DGFFE2132V7")</f>
        <v>DGFFE2132V7</v>
      </c>
      <c r="B1384" s="4" t="str">
        <f>IFERROR(__xludf.DUMMYFUNCTION("""COMPUTED_VALUE"""),"SISTEMA DIGIFORT EDICIÓN FAILOVER PARA WINDOWS")</f>
        <v>SISTEMA DIGIFORT EDICIÓN FAILOVER PARA WINDOWS</v>
      </c>
      <c r="C1384" s="4" t="str">
        <f>IFERROR(__xludf.DUMMYFUNCTION("""COMPUTED_VALUE"""),"Sistema Digifort Edición Failover para Windows - Pack para gerenciamiento de 32 módulos de alarmas adicionales")</f>
        <v>Sistema Digifort Edición Failover para Windows - Pack para gerenciamiento de 32 módulos de alarmas adicionales</v>
      </c>
      <c r="D1384" s="4" t="str">
        <f>IFERROR(__xludf.DUMMYFUNCTION("""COMPUTED_VALUE"""),"DIGIFORT")</f>
        <v>DIGIFORT</v>
      </c>
      <c r="E1384" s="4" t="str">
        <f>IFERROR(__xludf.DUMMYFUNCTION("""COMPUTED_VALUE"""),"DGFFE2132V7")</f>
        <v>DGFFE2132V7</v>
      </c>
      <c r="F1384" s="4" t="str">
        <f>IFERROR(__xludf.DUMMYFUNCTION("""COMPUTED_VALUE"""),"SOFTWARE / LICENCIAS &gt; LICENCIA FAILOVER PARA PLACAS DE I/O ALARMAS : EXPLORER/STANDARD/PROFESIONAL/ENTERPRISE")</f>
        <v>SOFTWARE / LICENCIAS &gt; LICENCIA FAILOVER PARA PLACAS DE I/O ALARMAS : EXPLORER/STANDARD/PROFESIONAL/ENTERPRISE</v>
      </c>
      <c r="G1384" s="5"/>
      <c r="H1384" s="6">
        <f>IFERROR(__xludf.DUMMYFUNCTION("""COMPUTED_VALUE"""),1965.92)</f>
        <v>1965.92</v>
      </c>
      <c r="I1384" s="7">
        <f>IFERROR(__xludf.DUMMYFUNCTION("""COMPUTED_VALUE"""),21.0)</f>
        <v>21</v>
      </c>
      <c r="J1384" s="6">
        <f>IFERROR(__xludf.DUMMYFUNCTION("""COMPUTED_VALUE"""),2359.1)</f>
        <v>2359.1</v>
      </c>
      <c r="K1384" s="6">
        <f>IFERROR(__xludf.DUMMYFUNCTION("""COMPUTED_VALUE"""),2752.29)</f>
        <v>2752.29</v>
      </c>
      <c r="L1384" s="3"/>
      <c r="M1384" s="3"/>
    </row>
    <row r="1385" ht="48.0" customHeight="1">
      <c r="A1385" s="3" t="str">
        <f>IFERROR(__xludf.DUMMYFUNCTION("""COMPUTED_VALUE"""),"DGFFE2164V7")</f>
        <v>DGFFE2164V7</v>
      </c>
      <c r="B1385" s="4" t="str">
        <f>IFERROR(__xludf.DUMMYFUNCTION("""COMPUTED_VALUE"""),"SISTEMA DIGIFORT EDICIÓN FAILOVER PARA WINDOWS")</f>
        <v>SISTEMA DIGIFORT EDICIÓN FAILOVER PARA WINDOWS</v>
      </c>
      <c r="C1385" s="4" t="str">
        <f>IFERROR(__xludf.DUMMYFUNCTION("""COMPUTED_VALUE"""),"Sistema Digifort Edición Failover para Windows - Pack para gerenciamiento de 64 módulos de alarmas adicionales")</f>
        <v>Sistema Digifort Edición Failover para Windows - Pack para gerenciamiento de 64 módulos de alarmas adicionales</v>
      </c>
      <c r="D1385" s="4" t="str">
        <f>IFERROR(__xludf.DUMMYFUNCTION("""COMPUTED_VALUE"""),"DIGIFORT")</f>
        <v>DIGIFORT</v>
      </c>
      <c r="E1385" s="4" t="str">
        <f>IFERROR(__xludf.DUMMYFUNCTION("""COMPUTED_VALUE"""),"DGFFE2164V7")</f>
        <v>DGFFE2164V7</v>
      </c>
      <c r="F1385" s="4" t="str">
        <f>IFERROR(__xludf.DUMMYFUNCTION("""COMPUTED_VALUE"""),"SOFTWARE / LICENCIAS &gt; LICENCIA FAILOVER PARA PLACAS DE I/O ALARMAS : EXPLORER/STANDARD/PROFESIONAL/ENTERPRISE")</f>
        <v>SOFTWARE / LICENCIAS &gt; LICENCIA FAILOVER PARA PLACAS DE I/O ALARMAS : EXPLORER/STANDARD/PROFESIONAL/ENTERPRISE</v>
      </c>
      <c r="G1385" s="5"/>
      <c r="H1385" s="6">
        <f>IFERROR(__xludf.DUMMYFUNCTION("""COMPUTED_VALUE"""),3538.67)</f>
        <v>3538.67</v>
      </c>
      <c r="I1385" s="7">
        <f>IFERROR(__xludf.DUMMYFUNCTION("""COMPUTED_VALUE"""),21.0)</f>
        <v>21</v>
      </c>
      <c r="J1385" s="6">
        <f>IFERROR(__xludf.DUMMYFUNCTION("""COMPUTED_VALUE"""),4246.4)</f>
        <v>4246.4</v>
      </c>
      <c r="K1385" s="6">
        <f>IFERROR(__xludf.DUMMYFUNCTION("""COMPUTED_VALUE"""),4954.14)</f>
        <v>4954.14</v>
      </c>
      <c r="L1385" s="3"/>
      <c r="M1385" s="3"/>
    </row>
    <row r="1386" ht="48.0" customHeight="1">
      <c r="A1386" s="3" t="str">
        <f>IFERROR(__xludf.DUMMYFUNCTION("""COMPUTED_VALUE"""),"DGFLW1101V7")</f>
        <v>DGFLW1101V7</v>
      </c>
      <c r="B1386" s="4" t="str">
        <f>IFERROR(__xludf.DUMMYFUNCTION("""COMPUTED_VALUE"""),"SISTEMA DIGIFORT LIVE WITNESS")</f>
        <v>SISTEMA DIGIFORT LIVE WITNESS</v>
      </c>
      <c r="C1386" s="4" t="str">
        <f>IFERROR(__xludf.DUMMYFUNCTION("""COMPUTED_VALUE"""),"Sistema Digifort Live Witness - Licencia por transmisión concurrente - Pack 1 cámara")</f>
        <v>Sistema Digifort Live Witness - Licencia por transmisión concurrente - Pack 1 cámara</v>
      </c>
      <c r="D1386" s="4" t="str">
        <f>IFERROR(__xludf.DUMMYFUNCTION("""COMPUTED_VALUE"""),"DIGIFORT")</f>
        <v>DIGIFORT</v>
      </c>
      <c r="E1386" s="4" t="str">
        <f>IFERROR(__xludf.DUMMYFUNCTION("""COMPUTED_VALUE"""),"DGFLW1101V7")</f>
        <v>DGFLW1101V7</v>
      </c>
      <c r="F1386" s="4" t="str">
        <f>IFERROR(__xludf.DUMMYFUNCTION("""COMPUTED_VALUE"""),"SOFTWARE / LICENCIAS &gt; DIGIFORT LIVE WITNESS")</f>
        <v>SOFTWARE / LICENCIAS &gt; DIGIFORT LIVE WITNESS</v>
      </c>
      <c r="G1386" s="5"/>
      <c r="H1386" s="6">
        <f>IFERROR(__xludf.DUMMYFUNCTION("""COMPUTED_VALUE"""),2104.96)</f>
        <v>2104.96</v>
      </c>
      <c r="I1386" s="7">
        <f>IFERROR(__xludf.DUMMYFUNCTION("""COMPUTED_VALUE"""),21.0)</f>
        <v>21</v>
      </c>
      <c r="J1386" s="6">
        <f>IFERROR(__xludf.DUMMYFUNCTION("""COMPUTED_VALUE"""),2525.95)</f>
        <v>2525.95</v>
      </c>
      <c r="K1386" s="6">
        <f>IFERROR(__xludf.DUMMYFUNCTION("""COMPUTED_VALUE"""),2946.94)</f>
        <v>2946.94</v>
      </c>
      <c r="L1386" s="3"/>
      <c r="M1386" s="3"/>
    </row>
    <row r="1387" ht="48.0" customHeight="1">
      <c r="A1387" s="3" t="str">
        <f>IFERROR(__xludf.DUMMYFUNCTION("""COMPUTED_VALUE"""),"DGFLW1102V7")</f>
        <v>DGFLW1102V7</v>
      </c>
      <c r="B1387" s="4" t="str">
        <f>IFERROR(__xludf.DUMMYFUNCTION("""COMPUTED_VALUE"""),"SISTEMA DIGIFORT LIVE WITNESS")</f>
        <v>SISTEMA DIGIFORT LIVE WITNESS</v>
      </c>
      <c r="C1387" s="4" t="str">
        <f>IFERROR(__xludf.DUMMYFUNCTION("""COMPUTED_VALUE"""),"Sistema Digifort Live Witness - Licencia por transmisión concurrente - Pack 2 cámaras")</f>
        <v>Sistema Digifort Live Witness - Licencia por transmisión concurrente - Pack 2 cámaras</v>
      </c>
      <c r="D1387" s="4" t="str">
        <f>IFERROR(__xludf.DUMMYFUNCTION("""COMPUTED_VALUE"""),"DIGIFORT")</f>
        <v>DIGIFORT</v>
      </c>
      <c r="E1387" s="4" t="str">
        <f>IFERROR(__xludf.DUMMYFUNCTION("""COMPUTED_VALUE"""),"DGFLW1102V7")</f>
        <v>DGFLW1102V7</v>
      </c>
      <c r="F1387" s="4" t="str">
        <f>IFERROR(__xludf.DUMMYFUNCTION("""COMPUTED_VALUE"""),"SOFTWARE / LICENCIAS &gt; DIGIFORT LIVE WITNESS")</f>
        <v>SOFTWARE / LICENCIAS &gt; DIGIFORT LIVE WITNESS</v>
      </c>
      <c r="G1387" s="5"/>
      <c r="H1387" s="6">
        <f>IFERROR(__xludf.DUMMYFUNCTION("""COMPUTED_VALUE"""),4104.67)</f>
        <v>4104.67</v>
      </c>
      <c r="I1387" s="7">
        <f>IFERROR(__xludf.DUMMYFUNCTION("""COMPUTED_VALUE"""),21.0)</f>
        <v>21</v>
      </c>
      <c r="J1387" s="6">
        <f>IFERROR(__xludf.DUMMYFUNCTION("""COMPUTED_VALUE"""),4925.6)</f>
        <v>4925.6</v>
      </c>
      <c r="K1387" s="6">
        <f>IFERROR(__xludf.DUMMYFUNCTION("""COMPUTED_VALUE"""),5746.54)</f>
        <v>5746.54</v>
      </c>
      <c r="L1387" s="3"/>
      <c r="M1387" s="3"/>
    </row>
    <row r="1388" ht="48.0" customHeight="1">
      <c r="A1388" s="3" t="str">
        <f>IFERROR(__xludf.DUMMYFUNCTION("""COMPUTED_VALUE"""),"DGFLW1104V7")</f>
        <v>DGFLW1104V7</v>
      </c>
      <c r="B1388" s="4" t="str">
        <f>IFERROR(__xludf.DUMMYFUNCTION("""COMPUTED_VALUE"""),"SISTEMA DIGIFORT LIVE WITNESS")</f>
        <v>SISTEMA DIGIFORT LIVE WITNESS</v>
      </c>
      <c r="C1388" s="4" t="str">
        <f>IFERROR(__xludf.DUMMYFUNCTION("""COMPUTED_VALUE"""),"Sistema Digifort Live Witness - Licencia por transmisión concurrente - Pack 4 cámaras")</f>
        <v>Sistema Digifort Live Witness - Licencia por transmisión concurrente - Pack 4 cámaras</v>
      </c>
      <c r="D1388" s="4" t="str">
        <f>IFERROR(__xludf.DUMMYFUNCTION("""COMPUTED_VALUE"""),"DIGIFORT")</f>
        <v>DIGIFORT</v>
      </c>
      <c r="E1388" s="4" t="str">
        <f>IFERROR(__xludf.DUMMYFUNCTION("""COMPUTED_VALUE"""),"DGFLW1104V7")</f>
        <v>DGFLW1104V7</v>
      </c>
      <c r="F1388" s="4" t="str">
        <f>IFERROR(__xludf.DUMMYFUNCTION("""COMPUTED_VALUE"""),"SOFTWARE / LICENCIAS &gt; DIGIFORT LIVE WITNESS")</f>
        <v>SOFTWARE / LICENCIAS &gt; DIGIFORT LIVE WITNESS</v>
      </c>
      <c r="G1388" s="5"/>
      <c r="H1388" s="6">
        <f>IFERROR(__xludf.DUMMYFUNCTION("""COMPUTED_VALUE"""),8004.11)</f>
        <v>8004.11</v>
      </c>
      <c r="I1388" s="7">
        <f>IFERROR(__xludf.DUMMYFUNCTION("""COMPUTED_VALUE"""),21.0)</f>
        <v>21</v>
      </c>
      <c r="J1388" s="6">
        <f>IFERROR(__xludf.DUMMYFUNCTION("""COMPUTED_VALUE"""),9604.93)</f>
        <v>9604.93</v>
      </c>
      <c r="K1388" s="6">
        <f>IFERROR(__xludf.DUMMYFUNCTION("""COMPUTED_VALUE"""),11205.75)</f>
        <v>11205.75</v>
      </c>
      <c r="L1388" s="3"/>
      <c r="M1388" s="3"/>
    </row>
    <row r="1389" ht="48.0" customHeight="1">
      <c r="A1389" s="3" t="str">
        <f>IFERROR(__xludf.DUMMYFUNCTION("""COMPUTED_VALUE"""),"DGFLW1108V7")</f>
        <v>DGFLW1108V7</v>
      </c>
      <c r="B1389" s="4" t="str">
        <f>IFERROR(__xludf.DUMMYFUNCTION("""COMPUTED_VALUE"""),"SISTEMA DIGIFORT LIVE WITNESS")</f>
        <v>SISTEMA DIGIFORT LIVE WITNESS</v>
      </c>
      <c r="C1389" s="4" t="str">
        <f>IFERROR(__xludf.DUMMYFUNCTION("""COMPUTED_VALUE"""),"Sistema Digifort Live Witness - Licencia por transmisión concurrente - Pack 8 cámaras")</f>
        <v>Sistema Digifort Live Witness - Licencia por transmisión concurrente - Pack 8 cámaras</v>
      </c>
      <c r="D1389" s="4" t="str">
        <f>IFERROR(__xludf.DUMMYFUNCTION("""COMPUTED_VALUE"""),"DIGIFORT")</f>
        <v>DIGIFORT</v>
      </c>
      <c r="E1389" s="4" t="str">
        <f>IFERROR(__xludf.DUMMYFUNCTION("""COMPUTED_VALUE"""),"DGFLW1108V7")</f>
        <v>DGFLW1108V7</v>
      </c>
      <c r="F1389" s="4" t="str">
        <f>IFERROR(__xludf.DUMMYFUNCTION("""COMPUTED_VALUE"""),"SOFTWARE / LICENCIAS &gt; DIGIFORT LIVE WITNESS")</f>
        <v>SOFTWARE / LICENCIAS &gt; DIGIFORT LIVE WITNESS</v>
      </c>
      <c r="G1389" s="5"/>
      <c r="H1389" s="6">
        <f>IFERROR(__xludf.DUMMYFUNCTION("""COMPUTED_VALUE"""),15608.01)</f>
        <v>15608.01</v>
      </c>
      <c r="I1389" s="7">
        <f>IFERROR(__xludf.DUMMYFUNCTION("""COMPUTED_VALUE"""),21.0)</f>
        <v>21</v>
      </c>
      <c r="J1389" s="6">
        <f>IFERROR(__xludf.DUMMYFUNCTION("""COMPUTED_VALUE"""),18729.61)</f>
        <v>18729.61</v>
      </c>
      <c r="K1389" s="6">
        <f>IFERROR(__xludf.DUMMYFUNCTION("""COMPUTED_VALUE"""),21851.21)</f>
        <v>21851.21</v>
      </c>
      <c r="L1389" s="3"/>
      <c r="M1389" s="3"/>
    </row>
    <row r="1390" ht="48.0" customHeight="1">
      <c r="A1390" s="3" t="str">
        <f>IFERROR(__xludf.DUMMYFUNCTION("""COMPUTED_VALUE"""),"DGFLW1116V7")</f>
        <v>DGFLW1116V7</v>
      </c>
      <c r="B1390" s="4" t="str">
        <f>IFERROR(__xludf.DUMMYFUNCTION("""COMPUTED_VALUE"""),"SISTEMA DIGIFORT LIVE WITNESS")</f>
        <v>SISTEMA DIGIFORT LIVE WITNESS</v>
      </c>
      <c r="C1390" s="4" t="str">
        <f>IFERROR(__xludf.DUMMYFUNCTION("""COMPUTED_VALUE"""),"Sistema Digifort Live Witness - Licencia por transmisión concurrente - Pack 16 cámaras")</f>
        <v>Sistema Digifort Live Witness - Licencia por transmisión concurrente - Pack 16 cámaras</v>
      </c>
      <c r="D1390" s="4" t="str">
        <f>IFERROR(__xludf.DUMMYFUNCTION("""COMPUTED_VALUE"""),"DIGIFORT")</f>
        <v>DIGIFORT</v>
      </c>
      <c r="E1390" s="4" t="str">
        <f>IFERROR(__xludf.DUMMYFUNCTION("""COMPUTED_VALUE"""),"DGFLW1116V7")</f>
        <v>DGFLW1116V7</v>
      </c>
      <c r="F1390" s="4" t="str">
        <f>IFERROR(__xludf.DUMMYFUNCTION("""COMPUTED_VALUE"""),"SOFTWARE / LICENCIAS &gt; DIGIFORT LIVE WITNESS")</f>
        <v>SOFTWARE / LICENCIAS &gt; DIGIFORT LIVE WITNESS</v>
      </c>
      <c r="G1390" s="5"/>
      <c r="H1390" s="6">
        <f>IFERROR(__xludf.DUMMYFUNCTION("""COMPUTED_VALUE"""),30435.63)</f>
        <v>30435.63</v>
      </c>
      <c r="I1390" s="7">
        <f>IFERROR(__xludf.DUMMYFUNCTION("""COMPUTED_VALUE"""),21.0)</f>
        <v>21</v>
      </c>
      <c r="J1390" s="6">
        <f>IFERROR(__xludf.DUMMYFUNCTION("""COMPUTED_VALUE"""),36522.76)</f>
        <v>36522.76</v>
      </c>
      <c r="K1390" s="6">
        <f>IFERROR(__xludf.DUMMYFUNCTION("""COMPUTED_VALUE"""),42609.88)</f>
        <v>42609.88</v>
      </c>
      <c r="L1390" s="3"/>
      <c r="M1390" s="3"/>
    </row>
    <row r="1391" ht="48.0" customHeight="1">
      <c r="A1391" s="3" t="str">
        <f>IFERROR(__xludf.DUMMYFUNCTION("""COMPUTED_VALUE"""),"DGFLW1132V7")</f>
        <v>DGFLW1132V7</v>
      </c>
      <c r="B1391" s="4" t="str">
        <f>IFERROR(__xludf.DUMMYFUNCTION("""COMPUTED_VALUE"""),"SISTEMA DIGIFORT LIVE WITNESS")</f>
        <v>SISTEMA DIGIFORT LIVE WITNESS</v>
      </c>
      <c r="C1391" s="4" t="str">
        <f>IFERROR(__xludf.DUMMYFUNCTION("""COMPUTED_VALUE"""),"Sistema Digifort Live Witness - Licencia por transmisión concurrente - Pack 32 cámaras")</f>
        <v>Sistema Digifort Live Witness - Licencia por transmisión concurrente - Pack 32 cámaras</v>
      </c>
      <c r="D1391" s="4" t="str">
        <f>IFERROR(__xludf.DUMMYFUNCTION("""COMPUTED_VALUE"""),"DIGIFORT")</f>
        <v>DIGIFORT</v>
      </c>
      <c r="E1391" s="4" t="str">
        <f>IFERROR(__xludf.DUMMYFUNCTION("""COMPUTED_VALUE"""),"DGFLW1132V7")</f>
        <v>DGFLW1132V7</v>
      </c>
      <c r="F1391" s="4" t="str">
        <f>IFERROR(__xludf.DUMMYFUNCTION("""COMPUTED_VALUE"""),"SOFTWARE / LICENCIAS &gt; DIGIFORT LIVE WITNESS")</f>
        <v>SOFTWARE / LICENCIAS &gt; DIGIFORT LIVE WITNESS</v>
      </c>
      <c r="G1391" s="5"/>
      <c r="H1391" s="6">
        <f>IFERROR(__xludf.DUMMYFUNCTION("""COMPUTED_VALUE"""),59349.48)</f>
        <v>59349.48</v>
      </c>
      <c r="I1391" s="7">
        <f>IFERROR(__xludf.DUMMYFUNCTION("""COMPUTED_VALUE"""),21.0)</f>
        <v>21</v>
      </c>
      <c r="J1391" s="6">
        <f>IFERROR(__xludf.DUMMYFUNCTION("""COMPUTED_VALUE"""),71219.38)</f>
        <v>71219.38</v>
      </c>
      <c r="K1391" s="6">
        <f>IFERROR(__xludf.DUMMYFUNCTION("""COMPUTED_VALUE"""),83089.27)</f>
        <v>83089.27</v>
      </c>
      <c r="L1391" s="3"/>
      <c r="M1391" s="3"/>
    </row>
    <row r="1392" ht="48.0" customHeight="1">
      <c r="A1392" s="3" t="str">
        <f>IFERROR(__xludf.DUMMYFUNCTION("""COMPUTED_VALUE"""),"DGFLW1164V7")</f>
        <v>DGFLW1164V7</v>
      </c>
      <c r="B1392" s="4" t="str">
        <f>IFERROR(__xludf.DUMMYFUNCTION("""COMPUTED_VALUE"""),"SISTEMA DIGIFORT LIVE WITNESS")</f>
        <v>SISTEMA DIGIFORT LIVE WITNESS</v>
      </c>
      <c r="C1392" s="4" t="str">
        <f>IFERROR(__xludf.DUMMYFUNCTION("""COMPUTED_VALUE"""),"Sistema Digifort Live Witness - Licencia por transmisión concurrente - Pack 64 cámaras")</f>
        <v>Sistema Digifort Live Witness - Licencia por transmisión concurrente - Pack 64 cámaras</v>
      </c>
      <c r="D1392" s="4" t="str">
        <f>IFERROR(__xludf.DUMMYFUNCTION("""COMPUTED_VALUE"""),"DIGIFORT")</f>
        <v>DIGIFORT</v>
      </c>
      <c r="E1392" s="4" t="str">
        <f>IFERROR(__xludf.DUMMYFUNCTION("""COMPUTED_VALUE"""),"DGFLW1164V7")</f>
        <v>DGFLW1164V7</v>
      </c>
      <c r="F1392" s="4" t="str">
        <f>IFERROR(__xludf.DUMMYFUNCTION("""COMPUTED_VALUE"""),"SOFTWARE / LICENCIAS &gt; DIGIFORT LIVE WITNESS")</f>
        <v>SOFTWARE / LICENCIAS &gt; DIGIFORT LIVE WITNESS</v>
      </c>
      <c r="G1392" s="5"/>
      <c r="H1392" s="6">
        <f>IFERROR(__xludf.DUMMYFUNCTION("""COMPUTED_VALUE"""),115731.48)</f>
        <v>115731.48</v>
      </c>
      <c r="I1392" s="7">
        <f>IFERROR(__xludf.DUMMYFUNCTION("""COMPUTED_VALUE"""),21.0)</f>
        <v>21</v>
      </c>
      <c r="J1392" s="6">
        <f>IFERROR(__xludf.DUMMYFUNCTION("""COMPUTED_VALUE"""),138877.78)</f>
        <v>138877.78</v>
      </c>
      <c r="K1392" s="6">
        <f>IFERROR(__xludf.DUMMYFUNCTION("""COMPUTED_VALUE"""),162024.07)</f>
        <v>162024.07</v>
      </c>
      <c r="L1392" s="3"/>
      <c r="M1392" s="3"/>
    </row>
    <row r="1393" ht="48.0" customHeight="1">
      <c r="A1393" s="3" t="str">
        <f>IFERROR(__xludf.DUMMYFUNCTION("""COMPUTED_VALUE"""),"DGFAG1101V1")</f>
        <v>DGFAG1101V1</v>
      </c>
      <c r="B1393" s="4" t="str">
        <f>IFERROR(__xludf.DUMMYFUNCTION("""COMPUTED_VALUE"""),"DIGIFORT LICENSE FOR TRANSMISSION OF VIDEO FROM DRONES &amp; GOPRO")</f>
        <v>DIGIFORT LICENSE FOR TRANSMISSION OF VIDEO FROM DRONES &amp; GOPRO</v>
      </c>
      <c r="C1393" s="4" t="str">
        <f>IFERROR(__xludf.DUMMYFUNCTION("""COMPUTED_VALUE"""),"Digifort license for transmission of video from Drones &amp; GoPro")</f>
        <v>Digifort license for transmission of video from Drones &amp; GoPro</v>
      </c>
      <c r="D1393" s="4" t="str">
        <f>IFERROR(__xludf.DUMMYFUNCTION("""COMPUTED_VALUE"""),"DIGIFORT")</f>
        <v>DIGIFORT</v>
      </c>
      <c r="E1393" s="4" t="str">
        <f>IFERROR(__xludf.DUMMYFUNCTION("""COMPUTED_VALUE"""),"DGFAG1101V1")</f>
        <v>DGFAG1101V1</v>
      </c>
      <c r="F1393" s="4" t="str">
        <f>IFERROR(__xludf.DUMMYFUNCTION("""COMPUTED_VALUE"""),"SOFTWARE / LICENCIAS &gt; DIGIFORT DRONE LINK (INTEGRACIÓN DRONES DJI Y CÁMARAS GOPRO)")</f>
        <v>SOFTWARE / LICENCIAS &gt; DIGIFORT DRONE LINK (INTEGRACIÓN DRONES DJI Y CÁMARAS GOPRO)</v>
      </c>
      <c r="G1393" s="5"/>
      <c r="H1393" s="6">
        <f>IFERROR(__xludf.DUMMYFUNCTION("""COMPUTED_VALUE"""),622.05)</f>
        <v>622.05</v>
      </c>
      <c r="I1393" s="7">
        <f>IFERROR(__xludf.DUMMYFUNCTION("""COMPUTED_VALUE"""),21.0)</f>
        <v>21</v>
      </c>
      <c r="J1393" s="6">
        <f>IFERROR(__xludf.DUMMYFUNCTION("""COMPUTED_VALUE"""),746.46)</f>
        <v>746.46</v>
      </c>
      <c r="K1393" s="6">
        <f>IFERROR(__xludf.DUMMYFUNCTION("""COMPUTED_VALUE"""),870.87)</f>
        <v>870.87</v>
      </c>
      <c r="L1393" s="3"/>
      <c r="M1393" s="3"/>
    </row>
    <row r="1394" ht="48.0" customHeight="1">
      <c r="A1394" s="3" t="str">
        <f>IFERROR(__xludf.DUMMYFUNCTION("""COMPUTED_VALUE"""),"DGFKB1000")</f>
        <v>DGFKB1000</v>
      </c>
      <c r="B1394" s="4" t="str">
        <f>IFERROR(__xludf.DUMMYFUNCTION("""COMPUTED_VALUE"""),"DIGIFORT KEYBOARD")</f>
        <v>DIGIFORT KEYBOARD</v>
      </c>
      <c r="C1394" s="4" t="str">
        <f>IFERROR(__xludf.DUMMYFUNCTION("""COMPUTED_VALUE"""),"Digifort Keyboard - Teclado / Joystick Digifort para control total del sistema sin teclado y/o mouse")</f>
        <v>Digifort Keyboard - Teclado / Joystick Digifort para control total del sistema sin teclado y/o mouse</v>
      </c>
      <c r="D1394" s="4" t="str">
        <f>IFERROR(__xludf.DUMMYFUNCTION("""COMPUTED_VALUE"""),"DIGIFORT")</f>
        <v>DIGIFORT</v>
      </c>
      <c r="E1394" s="4" t="str">
        <f>IFERROR(__xludf.DUMMYFUNCTION("""COMPUTED_VALUE"""),"DGFKB1000")</f>
        <v>DGFKB1000</v>
      </c>
      <c r="F1394" s="4" t="str">
        <f>IFERROR(__xludf.DUMMYFUNCTION("""COMPUTED_VALUE"""),"SOFTWARE / LICENCIAS &gt; VARIOS")</f>
        <v>SOFTWARE / LICENCIAS &gt; VARIOS</v>
      </c>
      <c r="G1394" s="5"/>
      <c r="H1394" s="6">
        <f>IFERROR(__xludf.DUMMYFUNCTION("""COMPUTED_VALUE"""),1738.0)</f>
        <v>1738</v>
      </c>
      <c r="I1394" s="7">
        <f>IFERROR(__xludf.DUMMYFUNCTION("""COMPUTED_VALUE"""),21.0)</f>
        <v>21</v>
      </c>
      <c r="J1394" s="6">
        <f>IFERROR(__xludf.DUMMYFUNCTION("""COMPUTED_VALUE"""),2085.6)</f>
        <v>2085.6</v>
      </c>
      <c r="K1394" s="6">
        <f>IFERROR(__xludf.DUMMYFUNCTION("""COMPUTED_VALUE"""),2433.2)</f>
        <v>2433.2</v>
      </c>
      <c r="L1394" s="3"/>
      <c r="M1394" s="3"/>
    </row>
    <row r="1395" ht="48.0" customHeight="1">
      <c r="A1395" s="3" t="str">
        <f>IFERROR(__xludf.DUMMYFUNCTION("""COMPUTED_VALUE"""),"DGFLS1001V1")</f>
        <v>DGFLS1001V1</v>
      </c>
      <c r="B1395" s="4" t="str">
        <f>IFERROR(__xludf.DUMMYFUNCTION("""COMPUTED_VALUE"""),"LPR SIGNAGE DIGIFORT LPR SIGNAGE, PLACA CON 1 SALIDA")</f>
        <v>LPR SIGNAGE DIGIFORT LPR SIGNAGE, PLACA CON 1 SALIDA</v>
      </c>
      <c r="C1395" s="4" t="str">
        <f>IFERROR(__xludf.DUMMYFUNCTION("""COMPUTED_VALUE"""),"LPR SIGNAGE Digifort LPR Signage, Placa con 1 salida HDMI para visualización de matriculas. Digifort LPR Signage es compatible con Digifort 7.3 y superior. Para la utilización del modulo LPR Signage es necesario que el cliente posea licencias Digifort LPR"&amp;".")</f>
        <v>LPR SIGNAGE Digifort LPR Signage, Placa con 1 salida HDMI para visualización de matriculas. Digifort LPR Signage es compatible con Digifort 7.3 y superior. Para la utilización del modulo LPR Signage es necesario que el cliente posea licencias Digifort LPR.</v>
      </c>
      <c r="D1395" s="4" t="str">
        <f>IFERROR(__xludf.DUMMYFUNCTION("""COMPUTED_VALUE"""),"DIGIFORT")</f>
        <v>DIGIFORT</v>
      </c>
      <c r="E1395" s="4" t="str">
        <f>IFERROR(__xludf.DUMMYFUNCTION("""COMPUTED_VALUE"""),"DGFLS1001V1")</f>
        <v>DGFLS1001V1</v>
      </c>
      <c r="F1395" s="4" t="str">
        <f>IFERROR(__xludf.DUMMYFUNCTION("""COMPUTED_VALUE"""),"SOFTWARE / LICENCIAS &gt; VARIOS")</f>
        <v>SOFTWARE / LICENCIAS &gt; VARIOS</v>
      </c>
      <c r="G1395" s="5"/>
      <c r="H1395" s="6">
        <f>IFERROR(__xludf.DUMMYFUNCTION("""COMPUTED_VALUE"""),1072.5)</f>
        <v>1072.5</v>
      </c>
      <c r="I1395" s="7">
        <f>IFERROR(__xludf.DUMMYFUNCTION("""COMPUTED_VALUE"""),21.0)</f>
        <v>21</v>
      </c>
      <c r="J1395" s="6">
        <f>IFERROR(__xludf.DUMMYFUNCTION("""COMPUTED_VALUE"""),1287.0)</f>
        <v>1287</v>
      </c>
      <c r="K1395" s="6">
        <f>IFERROR(__xludf.DUMMYFUNCTION("""COMPUTED_VALUE"""),1501.5)</f>
        <v>1501.5</v>
      </c>
      <c r="L1395" s="3"/>
      <c r="M1395" s="3"/>
    </row>
    <row r="1396" ht="48.0" customHeight="1">
      <c r="A1396" s="3" t="str">
        <f>IFERROR(__xludf.DUMMYFUNCTION("""COMPUTED_VALUE"""),"WD10BLUE")</f>
        <v>WD10BLUE</v>
      </c>
      <c r="B1396" s="4" t="str">
        <f>IFERROR(__xludf.DUMMYFUNCTION("""COMPUTED_VALUE"""),"NVR")</f>
        <v>NVR</v>
      </c>
      <c r="C1396" s="4" t="str">
        <f>IFERROR(__xludf.DUMMYFUNCTION("""COMPUTED_VALUE"""),"Disco rígido 1 Tera WD Blue (Venta en conjunto con DVR o NVR)")</f>
        <v>Disco rígido 1 Tera WD Blue (Venta en conjunto con DVR o NVR)</v>
      </c>
      <c r="D1396" s="4" t="str">
        <f>IFERROR(__xludf.DUMMYFUNCTION("""COMPUTED_VALUE"""),"WD")</f>
        <v>WD</v>
      </c>
      <c r="E1396" s="4" t="str">
        <f>IFERROR(__xludf.DUMMYFUNCTION("""COMPUTED_VALUE"""),"WD10BLUE")</f>
        <v>WD10BLUE</v>
      </c>
      <c r="F1396" s="4" t="str">
        <f>IFERROR(__xludf.DUMMYFUNCTION("""COMPUTED_VALUE"""),"CCTV &gt; GRABADORES NVR")</f>
        <v>CCTV &gt; GRABADORES NVR</v>
      </c>
      <c r="G1396" s="5"/>
      <c r="H1396" s="6">
        <f>IFERROR(__xludf.DUMMYFUNCTION("""COMPUTED_VALUE"""),0.0)</f>
        <v>0</v>
      </c>
      <c r="I1396" s="7">
        <f>IFERROR(__xludf.DUMMYFUNCTION("""COMPUTED_VALUE"""),10.5)</f>
        <v>10.5</v>
      </c>
      <c r="J1396" s="6">
        <f>IFERROR(__xludf.DUMMYFUNCTION("""COMPUTED_VALUE"""),0.0)</f>
        <v>0</v>
      </c>
      <c r="K1396" s="6">
        <f>IFERROR(__xludf.DUMMYFUNCTION("""COMPUTED_VALUE"""),0.0)</f>
        <v>0</v>
      </c>
      <c r="L1396" s="3"/>
      <c r="M1396" s="3"/>
    </row>
    <row r="1397" ht="48.0" customHeight="1">
      <c r="A1397" s="3" t="str">
        <f>IFERROR(__xludf.DUMMYFUNCTION("""COMPUTED_VALUE"""),"SEGSH1T")</f>
        <v>SEGSH1T</v>
      </c>
      <c r="B1397" s="4" t="str">
        <f>IFERROR(__xludf.DUMMYFUNCTION("""COMPUTED_VALUE"""),"NVR")</f>
        <v>NVR</v>
      </c>
      <c r="C1397" s="4" t="str">
        <f>IFERROR(__xludf.DUMMYFUNCTION("""COMPUTED_VALUE"""),"Disco rígido 1 Tera Seagate SkyHawk diseñado para DVR (Venta en conjunto con DVR o NVR)")</f>
        <v>Disco rígido 1 Tera Seagate SkyHawk diseñado para DVR (Venta en conjunto con DVR o NVR)</v>
      </c>
      <c r="D1397" s="4" t="str">
        <f>IFERROR(__xludf.DUMMYFUNCTION("""COMPUTED_VALUE"""),"SEAGATE")</f>
        <v>SEAGATE</v>
      </c>
      <c r="E1397" s="4" t="str">
        <f>IFERROR(__xludf.DUMMYFUNCTION("""COMPUTED_VALUE"""),"SEGSH1T")</f>
        <v>SEGSH1T</v>
      </c>
      <c r="F1397" s="4" t="str">
        <f>IFERROR(__xludf.DUMMYFUNCTION("""COMPUTED_VALUE"""),"CCTV &gt; GRABADORES NVR")</f>
        <v>CCTV &gt; GRABADORES NVR</v>
      </c>
      <c r="G1397" s="5"/>
      <c r="H1397" s="6">
        <f>IFERROR(__xludf.DUMMYFUNCTION("""COMPUTED_VALUE"""),148.5)</f>
        <v>148.5</v>
      </c>
      <c r="I1397" s="7">
        <f>IFERROR(__xludf.DUMMYFUNCTION("""COMPUTED_VALUE"""),10.5)</f>
        <v>10.5</v>
      </c>
      <c r="J1397" s="6">
        <f>IFERROR(__xludf.DUMMYFUNCTION("""COMPUTED_VALUE"""),178.2)</f>
        <v>178.2</v>
      </c>
      <c r="K1397" s="6">
        <f>IFERROR(__xludf.DUMMYFUNCTION("""COMPUTED_VALUE"""),207.9)</f>
        <v>207.9</v>
      </c>
      <c r="L1397" s="3"/>
      <c r="M1397" s="3"/>
    </row>
    <row r="1398" ht="48.0" customHeight="1">
      <c r="A1398" s="3" t="str">
        <f>IFERROR(__xludf.DUMMYFUNCTION("""COMPUTED_VALUE"""),"WD10PURX")</f>
        <v>WD10PURX</v>
      </c>
      <c r="B1398" s="4" t="str">
        <f>IFERROR(__xludf.DUMMYFUNCTION("""COMPUTED_VALUE"""),"DVR")</f>
        <v>DVR</v>
      </c>
      <c r="C1398" s="4" t="str">
        <f>IFERROR(__xludf.DUMMYFUNCTION("""COMPUTED_VALUE"""),"Disco rígido 1 Tera Western Digital Purple - diseñado para DVR")</f>
        <v>Disco rígido 1 Tera Western Digital Purple - diseñado para DVR</v>
      </c>
      <c r="D1398" s="4" t="str">
        <f>IFERROR(__xludf.DUMMYFUNCTION("""COMPUTED_VALUE"""),"WD")</f>
        <v>WD</v>
      </c>
      <c r="E1398" s="4" t="str">
        <f>IFERROR(__xludf.DUMMYFUNCTION("""COMPUTED_VALUE"""),"WD10PURX")</f>
        <v>WD10PURX</v>
      </c>
      <c r="F1398" s="4" t="str">
        <f>IFERROR(__xludf.DUMMYFUNCTION("""COMPUTED_VALUE"""),"CCTV &gt; GRABADORES DVR")</f>
        <v>CCTV &gt; GRABADORES DVR</v>
      </c>
      <c r="G1398" s="5"/>
      <c r="H1398" s="6">
        <f>IFERROR(__xludf.DUMMYFUNCTION("""COMPUTED_VALUE"""),148.5)</f>
        <v>148.5</v>
      </c>
      <c r="I1398" s="7">
        <f>IFERROR(__xludf.DUMMYFUNCTION("""COMPUTED_VALUE"""),10.5)</f>
        <v>10.5</v>
      </c>
      <c r="J1398" s="6">
        <f>IFERROR(__xludf.DUMMYFUNCTION("""COMPUTED_VALUE"""),178.2)</f>
        <v>178.2</v>
      </c>
      <c r="K1398" s="6">
        <f>IFERROR(__xludf.DUMMYFUNCTION("""COMPUTED_VALUE"""),207.9)</f>
        <v>207.9</v>
      </c>
      <c r="L1398" s="3"/>
      <c r="M1398" s="3"/>
    </row>
    <row r="1399" ht="48.0" customHeight="1">
      <c r="A1399" s="3" t="str">
        <f>IFERROR(__xludf.DUMMYFUNCTION("""COMPUTED_VALUE"""),"SEGSH2T")</f>
        <v>SEGSH2T</v>
      </c>
      <c r="B1399" s="4" t="str">
        <f>IFERROR(__xludf.DUMMYFUNCTION("""COMPUTED_VALUE"""),"NVR")</f>
        <v>NVR</v>
      </c>
      <c r="C1399" s="4" t="str">
        <f>IFERROR(__xludf.DUMMYFUNCTION("""COMPUTED_VALUE"""),"Disco rígido 2 Tera Seagate SkyHawk diseñado para DVR (Venta en conjunto con DVR o NVR)")</f>
        <v>Disco rígido 2 Tera Seagate SkyHawk diseñado para DVR (Venta en conjunto con DVR o NVR)</v>
      </c>
      <c r="D1399" s="4" t="str">
        <f>IFERROR(__xludf.DUMMYFUNCTION("""COMPUTED_VALUE"""),"SEAGATE")</f>
        <v>SEAGATE</v>
      </c>
      <c r="E1399" s="4" t="str">
        <f>IFERROR(__xludf.DUMMYFUNCTION("""COMPUTED_VALUE"""),"SEGSH2T")</f>
        <v>SEGSH2T</v>
      </c>
      <c r="F1399" s="4" t="str">
        <f>IFERROR(__xludf.DUMMYFUNCTION("""COMPUTED_VALUE"""),"CCTV &gt; GRABADORES NVR")</f>
        <v>CCTV &gt; GRABADORES NVR</v>
      </c>
      <c r="G1399" s="5"/>
      <c r="H1399" s="6">
        <f>IFERROR(__xludf.DUMMYFUNCTION("""COMPUTED_VALUE"""),183.4)</f>
        <v>183.4</v>
      </c>
      <c r="I1399" s="7">
        <f>IFERROR(__xludf.DUMMYFUNCTION("""COMPUTED_VALUE"""),10.5)</f>
        <v>10.5</v>
      </c>
      <c r="J1399" s="6">
        <f>IFERROR(__xludf.DUMMYFUNCTION("""COMPUTED_VALUE"""),220.08)</f>
        <v>220.08</v>
      </c>
      <c r="K1399" s="6">
        <f>IFERROR(__xludf.DUMMYFUNCTION("""COMPUTED_VALUE"""),256.76)</f>
        <v>256.76</v>
      </c>
      <c r="L1399" s="3"/>
      <c r="M1399" s="3"/>
    </row>
    <row r="1400" ht="48.0" customHeight="1">
      <c r="A1400" s="3" t="str">
        <f>IFERROR(__xludf.DUMMYFUNCTION("""COMPUTED_VALUE"""),"WD20PURX")</f>
        <v>WD20PURX</v>
      </c>
      <c r="B1400" s="4" t="str">
        <f>IFERROR(__xludf.DUMMYFUNCTION("""COMPUTED_VALUE"""),"DVR")</f>
        <v>DVR</v>
      </c>
      <c r="C1400" s="4" t="str">
        <f>IFERROR(__xludf.DUMMYFUNCTION("""COMPUTED_VALUE"""),"Disco rígido 2 Tera Western Digital Purple - diseñado para DVR")</f>
        <v>Disco rígido 2 Tera Western Digital Purple - diseñado para DVR</v>
      </c>
      <c r="D1400" s="4" t="str">
        <f>IFERROR(__xludf.DUMMYFUNCTION("""COMPUTED_VALUE"""),"WD")</f>
        <v>WD</v>
      </c>
      <c r="E1400" s="4" t="str">
        <f>IFERROR(__xludf.DUMMYFUNCTION("""COMPUTED_VALUE"""),"WD20PURX")</f>
        <v>WD20PURX</v>
      </c>
      <c r="F1400" s="4" t="str">
        <f>IFERROR(__xludf.DUMMYFUNCTION("""COMPUTED_VALUE"""),"CCTV &gt; GRABADORES DVR")</f>
        <v>CCTV &gt; GRABADORES DVR</v>
      </c>
      <c r="G1400" s="5"/>
      <c r="H1400" s="6">
        <f>IFERROR(__xludf.DUMMYFUNCTION("""COMPUTED_VALUE"""),183.4)</f>
        <v>183.4</v>
      </c>
      <c r="I1400" s="7">
        <f>IFERROR(__xludf.DUMMYFUNCTION("""COMPUTED_VALUE"""),10.5)</f>
        <v>10.5</v>
      </c>
      <c r="J1400" s="6">
        <f>IFERROR(__xludf.DUMMYFUNCTION("""COMPUTED_VALUE"""),220.08)</f>
        <v>220.08</v>
      </c>
      <c r="K1400" s="6">
        <f>IFERROR(__xludf.DUMMYFUNCTION("""COMPUTED_VALUE"""),256.76)</f>
        <v>256.76</v>
      </c>
      <c r="L1400" s="3"/>
      <c r="M1400" s="3"/>
    </row>
    <row r="1401" ht="48.0" customHeight="1">
      <c r="A1401" s="3" t="str">
        <f>IFERROR(__xludf.DUMMYFUNCTION("""COMPUTED_VALUE"""),"SEGSH4T")</f>
        <v>SEGSH4T</v>
      </c>
      <c r="B1401" s="4" t="str">
        <f>IFERROR(__xludf.DUMMYFUNCTION("""COMPUTED_VALUE"""),"NVR")</f>
        <v>NVR</v>
      </c>
      <c r="C1401" s="4" t="str">
        <f>IFERROR(__xludf.DUMMYFUNCTION("""COMPUTED_VALUE"""),"Disco rígido 4 Tera Seagate SkyHawk diseñado para DVR (Venta en conjunto con DVR o NVR)")</f>
        <v>Disco rígido 4 Tera Seagate SkyHawk diseñado para DVR (Venta en conjunto con DVR o NVR)</v>
      </c>
      <c r="D1401" s="4" t="str">
        <f>IFERROR(__xludf.DUMMYFUNCTION("""COMPUTED_VALUE"""),"SEAGATE")</f>
        <v>SEAGATE</v>
      </c>
      <c r="E1401" s="4" t="str">
        <f>IFERROR(__xludf.DUMMYFUNCTION("""COMPUTED_VALUE"""),"SEGSH4T")</f>
        <v>SEGSH4T</v>
      </c>
      <c r="F1401" s="4" t="str">
        <f>IFERROR(__xludf.DUMMYFUNCTION("""COMPUTED_VALUE"""),"CCTV &gt; GRABADORES NVR")</f>
        <v>CCTV &gt; GRABADORES NVR</v>
      </c>
      <c r="G1401" s="5"/>
      <c r="H1401" s="6">
        <f>IFERROR(__xludf.DUMMYFUNCTION("""COMPUTED_VALUE"""),248.16)</f>
        <v>248.16</v>
      </c>
      <c r="I1401" s="7">
        <f>IFERROR(__xludf.DUMMYFUNCTION("""COMPUTED_VALUE"""),10.5)</f>
        <v>10.5</v>
      </c>
      <c r="J1401" s="6">
        <f>IFERROR(__xludf.DUMMYFUNCTION("""COMPUTED_VALUE"""),297.79)</f>
        <v>297.79</v>
      </c>
      <c r="K1401" s="6">
        <f>IFERROR(__xludf.DUMMYFUNCTION("""COMPUTED_VALUE"""),347.42)</f>
        <v>347.42</v>
      </c>
      <c r="L1401" s="3"/>
      <c r="M1401" s="3"/>
    </row>
    <row r="1402" ht="48.0" customHeight="1">
      <c r="A1402" s="3" t="str">
        <f>IFERROR(__xludf.DUMMYFUNCTION("""COMPUTED_VALUE"""),"WD40PURX")</f>
        <v>WD40PURX</v>
      </c>
      <c r="B1402" s="4" t="str">
        <f>IFERROR(__xludf.DUMMYFUNCTION("""COMPUTED_VALUE"""),"DVR")</f>
        <v>DVR</v>
      </c>
      <c r="C1402" s="4" t="str">
        <f>IFERROR(__xludf.DUMMYFUNCTION("""COMPUTED_VALUE"""),"Disco rígido 4 Tera Western Digital Purple - diseñado para DVR")</f>
        <v>Disco rígido 4 Tera Western Digital Purple - diseñado para DVR</v>
      </c>
      <c r="D1402" s="4" t="str">
        <f>IFERROR(__xludf.DUMMYFUNCTION("""COMPUTED_VALUE"""),"WD")</f>
        <v>WD</v>
      </c>
      <c r="E1402" s="4" t="str">
        <f>IFERROR(__xludf.DUMMYFUNCTION("""COMPUTED_VALUE"""),"WD40PURX")</f>
        <v>WD40PURX</v>
      </c>
      <c r="F1402" s="4" t="str">
        <f>IFERROR(__xludf.DUMMYFUNCTION("""COMPUTED_VALUE"""),"CCTV &gt; GRABADORES DVR")</f>
        <v>CCTV &gt; GRABADORES DVR</v>
      </c>
      <c r="G1402" s="5"/>
      <c r="H1402" s="6">
        <f>IFERROR(__xludf.DUMMYFUNCTION("""COMPUTED_VALUE"""),248.16)</f>
        <v>248.16</v>
      </c>
      <c r="I1402" s="7">
        <f>IFERROR(__xludf.DUMMYFUNCTION("""COMPUTED_VALUE"""),10.5)</f>
        <v>10.5</v>
      </c>
      <c r="J1402" s="6">
        <f>IFERROR(__xludf.DUMMYFUNCTION("""COMPUTED_VALUE"""),297.79)</f>
        <v>297.79</v>
      </c>
      <c r="K1402" s="6">
        <f>IFERROR(__xludf.DUMMYFUNCTION("""COMPUTED_VALUE"""),347.42)</f>
        <v>347.42</v>
      </c>
      <c r="L1402" s="3"/>
      <c r="M1402" s="3"/>
    </row>
    <row r="1403" ht="48.0" customHeight="1">
      <c r="A1403" s="3" t="str">
        <f>IFERROR(__xludf.DUMMYFUNCTION("""COMPUTED_VALUE"""),"SEGSH6T")</f>
        <v>SEGSH6T</v>
      </c>
      <c r="B1403" s="4" t="str">
        <f>IFERROR(__xludf.DUMMYFUNCTION("""COMPUTED_VALUE"""),"NVR")</f>
        <v>NVR</v>
      </c>
      <c r="C1403" s="4" t="str">
        <f>IFERROR(__xludf.DUMMYFUNCTION("""COMPUTED_VALUE"""),"Disco rígido 6 Tera Seagate SkyHawk diseñado para DVR (Venta en conjunto con DVR o NVR)")</f>
        <v>Disco rígido 6 Tera Seagate SkyHawk diseñado para DVR (Venta en conjunto con DVR o NVR)</v>
      </c>
      <c r="D1403" s="4" t="str">
        <f>IFERROR(__xludf.DUMMYFUNCTION("""COMPUTED_VALUE"""),"SEAGATE")</f>
        <v>SEAGATE</v>
      </c>
      <c r="E1403" s="4" t="str">
        <f>IFERROR(__xludf.DUMMYFUNCTION("""COMPUTED_VALUE"""),"SEGSH6T")</f>
        <v>SEGSH6T</v>
      </c>
      <c r="F1403" s="4" t="str">
        <f>IFERROR(__xludf.DUMMYFUNCTION("""COMPUTED_VALUE"""),"CCTV &gt; GRABADORES NVR")</f>
        <v>CCTV &gt; GRABADORES NVR</v>
      </c>
      <c r="G1403" s="5"/>
      <c r="H1403" s="6">
        <f>IFERROR(__xludf.DUMMYFUNCTION("""COMPUTED_VALUE"""),290.4)</f>
        <v>290.4</v>
      </c>
      <c r="I1403" s="7">
        <f>IFERROR(__xludf.DUMMYFUNCTION("""COMPUTED_VALUE"""),10.5)</f>
        <v>10.5</v>
      </c>
      <c r="J1403" s="6">
        <f>IFERROR(__xludf.DUMMYFUNCTION("""COMPUTED_VALUE"""),348.48)</f>
        <v>348.48</v>
      </c>
      <c r="K1403" s="6">
        <f>IFERROR(__xludf.DUMMYFUNCTION("""COMPUTED_VALUE"""),406.56)</f>
        <v>406.56</v>
      </c>
      <c r="L1403" s="3"/>
      <c r="M1403" s="3"/>
    </row>
    <row r="1404" ht="48.0" customHeight="1">
      <c r="A1404" s="3" t="str">
        <f>IFERROR(__xludf.DUMMYFUNCTION("""COMPUTED_VALUE"""),"WD60PURX")</f>
        <v>WD60PURX</v>
      </c>
      <c r="B1404" s="4" t="str">
        <f>IFERROR(__xludf.DUMMYFUNCTION("""COMPUTED_VALUE"""),"DVR")</f>
        <v>DVR</v>
      </c>
      <c r="C1404" s="4" t="str">
        <f>IFERROR(__xludf.DUMMYFUNCTION("""COMPUTED_VALUE"""),"Disco rígido 6 Tera Western Digital Purple - diseñado para DVR")</f>
        <v>Disco rígido 6 Tera Western Digital Purple - diseñado para DVR</v>
      </c>
      <c r="D1404" s="4" t="str">
        <f>IFERROR(__xludf.DUMMYFUNCTION("""COMPUTED_VALUE"""),"WD")</f>
        <v>WD</v>
      </c>
      <c r="E1404" s="4" t="str">
        <f>IFERROR(__xludf.DUMMYFUNCTION("""COMPUTED_VALUE"""),"WD60PURX")</f>
        <v>WD60PURX</v>
      </c>
      <c r="F1404" s="4" t="str">
        <f>IFERROR(__xludf.DUMMYFUNCTION("""COMPUTED_VALUE"""),"CCTV &gt; GRABADORES DVR")</f>
        <v>CCTV &gt; GRABADORES DVR</v>
      </c>
      <c r="G1404" s="5"/>
      <c r="H1404" s="6">
        <f>IFERROR(__xludf.DUMMYFUNCTION("""COMPUTED_VALUE"""),290.4)</f>
        <v>290.4</v>
      </c>
      <c r="I1404" s="7">
        <f>IFERROR(__xludf.DUMMYFUNCTION("""COMPUTED_VALUE"""),10.5)</f>
        <v>10.5</v>
      </c>
      <c r="J1404" s="6">
        <f>IFERROR(__xludf.DUMMYFUNCTION("""COMPUTED_VALUE"""),348.48)</f>
        <v>348.48</v>
      </c>
      <c r="K1404" s="6">
        <f>IFERROR(__xludf.DUMMYFUNCTION("""COMPUTED_VALUE"""),406.56)</f>
        <v>406.56</v>
      </c>
      <c r="L1404" s="3"/>
      <c r="M1404" s="3"/>
    </row>
    <row r="1405" ht="48.0" customHeight="1">
      <c r="A1405" s="3" t="str">
        <f>IFERROR(__xludf.DUMMYFUNCTION("""COMPUTED_VALUE"""),"SEGSH8T")</f>
        <v>SEGSH8T</v>
      </c>
      <c r="B1405" s="4" t="str">
        <f>IFERROR(__xludf.DUMMYFUNCTION("""COMPUTED_VALUE"""),"NVR")</f>
        <v>NVR</v>
      </c>
      <c r="C1405" s="4" t="str">
        <f>IFERROR(__xludf.DUMMYFUNCTION("""COMPUTED_VALUE"""),"Disco rígido 8 Tera Seagate SkyHawk diseñado para DVR (Venta en conjunto con DVR o NVR)")</f>
        <v>Disco rígido 8 Tera Seagate SkyHawk diseñado para DVR (Venta en conjunto con DVR o NVR)</v>
      </c>
      <c r="D1405" s="4" t="str">
        <f>IFERROR(__xludf.DUMMYFUNCTION("""COMPUTED_VALUE"""),"SEAGATE")</f>
        <v>SEAGATE</v>
      </c>
      <c r="E1405" s="4" t="str">
        <f>IFERROR(__xludf.DUMMYFUNCTION("""COMPUTED_VALUE"""),"SEGSH8T")</f>
        <v>SEGSH8T</v>
      </c>
      <c r="F1405" s="4" t="str">
        <f>IFERROR(__xludf.DUMMYFUNCTION("""COMPUTED_VALUE"""),"CCTV &gt; GRABADORES NVR")</f>
        <v>CCTV &gt; GRABADORES NVR</v>
      </c>
      <c r="G1405" s="5"/>
      <c r="H1405" s="6">
        <f>IFERROR(__xludf.DUMMYFUNCTION("""COMPUTED_VALUE"""),435.6)</f>
        <v>435.6</v>
      </c>
      <c r="I1405" s="7">
        <f>IFERROR(__xludf.DUMMYFUNCTION("""COMPUTED_VALUE"""),10.5)</f>
        <v>10.5</v>
      </c>
      <c r="J1405" s="6">
        <f>IFERROR(__xludf.DUMMYFUNCTION("""COMPUTED_VALUE"""),522.72)</f>
        <v>522.72</v>
      </c>
      <c r="K1405" s="6">
        <f>IFERROR(__xludf.DUMMYFUNCTION("""COMPUTED_VALUE"""),609.84)</f>
        <v>609.84</v>
      </c>
      <c r="L1405" s="3"/>
      <c r="M1405" s="3"/>
    </row>
    <row r="1406" ht="48.0" customHeight="1">
      <c r="A1406" s="3" t="str">
        <f>IFERROR(__xludf.DUMMYFUNCTION("""COMPUTED_VALUE"""),"WD80PURZ")</f>
        <v>WD80PURZ</v>
      </c>
      <c r="B1406" s="4" t="str">
        <f>IFERROR(__xludf.DUMMYFUNCTION("""COMPUTED_VALUE"""),"DVR")</f>
        <v>DVR</v>
      </c>
      <c r="C1406" s="4" t="str">
        <f>IFERROR(__xludf.DUMMYFUNCTION("""COMPUTED_VALUE"""),"Disco rígido 8 Tera Western Digital Purple - diseñado para DVR")</f>
        <v>Disco rígido 8 Tera Western Digital Purple - diseñado para DVR</v>
      </c>
      <c r="D1406" s="4" t="str">
        <f>IFERROR(__xludf.DUMMYFUNCTION("""COMPUTED_VALUE"""),"WD")</f>
        <v>WD</v>
      </c>
      <c r="E1406" s="4" t="str">
        <f>IFERROR(__xludf.DUMMYFUNCTION("""COMPUTED_VALUE"""),"WD80PURZ")</f>
        <v>WD80PURZ</v>
      </c>
      <c r="F1406" s="4" t="str">
        <f>IFERROR(__xludf.DUMMYFUNCTION("""COMPUTED_VALUE"""),"CCTV &gt; GRABADORES DVR")</f>
        <v>CCTV &gt; GRABADORES DVR</v>
      </c>
      <c r="G1406" s="5"/>
      <c r="H1406" s="6">
        <f>IFERROR(__xludf.DUMMYFUNCTION("""COMPUTED_VALUE"""),435.6)</f>
        <v>435.6</v>
      </c>
      <c r="I1406" s="7">
        <f>IFERROR(__xludf.DUMMYFUNCTION("""COMPUTED_VALUE"""),10.5)</f>
        <v>10.5</v>
      </c>
      <c r="J1406" s="6">
        <f>IFERROR(__xludf.DUMMYFUNCTION("""COMPUTED_VALUE"""),522.72)</f>
        <v>522.72</v>
      </c>
      <c r="K1406" s="6">
        <f>IFERROR(__xludf.DUMMYFUNCTION("""COMPUTED_VALUE"""),609.84)</f>
        <v>609.84</v>
      </c>
      <c r="L1406" s="3"/>
      <c r="M1406" s="3"/>
    </row>
    <row r="1407" ht="48.0" customHeight="1">
      <c r="A1407" s="3" t="str">
        <f>IFERROR(__xludf.DUMMYFUNCTION("""COMPUTED_VALUE"""),"SEGSHA10T")</f>
        <v>SEGSHA10T</v>
      </c>
      <c r="B1407" s="4" t="str">
        <f>IFERROR(__xludf.DUMMYFUNCTION("""COMPUTED_VALUE"""),"NVR")</f>
        <v>NVR</v>
      </c>
      <c r="C1407" s="4" t="str">
        <f>IFERROR(__xludf.DUMMYFUNCTION("""COMPUTED_VALUE"""),"Disco rígido 10 Tera Seagate SkyHawk diseñado para DVR (Venta en conjunto con DVR o NVR)")</f>
        <v>Disco rígido 10 Tera Seagate SkyHawk diseñado para DVR (Venta en conjunto con DVR o NVR)</v>
      </c>
      <c r="D1407" s="4" t="str">
        <f>IFERROR(__xludf.DUMMYFUNCTION("""COMPUTED_VALUE"""),"SEAGATE")</f>
        <v>SEAGATE</v>
      </c>
      <c r="E1407" s="4" t="str">
        <f>IFERROR(__xludf.DUMMYFUNCTION("""COMPUTED_VALUE"""),"SEGSHA10T")</f>
        <v>SEGSHA10T</v>
      </c>
      <c r="F1407" s="4" t="str">
        <f>IFERROR(__xludf.DUMMYFUNCTION("""COMPUTED_VALUE"""),"CCTV &gt; GRABADORES NVR")</f>
        <v>CCTV &gt; GRABADORES NVR</v>
      </c>
      <c r="G1407" s="5"/>
      <c r="H1407" s="6">
        <f>IFERROR(__xludf.DUMMYFUNCTION("""COMPUTED_VALUE"""),524.04)</f>
        <v>524.04</v>
      </c>
      <c r="I1407" s="7">
        <f>IFERROR(__xludf.DUMMYFUNCTION("""COMPUTED_VALUE"""),10.5)</f>
        <v>10.5</v>
      </c>
      <c r="J1407" s="6">
        <f>IFERROR(__xludf.DUMMYFUNCTION("""COMPUTED_VALUE"""),628.85)</f>
        <v>628.85</v>
      </c>
      <c r="K1407" s="6">
        <f>IFERROR(__xludf.DUMMYFUNCTION("""COMPUTED_VALUE"""),733.66)</f>
        <v>733.66</v>
      </c>
      <c r="L1407" s="3"/>
      <c r="M1407" s="3"/>
    </row>
    <row r="1408" ht="48.0" customHeight="1">
      <c r="A1408" s="3" t="str">
        <f>IFERROR(__xludf.DUMMYFUNCTION("""COMPUTED_VALUE"""),"SEGSH12T")</f>
        <v>SEGSH12T</v>
      </c>
      <c r="B1408" s="4" t="str">
        <f>IFERROR(__xludf.DUMMYFUNCTION("""COMPUTED_VALUE"""),"DVR")</f>
        <v>DVR</v>
      </c>
      <c r="C1408" s="4" t="str">
        <f>IFERROR(__xludf.DUMMYFUNCTION("""COMPUTED_VALUE"""),"Disco rígido 12 Tera Seagate SkyHawk diseñado para DVR")</f>
        <v>Disco rígido 12 Tera Seagate SkyHawk diseñado para DVR</v>
      </c>
      <c r="D1408" s="4" t="str">
        <f>IFERROR(__xludf.DUMMYFUNCTION("""COMPUTED_VALUE"""),"SEAGATE")</f>
        <v>SEAGATE</v>
      </c>
      <c r="E1408" s="4" t="str">
        <f>IFERROR(__xludf.DUMMYFUNCTION("""COMPUTED_VALUE"""),"SEGSH12T")</f>
        <v>SEGSH12T</v>
      </c>
      <c r="F1408" s="4" t="str">
        <f>IFERROR(__xludf.DUMMYFUNCTION("""COMPUTED_VALUE"""),"CCTV &gt; GRABADORES DVR")</f>
        <v>CCTV &gt; GRABADORES DVR</v>
      </c>
      <c r="G1408" s="5"/>
      <c r="H1408" s="6">
        <f>IFERROR(__xludf.DUMMYFUNCTION("""COMPUTED_VALUE"""),654.72)</f>
        <v>654.72</v>
      </c>
      <c r="I1408" s="7">
        <f>IFERROR(__xludf.DUMMYFUNCTION("""COMPUTED_VALUE"""),10.5)</f>
        <v>10.5</v>
      </c>
      <c r="J1408" s="6">
        <f>IFERROR(__xludf.DUMMYFUNCTION("""COMPUTED_VALUE"""),785.66)</f>
        <v>785.66</v>
      </c>
      <c r="K1408" s="6">
        <f>IFERROR(__xludf.DUMMYFUNCTION("""COMPUTED_VALUE"""),916.61)</f>
        <v>916.61</v>
      </c>
      <c r="L1408" s="3"/>
      <c r="M1408" s="3"/>
    </row>
    <row r="1409" ht="48.0" customHeight="1">
      <c r="A1409" s="3" t="str">
        <f>IFERROR(__xludf.DUMMYFUNCTION("""COMPUTED_VALUE"""),"SEGSH14T")</f>
        <v>SEGSH14T</v>
      </c>
      <c r="B1409" s="4" t="str">
        <f>IFERROR(__xludf.DUMMYFUNCTION("""COMPUTED_VALUE"""),"DVR")</f>
        <v>DVR</v>
      </c>
      <c r="C1409" s="4" t="str">
        <f>IFERROR(__xludf.DUMMYFUNCTION("""COMPUTED_VALUE"""),"Disco rígido 14 Tera Seagate SkyHawk diseñado para DVR")</f>
        <v>Disco rígido 14 Tera Seagate SkyHawk diseñado para DVR</v>
      </c>
      <c r="D1409" s="4" t="str">
        <f>IFERROR(__xludf.DUMMYFUNCTION("""COMPUTED_VALUE"""),"SEAGATE")</f>
        <v>SEAGATE</v>
      </c>
      <c r="E1409" s="4" t="str">
        <f>IFERROR(__xludf.DUMMYFUNCTION("""COMPUTED_VALUE"""),"SEGSH14T")</f>
        <v>SEGSH14T</v>
      </c>
      <c r="F1409" s="4" t="str">
        <f>IFERROR(__xludf.DUMMYFUNCTION("""COMPUTED_VALUE"""),"CCTV &gt; GRABADORES DVR")</f>
        <v>CCTV &gt; GRABADORES DVR</v>
      </c>
      <c r="G1409" s="5"/>
      <c r="H1409" s="6">
        <f>IFERROR(__xludf.DUMMYFUNCTION("""COMPUTED_VALUE"""),0.0)</f>
        <v>0</v>
      </c>
      <c r="I1409" s="7">
        <f>IFERROR(__xludf.DUMMYFUNCTION("""COMPUTED_VALUE"""),10.5)</f>
        <v>10.5</v>
      </c>
      <c r="J1409" s="6">
        <f>IFERROR(__xludf.DUMMYFUNCTION("""COMPUTED_VALUE"""),0.0)</f>
        <v>0</v>
      </c>
      <c r="K1409" s="6">
        <f>IFERROR(__xludf.DUMMYFUNCTION("""COMPUTED_VALUE"""),0.0)</f>
        <v>0</v>
      </c>
      <c r="L1409" s="3"/>
      <c r="M1409" s="3"/>
    </row>
    <row r="1410" ht="48.0" customHeight="1">
      <c r="A1410" s="3" t="str">
        <f>IFERROR(__xludf.DUMMYFUNCTION("""COMPUTED_VALUE"""),"SEGSH16T")</f>
        <v>SEGSH16T</v>
      </c>
      <c r="B1410" s="4" t="str">
        <f>IFERROR(__xludf.DUMMYFUNCTION("""COMPUTED_VALUE"""),"DVR")</f>
        <v>DVR</v>
      </c>
      <c r="C1410" s="4" t="str">
        <f>IFERROR(__xludf.DUMMYFUNCTION("""COMPUTED_VALUE"""),"Disco rígido 16 Tera Seagate SkyHawk diseñado para DVR")</f>
        <v>Disco rígido 16 Tera Seagate SkyHawk diseñado para DVR</v>
      </c>
      <c r="D1410" s="4" t="str">
        <f>IFERROR(__xludf.DUMMYFUNCTION("""COMPUTED_VALUE"""),"SEAGATE")</f>
        <v>SEAGATE</v>
      </c>
      <c r="E1410" s="4" t="str">
        <f>IFERROR(__xludf.DUMMYFUNCTION("""COMPUTED_VALUE"""),"SEGSH16T")</f>
        <v>SEGSH16T</v>
      </c>
      <c r="F1410" s="4" t="str">
        <f>IFERROR(__xludf.DUMMYFUNCTION("""COMPUTED_VALUE"""),"CCTV &gt; GRABADORES DVR")</f>
        <v>CCTV &gt; GRABADORES DVR</v>
      </c>
      <c r="G1410" s="5"/>
      <c r="H1410" s="6">
        <f>IFERROR(__xludf.DUMMYFUNCTION("""COMPUTED_VALUE"""),0.0)</f>
        <v>0</v>
      </c>
      <c r="I1410" s="7">
        <f>IFERROR(__xludf.DUMMYFUNCTION("""COMPUTED_VALUE"""),10.5)</f>
        <v>10.5</v>
      </c>
      <c r="J1410" s="6">
        <f>IFERROR(__xludf.DUMMYFUNCTION("""COMPUTED_VALUE"""),0.0)</f>
        <v>0</v>
      </c>
      <c r="K1410" s="6">
        <f>IFERROR(__xludf.DUMMYFUNCTION("""COMPUTED_VALUE"""),0.0)</f>
        <v>0</v>
      </c>
      <c r="L1410" s="3"/>
      <c r="M1410" s="3"/>
    </row>
    <row r="1411" ht="48.0" customHeight="1">
      <c r="A1411" s="3" t="str">
        <f>IFERROR(__xludf.DUMMYFUNCTION("""COMPUTED_VALUE"""),"SSDC100")</f>
        <v>SSDC100</v>
      </c>
      <c r="B1411" s="4" t="str">
        <f>IFERROR(__xludf.DUMMYFUNCTION("""COMPUTED_VALUE"""),"DISCO SSD 240GB SATA 2")</f>
        <v>DISCO SSD 240GB SATA 2</v>
      </c>
      <c r="C1411" s="4" t="str">
        <f>IFERROR(__xludf.DUMMYFUNCTION("""COMPUTED_VALUE"""),"Disco SSD 240GB SATA 2.5 MSI")</f>
        <v>Disco SSD 240GB SATA 2.5 MSI</v>
      </c>
      <c r="D1411" s="4" t="str">
        <f>IFERROR(__xludf.DUMMYFUNCTION("""COMPUTED_VALUE"""),"GENERICO")</f>
        <v>GENERICO</v>
      </c>
      <c r="E1411" s="4" t="str">
        <f>IFERROR(__xludf.DUMMYFUNCTION("""COMPUTED_VALUE"""),"SSDC100")</f>
        <v>SSDC100</v>
      </c>
      <c r="F1411" s="4" t="str">
        <f>IFERROR(__xludf.DUMMYFUNCTION("""COMPUTED_VALUE"""),"CONECTIVIDAD &gt; DISCOS RIGIDOS")</f>
        <v>CONECTIVIDAD &gt; DISCOS RIGIDOS</v>
      </c>
      <c r="G1411" s="5"/>
      <c r="H1411" s="6">
        <f>IFERROR(__xludf.DUMMYFUNCTION("""COMPUTED_VALUE"""),59.94)</f>
        <v>59.94</v>
      </c>
      <c r="I1411" s="7">
        <f>IFERROR(__xludf.DUMMYFUNCTION("""COMPUTED_VALUE"""),10.5)</f>
        <v>10.5</v>
      </c>
      <c r="J1411" s="6">
        <f>IFERROR(__xludf.DUMMYFUNCTION("""COMPUTED_VALUE"""),71.93)</f>
        <v>71.93</v>
      </c>
      <c r="K1411" s="6">
        <f>IFERROR(__xludf.DUMMYFUNCTION("""COMPUTED_VALUE"""),83.92)</f>
        <v>83.92</v>
      </c>
      <c r="L1411" s="3"/>
      <c r="M1411" s="3"/>
    </row>
    <row r="1412" ht="48.0" customHeight="1">
      <c r="A1412" s="3" t="str">
        <f>IFERROR(__xludf.DUMMYFUNCTION("""COMPUTED_VALUE"""),"DHC800A500G")</f>
        <v>DHC800A500G</v>
      </c>
      <c r="B1412" s="4" t="str">
        <f>IFERROR(__xludf.DUMMYFUNCTION("""COMPUTED_VALUE"""),"DISCO SSD 500GB SATA 2")</f>
        <v>DISCO SSD 500GB SATA 2</v>
      </c>
      <c r="C1412" s="4" t="str">
        <f>IFERROR(__xludf.DUMMYFUNCTION("""COMPUTED_VALUE"""),"Disco SSD 500GB SATA 2.5")</f>
        <v>Disco SSD 500GB SATA 2.5</v>
      </c>
      <c r="D1412" s="4" t="str">
        <f>IFERROR(__xludf.DUMMYFUNCTION("""COMPUTED_VALUE"""),"DAHUA")</f>
        <v>DAHUA</v>
      </c>
      <c r="E1412" s="4" t="str">
        <f>IFERROR(__xludf.DUMMYFUNCTION("""COMPUTED_VALUE"""),"DHC800A500G")</f>
        <v>DHC800A500G</v>
      </c>
      <c r="F1412" s="4" t="str">
        <f>IFERROR(__xludf.DUMMYFUNCTION("""COMPUTED_VALUE"""),"CONECTIVIDAD &gt; DISCOS RIGIDOS")</f>
        <v>CONECTIVIDAD &gt; DISCOS RIGIDOS</v>
      </c>
      <c r="G1412" s="5"/>
      <c r="H1412" s="6">
        <f>IFERROR(__xludf.DUMMYFUNCTION("""COMPUTED_VALUE"""),93.72)</f>
        <v>93.72</v>
      </c>
      <c r="I1412" s="7">
        <f>IFERROR(__xludf.DUMMYFUNCTION("""COMPUTED_VALUE"""),10.5)</f>
        <v>10.5</v>
      </c>
      <c r="J1412" s="6">
        <f>IFERROR(__xludf.DUMMYFUNCTION("""COMPUTED_VALUE"""),112.46)</f>
        <v>112.46</v>
      </c>
      <c r="K1412" s="6">
        <f>IFERROR(__xludf.DUMMYFUNCTION("""COMPUTED_VALUE"""),131.21)</f>
        <v>131.21</v>
      </c>
      <c r="L1412" s="3"/>
      <c r="M1412" s="3"/>
    </row>
    <row r="1413" ht="48.0" customHeight="1">
      <c r="A1413" s="3" t="str">
        <f>IFERROR(__xludf.DUMMYFUNCTION("""COMPUTED_VALUE"""),"DH-SSD-2TB")</f>
        <v>DH-SSD-2TB</v>
      </c>
      <c r="B1413" s="4" t="str">
        <f>IFERROR(__xludf.DUMMYFUNCTION("""COMPUTED_VALUE"""),"DISCO SSD 2 TERAS SATA 2")</f>
        <v>DISCO SSD 2 TERAS SATA 2</v>
      </c>
      <c r="C1413" s="4" t="str">
        <f>IFERROR(__xludf.DUMMYFUNCTION("""COMPUTED_VALUE"""),"Disco SSD 2 TERAS SATA 2.5")</f>
        <v>Disco SSD 2 TERAS SATA 2.5</v>
      </c>
      <c r="D1413" s="4" t="str">
        <f>IFERROR(__xludf.DUMMYFUNCTION("""COMPUTED_VALUE"""),"DAHUA")</f>
        <v>DAHUA</v>
      </c>
      <c r="E1413" s="4" t="str">
        <f>IFERROR(__xludf.DUMMYFUNCTION("""COMPUTED_VALUE"""),"DH-SSD-2TB")</f>
        <v>DH-SSD-2TB</v>
      </c>
      <c r="F1413" s="4" t="str">
        <f>IFERROR(__xludf.DUMMYFUNCTION("""COMPUTED_VALUE"""),"CONECTIVIDAD &gt; DISCOS RIGIDOS")</f>
        <v>CONECTIVIDAD &gt; DISCOS RIGIDOS</v>
      </c>
      <c r="G1413" s="5"/>
      <c r="H1413" s="6">
        <f>IFERROR(__xludf.DUMMYFUNCTION("""COMPUTED_VALUE"""),356.4)</f>
        <v>356.4</v>
      </c>
      <c r="I1413" s="7">
        <f>IFERROR(__xludf.DUMMYFUNCTION("""COMPUTED_VALUE"""),10.5)</f>
        <v>10.5</v>
      </c>
      <c r="J1413" s="6">
        <f>IFERROR(__xludf.DUMMYFUNCTION("""COMPUTED_VALUE"""),427.68)</f>
        <v>427.68</v>
      </c>
      <c r="K1413" s="6">
        <f>IFERROR(__xludf.DUMMYFUNCTION("""COMPUTED_VALUE"""),498.96)</f>
        <v>498.96</v>
      </c>
      <c r="L1413" s="3"/>
      <c r="M1413" s="3"/>
    </row>
    <row r="1414" ht="48.0" customHeight="1">
      <c r="A1414" s="3" t="str">
        <f>IFERROR(__xludf.DUMMYFUNCTION("""COMPUTED_VALUE"""),"LEX-SSD-240G")</f>
        <v>LEX-SSD-240G</v>
      </c>
      <c r="B1414" s="4" t="str">
        <f>IFERROR(__xludf.DUMMYFUNCTION("""COMPUTED_VALUE"""),"DISCO SSD 240GB SATA 2")</f>
        <v>DISCO SSD 240GB SATA 2</v>
      </c>
      <c r="C1414" s="4" t="str">
        <f>IFERROR(__xludf.DUMMYFUNCTION("""COMPUTED_VALUE"""),"Disco SSD 240GB SATA 2.5")</f>
        <v>Disco SSD 240GB SATA 2.5</v>
      </c>
      <c r="D1414" s="4" t="str">
        <f>IFERROR(__xludf.DUMMYFUNCTION("""COMPUTED_VALUE"""),"LEXAR")</f>
        <v>LEXAR</v>
      </c>
      <c r="E1414" s="4" t="str">
        <f>IFERROR(__xludf.DUMMYFUNCTION("""COMPUTED_VALUE"""),"LEX-SSD-240G")</f>
        <v>LEX-SSD-240G</v>
      </c>
      <c r="F1414" s="4" t="str">
        <f>IFERROR(__xludf.DUMMYFUNCTION("""COMPUTED_VALUE"""),"CONECTIVIDAD &gt; DISCOS RIGIDOS")</f>
        <v>CONECTIVIDAD &gt; DISCOS RIGIDOS</v>
      </c>
      <c r="G1414" s="5"/>
      <c r="H1414" s="6">
        <f>IFERROR(__xludf.DUMMYFUNCTION("""COMPUTED_VALUE"""),50.16)</f>
        <v>50.16</v>
      </c>
      <c r="I1414" s="7">
        <f>IFERROR(__xludf.DUMMYFUNCTION("""COMPUTED_VALUE"""),10.5)</f>
        <v>10.5</v>
      </c>
      <c r="J1414" s="6">
        <f>IFERROR(__xludf.DUMMYFUNCTION("""COMPUTED_VALUE"""),60.19)</f>
        <v>60.19</v>
      </c>
      <c r="K1414" s="6">
        <f>IFERROR(__xludf.DUMMYFUNCTION("""COMPUTED_VALUE"""),70.22)</f>
        <v>70.22</v>
      </c>
      <c r="L1414" s="3"/>
      <c r="M1414" s="3"/>
    </row>
    <row r="1415" ht="48.0" customHeight="1">
      <c r="A1415" s="3" t="str">
        <f>IFERROR(__xludf.DUMMYFUNCTION("""COMPUTED_VALUE"""),"LEX-SSD-480G")</f>
        <v>LEX-SSD-480G</v>
      </c>
      <c r="B1415" s="4" t="str">
        <f>IFERROR(__xludf.DUMMYFUNCTION("""COMPUTED_VALUE"""),"DISCO SSD 480GB SATA 2")</f>
        <v>DISCO SSD 480GB SATA 2</v>
      </c>
      <c r="C1415" s="4" t="str">
        <f>IFERROR(__xludf.DUMMYFUNCTION("""COMPUTED_VALUE"""),"Disco SSD 480GB SATA 2.5")</f>
        <v>Disco SSD 480GB SATA 2.5</v>
      </c>
      <c r="D1415" s="4" t="str">
        <f>IFERROR(__xludf.DUMMYFUNCTION("""COMPUTED_VALUE"""),"LEXAR")</f>
        <v>LEXAR</v>
      </c>
      <c r="E1415" s="4" t="str">
        <f>IFERROR(__xludf.DUMMYFUNCTION("""COMPUTED_VALUE"""),"LEX-SSD-480G")</f>
        <v>LEX-SSD-480G</v>
      </c>
      <c r="F1415" s="4" t="str">
        <f>IFERROR(__xludf.DUMMYFUNCTION("""COMPUTED_VALUE"""),"CONECTIVIDAD &gt; DISCOS RIGIDOS")</f>
        <v>CONECTIVIDAD &gt; DISCOS RIGIDOS</v>
      </c>
      <c r="G1415" s="5"/>
      <c r="H1415" s="6">
        <f>IFERROR(__xludf.DUMMYFUNCTION("""COMPUTED_VALUE"""),93.72)</f>
        <v>93.72</v>
      </c>
      <c r="I1415" s="7">
        <f>IFERROR(__xludf.DUMMYFUNCTION("""COMPUTED_VALUE"""),10.5)</f>
        <v>10.5</v>
      </c>
      <c r="J1415" s="6">
        <f>IFERROR(__xludf.DUMMYFUNCTION("""COMPUTED_VALUE"""),112.46)</f>
        <v>112.46</v>
      </c>
      <c r="K1415" s="6">
        <f>IFERROR(__xludf.DUMMYFUNCTION("""COMPUTED_VALUE"""),131.21)</f>
        <v>131.21</v>
      </c>
      <c r="L1415" s="3"/>
      <c r="M1415" s="3"/>
    </row>
    <row r="1416" ht="48.0" customHeight="1">
      <c r="A1416" s="3" t="str">
        <f>IFERROR(__xludf.DUMMYFUNCTION("""COMPUTED_VALUE"""),"LEX-SSD-960G")</f>
        <v>LEX-SSD-960G</v>
      </c>
      <c r="B1416" s="4" t="str">
        <f>IFERROR(__xludf.DUMMYFUNCTION("""COMPUTED_VALUE"""),"DISCO SSD 960GB SATA 2")</f>
        <v>DISCO SSD 960GB SATA 2</v>
      </c>
      <c r="C1416" s="4" t="str">
        <f>IFERROR(__xludf.DUMMYFUNCTION("""COMPUTED_VALUE"""),"Disco SSD 960GB SATA 2.5")</f>
        <v>Disco SSD 960GB SATA 2.5</v>
      </c>
      <c r="D1416" s="4" t="str">
        <f>IFERROR(__xludf.DUMMYFUNCTION("""COMPUTED_VALUE"""),"LEXAR")</f>
        <v>LEXAR</v>
      </c>
      <c r="E1416" s="4" t="str">
        <f>IFERROR(__xludf.DUMMYFUNCTION("""COMPUTED_VALUE"""),"LEX-SSD-960G")</f>
        <v>LEX-SSD-960G</v>
      </c>
      <c r="F1416" s="4" t="str">
        <f>IFERROR(__xludf.DUMMYFUNCTION("""COMPUTED_VALUE"""),"CONECTIVIDAD &gt; DISCOS RIGIDOS")</f>
        <v>CONECTIVIDAD &gt; DISCOS RIGIDOS</v>
      </c>
      <c r="G1416" s="5"/>
      <c r="H1416" s="6">
        <f>IFERROR(__xludf.DUMMYFUNCTION("""COMPUTED_VALUE"""),167.64)</f>
        <v>167.64</v>
      </c>
      <c r="I1416" s="7">
        <f>IFERROR(__xludf.DUMMYFUNCTION("""COMPUTED_VALUE"""),10.5)</f>
        <v>10.5</v>
      </c>
      <c r="J1416" s="6">
        <f>IFERROR(__xludf.DUMMYFUNCTION("""COMPUTED_VALUE"""),201.17)</f>
        <v>201.17</v>
      </c>
      <c r="K1416" s="6">
        <f>IFERROR(__xludf.DUMMYFUNCTION("""COMPUTED_VALUE"""),234.7)</f>
        <v>234.7</v>
      </c>
      <c r="L1416" s="3"/>
      <c r="M1416" s="3"/>
    </row>
    <row r="1417" ht="48.0" customHeight="1">
      <c r="A1417" s="3" t="str">
        <f>IFERROR(__xludf.DUMMYFUNCTION("""COMPUTED_VALUE"""),"EZCMTCARDT128G")</f>
        <v>EZCMTCARDT128G</v>
      </c>
      <c r="B1417" s="4" t="str">
        <f>IFERROR(__xludf.DUMMYFUNCTION("""COMPUTED_VALUE"""),"MICRO SD CARD 128G")</f>
        <v>MICRO SD CARD 128G</v>
      </c>
      <c r="C1417" s="4" t="str">
        <f>IFERROR(__xludf.DUMMYFUNCTION("""COMPUTED_VALUE"""),"Micro SD Card 128G")</f>
        <v>Micro SD Card 128G</v>
      </c>
      <c r="D1417" s="4" t="str">
        <f>IFERROR(__xludf.DUMMYFUNCTION("""COMPUTED_VALUE"""),"EZVIZ")</f>
        <v>EZVIZ</v>
      </c>
      <c r="E1417" s="4" t="str">
        <f>IFERROR(__xludf.DUMMYFUNCTION("""COMPUTED_VALUE"""),"EZCMTCARDT128G")</f>
        <v>EZCMTCARDT128G</v>
      </c>
      <c r="F1417" s="4" t="str">
        <f>IFERROR(__xludf.DUMMYFUNCTION("""COMPUTED_VALUE"""),"CONECTIVIDAD &gt; DISCOS RIGIDOS")</f>
        <v>CONECTIVIDAD &gt; DISCOS RIGIDOS</v>
      </c>
      <c r="G1417" s="5"/>
      <c r="H1417" s="6">
        <f>IFERROR(__xludf.DUMMYFUNCTION("""COMPUTED_VALUE"""),0.0)</f>
        <v>0</v>
      </c>
      <c r="I1417" s="7">
        <f>IFERROR(__xludf.DUMMYFUNCTION("""COMPUTED_VALUE"""),21.0)</f>
        <v>21</v>
      </c>
      <c r="J1417" s="6">
        <f>IFERROR(__xludf.DUMMYFUNCTION("""COMPUTED_VALUE"""),0.0)</f>
        <v>0</v>
      </c>
      <c r="K1417" s="6">
        <f>IFERROR(__xludf.DUMMYFUNCTION("""COMPUTED_VALUE"""),0.0)</f>
        <v>0</v>
      </c>
      <c r="L1417" s="3"/>
      <c r="M1417" s="3"/>
    </row>
    <row r="1418" ht="48.0" customHeight="1">
      <c r="A1418" s="3" t="str">
        <f>IFERROR(__xludf.DUMMYFUNCTION("""COMPUTED_VALUE"""),"EZCMTCARDT32G")</f>
        <v>EZCMTCARDT32G</v>
      </c>
      <c r="B1418" s="4" t="str">
        <f>IFERROR(__xludf.DUMMYFUNCTION("""COMPUTED_VALUE"""),"MICRO SD CARD 32G")</f>
        <v>MICRO SD CARD 32G</v>
      </c>
      <c r="C1418" s="4" t="str">
        <f>IFERROR(__xludf.DUMMYFUNCTION("""COMPUTED_VALUE"""),"Micro SD Card 32G")</f>
        <v>Micro SD Card 32G</v>
      </c>
      <c r="D1418" s="4" t="str">
        <f>IFERROR(__xludf.DUMMYFUNCTION("""COMPUTED_VALUE"""),"EZVIZ")</f>
        <v>EZVIZ</v>
      </c>
      <c r="E1418" s="4" t="str">
        <f>IFERROR(__xludf.DUMMYFUNCTION("""COMPUTED_VALUE"""),"EZCMTCARDT32G")</f>
        <v>EZCMTCARDT32G</v>
      </c>
      <c r="F1418" s="4" t="str">
        <f>IFERROR(__xludf.DUMMYFUNCTION("""COMPUTED_VALUE"""),"CONECTIVIDAD &gt; DISCOS RIGIDOS")</f>
        <v>CONECTIVIDAD &gt; DISCOS RIGIDOS</v>
      </c>
      <c r="G1418" s="5"/>
      <c r="H1418" s="6">
        <f>IFERROR(__xludf.DUMMYFUNCTION("""COMPUTED_VALUE"""),0.0)</f>
        <v>0</v>
      </c>
      <c r="I1418" s="7">
        <f>IFERROR(__xludf.DUMMYFUNCTION("""COMPUTED_VALUE"""),21.0)</f>
        <v>21</v>
      </c>
      <c r="J1418" s="6">
        <f>IFERROR(__xludf.DUMMYFUNCTION("""COMPUTED_VALUE"""),0.0)</f>
        <v>0</v>
      </c>
      <c r="K1418" s="6">
        <f>IFERROR(__xludf.DUMMYFUNCTION("""COMPUTED_VALUE"""),0.0)</f>
        <v>0</v>
      </c>
      <c r="L1418" s="3"/>
      <c r="M1418" s="3"/>
    </row>
    <row r="1419" ht="48.0" customHeight="1">
      <c r="A1419" s="3" t="str">
        <f>IFERROR(__xludf.DUMMYFUNCTION("""COMPUTED_VALUE"""),"LEX-SD32")</f>
        <v>LEX-SD32</v>
      </c>
      <c r="B1419" s="4" t="str">
        <f>IFERROR(__xludf.DUMMYFUNCTION("""COMPUTED_VALUE"""),"MEMORIA MICROSD 32GB CLASE 10")</f>
        <v>MEMORIA MICROSD 32GB CLASE 10</v>
      </c>
      <c r="C1419" s="4" t="str">
        <f>IFERROR(__xludf.DUMMYFUNCTION("""COMPUTED_VALUE"""),"Memoria MicroSD 32GB Clase 10")</f>
        <v>Memoria MicroSD 32GB Clase 10</v>
      </c>
      <c r="D1419" s="4" t="str">
        <f>IFERROR(__xludf.DUMMYFUNCTION("""COMPUTED_VALUE"""),"LEXAR")</f>
        <v>LEXAR</v>
      </c>
      <c r="E1419" s="4" t="str">
        <f>IFERROR(__xludf.DUMMYFUNCTION("""COMPUTED_VALUE"""),"LEX-SD32")</f>
        <v>LEX-SD32</v>
      </c>
      <c r="F1419" s="4" t="str">
        <f>IFERROR(__xludf.DUMMYFUNCTION("""COMPUTED_VALUE"""),"CONECTIVIDAD &gt; DISCOS RIGIDOS")</f>
        <v>CONECTIVIDAD &gt; DISCOS RIGIDOS</v>
      </c>
      <c r="G1419" s="5"/>
      <c r="H1419" s="6">
        <f>IFERROR(__xludf.DUMMYFUNCTION("""COMPUTED_VALUE"""),13.28)</f>
        <v>13.28</v>
      </c>
      <c r="I1419" s="7">
        <f>IFERROR(__xludf.DUMMYFUNCTION("""COMPUTED_VALUE"""),10.5)</f>
        <v>10.5</v>
      </c>
      <c r="J1419" s="6">
        <f>IFERROR(__xludf.DUMMYFUNCTION("""COMPUTED_VALUE"""),15.94)</f>
        <v>15.94</v>
      </c>
      <c r="K1419" s="6">
        <f>IFERROR(__xludf.DUMMYFUNCTION("""COMPUTED_VALUE"""),18.59)</f>
        <v>18.59</v>
      </c>
      <c r="L1419" s="3"/>
      <c r="M1419" s="3"/>
    </row>
    <row r="1420" ht="48.0" customHeight="1">
      <c r="A1420" s="3" t="str">
        <f>IFERROR(__xludf.DUMMYFUNCTION("""COMPUTED_VALUE"""),"LEX-SD64")</f>
        <v>LEX-SD64</v>
      </c>
      <c r="B1420" s="4" t="str">
        <f>IFERROR(__xludf.DUMMYFUNCTION("""COMPUTED_VALUE"""),"MEMORIA MICROSD 64GB CLASE 10")</f>
        <v>MEMORIA MICROSD 64GB CLASE 10</v>
      </c>
      <c r="C1420" s="4" t="str">
        <f>IFERROR(__xludf.DUMMYFUNCTION("""COMPUTED_VALUE"""),"Memoria MicroSD 64GB Clase 10")</f>
        <v>Memoria MicroSD 64GB Clase 10</v>
      </c>
      <c r="D1420" s="4" t="str">
        <f>IFERROR(__xludf.DUMMYFUNCTION("""COMPUTED_VALUE"""),"LEXAR")</f>
        <v>LEXAR</v>
      </c>
      <c r="E1420" s="4" t="str">
        <f>IFERROR(__xludf.DUMMYFUNCTION("""COMPUTED_VALUE"""),"LEX-SD64")</f>
        <v>LEX-SD64</v>
      </c>
      <c r="F1420" s="4" t="str">
        <f>IFERROR(__xludf.DUMMYFUNCTION("""COMPUTED_VALUE"""),"CONECTIVIDAD &gt; DISCOS RIGIDOS")</f>
        <v>CONECTIVIDAD &gt; DISCOS RIGIDOS</v>
      </c>
      <c r="G1420" s="5"/>
      <c r="H1420" s="6">
        <f>IFERROR(__xludf.DUMMYFUNCTION("""COMPUTED_VALUE"""),0.0)</f>
        <v>0</v>
      </c>
      <c r="I1420" s="7">
        <f>IFERROR(__xludf.DUMMYFUNCTION("""COMPUTED_VALUE"""),10.5)</f>
        <v>10.5</v>
      </c>
      <c r="J1420" s="6">
        <f>IFERROR(__xludf.DUMMYFUNCTION("""COMPUTED_VALUE"""),0.0)</f>
        <v>0</v>
      </c>
      <c r="K1420" s="6">
        <f>IFERROR(__xludf.DUMMYFUNCTION("""COMPUTED_VALUE"""),0.0)</f>
        <v>0</v>
      </c>
      <c r="L1420" s="3"/>
      <c r="M1420" s="3"/>
    </row>
    <row r="1421" ht="48.0" customHeight="1">
      <c r="A1421" s="3" t="str">
        <f>IFERROR(__xludf.DUMMYFUNCTION("""COMPUTED_VALUE"""),"LEX-SD128")</f>
        <v>LEX-SD128</v>
      </c>
      <c r="B1421" s="4" t="str">
        <f>IFERROR(__xludf.DUMMYFUNCTION("""COMPUTED_VALUE"""),"MEMORIA MICROSD 128GB CLASE 10 CON ADAP SD")</f>
        <v>MEMORIA MICROSD 128GB CLASE 10 CON ADAP SD</v>
      </c>
      <c r="C1421" s="4" t="str">
        <f>IFERROR(__xludf.DUMMYFUNCTION("""COMPUTED_VALUE"""),"Memoria MicroSD 128GB Clase 10 CON ADAP SD")</f>
        <v>Memoria MicroSD 128GB Clase 10 CON ADAP SD</v>
      </c>
      <c r="D1421" s="4" t="str">
        <f>IFERROR(__xludf.DUMMYFUNCTION("""COMPUTED_VALUE"""),"LEXAR")</f>
        <v>LEXAR</v>
      </c>
      <c r="E1421" s="4" t="str">
        <f>IFERROR(__xludf.DUMMYFUNCTION("""COMPUTED_VALUE"""),"LEX-SD128")</f>
        <v>LEX-SD128</v>
      </c>
      <c r="F1421" s="4" t="str">
        <f>IFERROR(__xludf.DUMMYFUNCTION("""COMPUTED_VALUE"""),"CONECTIVIDAD &gt; DISCOS RIGIDOS")</f>
        <v>CONECTIVIDAD &gt; DISCOS RIGIDOS</v>
      </c>
      <c r="G1421" s="5"/>
      <c r="H1421" s="6">
        <f>IFERROR(__xludf.DUMMYFUNCTION("""COMPUTED_VALUE"""),0.0)</f>
        <v>0</v>
      </c>
      <c r="I1421" s="7">
        <f>IFERROR(__xludf.DUMMYFUNCTION("""COMPUTED_VALUE"""),10.5)</f>
        <v>10.5</v>
      </c>
      <c r="J1421" s="6">
        <f>IFERROR(__xludf.DUMMYFUNCTION("""COMPUTED_VALUE"""),0.0)</f>
        <v>0</v>
      </c>
      <c r="K1421" s="6">
        <f>IFERROR(__xludf.DUMMYFUNCTION("""COMPUTED_VALUE"""),0.0)</f>
        <v>0</v>
      </c>
      <c r="L1421" s="3"/>
      <c r="M1421" s="3"/>
    </row>
    <row r="1422" ht="48.0" customHeight="1">
      <c r="A1422" s="3" t="str">
        <f>IFERROR(__xludf.DUMMYFUNCTION("""COMPUTED_VALUE"""),"SAN-SD32")</f>
        <v>SAN-SD32</v>
      </c>
      <c r="B1422" s="4" t="str">
        <f>IFERROR(__xludf.DUMMYFUNCTION("""COMPUTED_VALUE"""),"TARJETA DE MEMORIA SANDISK ULTRA MICROSDHC 32GB UHS-I U1 V10")</f>
        <v>TARJETA DE MEMORIA SANDISK ULTRA MICROSDHC 32GB UHS-I U1 V10</v>
      </c>
      <c r="C1422" s="4" t="str">
        <f>IFERROR(__xludf.DUMMYFUNCTION("""COMPUTED_VALUE"""),"Tarjeta de Memoria SANDISK Ultra MicroSDHC 32GB UHS-I U1 V10")</f>
        <v>Tarjeta de Memoria SANDISK Ultra MicroSDHC 32GB UHS-I U1 V10</v>
      </c>
      <c r="D1422" s="4" t="str">
        <f>IFERROR(__xludf.DUMMYFUNCTION("""COMPUTED_VALUE"""),"SANDISK")</f>
        <v>SANDISK</v>
      </c>
      <c r="E1422" s="4" t="str">
        <f>IFERROR(__xludf.DUMMYFUNCTION("""COMPUTED_VALUE"""),"SAN-SD32")</f>
        <v>SAN-SD32</v>
      </c>
      <c r="F1422" s="4" t="str">
        <f>IFERROR(__xludf.DUMMYFUNCTION("""COMPUTED_VALUE"""),"CONECTIVIDAD &gt; DISCOS RIGIDOS")</f>
        <v>CONECTIVIDAD &gt; DISCOS RIGIDOS</v>
      </c>
      <c r="G1422" s="5"/>
      <c r="H1422" s="6">
        <f>IFERROR(__xludf.DUMMYFUNCTION("""COMPUTED_VALUE"""),13.28)</f>
        <v>13.28</v>
      </c>
      <c r="I1422" s="7">
        <f>IFERROR(__xludf.DUMMYFUNCTION("""COMPUTED_VALUE"""),10.5)</f>
        <v>10.5</v>
      </c>
      <c r="J1422" s="6">
        <f>IFERROR(__xludf.DUMMYFUNCTION("""COMPUTED_VALUE"""),15.94)</f>
        <v>15.94</v>
      </c>
      <c r="K1422" s="6">
        <f>IFERROR(__xludf.DUMMYFUNCTION("""COMPUTED_VALUE"""),18.59)</f>
        <v>18.59</v>
      </c>
      <c r="L1422" s="3"/>
      <c r="M1422" s="3"/>
    </row>
    <row r="1423" ht="48.0" customHeight="1">
      <c r="A1423" s="3" t="str">
        <f>IFERROR(__xludf.DUMMYFUNCTION("""COMPUTED_VALUE"""),"SAN-SD256")</f>
        <v>SAN-SD256</v>
      </c>
      <c r="B1423" s="4" t="str">
        <f>IFERROR(__xludf.DUMMYFUNCTION("""COMPUTED_VALUE"""),"TARJETA DE MEMORIA SANDISK ULTRA MICROSDXC 256GB UHS-I U1 V10 C/ADAP")</f>
        <v>TARJETA DE MEMORIA SANDISK ULTRA MICROSDXC 256GB UHS-I U1 V10 C/ADAP</v>
      </c>
      <c r="C1423" s="4" t="str">
        <f>IFERROR(__xludf.DUMMYFUNCTION("""COMPUTED_VALUE"""),"Tarjeta de Memoria SANDISK Ultra MicroSDXC 256GB UHS-I U1 V10 c/adap")</f>
        <v>Tarjeta de Memoria SANDISK Ultra MicroSDXC 256GB UHS-I U1 V10 c/adap</v>
      </c>
      <c r="D1423" s="4" t="str">
        <f>IFERROR(__xludf.DUMMYFUNCTION("""COMPUTED_VALUE"""),"SANDISK")</f>
        <v>SANDISK</v>
      </c>
      <c r="E1423" s="4" t="str">
        <f>IFERROR(__xludf.DUMMYFUNCTION("""COMPUTED_VALUE"""),"SAN-SD256")</f>
        <v>SAN-SD256</v>
      </c>
      <c r="F1423" s="4" t="str">
        <f>IFERROR(__xludf.DUMMYFUNCTION("""COMPUTED_VALUE"""),"CONECTIVIDAD &gt; DISCOS RIGIDOS")</f>
        <v>CONECTIVIDAD &gt; DISCOS RIGIDOS</v>
      </c>
      <c r="G1423" s="5"/>
      <c r="H1423" s="6">
        <f>IFERROR(__xludf.DUMMYFUNCTION("""COMPUTED_VALUE"""),0.0)</f>
        <v>0</v>
      </c>
      <c r="I1423" s="7">
        <f>IFERROR(__xludf.DUMMYFUNCTION("""COMPUTED_VALUE"""),10.5)</f>
        <v>10.5</v>
      </c>
      <c r="J1423" s="6">
        <f>IFERROR(__xludf.DUMMYFUNCTION("""COMPUTED_VALUE"""),0.0)</f>
        <v>0</v>
      </c>
      <c r="K1423" s="6">
        <f>IFERROR(__xludf.DUMMYFUNCTION("""COMPUTED_VALUE"""),0.0)</f>
        <v>0</v>
      </c>
      <c r="L1423" s="3"/>
      <c r="M1423" s="3"/>
    </row>
    <row r="1424" ht="48.0" customHeight="1">
      <c r="A1424" s="3" t="str">
        <f>IFERROR(__xludf.DUMMYFUNCTION("""COMPUTED_VALUE"""),"DHITF-C100-64")</f>
        <v>DHITF-C100-64</v>
      </c>
      <c r="B1424" s="4" t="str">
        <f>IFERROR(__xludf.DUMMYFUNCTION("""COMPUTED_VALUE"""),"TARJETA DE MEMORIA MICRO SD 64G")</f>
        <v>TARJETA DE MEMORIA MICRO SD 64G</v>
      </c>
      <c r="C1424" s="4" t="str">
        <f>IFERROR(__xludf.DUMMYFUNCTION("""COMPUTED_VALUE"""),"Tarjeta de Memoria Micro SD 64G")</f>
        <v>Tarjeta de Memoria Micro SD 64G</v>
      </c>
      <c r="D1424" s="4" t="str">
        <f>IFERROR(__xludf.DUMMYFUNCTION("""COMPUTED_VALUE"""),"DAHUA")</f>
        <v>DAHUA</v>
      </c>
      <c r="E1424" s="4" t="str">
        <f>IFERROR(__xludf.DUMMYFUNCTION("""COMPUTED_VALUE"""),"DHITF-C100-64")</f>
        <v>DHITF-C100-64</v>
      </c>
      <c r="F1424" s="4" t="str">
        <f>IFERROR(__xludf.DUMMYFUNCTION("""COMPUTED_VALUE"""),"CONECTIVIDAD &gt; DISCOS RIGIDOS")</f>
        <v>CONECTIVIDAD &gt; DISCOS RIGIDOS</v>
      </c>
      <c r="G1424" s="5"/>
      <c r="H1424" s="6">
        <f>IFERROR(__xludf.DUMMYFUNCTION("""COMPUTED_VALUE"""),0.0)</f>
        <v>0</v>
      </c>
      <c r="I1424" s="7">
        <f>IFERROR(__xludf.DUMMYFUNCTION("""COMPUTED_VALUE"""),10.5)</f>
        <v>10.5</v>
      </c>
      <c r="J1424" s="6">
        <f>IFERROR(__xludf.DUMMYFUNCTION("""COMPUTED_VALUE"""),0.0)</f>
        <v>0</v>
      </c>
      <c r="K1424" s="6">
        <f>IFERROR(__xludf.DUMMYFUNCTION("""COMPUTED_VALUE"""),0.0)</f>
        <v>0</v>
      </c>
      <c r="L1424" s="3"/>
      <c r="M1424" s="3"/>
    </row>
    <row r="1425" ht="48.0" customHeight="1">
      <c r="A1425" s="3" t="str">
        <f>IFERROR(__xludf.DUMMYFUNCTION("""COMPUTED_VALUE"""),"DSHS-TF-D132G-WW")</f>
        <v>DSHS-TF-D132G-WW</v>
      </c>
      <c r="B1425" s="4" t="str">
        <f>IFERROR(__xludf.DUMMYFUNCTION("""COMPUTED_VALUE"""),"MEMORIA MICROSD 32GB CLASE 10 D1 SIN ADAP SD")</f>
        <v>MEMORIA MICROSD 32GB CLASE 10 D1 SIN ADAP SD</v>
      </c>
      <c r="C1425" s="4" t="str">
        <f>IFERROR(__xludf.DUMMYFUNCTION("""COMPUTED_VALUE"""),"Memoria MicroSD 32GB Clase 10 D1 SIN ADAP SD")</f>
        <v>Memoria MicroSD 32GB Clase 10 D1 SIN ADAP SD</v>
      </c>
      <c r="D1425" s="4" t="str">
        <f>IFERROR(__xludf.DUMMYFUNCTION("""COMPUTED_VALUE"""),"HIKSEMI")</f>
        <v>HIKSEMI</v>
      </c>
      <c r="E1425" s="4" t="str">
        <f>IFERROR(__xludf.DUMMYFUNCTION("""COMPUTED_VALUE"""),"DSHS-TF-D132G-WW")</f>
        <v>DSHS-TF-D132G-WW</v>
      </c>
      <c r="F1425" s="4" t="str">
        <f>IFERROR(__xludf.DUMMYFUNCTION("""COMPUTED_VALUE"""),"CONECTIVIDAD &gt; DISCOS RIGIDOS")</f>
        <v>CONECTIVIDAD &gt; DISCOS RIGIDOS</v>
      </c>
      <c r="G1425" s="5"/>
      <c r="H1425" s="6">
        <f>IFERROR(__xludf.DUMMYFUNCTION("""COMPUTED_VALUE"""),0.0)</f>
        <v>0</v>
      </c>
      <c r="I1425" s="7">
        <f>IFERROR(__xludf.DUMMYFUNCTION("""COMPUTED_VALUE"""),21.0)</f>
        <v>21</v>
      </c>
      <c r="J1425" s="6">
        <f>IFERROR(__xludf.DUMMYFUNCTION("""COMPUTED_VALUE"""),0.0)</f>
        <v>0</v>
      </c>
      <c r="K1425" s="6">
        <f>IFERROR(__xludf.DUMMYFUNCTION("""COMPUTED_VALUE"""),0.0)</f>
        <v>0</v>
      </c>
      <c r="L1425" s="3"/>
      <c r="M1425" s="3"/>
    </row>
    <row r="1426" ht="48.0" customHeight="1">
      <c r="A1426" s="3" t="str">
        <f>IFERROR(__xludf.DUMMYFUNCTION("""COMPUTED_VALUE"""),"DSHS-TF-C1-32G-Adapter")</f>
        <v>DSHS-TF-C1-32G-Adapter</v>
      </c>
      <c r="B1426" s="4" t="str">
        <f>IFERROR(__xludf.DUMMYFUNCTION("""COMPUTED_VALUE"""),"MEMORIA MICROSD 32GB CLASE 10 C1 CON ADAP SD")</f>
        <v>MEMORIA MICROSD 32GB CLASE 10 C1 CON ADAP SD</v>
      </c>
      <c r="C1426" s="4" t="str">
        <f>IFERROR(__xludf.DUMMYFUNCTION("""COMPUTED_VALUE"""),"Memoria MicroSD 32GB Clase 10 C1 CON ADAP SD")</f>
        <v>Memoria MicroSD 32GB Clase 10 C1 CON ADAP SD</v>
      </c>
      <c r="D1426" s="4" t="str">
        <f>IFERROR(__xludf.DUMMYFUNCTION("""COMPUTED_VALUE"""),"HIKSEMI")</f>
        <v>HIKSEMI</v>
      </c>
      <c r="E1426" s="4" t="str">
        <f>IFERROR(__xludf.DUMMYFUNCTION("""COMPUTED_VALUE"""),"DSHS-TF-C1-32G-Adapter")</f>
        <v>DSHS-TF-C1-32G-Adapter</v>
      </c>
      <c r="F1426" s="4" t="str">
        <f>IFERROR(__xludf.DUMMYFUNCTION("""COMPUTED_VALUE"""),"CONECTIVIDAD &gt; DISCOS RIGIDOS")</f>
        <v>CONECTIVIDAD &gt; DISCOS RIGIDOS</v>
      </c>
      <c r="G1426" s="5"/>
      <c r="H1426" s="6">
        <f>IFERROR(__xludf.DUMMYFUNCTION("""COMPUTED_VALUE"""),10.58)</f>
        <v>10.58</v>
      </c>
      <c r="I1426" s="7">
        <f>IFERROR(__xludf.DUMMYFUNCTION("""COMPUTED_VALUE"""),21.0)</f>
        <v>21</v>
      </c>
      <c r="J1426" s="6">
        <f>IFERROR(__xludf.DUMMYFUNCTION("""COMPUTED_VALUE"""),12.7)</f>
        <v>12.7</v>
      </c>
      <c r="K1426" s="6">
        <f>IFERROR(__xludf.DUMMYFUNCTION("""COMPUTED_VALUE"""),14.81)</f>
        <v>14.81</v>
      </c>
      <c r="L1426" s="3"/>
      <c r="M1426" s="3"/>
    </row>
    <row r="1427" ht="48.0" customHeight="1">
      <c r="A1427" s="3" t="str">
        <f>IFERROR(__xludf.DUMMYFUNCTION("""COMPUTED_VALUE"""),"DSHS-TF-C1-64G-Adapter")</f>
        <v>DSHS-TF-C1-64G-Adapter</v>
      </c>
      <c r="B1427" s="4" t="str">
        <f>IFERROR(__xludf.DUMMYFUNCTION("""COMPUTED_VALUE"""),"MEMORIA MICROSD 64GB CLASE 10 C1 CON ADAP SD")</f>
        <v>MEMORIA MICROSD 64GB CLASE 10 C1 CON ADAP SD</v>
      </c>
      <c r="C1427" s="4" t="str">
        <f>IFERROR(__xludf.DUMMYFUNCTION("""COMPUTED_VALUE"""),"Memoria MicroSD 64GB Clase 10 C1 CON ADAP SD")</f>
        <v>Memoria MicroSD 64GB Clase 10 C1 CON ADAP SD</v>
      </c>
      <c r="D1427" s="4" t="str">
        <f>IFERROR(__xludf.DUMMYFUNCTION("""COMPUTED_VALUE"""),"HIKSEMI")</f>
        <v>HIKSEMI</v>
      </c>
      <c r="E1427" s="4" t="str">
        <f>IFERROR(__xludf.DUMMYFUNCTION("""COMPUTED_VALUE"""),"DSHS-TF-C1-64G-Adapter")</f>
        <v>DSHS-TF-C1-64G-Adapter</v>
      </c>
      <c r="F1427" s="4" t="str">
        <f>IFERROR(__xludf.DUMMYFUNCTION("""COMPUTED_VALUE"""),"CONECTIVIDAD &gt; DISCOS RIGIDOS")</f>
        <v>CONECTIVIDAD &gt; DISCOS RIGIDOS</v>
      </c>
      <c r="G1427" s="5"/>
      <c r="H1427" s="6">
        <f>IFERROR(__xludf.DUMMYFUNCTION("""COMPUTED_VALUE"""),14.91)</f>
        <v>14.91</v>
      </c>
      <c r="I1427" s="7">
        <f>IFERROR(__xludf.DUMMYFUNCTION("""COMPUTED_VALUE"""),21.0)</f>
        <v>21</v>
      </c>
      <c r="J1427" s="6">
        <f>IFERROR(__xludf.DUMMYFUNCTION("""COMPUTED_VALUE"""),17.89)</f>
        <v>17.89</v>
      </c>
      <c r="K1427" s="6">
        <f>IFERROR(__xludf.DUMMYFUNCTION("""COMPUTED_VALUE"""),20.87)</f>
        <v>20.87</v>
      </c>
      <c r="L1427" s="3"/>
      <c r="M1427" s="3"/>
    </row>
    <row r="1428" ht="48.0" customHeight="1">
      <c r="A1428" s="3" t="str">
        <f>IFERROR(__xludf.DUMMYFUNCTION("""COMPUTED_VALUE"""),"DSHS-TF-D1-64G-WW")</f>
        <v>DSHS-TF-D1-64G-WW</v>
      </c>
      <c r="B1428" s="4" t="str">
        <f>IFERROR(__xludf.DUMMYFUNCTION("""COMPUTED_VALUE"""),"MEMORIA MICROSD 64GB CLASE 10 D1 SIN ADAP SD")</f>
        <v>MEMORIA MICROSD 64GB CLASE 10 D1 SIN ADAP SD</v>
      </c>
      <c r="C1428" s="4" t="str">
        <f>IFERROR(__xludf.DUMMYFUNCTION("""COMPUTED_VALUE"""),"Memoria MicroSD 64GB Clase 10 D1 SIN ADAP SD")</f>
        <v>Memoria MicroSD 64GB Clase 10 D1 SIN ADAP SD</v>
      </c>
      <c r="D1428" s="4" t="str">
        <f>IFERROR(__xludf.DUMMYFUNCTION("""COMPUTED_VALUE"""),"HIKSEMI")</f>
        <v>HIKSEMI</v>
      </c>
      <c r="E1428" s="4" t="str">
        <f>IFERROR(__xludf.DUMMYFUNCTION("""COMPUTED_VALUE"""),"DSHS-TF-D1-64G-WW")</f>
        <v>DSHS-TF-D1-64G-WW</v>
      </c>
      <c r="F1428" s="4" t="str">
        <f>IFERROR(__xludf.DUMMYFUNCTION("""COMPUTED_VALUE"""),"CONECTIVIDAD &gt; DISCOS RIGIDOS")</f>
        <v>CONECTIVIDAD &gt; DISCOS RIGIDOS</v>
      </c>
      <c r="G1428" s="5"/>
      <c r="H1428" s="6">
        <f>IFERROR(__xludf.DUMMYFUNCTION("""COMPUTED_VALUE"""),0.0)</f>
        <v>0</v>
      </c>
      <c r="I1428" s="7">
        <f>IFERROR(__xludf.DUMMYFUNCTION("""COMPUTED_VALUE"""),21.0)</f>
        <v>21</v>
      </c>
      <c r="J1428" s="6">
        <f>IFERROR(__xludf.DUMMYFUNCTION("""COMPUTED_VALUE"""),0.0)</f>
        <v>0</v>
      </c>
      <c r="K1428" s="6">
        <f>IFERROR(__xludf.DUMMYFUNCTION("""COMPUTED_VALUE"""),0.0)</f>
        <v>0</v>
      </c>
      <c r="L1428" s="3"/>
      <c r="M1428" s="3"/>
    </row>
    <row r="1429" ht="48.0" customHeight="1">
      <c r="A1429" s="3" t="str">
        <f>IFERROR(__xludf.DUMMYFUNCTION("""COMPUTED_VALUE"""),"DSHS-TF-C1-128G-Adapter")</f>
        <v>DSHS-TF-C1-128G-Adapter</v>
      </c>
      <c r="B1429" s="4" t="str">
        <f>IFERROR(__xludf.DUMMYFUNCTION("""COMPUTED_VALUE"""),"MEMORIA MICROSD 128GB CLASE 10 C1 CON ADAP SD")</f>
        <v>MEMORIA MICROSD 128GB CLASE 10 C1 CON ADAP SD</v>
      </c>
      <c r="C1429" s="4" t="str">
        <f>IFERROR(__xludf.DUMMYFUNCTION("""COMPUTED_VALUE"""),"Memoria MicroSD 128GB Clase 10 C1 CON ADAP SD")</f>
        <v>Memoria MicroSD 128GB Clase 10 C1 CON ADAP SD</v>
      </c>
      <c r="D1429" s="4" t="str">
        <f>IFERROR(__xludf.DUMMYFUNCTION("""COMPUTED_VALUE"""),"HIKSEMI")</f>
        <v>HIKSEMI</v>
      </c>
      <c r="E1429" s="4" t="str">
        <f>IFERROR(__xludf.DUMMYFUNCTION("""COMPUTED_VALUE"""),"DSHS-TF-C1-128G-Adapter")</f>
        <v>DSHS-TF-C1-128G-Adapter</v>
      </c>
      <c r="F1429" s="4" t="str">
        <f>IFERROR(__xludf.DUMMYFUNCTION("""COMPUTED_VALUE"""),"CONECTIVIDAD &gt; DISCOS RIGIDOS")</f>
        <v>CONECTIVIDAD &gt; DISCOS RIGIDOS</v>
      </c>
      <c r="G1429" s="5"/>
      <c r="H1429" s="6">
        <f>IFERROR(__xludf.DUMMYFUNCTION("""COMPUTED_VALUE"""),0.0)</f>
        <v>0</v>
      </c>
      <c r="I1429" s="7">
        <f>IFERROR(__xludf.DUMMYFUNCTION("""COMPUTED_VALUE"""),21.0)</f>
        <v>21</v>
      </c>
      <c r="J1429" s="6">
        <f>IFERROR(__xludf.DUMMYFUNCTION("""COMPUTED_VALUE"""),0.0)</f>
        <v>0</v>
      </c>
      <c r="K1429" s="6">
        <f>IFERROR(__xludf.DUMMYFUNCTION("""COMPUTED_VALUE"""),0.0)</f>
        <v>0</v>
      </c>
      <c r="L1429" s="3"/>
      <c r="M1429" s="3"/>
    </row>
    <row r="1430" ht="48.0" customHeight="1">
      <c r="A1430" s="3" t="str">
        <f>IFERROR(__xludf.DUMMYFUNCTION("""COMPUTED_VALUE"""),"DSHS-TF-C1-256G")</f>
        <v>DSHS-TF-C1-256G</v>
      </c>
      <c r="B1430" s="4" t="str">
        <f>IFERROR(__xludf.DUMMYFUNCTION("""COMPUTED_VALUE"""),"MEMORIA MICROSD 256GB CLASE 10 C1")</f>
        <v>MEMORIA MICROSD 256GB CLASE 10 C1</v>
      </c>
      <c r="C1430" s="4" t="str">
        <f>IFERROR(__xludf.DUMMYFUNCTION("""COMPUTED_VALUE"""),"Memoria MicroSD 256GB Clase 10 C1")</f>
        <v>Memoria MicroSD 256GB Clase 10 C1</v>
      </c>
      <c r="D1430" s="4" t="str">
        <f>IFERROR(__xludf.DUMMYFUNCTION("""COMPUTED_VALUE"""),"HIKSEMI")</f>
        <v>HIKSEMI</v>
      </c>
      <c r="E1430" s="4" t="str">
        <f>IFERROR(__xludf.DUMMYFUNCTION("""COMPUTED_VALUE"""),"DSHS-TF-C1-256G")</f>
        <v>DSHS-TF-C1-256G</v>
      </c>
      <c r="F1430" s="4" t="str">
        <f>IFERROR(__xludf.DUMMYFUNCTION("""COMPUTED_VALUE"""),"CONECTIVIDAD &gt; DISCOS RIGIDOS")</f>
        <v>CONECTIVIDAD &gt; DISCOS RIGIDOS</v>
      </c>
      <c r="G1430" s="5"/>
      <c r="H1430" s="6">
        <f>IFERROR(__xludf.DUMMYFUNCTION("""COMPUTED_VALUE"""),0.0)</f>
        <v>0</v>
      </c>
      <c r="I1430" s="7">
        <f>IFERROR(__xludf.DUMMYFUNCTION("""COMPUTED_VALUE"""),21.0)</f>
        <v>21</v>
      </c>
      <c r="J1430" s="6">
        <f>IFERROR(__xludf.DUMMYFUNCTION("""COMPUTED_VALUE"""),0.0)</f>
        <v>0</v>
      </c>
      <c r="K1430" s="6">
        <f>IFERROR(__xludf.DUMMYFUNCTION("""COMPUTED_VALUE"""),0.0)</f>
        <v>0</v>
      </c>
      <c r="L1430" s="3"/>
      <c r="M1430" s="3"/>
    </row>
    <row r="1431" ht="48.0" customHeight="1">
      <c r="A1431" s="3" t="str">
        <f>IFERROR(__xludf.DUMMYFUNCTION("""COMPUTED_VALUE"""),"IM-SD256")</f>
        <v>IM-SD256</v>
      </c>
      <c r="B1431" s="4" t="str">
        <f>IFERROR(__xludf.DUMMYFUNCTION("""COMPUTED_VALUE"""),"MEMORIA MICRO SD 256G")</f>
        <v>MEMORIA MICRO SD 256G</v>
      </c>
      <c r="C1431" s="4" t="str">
        <f>IFERROR(__xludf.DUMMYFUNCTION("""COMPUTED_VALUE"""),"Memoria Micro SD 256G")</f>
        <v>Memoria Micro SD 256G</v>
      </c>
      <c r="D1431" s="4" t="str">
        <f>IFERROR(__xludf.DUMMYFUNCTION("""COMPUTED_VALUE"""),"IMOU")</f>
        <v>IMOU</v>
      </c>
      <c r="E1431" s="4" t="str">
        <f>IFERROR(__xludf.DUMMYFUNCTION("""COMPUTED_VALUE"""),"IM-SD256")</f>
        <v>IM-SD256</v>
      </c>
      <c r="F1431" s="4" t="str">
        <f>IFERROR(__xludf.DUMMYFUNCTION("""COMPUTED_VALUE"""),"CONECTIVIDAD &gt; DISCOS RIGIDOS")</f>
        <v>CONECTIVIDAD &gt; DISCOS RIGIDOS</v>
      </c>
      <c r="G1431" s="5"/>
      <c r="H1431" s="6">
        <f>IFERROR(__xludf.DUMMYFUNCTION("""COMPUTED_VALUE"""),55.0)</f>
        <v>55</v>
      </c>
      <c r="I1431" s="7">
        <f>IFERROR(__xludf.DUMMYFUNCTION("""COMPUTED_VALUE"""),21.0)</f>
        <v>21</v>
      </c>
      <c r="J1431" s="6">
        <f>IFERROR(__xludf.DUMMYFUNCTION("""COMPUTED_VALUE"""),66.0)</f>
        <v>66</v>
      </c>
      <c r="K1431" s="6">
        <f>IFERROR(__xludf.DUMMYFUNCTION("""COMPUTED_VALUE"""),77.0)</f>
        <v>77</v>
      </c>
      <c r="L1431" s="3"/>
      <c r="M1431" s="3"/>
    </row>
    <row r="1432" ht="48.0" customHeight="1">
      <c r="A1432" s="3" t="str">
        <f>IFERROR(__xludf.DUMMYFUNCTION("""COMPUTED_VALUE"""),"ADA-SD64")</f>
        <v>ADA-SD64</v>
      </c>
      <c r="B1432" s="4" t="str">
        <f>IFERROR(__xludf.DUMMYFUNCTION("""COMPUTED_VALUE"""),"TARJETA DE MEMORIA ADATA PREMIER MICROSDXC 64GB UHS-I U1")</f>
        <v>TARJETA DE MEMORIA ADATA PREMIER MICROSDXC 64GB UHS-I U1</v>
      </c>
      <c r="C1432" s="4" t="str">
        <f>IFERROR(__xludf.DUMMYFUNCTION("""COMPUTED_VALUE"""),"Tarjeta de Memoria ADATA Premier microSDXC 64GB UHS-I U1 A1 V10 100MB/s c/adaptador")</f>
        <v>Tarjeta de Memoria ADATA Premier microSDXC 64GB UHS-I U1 A1 V10 100MB/s c/adaptador</v>
      </c>
      <c r="D1432" s="4" t="str">
        <f>IFERROR(__xludf.DUMMYFUNCTION("""COMPUTED_VALUE"""),"ADATA")</f>
        <v>ADATA</v>
      </c>
      <c r="E1432" s="4" t="str">
        <f>IFERROR(__xludf.DUMMYFUNCTION("""COMPUTED_VALUE"""),"ADA-SD64")</f>
        <v>ADA-SD64</v>
      </c>
      <c r="F1432" s="4" t="str">
        <f>IFERROR(__xludf.DUMMYFUNCTION("""COMPUTED_VALUE"""),"CONECTIVIDAD &gt; DISCOS RIGIDOS")</f>
        <v>CONECTIVIDAD &gt; DISCOS RIGIDOS</v>
      </c>
      <c r="G1432" s="5"/>
      <c r="H1432" s="6">
        <f>IFERROR(__xludf.DUMMYFUNCTION("""COMPUTED_VALUE"""),16.92)</f>
        <v>16.92</v>
      </c>
      <c r="I1432" s="7">
        <f>IFERROR(__xludf.DUMMYFUNCTION("""COMPUTED_VALUE"""),21.0)</f>
        <v>21</v>
      </c>
      <c r="J1432" s="6">
        <f>IFERROR(__xludf.DUMMYFUNCTION("""COMPUTED_VALUE"""),20.3)</f>
        <v>20.3</v>
      </c>
      <c r="K1432" s="6">
        <f>IFERROR(__xludf.DUMMYFUNCTION("""COMPUTED_VALUE"""),23.69)</f>
        <v>23.69</v>
      </c>
      <c r="L1432" s="3"/>
      <c r="M1432" s="3"/>
    </row>
    <row r="1433" ht="48.0" customHeight="1">
      <c r="A1433" s="3" t="str">
        <f>IFERROR(__xludf.DUMMYFUNCTION("""COMPUTED_VALUE"""),"SAN-SD128")</f>
        <v>SAN-SD128</v>
      </c>
      <c r="B1433" s="4" t="str">
        <f>IFERROR(__xludf.DUMMYFUNCTION("""COMPUTED_VALUE"""),"TARJETA DE MEMORIA SANDISK ULTRA MICROSDXC 128GB UHS-I U1 V10")</f>
        <v>TARJETA DE MEMORIA SANDISK ULTRA MICROSDXC 128GB UHS-I U1 V10</v>
      </c>
      <c r="C1433" s="4" t="str">
        <f>IFERROR(__xludf.DUMMYFUNCTION("""COMPUTED_VALUE"""),"Tarjeta de Memoria SANDISK Ultra MicroSDXC 128GB UHS-I U1 V10")</f>
        <v>Tarjeta de Memoria SANDISK Ultra MicroSDXC 128GB UHS-I U1 V10</v>
      </c>
      <c r="D1433" s="4" t="str">
        <f>IFERROR(__xludf.DUMMYFUNCTION("""COMPUTED_VALUE"""),"SANDISK")</f>
        <v>SANDISK</v>
      </c>
      <c r="E1433" s="4" t="str">
        <f>IFERROR(__xludf.DUMMYFUNCTION("""COMPUTED_VALUE"""),"SAN-SD128")</f>
        <v>SAN-SD128</v>
      </c>
      <c r="F1433" s="4" t="str">
        <f>IFERROR(__xludf.DUMMYFUNCTION("""COMPUTED_VALUE"""),"CONECTIVIDAD &gt; DISCOS RIGIDOS")</f>
        <v>CONECTIVIDAD &gt; DISCOS RIGIDOS</v>
      </c>
      <c r="G1433" s="5"/>
      <c r="H1433" s="6">
        <f>IFERROR(__xludf.DUMMYFUNCTION("""COMPUTED_VALUE"""),29.67)</f>
        <v>29.67</v>
      </c>
      <c r="I1433" s="7">
        <f>IFERROR(__xludf.DUMMYFUNCTION("""COMPUTED_VALUE"""),21.0)</f>
        <v>21</v>
      </c>
      <c r="J1433" s="6">
        <f>IFERROR(__xludf.DUMMYFUNCTION("""COMPUTED_VALUE"""),35.6)</f>
        <v>35.6</v>
      </c>
      <c r="K1433" s="6">
        <f>IFERROR(__xludf.DUMMYFUNCTION("""COMPUTED_VALUE"""),41.54)</f>
        <v>41.54</v>
      </c>
      <c r="L1433" s="3"/>
      <c r="M1433" s="3"/>
    </row>
    <row r="1434" ht="48.0" customHeight="1">
      <c r="A1434" s="3" t="str">
        <f>IFERROR(__xludf.DUMMYFUNCTION("""COMPUTED_VALUE"""),"KINSD64")</f>
        <v>KINSD64</v>
      </c>
      <c r="B1434" s="4" t="str">
        <f>IFERROR(__xludf.DUMMYFUNCTION("""COMPUTED_VALUE"""),"MEMORIA MICRO SD 64G CON ADAPTADOR SD CLASE 10, 100MB/S")</f>
        <v>MEMORIA MICRO SD 64G CON ADAPTADOR SD CLASE 10, 100MB/S</v>
      </c>
      <c r="C1434" s="4" t="str">
        <f>IFERROR(__xludf.DUMMYFUNCTION("""COMPUTED_VALUE"""),"Memoria Micro SD 64G con adaptador SD clase 10, 100MB/s")</f>
        <v>Memoria Micro SD 64G con adaptador SD clase 10, 100MB/s</v>
      </c>
      <c r="D1434" s="4" t="str">
        <f>IFERROR(__xludf.DUMMYFUNCTION("""COMPUTED_VALUE"""),"KINGSTON")</f>
        <v>KINGSTON</v>
      </c>
      <c r="E1434" s="4" t="str">
        <f>IFERROR(__xludf.DUMMYFUNCTION("""COMPUTED_VALUE"""),"KINSD64")</f>
        <v>KINSD64</v>
      </c>
      <c r="F1434" s="4" t="str">
        <f>IFERROR(__xludf.DUMMYFUNCTION("""COMPUTED_VALUE"""),"CONECTIVIDAD &gt; DISCOS RIGIDOS")</f>
        <v>CONECTIVIDAD &gt; DISCOS RIGIDOS</v>
      </c>
      <c r="G1434" s="5"/>
      <c r="H1434" s="6">
        <f>IFERROR(__xludf.DUMMYFUNCTION("""COMPUTED_VALUE"""),0.0)</f>
        <v>0</v>
      </c>
      <c r="I1434" s="7">
        <f>IFERROR(__xludf.DUMMYFUNCTION("""COMPUTED_VALUE"""),21.0)</f>
        <v>21</v>
      </c>
      <c r="J1434" s="6">
        <f>IFERROR(__xludf.DUMMYFUNCTION("""COMPUTED_VALUE"""),0.0)</f>
        <v>0</v>
      </c>
      <c r="K1434" s="6">
        <f>IFERROR(__xludf.DUMMYFUNCTION("""COMPUTED_VALUE"""),0.0)</f>
        <v>0</v>
      </c>
      <c r="L1434" s="3"/>
      <c r="M1434" s="3"/>
    </row>
    <row r="1435" ht="48.0" customHeight="1">
      <c r="A1435" s="3" t="str">
        <f>IFERROR(__xludf.DUMMYFUNCTION("""COMPUTED_VALUE"""),"KINSD128")</f>
        <v>KINSD128</v>
      </c>
      <c r="B1435" s="4" t="str">
        <f>IFERROR(__xludf.DUMMYFUNCTION("""COMPUTED_VALUE"""),"MEMORIA MICRO SD 128G CON ADAPTADOR SD CLASE 10, 100MB/S")</f>
        <v>MEMORIA MICRO SD 128G CON ADAPTADOR SD CLASE 10, 100MB/S</v>
      </c>
      <c r="C1435" s="4" t="str">
        <f>IFERROR(__xludf.DUMMYFUNCTION("""COMPUTED_VALUE"""),"Memoria Micro SD 128G con adaptador SD clase 10, 100MB/s")</f>
        <v>Memoria Micro SD 128G con adaptador SD clase 10, 100MB/s</v>
      </c>
      <c r="D1435" s="4" t="str">
        <f>IFERROR(__xludf.DUMMYFUNCTION("""COMPUTED_VALUE"""),"KINGSTON")</f>
        <v>KINGSTON</v>
      </c>
      <c r="E1435" s="4" t="str">
        <f>IFERROR(__xludf.DUMMYFUNCTION("""COMPUTED_VALUE"""),"KINSD128")</f>
        <v>KINSD128</v>
      </c>
      <c r="F1435" s="4" t="str">
        <f>IFERROR(__xludf.DUMMYFUNCTION("""COMPUTED_VALUE"""),"CONECTIVIDAD &gt; DISCOS RIGIDOS")</f>
        <v>CONECTIVIDAD &gt; DISCOS RIGIDOS</v>
      </c>
      <c r="G1435" s="5"/>
      <c r="H1435" s="6">
        <f>IFERROR(__xludf.DUMMYFUNCTION("""COMPUTED_VALUE"""),0.0)</f>
        <v>0</v>
      </c>
      <c r="I1435" s="7">
        <f>IFERROR(__xludf.DUMMYFUNCTION("""COMPUTED_VALUE"""),21.0)</f>
        <v>21</v>
      </c>
      <c r="J1435" s="6">
        <f>IFERROR(__xludf.DUMMYFUNCTION("""COMPUTED_VALUE"""),0.0)</f>
        <v>0</v>
      </c>
      <c r="K1435" s="6">
        <f>IFERROR(__xludf.DUMMYFUNCTION("""COMPUTED_VALUE"""),0.0)</f>
        <v>0</v>
      </c>
      <c r="L1435" s="3"/>
      <c r="M1435" s="3"/>
    </row>
    <row r="1436" ht="48.0" customHeight="1">
      <c r="A1436" s="3" t="str">
        <f>IFERROR(__xludf.DUMMYFUNCTION("""COMPUTED_VALUE"""),"KINSD256")</f>
        <v>KINSD256</v>
      </c>
      <c r="B1436" s="4" t="str">
        <f>IFERROR(__xludf.DUMMYFUNCTION("""COMPUTED_VALUE"""),"MEMORIA MICRO SD 256G CON ADAPTADOR SD CLASE 10, 100MB/S")</f>
        <v>MEMORIA MICRO SD 256G CON ADAPTADOR SD CLASE 10, 100MB/S</v>
      </c>
      <c r="C1436" s="4" t="str">
        <f>IFERROR(__xludf.DUMMYFUNCTION("""COMPUTED_VALUE"""),"Memoria Micro SD 256G con adaptador SD clase 10, 100MB/s")</f>
        <v>Memoria Micro SD 256G con adaptador SD clase 10, 100MB/s</v>
      </c>
      <c r="D1436" s="4" t="str">
        <f>IFERROR(__xludf.DUMMYFUNCTION("""COMPUTED_VALUE"""),"KINGSTON")</f>
        <v>KINGSTON</v>
      </c>
      <c r="E1436" s="4" t="str">
        <f>IFERROR(__xludf.DUMMYFUNCTION("""COMPUTED_VALUE"""),"KINSD256")</f>
        <v>KINSD256</v>
      </c>
      <c r="F1436" s="4" t="str">
        <f>IFERROR(__xludf.DUMMYFUNCTION("""COMPUTED_VALUE"""),"CONECTIVIDAD &gt; DISCOS RIGIDOS")</f>
        <v>CONECTIVIDAD &gt; DISCOS RIGIDOS</v>
      </c>
      <c r="G1436" s="5"/>
      <c r="H1436" s="6">
        <f>IFERROR(__xludf.DUMMYFUNCTION("""COMPUTED_VALUE"""),0.0)</f>
        <v>0</v>
      </c>
      <c r="I1436" s="7">
        <f>IFERROR(__xludf.DUMMYFUNCTION("""COMPUTED_VALUE"""),21.0)</f>
        <v>21</v>
      </c>
      <c r="J1436" s="6">
        <f>IFERROR(__xludf.DUMMYFUNCTION("""COMPUTED_VALUE"""),0.0)</f>
        <v>0</v>
      </c>
      <c r="K1436" s="6">
        <f>IFERROR(__xludf.DUMMYFUNCTION("""COMPUTED_VALUE"""),0.0)</f>
        <v>0</v>
      </c>
      <c r="L1436" s="3"/>
      <c r="M1436" s="3"/>
    </row>
    <row r="1437" ht="48.0" customHeight="1">
      <c r="A1437" s="3" t="str">
        <f>IFERROR(__xludf.DUMMYFUNCTION("""COMPUTED_VALUE"""),"KINSD512")</f>
        <v>KINSD512</v>
      </c>
      <c r="B1437" s="4" t="str">
        <f>IFERROR(__xludf.DUMMYFUNCTION("""COMPUTED_VALUE"""),"MEMORIA MICRO SD 512G CON ADAPTADOR SD CLASE 10, 100MB/S")</f>
        <v>MEMORIA MICRO SD 512G CON ADAPTADOR SD CLASE 10, 100MB/S</v>
      </c>
      <c r="C1437" s="4" t="str">
        <f>IFERROR(__xludf.DUMMYFUNCTION("""COMPUTED_VALUE"""),"Memoria Micro SD 512G con adaptador SD clase 10, 100MB/s")</f>
        <v>Memoria Micro SD 512G con adaptador SD clase 10, 100MB/s</v>
      </c>
      <c r="D1437" s="4" t="str">
        <f>IFERROR(__xludf.DUMMYFUNCTION("""COMPUTED_VALUE"""),"KINGSTON")</f>
        <v>KINGSTON</v>
      </c>
      <c r="E1437" s="4" t="str">
        <f>IFERROR(__xludf.DUMMYFUNCTION("""COMPUTED_VALUE"""),"KINSD512")</f>
        <v>KINSD512</v>
      </c>
      <c r="F1437" s="4" t="str">
        <f>IFERROR(__xludf.DUMMYFUNCTION("""COMPUTED_VALUE"""),"CONECTIVIDAD &gt; DISCOS RIGIDOS")</f>
        <v>CONECTIVIDAD &gt; DISCOS RIGIDOS</v>
      </c>
      <c r="G1437" s="5"/>
      <c r="H1437" s="6">
        <f>IFERROR(__xludf.DUMMYFUNCTION("""COMPUTED_VALUE"""),100.38)</f>
        <v>100.38</v>
      </c>
      <c r="I1437" s="7">
        <f>IFERROR(__xludf.DUMMYFUNCTION("""COMPUTED_VALUE"""),21.0)</f>
        <v>21</v>
      </c>
      <c r="J1437" s="6">
        <f>IFERROR(__xludf.DUMMYFUNCTION("""COMPUTED_VALUE"""),120.46)</f>
        <v>120.46</v>
      </c>
      <c r="K1437" s="6">
        <f>IFERROR(__xludf.DUMMYFUNCTION("""COMPUTED_VALUE"""),140.53)</f>
        <v>140.53</v>
      </c>
      <c r="L1437" s="3"/>
      <c r="M1437" s="3"/>
    </row>
    <row r="1438" ht="48.0" customHeight="1">
      <c r="A1438" s="3" t="str">
        <f>IFERROR(__xludf.DUMMYFUNCTION("""COMPUTED_VALUE"""),"INT-COC40389")</f>
        <v>INT-COC40389</v>
      </c>
      <c r="B1438" s="4" t="str">
        <f>IFERROR(__xludf.DUMMYFUNCTION("""COMPUTED_VALUE"""),"GABINETE DE CHAPA IDEAL CCTV/SWITCH DIMENSIONES EXTERNAS 376 X")</f>
        <v>GABINETE DE CHAPA IDEAL CCTV/SWITCH DIMENSIONES EXTERNAS 376 X</v>
      </c>
      <c r="C1438" s="4" t="str">
        <f>IFERROR(__xludf.DUMMYFUNCTION("""COMPUTED_VALUE"""),"Gabinete de chapa ideal CCTV/switch Dimensiones externas 376 x 405,8 x 114,6 mm Color Negro.")</f>
        <v>Gabinete de chapa ideal CCTV/switch Dimensiones externas 376 x 405,8 x 114,6 mm Color Negro.</v>
      </c>
      <c r="D1438" s="4" t="str">
        <f>IFERROR(__xludf.DUMMYFUNCTION("""COMPUTED_VALUE"""),"INTELBRAS")</f>
        <v>INTELBRAS</v>
      </c>
      <c r="E1438" s="4" t="str">
        <f>IFERROR(__xludf.DUMMYFUNCTION("""COMPUTED_VALUE"""),"INT-COC40389")</f>
        <v>INT-COC40389</v>
      </c>
      <c r="F1438" s="4" t="str">
        <f>IFERROR(__xludf.DUMMYFUNCTION("""COMPUTED_VALUE"""),"CONECTIVIDAD &gt; SWITCH")</f>
        <v>CONECTIVIDAD &gt; SWITCH</v>
      </c>
      <c r="G1438" s="5"/>
      <c r="H1438" s="6">
        <f>IFERROR(__xludf.DUMMYFUNCTION("""COMPUTED_VALUE"""),49.38)</f>
        <v>49.38</v>
      </c>
      <c r="I1438" s="7">
        <f>IFERROR(__xludf.DUMMYFUNCTION("""COMPUTED_VALUE"""),21.0)</f>
        <v>21</v>
      </c>
      <c r="J1438" s="6">
        <f>IFERROR(__xludf.DUMMYFUNCTION("""COMPUTED_VALUE"""),59.26)</f>
        <v>59.26</v>
      </c>
      <c r="K1438" s="6">
        <f>IFERROR(__xludf.DUMMYFUNCTION("""COMPUTED_VALUE"""),69.13)</f>
        <v>69.13</v>
      </c>
      <c r="L1438" s="3"/>
      <c r="M1438" s="3"/>
    </row>
    <row r="1439" ht="48.0" customHeight="1">
      <c r="A1439" s="3" t="str">
        <f>IFERROR(__xludf.DUMMYFUNCTION("""COMPUTED_VALUE"""),"INT-MRM337")</f>
        <v>INT-MRM337</v>
      </c>
      <c r="B1439" s="4" t="str">
        <f>IFERROR(__xludf.DUMMYFUNCTION("""COMPUTED_VALUE"""),"MINI RACK MURAL 3U 37CM DE PROFUNDIDAD, PUERTAS FRONTAL Y CERRADURA")</f>
        <v>MINI RACK MURAL 3U 37CM DE PROFUNDIDAD, PUERTAS FRONTAL Y CERRADURA</v>
      </c>
      <c r="C1439" s="4" t="str">
        <f>IFERROR(__xludf.DUMMYFUNCTION("""COMPUTED_VALUE"""),"Mini Rack Mural 3U 37cm de profundidad, puertas frontal y cerradura.")</f>
        <v>Mini Rack Mural 3U 37cm de profundidad, puertas frontal y cerradura.</v>
      </c>
      <c r="D1439" s="4" t="str">
        <f>IFERROR(__xludf.DUMMYFUNCTION("""COMPUTED_VALUE"""),"INTELBRAS")</f>
        <v>INTELBRAS</v>
      </c>
      <c r="E1439" s="4" t="str">
        <f>IFERROR(__xludf.DUMMYFUNCTION("""COMPUTED_VALUE"""),"INT-MRM337")</f>
        <v>INT-MRM337</v>
      </c>
      <c r="F1439" s="4" t="str">
        <f>IFERROR(__xludf.DUMMYFUNCTION("""COMPUTED_VALUE"""),"CONECTIVIDAD &gt; RACKS")</f>
        <v>CONECTIVIDAD &gt; RACKS</v>
      </c>
      <c r="G1439" s="5"/>
      <c r="H1439" s="6">
        <f>IFERROR(__xludf.DUMMYFUNCTION("""COMPUTED_VALUE"""),69.19)</f>
        <v>69.19</v>
      </c>
      <c r="I1439" s="7">
        <f>IFERROR(__xludf.DUMMYFUNCTION("""COMPUTED_VALUE"""),21.0)</f>
        <v>21</v>
      </c>
      <c r="J1439" s="6">
        <f>IFERROR(__xludf.DUMMYFUNCTION("""COMPUTED_VALUE"""),83.03)</f>
        <v>83.03</v>
      </c>
      <c r="K1439" s="6">
        <f>IFERROR(__xludf.DUMMYFUNCTION("""COMPUTED_VALUE"""),96.87)</f>
        <v>96.87</v>
      </c>
      <c r="L1439" s="3"/>
      <c r="M1439" s="3"/>
    </row>
    <row r="1440" ht="48.0" customHeight="1">
      <c r="A1440" s="3" t="str">
        <f>IFERROR(__xludf.DUMMYFUNCTION("""COMPUTED_VALUE"""),"INT-MRM537")</f>
        <v>INT-MRM537</v>
      </c>
      <c r="B1440" s="4" t="str">
        <f>IFERROR(__xludf.DUMMYFUNCTION("""COMPUTED_VALUE"""),"MINI RACK MURAL 5U 37CM DE PROFUNDIDAD, PUERTAS FRONTAL Y CERRADURA")</f>
        <v>MINI RACK MURAL 5U 37CM DE PROFUNDIDAD, PUERTAS FRONTAL Y CERRADURA</v>
      </c>
      <c r="C1440" s="4" t="str">
        <f>IFERROR(__xludf.DUMMYFUNCTION("""COMPUTED_VALUE"""),"Mini Rack Mural 5U 37cm de profundidad, puertas frontal y cerradura.")</f>
        <v>Mini Rack Mural 5U 37cm de profundidad, puertas frontal y cerradura.</v>
      </c>
      <c r="D1440" s="4" t="str">
        <f>IFERROR(__xludf.DUMMYFUNCTION("""COMPUTED_VALUE"""),"INTELBRAS")</f>
        <v>INTELBRAS</v>
      </c>
      <c r="E1440" s="4" t="str">
        <f>IFERROR(__xludf.DUMMYFUNCTION("""COMPUTED_VALUE"""),"INT-MRM537")</f>
        <v>INT-MRM537</v>
      </c>
      <c r="F1440" s="4" t="str">
        <f>IFERROR(__xludf.DUMMYFUNCTION("""COMPUTED_VALUE"""),"CONECTIVIDAD &gt; RACKS")</f>
        <v>CONECTIVIDAD &gt; RACKS</v>
      </c>
      <c r="G1440" s="5"/>
      <c r="H1440" s="6">
        <f>IFERROR(__xludf.DUMMYFUNCTION("""COMPUTED_VALUE"""),75.38)</f>
        <v>75.38</v>
      </c>
      <c r="I1440" s="7">
        <f>IFERROR(__xludf.DUMMYFUNCTION("""COMPUTED_VALUE"""),21.0)</f>
        <v>21</v>
      </c>
      <c r="J1440" s="6">
        <f>IFERROR(__xludf.DUMMYFUNCTION("""COMPUTED_VALUE"""),90.46)</f>
        <v>90.46</v>
      </c>
      <c r="K1440" s="6">
        <f>IFERROR(__xludf.DUMMYFUNCTION("""COMPUTED_VALUE"""),105.53)</f>
        <v>105.53</v>
      </c>
      <c r="L1440" s="3"/>
      <c r="M1440" s="3"/>
    </row>
    <row r="1441" ht="48.0" customHeight="1">
      <c r="A1441" s="3" t="str">
        <f>IFERROR(__xludf.DUMMYFUNCTION("""COMPUTED_VALUE"""),"RVM4U450")</f>
        <v>RVM4U450</v>
      </c>
      <c r="B1441" s="4" t="str">
        <f>IFERROR(__xludf.DUMMYFUNCTION("""COMPUTED_VALUE"""),"RACK MURAL 4U/450MM CON TAPA DE VIDRIO (DESARMADO)")</f>
        <v>RACK MURAL 4U/450MM CON TAPA DE VIDRIO (DESARMADO)</v>
      </c>
      <c r="C1441" s="4" t="str">
        <f>IFERROR(__xludf.DUMMYFUNCTION("""COMPUTED_VALUE"""),"Rack Mural 4U/450MM con tapa de vidrio (desarmado)")</f>
        <v>Rack Mural 4U/450MM con tapa de vidrio (desarmado)</v>
      </c>
      <c r="D1441" s="4" t="str">
        <f>IFERROR(__xludf.DUMMYFUNCTION("""COMPUTED_VALUE"""),"REGUVOLT")</f>
        <v>REGUVOLT</v>
      </c>
      <c r="E1441" s="4" t="str">
        <f>IFERROR(__xludf.DUMMYFUNCTION("""COMPUTED_VALUE"""),"RVM4U450")</f>
        <v>RVM4U450</v>
      </c>
      <c r="F1441" s="4" t="str">
        <f>IFERROR(__xludf.DUMMYFUNCTION("""COMPUTED_VALUE"""),"CONECTIVIDAD &gt; RACKS")</f>
        <v>CONECTIVIDAD &gt; RACKS</v>
      </c>
      <c r="G1441" s="5"/>
      <c r="H1441" s="6">
        <f>IFERROR(__xludf.DUMMYFUNCTION("""COMPUTED_VALUE"""),92.7)</f>
        <v>92.7</v>
      </c>
      <c r="I1441" s="7">
        <f>IFERROR(__xludf.DUMMYFUNCTION("""COMPUTED_VALUE"""),21.0)</f>
        <v>21</v>
      </c>
      <c r="J1441" s="6">
        <f>IFERROR(__xludf.DUMMYFUNCTION("""COMPUTED_VALUE"""),111.24)</f>
        <v>111.24</v>
      </c>
      <c r="K1441" s="6">
        <f>IFERROR(__xludf.DUMMYFUNCTION("""COMPUTED_VALUE"""),129.78)</f>
        <v>129.78</v>
      </c>
      <c r="L1441" s="3"/>
      <c r="M1441" s="3"/>
    </row>
    <row r="1442" ht="48.0" customHeight="1">
      <c r="A1442" s="3" t="str">
        <f>IFERROR(__xludf.DUMMYFUNCTION("""COMPUTED_VALUE"""),"RVM6U450")</f>
        <v>RVM6U450</v>
      </c>
      <c r="B1442" s="4" t="str">
        <f>IFERROR(__xludf.DUMMYFUNCTION("""COMPUTED_VALUE"""),"RACK MURAL 6U/450MM ALTO 368MM CON TAPA DE VIDRIO (DESARMADO)")</f>
        <v>RACK MURAL 6U/450MM ALTO 368MM CON TAPA DE VIDRIO (DESARMADO)</v>
      </c>
      <c r="C1442" s="4" t="str">
        <f>IFERROR(__xludf.DUMMYFUNCTION("""COMPUTED_VALUE"""),"Rack Mural 6U/450MM Alto 368mm con tapa de vidrio (DESARMADO)")</f>
        <v>Rack Mural 6U/450MM Alto 368mm con tapa de vidrio (DESARMADO)</v>
      </c>
      <c r="D1442" s="4" t="str">
        <f>IFERROR(__xludf.DUMMYFUNCTION("""COMPUTED_VALUE"""),"REGUVOLT")</f>
        <v>REGUVOLT</v>
      </c>
      <c r="E1442" s="4" t="str">
        <f>IFERROR(__xludf.DUMMYFUNCTION("""COMPUTED_VALUE"""),"RVM6U450")</f>
        <v>RVM6U450</v>
      </c>
      <c r="F1442" s="4" t="str">
        <f>IFERROR(__xludf.DUMMYFUNCTION("""COMPUTED_VALUE"""),"CONECTIVIDAD &gt; RACKS")</f>
        <v>CONECTIVIDAD &gt; RACKS</v>
      </c>
      <c r="G1442" s="5"/>
      <c r="H1442" s="6">
        <f>IFERROR(__xludf.DUMMYFUNCTION("""COMPUTED_VALUE"""),94.16)</f>
        <v>94.16</v>
      </c>
      <c r="I1442" s="7">
        <f>IFERROR(__xludf.DUMMYFUNCTION("""COMPUTED_VALUE"""),21.0)</f>
        <v>21</v>
      </c>
      <c r="J1442" s="6">
        <f>IFERROR(__xludf.DUMMYFUNCTION("""COMPUTED_VALUE"""),112.99)</f>
        <v>112.99</v>
      </c>
      <c r="K1442" s="6">
        <f>IFERROR(__xludf.DUMMYFUNCTION("""COMPUTED_VALUE"""),131.82)</f>
        <v>131.82</v>
      </c>
      <c r="L1442" s="3"/>
      <c r="M1442" s="3"/>
    </row>
    <row r="1443" ht="48.0" customHeight="1">
      <c r="A1443" s="3" t="str">
        <f>IFERROR(__xludf.DUMMYFUNCTION("""COMPUTED_VALUE"""),"RVM9U450")</f>
        <v>RVM9U450</v>
      </c>
      <c r="B1443" s="4" t="str">
        <f>IFERROR(__xludf.DUMMYFUNCTION("""COMPUTED_VALUE"""),"RACK MURAL 9U/450MM ALTO 501MM CON TAPA DE VIDRIO (DESARMADO)")</f>
        <v>RACK MURAL 9U/450MM ALTO 501MM CON TAPA DE VIDRIO (DESARMADO)</v>
      </c>
      <c r="C1443" s="4" t="str">
        <f>IFERROR(__xludf.DUMMYFUNCTION("""COMPUTED_VALUE"""),"Rack Mural 9U/450MM Alto 501mm con tapa de vidrio (DESARMADO)")</f>
        <v>Rack Mural 9U/450MM Alto 501mm con tapa de vidrio (DESARMADO)</v>
      </c>
      <c r="D1443" s="4" t="str">
        <f>IFERROR(__xludf.DUMMYFUNCTION("""COMPUTED_VALUE"""),"REGUVOLT")</f>
        <v>REGUVOLT</v>
      </c>
      <c r="E1443" s="4" t="str">
        <f>IFERROR(__xludf.DUMMYFUNCTION("""COMPUTED_VALUE"""),"RVM9U450")</f>
        <v>RVM9U450</v>
      </c>
      <c r="F1443" s="4" t="str">
        <f>IFERROR(__xludf.DUMMYFUNCTION("""COMPUTED_VALUE"""),"CONECTIVIDAD &gt; RACKS")</f>
        <v>CONECTIVIDAD &gt; RACKS</v>
      </c>
      <c r="G1443" s="5"/>
      <c r="H1443" s="6">
        <f>IFERROR(__xludf.DUMMYFUNCTION("""COMPUTED_VALUE"""),110.41)</f>
        <v>110.41</v>
      </c>
      <c r="I1443" s="7">
        <f>IFERROR(__xludf.DUMMYFUNCTION("""COMPUTED_VALUE"""),21.0)</f>
        <v>21</v>
      </c>
      <c r="J1443" s="6">
        <f>IFERROR(__xludf.DUMMYFUNCTION("""COMPUTED_VALUE"""),132.49)</f>
        <v>132.49</v>
      </c>
      <c r="K1443" s="6">
        <f>IFERROR(__xludf.DUMMYFUNCTION("""COMPUTED_VALUE"""),154.57)</f>
        <v>154.57</v>
      </c>
      <c r="L1443" s="3"/>
      <c r="M1443" s="3"/>
    </row>
    <row r="1444" ht="48.0" customHeight="1">
      <c r="A1444" s="3" t="str">
        <f>IFERROR(__xludf.DUMMYFUNCTION("""COMPUTED_VALUE"""),"RVM12U450")</f>
        <v>RVM12U450</v>
      </c>
      <c r="B1444" s="4" t="str">
        <f>IFERROR(__xludf.DUMMYFUNCTION("""COMPUTED_VALUE"""),"RACK MURAL 12U/450MM ALTO 635MM CON TAPA DE VIDRIO (DESARMADO)")</f>
        <v>RACK MURAL 12U/450MM ALTO 635MM CON TAPA DE VIDRIO (DESARMADO)</v>
      </c>
      <c r="C1444" s="4" t="str">
        <f>IFERROR(__xludf.DUMMYFUNCTION("""COMPUTED_VALUE"""),"Rack Mural 12U/450MM Alto 635mm con tapa de vidrio (DESARMADO)")</f>
        <v>Rack Mural 12U/450MM Alto 635mm con tapa de vidrio (DESARMADO)</v>
      </c>
      <c r="D1444" s="4" t="str">
        <f>IFERROR(__xludf.DUMMYFUNCTION("""COMPUTED_VALUE"""),"REGUVOLT")</f>
        <v>REGUVOLT</v>
      </c>
      <c r="E1444" s="4" t="str">
        <f>IFERROR(__xludf.DUMMYFUNCTION("""COMPUTED_VALUE"""),"RVM12U450")</f>
        <v>RVM12U450</v>
      </c>
      <c r="F1444" s="4" t="str">
        <f>IFERROR(__xludf.DUMMYFUNCTION("""COMPUTED_VALUE"""),"CONECTIVIDAD &gt; RACKS")</f>
        <v>CONECTIVIDAD &gt; RACKS</v>
      </c>
      <c r="G1444" s="5"/>
      <c r="H1444" s="6">
        <f>IFERROR(__xludf.DUMMYFUNCTION("""COMPUTED_VALUE"""),123.5)</f>
        <v>123.5</v>
      </c>
      <c r="I1444" s="7">
        <f>IFERROR(__xludf.DUMMYFUNCTION("""COMPUTED_VALUE"""),21.0)</f>
        <v>21</v>
      </c>
      <c r="J1444" s="6">
        <f>IFERROR(__xludf.DUMMYFUNCTION("""COMPUTED_VALUE"""),148.2)</f>
        <v>148.2</v>
      </c>
      <c r="K1444" s="6">
        <f>IFERROR(__xludf.DUMMYFUNCTION("""COMPUTED_VALUE"""),172.9)</f>
        <v>172.9</v>
      </c>
      <c r="L1444" s="3"/>
      <c r="M1444" s="3"/>
    </row>
    <row r="1445" ht="48.0" customHeight="1">
      <c r="A1445" s="3" t="str">
        <f>IFERROR(__xludf.DUMMYFUNCTION("""COMPUTED_VALUE"""),"RVM15U450")</f>
        <v>RVM15U450</v>
      </c>
      <c r="B1445" s="4" t="str">
        <f>IFERROR(__xludf.DUMMYFUNCTION("""COMPUTED_VALUE"""),"RACK MURAL 15U/450MM ALTO 796MM CON TAPA DE VIDRIO (DESARMADO)")</f>
        <v>RACK MURAL 15U/450MM ALTO 796MM CON TAPA DE VIDRIO (DESARMADO)</v>
      </c>
      <c r="C1445" s="4" t="str">
        <f>IFERROR(__xludf.DUMMYFUNCTION("""COMPUTED_VALUE"""),"Rack Mural 15U/450MM Alto 796mm con tapa de vidrio (DESARMADO)")</f>
        <v>Rack Mural 15U/450MM Alto 796mm con tapa de vidrio (DESARMADO)</v>
      </c>
      <c r="D1445" s="4" t="str">
        <f>IFERROR(__xludf.DUMMYFUNCTION("""COMPUTED_VALUE"""),"REGUVOLT")</f>
        <v>REGUVOLT</v>
      </c>
      <c r="E1445" s="4" t="str">
        <f>IFERROR(__xludf.DUMMYFUNCTION("""COMPUTED_VALUE"""),"RVM15U450")</f>
        <v>RVM15U450</v>
      </c>
      <c r="F1445" s="4" t="str">
        <f>IFERROR(__xludf.DUMMYFUNCTION("""COMPUTED_VALUE"""),"CONECTIVIDAD &gt; RACKS")</f>
        <v>CONECTIVIDAD &gt; RACKS</v>
      </c>
      <c r="G1445" s="5"/>
      <c r="H1445" s="6">
        <f>IFERROR(__xludf.DUMMYFUNCTION("""COMPUTED_VALUE"""),143.74)</f>
        <v>143.74</v>
      </c>
      <c r="I1445" s="7">
        <f>IFERROR(__xludf.DUMMYFUNCTION("""COMPUTED_VALUE"""),21.0)</f>
        <v>21</v>
      </c>
      <c r="J1445" s="6">
        <f>IFERROR(__xludf.DUMMYFUNCTION("""COMPUTED_VALUE"""),172.49)</f>
        <v>172.49</v>
      </c>
      <c r="K1445" s="6">
        <f>IFERROR(__xludf.DUMMYFUNCTION("""COMPUTED_VALUE"""),201.24)</f>
        <v>201.24</v>
      </c>
      <c r="L1445" s="3"/>
      <c r="M1445" s="3"/>
    </row>
    <row r="1446" ht="48.0" customHeight="1">
      <c r="A1446" s="3" t="str">
        <f>IFERROR(__xludf.DUMMYFUNCTION("""COMPUTED_VALUE"""),"RVR22U600")</f>
        <v>RVR22U600</v>
      </c>
      <c r="B1446" s="4" t="str">
        <f>IFERROR(__xludf.DUMMYFUNCTION("""COMPUTED_VALUE"""),"RACK 22U/600MM / ALTO 1166MM JUEGO DE RUEDAS, PUERTA")</f>
        <v>RACK 22U/600MM / ALTO 1166MM JUEGO DE RUEDAS, PUERTA</v>
      </c>
      <c r="C1446" s="4" t="str">
        <f>IFERROR(__xludf.DUMMYFUNCTION("""COMPUTED_VALUE"""),"Rack 22U/600MM / Alto 1166mm juego de ruedas, puerta trasera ciega incluidos (DESARMADO)")</f>
        <v>Rack 22U/600MM / Alto 1166mm juego de ruedas, puerta trasera ciega incluidos (DESARMADO)</v>
      </c>
      <c r="D1446" s="4" t="str">
        <f>IFERROR(__xludf.DUMMYFUNCTION("""COMPUTED_VALUE"""),"REGUVOLT")</f>
        <v>REGUVOLT</v>
      </c>
      <c r="E1446" s="4" t="str">
        <f>IFERROR(__xludf.DUMMYFUNCTION("""COMPUTED_VALUE"""),"RVR22U600")</f>
        <v>RVR22U600</v>
      </c>
      <c r="F1446" s="4" t="str">
        <f>IFERROR(__xludf.DUMMYFUNCTION("""COMPUTED_VALUE"""),"CONECTIVIDAD &gt; RACKS")</f>
        <v>CONECTIVIDAD &gt; RACKS</v>
      </c>
      <c r="G1446" s="5"/>
      <c r="H1446" s="6">
        <f>IFERROR(__xludf.DUMMYFUNCTION("""COMPUTED_VALUE"""),365.94)</f>
        <v>365.94</v>
      </c>
      <c r="I1446" s="7">
        <f>IFERROR(__xludf.DUMMYFUNCTION("""COMPUTED_VALUE"""),21.0)</f>
        <v>21</v>
      </c>
      <c r="J1446" s="6">
        <f>IFERROR(__xludf.DUMMYFUNCTION("""COMPUTED_VALUE"""),439.13)</f>
        <v>439.13</v>
      </c>
      <c r="K1446" s="6">
        <f>IFERROR(__xludf.DUMMYFUNCTION("""COMPUTED_VALUE"""),512.32)</f>
        <v>512.32</v>
      </c>
      <c r="L1446" s="3"/>
      <c r="M1446" s="3"/>
    </row>
    <row r="1447" ht="48.0" customHeight="1">
      <c r="A1447" s="3" t="str">
        <f>IFERROR(__xludf.DUMMYFUNCTION("""COMPUTED_VALUE"""),"RVR22U800")</f>
        <v>RVR22U800</v>
      </c>
      <c r="B1447" s="4" t="str">
        <f>IFERROR(__xludf.DUMMYFUNCTION("""COMPUTED_VALUE"""),"RACK 22U/800MM / ALTO 1166MM JUEGO DE RUEDAS, PUERTA")</f>
        <v>RACK 22U/800MM / ALTO 1166MM JUEGO DE RUEDAS, PUERTA</v>
      </c>
      <c r="C1447" s="4" t="str">
        <f>IFERROR(__xludf.DUMMYFUNCTION("""COMPUTED_VALUE"""),"Rack 22U/800MM / Alto 1166mm juego de ruedas, puerta trasera ciega incluidos (DESARMADO)")</f>
        <v>Rack 22U/800MM / Alto 1166mm juego de ruedas, puerta trasera ciega incluidos (DESARMADO)</v>
      </c>
      <c r="D1447" s="4" t="str">
        <f>IFERROR(__xludf.DUMMYFUNCTION("""COMPUTED_VALUE"""),"REGUVOLT")</f>
        <v>REGUVOLT</v>
      </c>
      <c r="E1447" s="4" t="str">
        <f>IFERROR(__xludf.DUMMYFUNCTION("""COMPUTED_VALUE"""),"RVR22U800")</f>
        <v>RVR22U800</v>
      </c>
      <c r="F1447" s="4" t="str">
        <f>IFERROR(__xludf.DUMMYFUNCTION("""COMPUTED_VALUE"""),"CONECTIVIDAD &gt; RACKS")</f>
        <v>CONECTIVIDAD &gt; RACKS</v>
      </c>
      <c r="G1447" s="5"/>
      <c r="H1447" s="6">
        <f>IFERROR(__xludf.DUMMYFUNCTION("""COMPUTED_VALUE"""),414.4)</f>
        <v>414.4</v>
      </c>
      <c r="I1447" s="7">
        <f>IFERROR(__xludf.DUMMYFUNCTION("""COMPUTED_VALUE"""),21.0)</f>
        <v>21</v>
      </c>
      <c r="J1447" s="6">
        <f>IFERROR(__xludf.DUMMYFUNCTION("""COMPUTED_VALUE"""),497.28)</f>
        <v>497.28</v>
      </c>
      <c r="K1447" s="6">
        <f>IFERROR(__xludf.DUMMYFUNCTION("""COMPUTED_VALUE"""),580.16)</f>
        <v>580.16</v>
      </c>
      <c r="L1447" s="3"/>
      <c r="M1447" s="3"/>
    </row>
    <row r="1448" ht="48.0" customHeight="1">
      <c r="A1448" s="3" t="str">
        <f>IFERROR(__xludf.DUMMYFUNCTION("""COMPUTED_VALUE"""),"RVR32U600")</f>
        <v>RVR32U600</v>
      </c>
      <c r="B1448" s="4" t="str">
        <f>IFERROR(__xludf.DUMMYFUNCTION("""COMPUTED_VALUE"""),"RACK 32U/600MM / ALTO 1610MM JUEGO DE RUEDAS, PUERTA")</f>
        <v>RACK 32U/600MM / ALTO 1610MM JUEGO DE RUEDAS, PUERTA</v>
      </c>
      <c r="C1448" s="4" t="str">
        <f>IFERROR(__xludf.DUMMYFUNCTION("""COMPUTED_VALUE"""),"Rack 32U/600MM / Alto 1610mm juego de ruedas, puerta trasera ciega incluidos (DESARMADO)")</f>
        <v>Rack 32U/600MM / Alto 1610mm juego de ruedas, puerta trasera ciega incluidos (DESARMADO)</v>
      </c>
      <c r="D1448" s="4" t="str">
        <f>IFERROR(__xludf.DUMMYFUNCTION("""COMPUTED_VALUE"""),"REGUVOLT")</f>
        <v>REGUVOLT</v>
      </c>
      <c r="E1448" s="4" t="str">
        <f>IFERROR(__xludf.DUMMYFUNCTION("""COMPUTED_VALUE"""),"RVR32U600")</f>
        <v>RVR32U600</v>
      </c>
      <c r="F1448" s="4" t="str">
        <f>IFERROR(__xludf.DUMMYFUNCTION("""COMPUTED_VALUE"""),"CONECTIVIDAD &gt; RACKS")</f>
        <v>CONECTIVIDAD &gt; RACKS</v>
      </c>
      <c r="G1448" s="5"/>
      <c r="H1448" s="6">
        <f>IFERROR(__xludf.DUMMYFUNCTION("""COMPUTED_VALUE"""),477.84)</f>
        <v>477.84</v>
      </c>
      <c r="I1448" s="7">
        <f>IFERROR(__xludf.DUMMYFUNCTION("""COMPUTED_VALUE"""),21.0)</f>
        <v>21</v>
      </c>
      <c r="J1448" s="6">
        <f>IFERROR(__xludf.DUMMYFUNCTION("""COMPUTED_VALUE"""),573.41)</f>
        <v>573.41</v>
      </c>
      <c r="K1448" s="6">
        <f>IFERROR(__xludf.DUMMYFUNCTION("""COMPUTED_VALUE"""),668.98)</f>
        <v>668.98</v>
      </c>
      <c r="L1448" s="3"/>
      <c r="M1448" s="3"/>
    </row>
    <row r="1449" ht="48.0" customHeight="1">
      <c r="A1449" s="3" t="str">
        <f>IFERROR(__xludf.DUMMYFUNCTION("""COMPUTED_VALUE"""),"RVR32U800")</f>
        <v>RVR32U800</v>
      </c>
      <c r="B1449" s="4" t="str">
        <f>IFERROR(__xludf.DUMMYFUNCTION("""COMPUTED_VALUE"""),"RACK 32U/800MM / ALTO 1610MM JUEGO DE RUEDAS, PUERTA")</f>
        <v>RACK 32U/800MM / ALTO 1610MM JUEGO DE RUEDAS, PUERTA</v>
      </c>
      <c r="C1449" s="4" t="str">
        <f>IFERROR(__xludf.DUMMYFUNCTION("""COMPUTED_VALUE"""),"Rack 32U/800MM / Alto 1610mm juego de ruedas, puerta trasera ciega incluidos (DESARMADO)")</f>
        <v>Rack 32U/800MM / Alto 1610mm juego de ruedas, puerta trasera ciega incluidos (DESARMADO)</v>
      </c>
      <c r="D1449" s="4" t="str">
        <f>IFERROR(__xludf.DUMMYFUNCTION("""COMPUTED_VALUE"""),"REGUVOLT")</f>
        <v>REGUVOLT</v>
      </c>
      <c r="E1449" s="4" t="str">
        <f>IFERROR(__xludf.DUMMYFUNCTION("""COMPUTED_VALUE"""),"RVR32U800")</f>
        <v>RVR32U800</v>
      </c>
      <c r="F1449" s="4" t="str">
        <f>IFERROR(__xludf.DUMMYFUNCTION("""COMPUTED_VALUE"""),"CONECTIVIDAD &gt; RACKS")</f>
        <v>CONECTIVIDAD &gt; RACKS</v>
      </c>
      <c r="G1449" s="5"/>
      <c r="H1449" s="6">
        <f>IFERROR(__xludf.DUMMYFUNCTION("""COMPUTED_VALUE"""),522.36)</f>
        <v>522.36</v>
      </c>
      <c r="I1449" s="7">
        <f>IFERROR(__xludf.DUMMYFUNCTION("""COMPUTED_VALUE"""),21.0)</f>
        <v>21</v>
      </c>
      <c r="J1449" s="6">
        <f>IFERROR(__xludf.DUMMYFUNCTION("""COMPUTED_VALUE"""),626.83)</f>
        <v>626.83</v>
      </c>
      <c r="K1449" s="6">
        <f>IFERROR(__xludf.DUMMYFUNCTION("""COMPUTED_VALUE"""),731.3)</f>
        <v>731.3</v>
      </c>
      <c r="L1449" s="3"/>
      <c r="M1449" s="3"/>
    </row>
    <row r="1450" ht="48.0" customHeight="1">
      <c r="A1450" s="3" t="str">
        <f>IFERROR(__xludf.DUMMYFUNCTION("""COMPUTED_VALUE"""),"RVR42U600")</f>
        <v>RVR42U600</v>
      </c>
      <c r="B1450" s="4" t="str">
        <f>IFERROR(__xludf.DUMMYFUNCTION("""COMPUTED_VALUE"""),"RACK 42U/600MM / ALTO 2055MM JUEGO DE RUEDAS, MODULO DE VENT")</f>
        <v>RACK 42U/600MM / ALTO 2055MM JUEGO DE RUEDAS, MODULO DE VENT</v>
      </c>
      <c r="C1450" s="4" t="str">
        <f>IFERROR(__xludf.DUMMYFUNCTION("""COMPUTED_VALUE"""),"Rack 42U/600MM / Alto 2055mm juego de ruedas, modulo de vent. de 2 turbos, puerta trasera ciega incluidos (DESARMADO)")</f>
        <v>Rack 42U/600MM / Alto 2055mm juego de ruedas, modulo de vent. de 2 turbos, puerta trasera ciega incluidos (DESARMADO)</v>
      </c>
      <c r="D1450" s="4" t="str">
        <f>IFERROR(__xludf.DUMMYFUNCTION("""COMPUTED_VALUE"""),"REGUVOLT")</f>
        <v>REGUVOLT</v>
      </c>
      <c r="E1450" s="4" t="str">
        <f>IFERROR(__xludf.DUMMYFUNCTION("""COMPUTED_VALUE"""),"RVR42U600")</f>
        <v>RVR42U600</v>
      </c>
      <c r="F1450" s="4" t="str">
        <f>IFERROR(__xludf.DUMMYFUNCTION("""COMPUTED_VALUE"""),"CONECTIVIDAD &gt; RACKS")</f>
        <v>CONECTIVIDAD &gt; RACKS</v>
      </c>
      <c r="G1450" s="5"/>
      <c r="H1450" s="6">
        <f>IFERROR(__xludf.DUMMYFUNCTION("""COMPUTED_VALUE"""),572.0)</f>
        <v>572</v>
      </c>
      <c r="I1450" s="7">
        <f>IFERROR(__xludf.DUMMYFUNCTION("""COMPUTED_VALUE"""),21.0)</f>
        <v>21</v>
      </c>
      <c r="J1450" s="6">
        <f>IFERROR(__xludf.DUMMYFUNCTION("""COMPUTED_VALUE"""),686.4)</f>
        <v>686.4</v>
      </c>
      <c r="K1450" s="6">
        <f>IFERROR(__xludf.DUMMYFUNCTION("""COMPUTED_VALUE"""),800.8)</f>
        <v>800.8</v>
      </c>
      <c r="L1450" s="3"/>
      <c r="M1450" s="3"/>
    </row>
    <row r="1451" ht="48.0" customHeight="1">
      <c r="A1451" s="3" t="str">
        <f>IFERROR(__xludf.DUMMYFUNCTION("""COMPUTED_VALUE"""),"RVR42U800")</f>
        <v>RVR42U800</v>
      </c>
      <c r="B1451" s="4" t="str">
        <f>IFERROR(__xludf.DUMMYFUNCTION("""COMPUTED_VALUE"""),"RACK 42U/800MM / ALTO 2055MM JUEGO DE RUEDAS, PUERTA")</f>
        <v>RACK 42U/800MM / ALTO 2055MM JUEGO DE RUEDAS, PUERTA</v>
      </c>
      <c r="C1451" s="4" t="str">
        <f>IFERROR(__xludf.DUMMYFUNCTION("""COMPUTED_VALUE"""),"Rack 42U/800MM / Alto 2055mm juego de ruedas, puerta trasera ciega incluidos (DESARMADO)")</f>
        <v>Rack 42U/800MM / Alto 2055mm juego de ruedas, puerta trasera ciega incluidos (DESARMADO)</v>
      </c>
      <c r="D1451" s="4" t="str">
        <f>IFERROR(__xludf.DUMMYFUNCTION("""COMPUTED_VALUE"""),"REGUVOLT")</f>
        <v>REGUVOLT</v>
      </c>
      <c r="E1451" s="4" t="str">
        <f>IFERROR(__xludf.DUMMYFUNCTION("""COMPUTED_VALUE"""),"RVR42U800")</f>
        <v>RVR42U800</v>
      </c>
      <c r="F1451" s="4" t="str">
        <f>IFERROR(__xludf.DUMMYFUNCTION("""COMPUTED_VALUE"""),"CONECTIVIDAD &gt; RACKS")</f>
        <v>CONECTIVIDAD &gt; RACKS</v>
      </c>
      <c r="G1451" s="5"/>
      <c r="H1451" s="6">
        <f>IFERROR(__xludf.DUMMYFUNCTION("""COMPUTED_VALUE"""),630.66)</f>
        <v>630.66</v>
      </c>
      <c r="I1451" s="7">
        <f>IFERROR(__xludf.DUMMYFUNCTION("""COMPUTED_VALUE"""),21.0)</f>
        <v>21</v>
      </c>
      <c r="J1451" s="6">
        <f>IFERROR(__xludf.DUMMYFUNCTION("""COMPUTED_VALUE"""),756.79)</f>
        <v>756.79</v>
      </c>
      <c r="K1451" s="6">
        <f>IFERROR(__xludf.DUMMYFUNCTION("""COMPUTED_VALUE"""),882.92)</f>
        <v>882.92</v>
      </c>
      <c r="L1451" s="3"/>
      <c r="M1451" s="3"/>
    </row>
    <row r="1452" ht="48.0" customHeight="1">
      <c r="A1452" s="3" t="str">
        <f>IFERROR(__xludf.DUMMYFUNCTION("""COMPUTED_VALUE"""),"RVR47U600")</f>
        <v>RVR47U600</v>
      </c>
      <c r="B1452" s="4" t="str">
        <f>IFERROR(__xludf.DUMMYFUNCTION("""COMPUTED_VALUE"""),"RACK 47U/600MM / ALTO 2077MM JUEGO DE RUEDAS, PUERTA")</f>
        <v>RACK 47U/600MM / ALTO 2077MM JUEGO DE RUEDAS, PUERTA</v>
      </c>
      <c r="C1452" s="4" t="str">
        <f>IFERROR(__xludf.DUMMYFUNCTION("""COMPUTED_VALUE"""),"Rack 47U/600MM / Alto 2077mm juego de ruedas, puerta trasera ciega incluidos (DESARMADO)")</f>
        <v>Rack 47U/600MM / Alto 2077mm juego de ruedas, puerta trasera ciega incluidos (DESARMADO)</v>
      </c>
      <c r="D1452" s="4" t="str">
        <f>IFERROR(__xludf.DUMMYFUNCTION("""COMPUTED_VALUE"""),"REGUVOLT")</f>
        <v>REGUVOLT</v>
      </c>
      <c r="E1452" s="4" t="str">
        <f>IFERROR(__xludf.DUMMYFUNCTION("""COMPUTED_VALUE"""),"RVR47U600")</f>
        <v>RVR47U600</v>
      </c>
      <c r="F1452" s="4" t="str">
        <f>IFERROR(__xludf.DUMMYFUNCTION("""COMPUTED_VALUE"""),"CONECTIVIDAD &gt; RACKS")</f>
        <v>CONECTIVIDAD &gt; RACKS</v>
      </c>
      <c r="G1452" s="5"/>
      <c r="H1452" s="6">
        <f>IFERROR(__xludf.DUMMYFUNCTION("""COMPUTED_VALUE"""),648.26)</f>
        <v>648.26</v>
      </c>
      <c r="I1452" s="7">
        <f>IFERROR(__xludf.DUMMYFUNCTION("""COMPUTED_VALUE"""),21.0)</f>
        <v>21</v>
      </c>
      <c r="J1452" s="6">
        <f>IFERROR(__xludf.DUMMYFUNCTION("""COMPUTED_VALUE"""),777.91)</f>
        <v>777.91</v>
      </c>
      <c r="K1452" s="6">
        <f>IFERROR(__xludf.DUMMYFUNCTION("""COMPUTED_VALUE"""),907.56)</f>
        <v>907.56</v>
      </c>
      <c r="L1452" s="3"/>
      <c r="M1452" s="3"/>
    </row>
    <row r="1453" ht="48.0" customHeight="1">
      <c r="A1453" s="3" t="str">
        <f>IFERROR(__xludf.DUMMYFUNCTION("""COMPUTED_VALUE"""),"RVR47U800")</f>
        <v>RVR47U800</v>
      </c>
      <c r="B1453" s="4" t="str">
        <f>IFERROR(__xludf.DUMMYFUNCTION("""COMPUTED_VALUE"""),"RACK 47U/800MM / ALTO 2077MM JUEGO DE RUEDAS, PUERTA")</f>
        <v>RACK 47U/800MM / ALTO 2077MM JUEGO DE RUEDAS, PUERTA</v>
      </c>
      <c r="C1453" s="4" t="str">
        <f>IFERROR(__xludf.DUMMYFUNCTION("""COMPUTED_VALUE"""),"Rack 47U/800MM / Alto 2077mm juego de ruedas, puerta trasera ciega incluidos (DESARMADO)")</f>
        <v>Rack 47U/800MM / Alto 2077mm juego de ruedas, puerta trasera ciega incluidos (DESARMADO)</v>
      </c>
      <c r="D1453" s="4" t="str">
        <f>IFERROR(__xludf.DUMMYFUNCTION("""COMPUTED_VALUE"""),"REGUVOLT")</f>
        <v>REGUVOLT</v>
      </c>
      <c r="E1453" s="4" t="str">
        <f>IFERROR(__xludf.DUMMYFUNCTION("""COMPUTED_VALUE"""),"RVR47U800")</f>
        <v>RVR47U800</v>
      </c>
      <c r="F1453" s="4" t="str">
        <f>IFERROR(__xludf.DUMMYFUNCTION("""COMPUTED_VALUE"""),"CONECTIVIDAD &gt; RACKS")</f>
        <v>CONECTIVIDAD &gt; RACKS</v>
      </c>
      <c r="G1453" s="5"/>
      <c r="H1453" s="6">
        <f>IFERROR(__xludf.DUMMYFUNCTION("""COMPUTED_VALUE"""),699.6)</f>
        <v>699.6</v>
      </c>
      <c r="I1453" s="7">
        <f>IFERROR(__xludf.DUMMYFUNCTION("""COMPUTED_VALUE"""),21.0)</f>
        <v>21</v>
      </c>
      <c r="J1453" s="6">
        <f>IFERROR(__xludf.DUMMYFUNCTION("""COMPUTED_VALUE"""),839.52)</f>
        <v>839.52</v>
      </c>
      <c r="K1453" s="6">
        <f>IFERROR(__xludf.DUMMYFUNCTION("""COMPUTED_VALUE"""),979.44)</f>
        <v>979.44</v>
      </c>
      <c r="L1453" s="3"/>
      <c r="M1453" s="3"/>
    </row>
    <row r="1454" ht="48.0" customHeight="1">
      <c r="A1454" s="3" t="str">
        <f>IFERROR(__xludf.DUMMYFUNCTION("""COMPUTED_VALUE"""),"RVRS42U800")</f>
        <v>RVRS42U800</v>
      </c>
      <c r="B1454" s="4" t="str">
        <f>IFERROR(__xludf.DUMMYFUNCTION("""COMPUTED_VALUE"""),"RACK SERVER 42U/800MM / ALTO 2055MM SOPORTA 800KG")</f>
        <v>RACK SERVER 42U/800MM / ALTO 2055MM SOPORTA 800KG</v>
      </c>
      <c r="C1454" s="4" t="str">
        <f>IFERROR(__xludf.DUMMYFUNCTION("""COMPUTED_VALUE"""),"Rack Server 42U/800MM / Alto 2055mm Soporta 800Kg. de carga / Puerta delantera microperforada; Puerta trasera doble microperforada / juego de ruedas incluidos (DESARMADO)")</f>
        <v>Rack Server 42U/800MM / Alto 2055mm Soporta 800Kg. de carga / Puerta delantera microperforada; Puerta trasera doble microperforada / juego de ruedas incluidos (DESARMADO)</v>
      </c>
      <c r="D1454" s="4" t="str">
        <f>IFERROR(__xludf.DUMMYFUNCTION("""COMPUTED_VALUE"""),"REGUVOLT")</f>
        <v>REGUVOLT</v>
      </c>
      <c r="E1454" s="4" t="str">
        <f>IFERROR(__xludf.DUMMYFUNCTION("""COMPUTED_VALUE"""),"RVRS42U800")</f>
        <v>RVRS42U800</v>
      </c>
      <c r="F1454" s="4" t="str">
        <f>IFERROR(__xludf.DUMMYFUNCTION("""COMPUTED_VALUE"""),"CONECTIVIDAD &gt; RACKS")</f>
        <v>CONECTIVIDAD &gt; RACKS</v>
      </c>
      <c r="G1454" s="5"/>
      <c r="H1454" s="6">
        <f>IFERROR(__xludf.DUMMYFUNCTION("""COMPUTED_VALUE"""),997.34)</f>
        <v>997.34</v>
      </c>
      <c r="I1454" s="7">
        <f>IFERROR(__xludf.DUMMYFUNCTION("""COMPUTED_VALUE"""),21.0)</f>
        <v>21</v>
      </c>
      <c r="J1454" s="6">
        <f>IFERROR(__xludf.DUMMYFUNCTION("""COMPUTED_VALUE"""),1196.81)</f>
        <v>1196.81</v>
      </c>
      <c r="K1454" s="6">
        <f>IFERROR(__xludf.DUMMYFUNCTION("""COMPUTED_VALUE"""),1396.28)</f>
        <v>1396.28</v>
      </c>
      <c r="L1454" s="3"/>
      <c r="M1454" s="3"/>
    </row>
    <row r="1455" ht="48.0" customHeight="1">
      <c r="A1455" s="3" t="str">
        <f>IFERROR(__xludf.DUMMYFUNCTION("""COMPUTED_VALUE"""),"RVRS42U1000")</f>
        <v>RVRS42U1000</v>
      </c>
      <c r="B1455" s="4" t="str">
        <f>IFERROR(__xludf.DUMMYFUNCTION("""COMPUTED_VALUE"""),"RACK SERVER 42U/1000MM / ALTO 2055MM SOPORTA 800KG")</f>
        <v>RACK SERVER 42U/1000MM / ALTO 2055MM SOPORTA 800KG</v>
      </c>
      <c r="C1455" s="4" t="str">
        <f>IFERROR(__xludf.DUMMYFUNCTION("""COMPUTED_VALUE"""),"Rack Server 42U/1000MM / Alto 2055mm Soporta 800Kg. de carga / Puerta delantera microperforada; Puerta trasera doble microperforada / juego de ruedas incluidos (DESARMADO)")</f>
        <v>Rack Server 42U/1000MM / Alto 2055mm Soporta 800Kg. de carga / Puerta delantera microperforada; Puerta trasera doble microperforada / juego de ruedas incluidos (DESARMADO)</v>
      </c>
      <c r="D1455" s="4" t="str">
        <f>IFERROR(__xludf.DUMMYFUNCTION("""COMPUTED_VALUE"""),"REGUVOLT")</f>
        <v>REGUVOLT</v>
      </c>
      <c r="E1455" s="4" t="str">
        <f>IFERROR(__xludf.DUMMYFUNCTION("""COMPUTED_VALUE"""),"RVRS42U1000")</f>
        <v>RVRS42U1000</v>
      </c>
      <c r="F1455" s="4" t="str">
        <f>IFERROR(__xludf.DUMMYFUNCTION("""COMPUTED_VALUE"""),"CONECTIVIDAD &gt; RACKS")</f>
        <v>CONECTIVIDAD &gt; RACKS</v>
      </c>
      <c r="G1455" s="5"/>
      <c r="H1455" s="6">
        <f>IFERROR(__xludf.DUMMYFUNCTION("""COMPUTED_VALUE"""),1063.34)</f>
        <v>1063.34</v>
      </c>
      <c r="I1455" s="7">
        <f>IFERROR(__xludf.DUMMYFUNCTION("""COMPUTED_VALUE"""),21.0)</f>
        <v>21</v>
      </c>
      <c r="J1455" s="6">
        <f>IFERROR(__xludf.DUMMYFUNCTION("""COMPUTED_VALUE"""),1276.01)</f>
        <v>1276.01</v>
      </c>
      <c r="K1455" s="6">
        <f>IFERROR(__xludf.DUMMYFUNCTION("""COMPUTED_VALUE"""),1488.68)</f>
        <v>1488.68</v>
      </c>
      <c r="L1455" s="3"/>
      <c r="M1455" s="3"/>
    </row>
    <row r="1456" ht="48.0" customHeight="1">
      <c r="A1456" s="3" t="str">
        <f>IFERROR(__xludf.DUMMYFUNCTION("""COMPUTED_VALUE"""),"RVRA38U")</f>
        <v>RVRA38U</v>
      </c>
      <c r="B1456" s="4" t="str">
        <f>IFERROR(__xludf.DUMMYFUNCTION("""COMPUTED_VALUE"""),"RACK ABIERTO DOBLE DE 38 UNIDADES / JUEGO DE")</f>
        <v>RACK ABIERTO DOBLE DE 38 UNIDADES / JUEGO DE</v>
      </c>
      <c r="C1456" s="4" t="str">
        <f>IFERROR(__xludf.DUMMYFUNCTION("""COMPUTED_VALUE"""),"Rack abierto doble de 38 unidades / juego de ruedas incluido (DESARMADO)")</f>
        <v>Rack abierto doble de 38 unidades / juego de ruedas incluido (DESARMADO)</v>
      </c>
      <c r="D1456" s="4" t="str">
        <f>IFERROR(__xludf.DUMMYFUNCTION("""COMPUTED_VALUE"""),"REGUVOLT")</f>
        <v>REGUVOLT</v>
      </c>
      <c r="E1456" s="4" t="str">
        <f>IFERROR(__xludf.DUMMYFUNCTION("""COMPUTED_VALUE"""),"RVRA38U")</f>
        <v>RVRA38U</v>
      </c>
      <c r="F1456" s="4" t="str">
        <f>IFERROR(__xludf.DUMMYFUNCTION("""COMPUTED_VALUE"""),"CONECTIVIDAD &gt; RACKS")</f>
        <v>CONECTIVIDAD &gt; RACKS</v>
      </c>
      <c r="G1456" s="5"/>
      <c r="H1456" s="6">
        <f>IFERROR(__xludf.DUMMYFUNCTION("""COMPUTED_VALUE"""),171.6)</f>
        <v>171.6</v>
      </c>
      <c r="I1456" s="7">
        <f>IFERROR(__xludf.DUMMYFUNCTION("""COMPUTED_VALUE"""),21.0)</f>
        <v>21</v>
      </c>
      <c r="J1456" s="6">
        <f>IFERROR(__xludf.DUMMYFUNCTION("""COMPUTED_VALUE"""),205.92)</f>
        <v>205.92</v>
      </c>
      <c r="K1456" s="6">
        <f>IFERROR(__xludf.DUMMYFUNCTION("""COMPUTED_VALUE"""),240.24)</f>
        <v>240.24</v>
      </c>
      <c r="L1456" s="3"/>
      <c r="M1456" s="3"/>
    </row>
    <row r="1457" ht="48.0" customHeight="1">
      <c r="A1457" s="3" t="str">
        <f>IFERROR(__xludf.DUMMYFUNCTION("""COMPUTED_VALUE"""),"RVRDC42U800")</f>
        <v>RVRDC42U800</v>
      </c>
      <c r="B1457" s="4" t="str">
        <f>IFERROR(__xludf.DUMMYFUNCTION("""COMPUTED_VALUE"""),"RACK DATA CENTER 42U/800MM / SOPORTA 1300KG")</f>
        <v>RACK DATA CENTER 42U/800MM / SOPORTA 1300KG</v>
      </c>
      <c r="C1457" s="4" t="str">
        <f>IFERROR(__xludf.DUMMYFUNCTION("""COMPUTED_VALUE"""),"Rack DATA CENTER 42U/800MM / Soporta 1300Kg. de carga / Puerta delantera microperforada; Puerta trasera doble microperforada / juego de ruedas incluidos (DESARMADO)")</f>
        <v>Rack DATA CENTER 42U/800MM / Soporta 1300Kg. de carga / Puerta delantera microperforada; Puerta trasera doble microperforada / juego de ruedas incluidos (DESARMADO)</v>
      </c>
      <c r="D1457" s="4" t="str">
        <f>IFERROR(__xludf.DUMMYFUNCTION("""COMPUTED_VALUE"""),"REGUVOLT")</f>
        <v>REGUVOLT</v>
      </c>
      <c r="E1457" s="4" t="str">
        <f>IFERROR(__xludf.DUMMYFUNCTION("""COMPUTED_VALUE"""),"RVRDC42U800")</f>
        <v>RVRDC42U800</v>
      </c>
      <c r="F1457" s="4" t="str">
        <f>IFERROR(__xludf.DUMMYFUNCTION("""COMPUTED_VALUE"""),"CONECTIVIDAD &gt; RACKS")</f>
        <v>CONECTIVIDAD &gt; RACKS</v>
      </c>
      <c r="G1457" s="5"/>
      <c r="H1457" s="6">
        <f>IFERROR(__xludf.DUMMYFUNCTION("""COMPUTED_VALUE"""),1452.0)</f>
        <v>1452</v>
      </c>
      <c r="I1457" s="7">
        <f>IFERROR(__xludf.DUMMYFUNCTION("""COMPUTED_VALUE"""),21.0)</f>
        <v>21</v>
      </c>
      <c r="J1457" s="6">
        <f>IFERROR(__xludf.DUMMYFUNCTION("""COMPUTED_VALUE"""),1742.4)</f>
        <v>1742.4</v>
      </c>
      <c r="K1457" s="6">
        <f>IFERROR(__xludf.DUMMYFUNCTION("""COMPUTED_VALUE"""),2032.8)</f>
        <v>2032.8</v>
      </c>
      <c r="L1457" s="3"/>
      <c r="M1457" s="3"/>
    </row>
    <row r="1458" ht="48.0" customHeight="1">
      <c r="A1458" s="3" t="str">
        <f>IFERROR(__xludf.DUMMYFUNCTION("""COMPUTED_VALUE"""),"INT-BF1U290")</f>
        <v>INT-BF1U290</v>
      </c>
      <c r="B1458" s="4" t="str">
        <f>IFERROR(__xludf.DUMMYFUNCTION("""COMPUTED_VALUE"""),"BANDEJA FIJA DE 29 CM DE PROFUNDIDAD 1U")</f>
        <v>BANDEJA FIJA DE 29 CM DE PROFUNDIDAD 1U</v>
      </c>
      <c r="C1458" s="4" t="str">
        <f>IFERROR(__xludf.DUMMYFUNCTION("""COMPUTED_VALUE"""),"Bandeja fija de 29 cm de profundidad 1U")</f>
        <v>Bandeja fija de 29 cm de profundidad 1U</v>
      </c>
      <c r="D1458" s="4" t="str">
        <f>IFERROR(__xludf.DUMMYFUNCTION("""COMPUTED_VALUE"""),"INTELBRAS")</f>
        <v>INTELBRAS</v>
      </c>
      <c r="E1458" s="4" t="str">
        <f>IFERROR(__xludf.DUMMYFUNCTION("""COMPUTED_VALUE"""),"INT-BF1U290")</f>
        <v>INT-BF1U290</v>
      </c>
      <c r="F1458" s="4" t="str">
        <f>IFERROR(__xludf.DUMMYFUNCTION("""COMPUTED_VALUE"""),"CONECTIVIDAD &gt; DELANTERA MICROPERFORADA; PUERTA TRASERA DOBLE")</f>
        <v>CONECTIVIDAD &gt; DELANTERA MICROPERFORADA; PUERTA TRASERA DOBLE</v>
      </c>
      <c r="G1458" s="5"/>
      <c r="H1458" s="6">
        <f>IFERROR(__xludf.DUMMYFUNCTION("""COMPUTED_VALUE"""),20.26)</f>
        <v>20.26</v>
      </c>
      <c r="I1458" s="7">
        <f>IFERROR(__xludf.DUMMYFUNCTION("""COMPUTED_VALUE"""),21.0)</f>
        <v>21</v>
      </c>
      <c r="J1458" s="6">
        <f>IFERROR(__xludf.DUMMYFUNCTION("""COMPUTED_VALUE"""),24.31)</f>
        <v>24.31</v>
      </c>
      <c r="K1458" s="6">
        <f>IFERROR(__xludf.DUMMYFUNCTION("""COMPUTED_VALUE"""),28.36)</f>
        <v>28.36</v>
      </c>
      <c r="L1458" s="3"/>
      <c r="M1458" s="3"/>
    </row>
    <row r="1459" ht="48.0" customHeight="1">
      <c r="A1459" s="3" t="str">
        <f>IFERROR(__xludf.DUMMYFUNCTION("""COMPUTED_VALUE"""),"RVB1U250")</f>
        <v>RVB1U250</v>
      </c>
      <c r="B1459" s="4" t="str">
        <f>IFERROR(__xludf.DUMMYFUNCTION("""COMPUTED_VALUE"""),"BANDEJA FIJA VENTILADA DE 1U")</f>
        <v>BANDEJA FIJA VENTILADA DE 1U</v>
      </c>
      <c r="C1459" s="4" t="str">
        <f>IFERROR(__xludf.DUMMYFUNCTION("""COMPUTED_VALUE"""),"Bandeja fija ventilada de 1U./250MM")</f>
        <v>Bandeja fija ventilada de 1U./250MM</v>
      </c>
      <c r="D1459" s="4" t="str">
        <f>IFERROR(__xludf.DUMMYFUNCTION("""COMPUTED_VALUE"""),"REGUVOLT")</f>
        <v>REGUVOLT</v>
      </c>
      <c r="E1459" s="4" t="str">
        <f>IFERROR(__xludf.DUMMYFUNCTION("""COMPUTED_VALUE"""),"RVB1U250")</f>
        <v>RVB1U250</v>
      </c>
      <c r="F1459" s="4" t="str">
        <f>IFERROR(__xludf.DUMMYFUNCTION("""COMPUTED_VALUE"""),"CONECTIVIDAD &gt; DELANTERA MICROPERFORADA; PUERTA TRASERA DOBLE")</f>
        <v>CONECTIVIDAD &gt; DELANTERA MICROPERFORADA; PUERTA TRASERA DOBLE</v>
      </c>
      <c r="G1459" s="5"/>
      <c r="H1459" s="6">
        <f>IFERROR(__xludf.DUMMYFUNCTION("""COMPUTED_VALUE"""),15.1)</f>
        <v>15.1</v>
      </c>
      <c r="I1459" s="7">
        <f>IFERROR(__xludf.DUMMYFUNCTION("""COMPUTED_VALUE"""),21.0)</f>
        <v>21</v>
      </c>
      <c r="J1459" s="6">
        <f>IFERROR(__xludf.DUMMYFUNCTION("""COMPUTED_VALUE"""),18.12)</f>
        <v>18.12</v>
      </c>
      <c r="K1459" s="6">
        <f>IFERROR(__xludf.DUMMYFUNCTION("""COMPUTED_VALUE"""),21.14)</f>
        <v>21.14</v>
      </c>
      <c r="L1459" s="3"/>
      <c r="M1459" s="3"/>
    </row>
    <row r="1460" ht="48.0" customHeight="1">
      <c r="A1460" s="3" t="str">
        <f>IFERROR(__xludf.DUMMYFUNCTION("""COMPUTED_VALUE"""),"RVB1U350")</f>
        <v>RVB1U350</v>
      </c>
      <c r="B1460" s="4" t="str">
        <f>IFERROR(__xludf.DUMMYFUNCTION("""COMPUTED_VALUE"""),"BANDEJA FIJA VENTILADA DE 1U")</f>
        <v>BANDEJA FIJA VENTILADA DE 1U</v>
      </c>
      <c r="C1460" s="4" t="str">
        <f>IFERROR(__xludf.DUMMYFUNCTION("""COMPUTED_VALUE"""),"Bandeja fija ventilada de 1U./350MM")</f>
        <v>Bandeja fija ventilada de 1U./350MM</v>
      </c>
      <c r="D1460" s="4" t="str">
        <f>IFERROR(__xludf.DUMMYFUNCTION("""COMPUTED_VALUE"""),"REGUVOLT")</f>
        <v>REGUVOLT</v>
      </c>
      <c r="E1460" s="4" t="str">
        <f>IFERROR(__xludf.DUMMYFUNCTION("""COMPUTED_VALUE"""),"RVB1U350")</f>
        <v>RVB1U350</v>
      </c>
      <c r="F1460" s="4" t="str">
        <f>IFERROR(__xludf.DUMMYFUNCTION("""COMPUTED_VALUE"""),"CONECTIVIDAD &gt; DELANTERA MICROPERFORADA; PUERTA TRASERA DOBLE")</f>
        <v>CONECTIVIDAD &gt; DELANTERA MICROPERFORADA; PUERTA TRASERA DOBLE</v>
      </c>
      <c r="G1460" s="5"/>
      <c r="H1460" s="6">
        <f>IFERROR(__xludf.DUMMYFUNCTION("""COMPUTED_VALUE"""),15.1)</f>
        <v>15.1</v>
      </c>
      <c r="I1460" s="7">
        <f>IFERROR(__xludf.DUMMYFUNCTION("""COMPUTED_VALUE"""),21.0)</f>
        <v>21</v>
      </c>
      <c r="J1460" s="6">
        <f>IFERROR(__xludf.DUMMYFUNCTION("""COMPUTED_VALUE"""),18.12)</f>
        <v>18.12</v>
      </c>
      <c r="K1460" s="6">
        <f>IFERROR(__xludf.DUMMYFUNCTION("""COMPUTED_VALUE"""),21.14)</f>
        <v>21.14</v>
      </c>
      <c r="L1460" s="3"/>
      <c r="M1460" s="3"/>
    </row>
    <row r="1461" ht="48.0" customHeight="1">
      <c r="A1461" s="3" t="str">
        <f>IFERROR(__xludf.DUMMYFUNCTION("""COMPUTED_VALUE"""),"RVB2U250")</f>
        <v>RVB2U250</v>
      </c>
      <c r="B1461" s="4" t="str">
        <f>IFERROR(__xludf.DUMMYFUNCTION("""COMPUTED_VALUE"""),"BANDEJA FIJA VENTILADA DE 2U")</f>
        <v>BANDEJA FIJA VENTILADA DE 2U</v>
      </c>
      <c r="C1461" s="4" t="str">
        <f>IFERROR(__xludf.DUMMYFUNCTION("""COMPUTED_VALUE"""),"Bandeja fija ventilada de 2U./250MM")</f>
        <v>Bandeja fija ventilada de 2U./250MM</v>
      </c>
      <c r="D1461" s="4" t="str">
        <f>IFERROR(__xludf.DUMMYFUNCTION("""COMPUTED_VALUE"""),"REGUVOLT")</f>
        <v>REGUVOLT</v>
      </c>
      <c r="E1461" s="4" t="str">
        <f>IFERROR(__xludf.DUMMYFUNCTION("""COMPUTED_VALUE"""),"RVB2U250")</f>
        <v>RVB2U250</v>
      </c>
      <c r="F1461" s="4" t="str">
        <f>IFERROR(__xludf.DUMMYFUNCTION("""COMPUTED_VALUE"""),"CONECTIVIDAD &gt; DELANTERA MICROPERFORADA; PUERTA TRASERA DOBLE")</f>
        <v>CONECTIVIDAD &gt; DELANTERA MICROPERFORADA; PUERTA TRASERA DOBLE</v>
      </c>
      <c r="G1461" s="5"/>
      <c r="H1461" s="6">
        <f>IFERROR(__xludf.DUMMYFUNCTION("""COMPUTED_VALUE"""),26.62)</f>
        <v>26.62</v>
      </c>
      <c r="I1461" s="7">
        <f>IFERROR(__xludf.DUMMYFUNCTION("""COMPUTED_VALUE"""),21.0)</f>
        <v>21</v>
      </c>
      <c r="J1461" s="6">
        <f>IFERROR(__xludf.DUMMYFUNCTION("""COMPUTED_VALUE"""),31.94)</f>
        <v>31.94</v>
      </c>
      <c r="K1461" s="6">
        <f>IFERROR(__xludf.DUMMYFUNCTION("""COMPUTED_VALUE"""),37.27)</f>
        <v>37.27</v>
      </c>
      <c r="L1461" s="3"/>
      <c r="M1461" s="3"/>
    </row>
    <row r="1462" ht="48.0" customHeight="1">
      <c r="A1462" s="3" t="str">
        <f>IFERROR(__xludf.DUMMYFUNCTION("""COMPUTED_VALUE"""),"RVB2U350")</f>
        <v>RVB2U350</v>
      </c>
      <c r="B1462" s="4" t="str">
        <f>IFERROR(__xludf.DUMMYFUNCTION("""COMPUTED_VALUE"""),"BANDEJA FIJA VENTILADA DE 2U")</f>
        <v>BANDEJA FIJA VENTILADA DE 2U</v>
      </c>
      <c r="C1462" s="4" t="str">
        <f>IFERROR(__xludf.DUMMYFUNCTION("""COMPUTED_VALUE"""),"Bandeja fija ventilada de 2U./350MM")</f>
        <v>Bandeja fija ventilada de 2U./350MM</v>
      </c>
      <c r="D1462" s="4" t="str">
        <f>IFERROR(__xludf.DUMMYFUNCTION("""COMPUTED_VALUE"""),"REGUVOLT")</f>
        <v>REGUVOLT</v>
      </c>
      <c r="E1462" s="4" t="str">
        <f>IFERROR(__xludf.DUMMYFUNCTION("""COMPUTED_VALUE"""),"RVB2U350")</f>
        <v>RVB2U350</v>
      </c>
      <c r="F1462" s="4" t="str">
        <f>IFERROR(__xludf.DUMMYFUNCTION("""COMPUTED_VALUE"""),"CONECTIVIDAD &gt; DELANTERA MICROPERFORADA; PUERTA TRASERA DOBLE")</f>
        <v>CONECTIVIDAD &gt; DELANTERA MICROPERFORADA; PUERTA TRASERA DOBLE</v>
      </c>
      <c r="G1462" s="5"/>
      <c r="H1462" s="6">
        <f>IFERROR(__xludf.DUMMYFUNCTION("""COMPUTED_VALUE"""),26.62)</f>
        <v>26.62</v>
      </c>
      <c r="I1462" s="7">
        <f>IFERROR(__xludf.DUMMYFUNCTION("""COMPUTED_VALUE"""),21.0)</f>
        <v>21</v>
      </c>
      <c r="J1462" s="6">
        <f>IFERROR(__xludf.DUMMYFUNCTION("""COMPUTED_VALUE"""),31.94)</f>
        <v>31.94</v>
      </c>
      <c r="K1462" s="6">
        <f>IFERROR(__xludf.DUMMYFUNCTION("""COMPUTED_VALUE"""),37.27)</f>
        <v>37.27</v>
      </c>
      <c r="L1462" s="3"/>
      <c r="M1462" s="3"/>
    </row>
    <row r="1463" ht="48.0" customHeight="1">
      <c r="A1463" s="3" t="str">
        <f>IFERROR(__xludf.DUMMYFUNCTION("""COMPUTED_VALUE"""),"RVBT68")</f>
        <v>RVBT68</v>
      </c>
      <c r="B1463" s="4" t="str">
        <f>IFERROR(__xludf.DUMMYFUNCTION("""COMPUTED_VALUE"""),"BANDEJA DESLIZABLE VENTILADA DE 1U")</f>
        <v>BANDEJA DESLIZABLE VENTILADA DE 1U</v>
      </c>
      <c r="C1463" s="4" t="str">
        <f>IFERROR(__xludf.DUMMYFUNCTION("""COMPUTED_VALUE"""),"Bandeja deslizable ventilada de 1u. para teclado para racks de pie de 600 a 800mm de profundos")</f>
        <v>Bandeja deslizable ventilada de 1u. para teclado para racks de pie de 600 a 800mm de profundos</v>
      </c>
      <c r="D1463" s="4" t="str">
        <f>IFERROR(__xludf.DUMMYFUNCTION("""COMPUTED_VALUE"""),"REGUVOLT")</f>
        <v>REGUVOLT</v>
      </c>
      <c r="E1463" s="4" t="str">
        <f>IFERROR(__xludf.DUMMYFUNCTION("""COMPUTED_VALUE"""),"RVBT68")</f>
        <v>RVBT68</v>
      </c>
      <c r="F1463" s="4" t="str">
        <f>IFERROR(__xludf.DUMMYFUNCTION("""COMPUTED_VALUE"""),"CONECTIVIDAD &gt; DELANTERA MICROPERFORADA; PUERTA TRASERA DOBLE")</f>
        <v>CONECTIVIDAD &gt; DELANTERA MICROPERFORADA; PUERTA TRASERA DOBLE</v>
      </c>
      <c r="G1463" s="5"/>
      <c r="H1463" s="6">
        <f>IFERROR(__xludf.DUMMYFUNCTION("""COMPUTED_VALUE"""),29.34)</f>
        <v>29.34</v>
      </c>
      <c r="I1463" s="7">
        <f>IFERROR(__xludf.DUMMYFUNCTION("""COMPUTED_VALUE"""),21.0)</f>
        <v>21</v>
      </c>
      <c r="J1463" s="6">
        <f>IFERROR(__xludf.DUMMYFUNCTION("""COMPUTED_VALUE"""),35.21)</f>
        <v>35.21</v>
      </c>
      <c r="K1463" s="6">
        <f>IFERROR(__xludf.DUMMYFUNCTION("""COMPUTED_VALUE"""),41.08)</f>
        <v>41.08</v>
      </c>
      <c r="L1463" s="3"/>
      <c r="M1463" s="3"/>
    </row>
    <row r="1464" ht="48.0" customHeight="1">
      <c r="A1464" s="3" t="str">
        <f>IFERROR(__xludf.DUMMYFUNCTION("""COMPUTED_VALUE"""),"RVBT911")</f>
        <v>RVBT911</v>
      </c>
      <c r="B1464" s="4" t="str">
        <f>IFERROR(__xludf.DUMMYFUNCTION("""COMPUTED_VALUE"""),"BANDEJA DESLIZABLE VENTILADA DE 1U")</f>
        <v>BANDEJA DESLIZABLE VENTILADA DE 1U</v>
      </c>
      <c r="C1464" s="4" t="str">
        <f>IFERROR(__xludf.DUMMYFUNCTION("""COMPUTED_VALUE"""),"Bandeja deslizable ventilada de 1u. para teclado para racks de de pie de 900 a 1100mm de profundos")</f>
        <v>Bandeja deslizable ventilada de 1u. para teclado para racks de de pie de 900 a 1100mm de profundos</v>
      </c>
      <c r="D1464" s="4" t="str">
        <f>IFERROR(__xludf.DUMMYFUNCTION("""COMPUTED_VALUE"""),"REGUVOLT")</f>
        <v>REGUVOLT</v>
      </c>
      <c r="E1464" s="4" t="str">
        <f>IFERROR(__xludf.DUMMYFUNCTION("""COMPUTED_VALUE"""),"RVBT911")</f>
        <v>RVBT911</v>
      </c>
      <c r="F1464" s="4" t="str">
        <f>IFERROR(__xludf.DUMMYFUNCTION("""COMPUTED_VALUE"""),"CONECTIVIDAD &gt; DELANTERA MICROPERFORADA; PUERTA TRASERA DOBLE")</f>
        <v>CONECTIVIDAD &gt; DELANTERA MICROPERFORADA; PUERTA TRASERA DOBLE</v>
      </c>
      <c r="G1464" s="5"/>
      <c r="H1464" s="6">
        <f>IFERROR(__xludf.DUMMYFUNCTION("""COMPUTED_VALUE"""),36.66)</f>
        <v>36.66</v>
      </c>
      <c r="I1464" s="7">
        <f>IFERROR(__xludf.DUMMYFUNCTION("""COMPUTED_VALUE"""),21.0)</f>
        <v>21</v>
      </c>
      <c r="J1464" s="6">
        <f>IFERROR(__xludf.DUMMYFUNCTION("""COMPUTED_VALUE"""),43.99)</f>
        <v>43.99</v>
      </c>
      <c r="K1464" s="6">
        <f>IFERROR(__xludf.DUMMYFUNCTION("""COMPUTED_VALUE"""),51.32)</f>
        <v>51.32</v>
      </c>
      <c r="L1464" s="3"/>
      <c r="M1464" s="3"/>
    </row>
    <row r="1465" ht="48.0" customHeight="1">
      <c r="A1465" s="3" t="str">
        <f>IFERROR(__xludf.DUMMYFUNCTION("""COMPUTED_VALUE"""),"RVE1U750")</f>
        <v>RVE1U750</v>
      </c>
      <c r="B1465" s="4" t="str">
        <f>IFERROR(__xludf.DUMMYFUNCTION("""COMPUTED_VALUE"""),"ESTANTE FIJO VENTILADO 1U")</f>
        <v>ESTANTE FIJO VENTILADO 1U</v>
      </c>
      <c r="C1465" s="4" t="str">
        <f>IFERROR(__xludf.DUMMYFUNCTION("""COMPUTED_VALUE"""),"Estante fijo ventilado 1u./ 485mm x 750mm")</f>
        <v>Estante fijo ventilado 1u./ 485mm x 750mm</v>
      </c>
      <c r="D1465" s="4" t="str">
        <f>IFERROR(__xludf.DUMMYFUNCTION("""COMPUTED_VALUE"""),"REGUVOLT")</f>
        <v>REGUVOLT</v>
      </c>
      <c r="E1465" s="4" t="str">
        <f>IFERROR(__xludf.DUMMYFUNCTION("""COMPUTED_VALUE"""),"RVE1U750")</f>
        <v>RVE1U750</v>
      </c>
      <c r="F1465" s="4" t="str">
        <f>IFERROR(__xludf.DUMMYFUNCTION("""COMPUTED_VALUE"""),"CONECTIVIDAD &gt; DELANTERA MICROPERFORADA; PUERTA TRASERA DOBLE")</f>
        <v>CONECTIVIDAD &gt; DELANTERA MICROPERFORADA; PUERTA TRASERA DOBLE</v>
      </c>
      <c r="G1465" s="5"/>
      <c r="H1465" s="6">
        <f>IFERROR(__xludf.DUMMYFUNCTION("""COMPUTED_VALUE"""),44.66)</f>
        <v>44.66</v>
      </c>
      <c r="I1465" s="7">
        <f>IFERROR(__xludf.DUMMYFUNCTION("""COMPUTED_VALUE"""),21.0)</f>
        <v>21</v>
      </c>
      <c r="J1465" s="6">
        <f>IFERROR(__xludf.DUMMYFUNCTION("""COMPUTED_VALUE"""),53.59)</f>
        <v>53.59</v>
      </c>
      <c r="K1465" s="6">
        <f>IFERROR(__xludf.DUMMYFUNCTION("""COMPUTED_VALUE"""),62.52)</f>
        <v>62.52</v>
      </c>
      <c r="L1465" s="3"/>
      <c r="M1465" s="3"/>
    </row>
    <row r="1466" ht="48.0" customHeight="1">
      <c r="A1466" s="3" t="str">
        <f>IFERROR(__xludf.DUMMYFUNCTION("""COMPUTED_VALUE"""),"RVE1U950")</f>
        <v>RVE1U950</v>
      </c>
      <c r="B1466" s="4" t="str">
        <f>IFERROR(__xludf.DUMMYFUNCTION("""COMPUTED_VALUE"""),"ESTANTE FIJO VENTILADO 1U")</f>
        <v>ESTANTE FIJO VENTILADO 1U</v>
      </c>
      <c r="C1466" s="4" t="str">
        <f>IFERROR(__xludf.DUMMYFUNCTION("""COMPUTED_VALUE"""),"Estante fijo ventilado 1u./ 485mm x 950mm")</f>
        <v>Estante fijo ventilado 1u./ 485mm x 950mm</v>
      </c>
      <c r="D1466" s="4" t="str">
        <f>IFERROR(__xludf.DUMMYFUNCTION("""COMPUTED_VALUE"""),"REGUVOLT")</f>
        <v>REGUVOLT</v>
      </c>
      <c r="E1466" s="4" t="str">
        <f>IFERROR(__xludf.DUMMYFUNCTION("""COMPUTED_VALUE"""),"RVE1U950")</f>
        <v>RVE1U950</v>
      </c>
      <c r="F1466" s="4" t="str">
        <f>IFERROR(__xludf.DUMMYFUNCTION("""COMPUTED_VALUE"""),"CONECTIVIDAD &gt; DELANTERA MICROPERFORADA; PUERTA TRASERA DOBLE")</f>
        <v>CONECTIVIDAD &gt; DELANTERA MICROPERFORADA; PUERTA TRASERA DOBLE</v>
      </c>
      <c r="G1466" s="5"/>
      <c r="H1466" s="6">
        <f>IFERROR(__xludf.DUMMYFUNCTION("""COMPUTED_VALUE"""),51.34)</f>
        <v>51.34</v>
      </c>
      <c r="I1466" s="7">
        <f>IFERROR(__xludf.DUMMYFUNCTION("""COMPUTED_VALUE"""),21.0)</f>
        <v>21</v>
      </c>
      <c r="J1466" s="6">
        <f>IFERROR(__xludf.DUMMYFUNCTION("""COMPUTED_VALUE"""),61.61)</f>
        <v>61.61</v>
      </c>
      <c r="K1466" s="6">
        <f>IFERROR(__xludf.DUMMYFUNCTION("""COMPUTED_VALUE"""),71.88)</f>
        <v>71.88</v>
      </c>
      <c r="L1466" s="3"/>
      <c r="M1466" s="3"/>
    </row>
    <row r="1467" ht="48.0" customHeight="1">
      <c r="A1467" s="3" t="str">
        <f>IFERROR(__xludf.DUMMYFUNCTION("""COMPUTED_VALUE"""),"RVPDU6UT")</f>
        <v>RVPDU6UT</v>
      </c>
      <c r="B1467" s="4" t="str">
        <f>IFERROR(__xludf.DUMMYFUNCTION("""COMPUTED_VALUE"""),"CANAL DE TENSION DE 6 TOMAS 1U DE RACK")</f>
        <v>CANAL DE TENSION DE 6 TOMAS 1U DE RACK</v>
      </c>
      <c r="C1467" s="4" t="str">
        <f>IFERROR(__xludf.DUMMYFUNCTION("""COMPUTED_VALUE"""),"Canal de tension de 6 tomas 1u de rack. Con térmica")</f>
        <v>Canal de tension de 6 tomas 1u de rack. Con térmica</v>
      </c>
      <c r="D1467" s="4" t="str">
        <f>IFERROR(__xludf.DUMMYFUNCTION("""COMPUTED_VALUE"""),"REGUVOLT")</f>
        <v>REGUVOLT</v>
      </c>
      <c r="E1467" s="4" t="str">
        <f>IFERROR(__xludf.DUMMYFUNCTION("""COMPUTED_VALUE"""),"RVPDU6UT")</f>
        <v>RVPDU6UT</v>
      </c>
      <c r="F1467" s="4" t="str">
        <f>IFERROR(__xludf.DUMMYFUNCTION("""COMPUTED_VALUE"""),"CONECTIVIDAD &gt; DELANTERA MICROPERFORADA; PUERTA TRASERA DOBLE")</f>
        <v>CONECTIVIDAD &gt; DELANTERA MICROPERFORADA; PUERTA TRASERA DOBLE</v>
      </c>
      <c r="G1467" s="5"/>
      <c r="H1467" s="6">
        <f>IFERROR(__xludf.DUMMYFUNCTION("""COMPUTED_VALUE"""),52.91)</f>
        <v>52.91</v>
      </c>
      <c r="I1467" s="7">
        <f>IFERROR(__xludf.DUMMYFUNCTION("""COMPUTED_VALUE"""),21.0)</f>
        <v>21</v>
      </c>
      <c r="J1467" s="6">
        <f>IFERROR(__xludf.DUMMYFUNCTION("""COMPUTED_VALUE"""),63.49)</f>
        <v>63.49</v>
      </c>
      <c r="K1467" s="6">
        <f>IFERROR(__xludf.DUMMYFUNCTION("""COMPUTED_VALUE"""),74.07)</f>
        <v>74.07</v>
      </c>
      <c r="L1467" s="3"/>
      <c r="M1467" s="3"/>
    </row>
    <row r="1468" ht="48.0" customHeight="1">
      <c r="A1468" s="3" t="str">
        <f>IFERROR(__xludf.DUMMYFUNCTION("""COMPUTED_VALUE"""),"RVPDU6U")</f>
        <v>RVPDU6U</v>
      </c>
      <c r="B1468" s="4" t="str">
        <f>IFERROR(__xludf.DUMMYFUNCTION("""COMPUTED_VALUE"""),"CANAL DE TENSION DE 6 TOMAS 1U DE RACK")</f>
        <v>CANAL DE TENSION DE 6 TOMAS 1U DE RACK</v>
      </c>
      <c r="C1468" s="4" t="str">
        <f>IFERROR(__xludf.DUMMYFUNCTION("""COMPUTED_VALUE"""),"Canal de tension de 6 tomas 1u de rack. Sin térmica")</f>
        <v>Canal de tension de 6 tomas 1u de rack. Sin térmica</v>
      </c>
      <c r="D1468" s="4" t="str">
        <f>IFERROR(__xludf.DUMMYFUNCTION("""COMPUTED_VALUE"""),"REGUVOLT")</f>
        <v>REGUVOLT</v>
      </c>
      <c r="E1468" s="4" t="str">
        <f>IFERROR(__xludf.DUMMYFUNCTION("""COMPUTED_VALUE"""),"RVPDU6U")</f>
        <v>RVPDU6U</v>
      </c>
      <c r="F1468" s="4" t="str">
        <f>IFERROR(__xludf.DUMMYFUNCTION("""COMPUTED_VALUE"""),"CONECTIVIDAD &gt; DELANTERA MICROPERFORADA; PUERTA TRASERA DOBLE")</f>
        <v>CONECTIVIDAD &gt; DELANTERA MICROPERFORADA; PUERTA TRASERA DOBLE</v>
      </c>
      <c r="G1468" s="5"/>
      <c r="H1468" s="6">
        <f>IFERROR(__xludf.DUMMYFUNCTION("""COMPUTED_VALUE"""),39.01)</f>
        <v>39.01</v>
      </c>
      <c r="I1468" s="7">
        <f>IFERROR(__xludf.DUMMYFUNCTION("""COMPUTED_VALUE"""),21.0)</f>
        <v>21</v>
      </c>
      <c r="J1468" s="6">
        <f>IFERROR(__xludf.DUMMYFUNCTION("""COMPUTED_VALUE"""),46.81)</f>
        <v>46.81</v>
      </c>
      <c r="K1468" s="6">
        <f>IFERROR(__xludf.DUMMYFUNCTION("""COMPUTED_VALUE"""),54.61)</f>
        <v>54.61</v>
      </c>
      <c r="L1468" s="3"/>
      <c r="M1468" s="3"/>
    </row>
    <row r="1469" ht="48.0" customHeight="1">
      <c r="A1469" s="3" t="str">
        <f>IFERROR(__xludf.DUMMYFUNCTION("""COMPUTED_VALUE"""),"RVPDU10UT")</f>
        <v>RVPDU10UT</v>
      </c>
      <c r="B1469" s="4" t="str">
        <f>IFERROR(__xludf.DUMMYFUNCTION("""COMPUTED_VALUE"""),"CANAL DE TENSION DE 10 TOMAS 1U DE RACK")</f>
        <v>CANAL DE TENSION DE 10 TOMAS 1U DE RACK</v>
      </c>
      <c r="C1469" s="4" t="str">
        <f>IFERROR(__xludf.DUMMYFUNCTION("""COMPUTED_VALUE"""),"Canal de tension de 10 tomas 1u de rack. Con térmica")</f>
        <v>Canal de tension de 10 tomas 1u de rack. Con térmica</v>
      </c>
      <c r="D1469" s="4" t="str">
        <f>IFERROR(__xludf.DUMMYFUNCTION("""COMPUTED_VALUE"""),"REGUVOLT")</f>
        <v>REGUVOLT</v>
      </c>
      <c r="E1469" s="4" t="str">
        <f>IFERROR(__xludf.DUMMYFUNCTION("""COMPUTED_VALUE"""),"RVPDU10UT")</f>
        <v>RVPDU10UT</v>
      </c>
      <c r="F1469" s="4" t="str">
        <f>IFERROR(__xludf.DUMMYFUNCTION("""COMPUTED_VALUE"""),"CONECTIVIDAD &gt; DELANTERA MICROPERFORADA; PUERTA TRASERA DOBLE")</f>
        <v>CONECTIVIDAD &gt; DELANTERA MICROPERFORADA; PUERTA TRASERA DOBLE</v>
      </c>
      <c r="G1469" s="5"/>
      <c r="H1469" s="6">
        <f>IFERROR(__xludf.DUMMYFUNCTION("""COMPUTED_VALUE"""),75.36)</f>
        <v>75.36</v>
      </c>
      <c r="I1469" s="7">
        <f>IFERROR(__xludf.DUMMYFUNCTION("""COMPUTED_VALUE"""),21.0)</f>
        <v>21</v>
      </c>
      <c r="J1469" s="6">
        <f>IFERROR(__xludf.DUMMYFUNCTION("""COMPUTED_VALUE"""),90.43)</f>
        <v>90.43</v>
      </c>
      <c r="K1469" s="6">
        <f>IFERROR(__xludf.DUMMYFUNCTION("""COMPUTED_VALUE"""),105.5)</f>
        <v>105.5</v>
      </c>
      <c r="L1469" s="3"/>
      <c r="M1469" s="3"/>
    </row>
    <row r="1470" ht="48.0" customHeight="1">
      <c r="A1470" s="3" t="str">
        <f>IFERROR(__xludf.DUMMYFUNCTION("""COMPUTED_VALUE"""),"RVPDU10U")</f>
        <v>RVPDU10U</v>
      </c>
      <c r="B1470" s="4" t="str">
        <f>IFERROR(__xludf.DUMMYFUNCTION("""COMPUTED_VALUE"""),"CANAL DE TENSION DE 10 TOMAS 1U DE RACK")</f>
        <v>CANAL DE TENSION DE 10 TOMAS 1U DE RACK</v>
      </c>
      <c r="C1470" s="4" t="str">
        <f>IFERROR(__xludf.DUMMYFUNCTION("""COMPUTED_VALUE"""),"Canal de tension de 10 tomas 1u de rack. Sin térmica")</f>
        <v>Canal de tension de 10 tomas 1u de rack. Sin térmica</v>
      </c>
      <c r="D1470" s="4" t="str">
        <f>IFERROR(__xludf.DUMMYFUNCTION("""COMPUTED_VALUE"""),"REGUVOLT")</f>
        <v>REGUVOLT</v>
      </c>
      <c r="E1470" s="4" t="str">
        <f>IFERROR(__xludf.DUMMYFUNCTION("""COMPUTED_VALUE"""),"RVPDU10U")</f>
        <v>RVPDU10U</v>
      </c>
      <c r="F1470" s="4" t="str">
        <f>IFERROR(__xludf.DUMMYFUNCTION("""COMPUTED_VALUE"""),"CONECTIVIDAD &gt; DELANTERA MICROPERFORADA; PUERTA TRASERA DOBLE")</f>
        <v>CONECTIVIDAD &gt; DELANTERA MICROPERFORADA; PUERTA TRASERA DOBLE</v>
      </c>
      <c r="G1470" s="5"/>
      <c r="H1470" s="6">
        <f>IFERROR(__xludf.DUMMYFUNCTION("""COMPUTED_VALUE"""),52.62)</f>
        <v>52.62</v>
      </c>
      <c r="I1470" s="7">
        <f>IFERROR(__xludf.DUMMYFUNCTION("""COMPUTED_VALUE"""),21.0)</f>
        <v>21</v>
      </c>
      <c r="J1470" s="6">
        <f>IFERROR(__xludf.DUMMYFUNCTION("""COMPUTED_VALUE"""),63.14)</f>
        <v>63.14</v>
      </c>
      <c r="K1470" s="6">
        <f>IFERROR(__xludf.DUMMYFUNCTION("""COMPUTED_VALUE"""),73.67)</f>
        <v>73.67</v>
      </c>
      <c r="L1470" s="3"/>
      <c r="M1470" s="3"/>
    </row>
    <row r="1471" ht="48.0" customHeight="1">
      <c r="A1471" s="3" t="str">
        <f>IFERROR(__xludf.DUMMYFUNCTION("""COMPUTED_VALUE"""),"RVO1U")</f>
        <v>RVO1U</v>
      </c>
      <c r="B1471" s="4" t="str">
        <f>IFERROR(__xludf.DUMMYFUNCTION("""COMPUTED_VALUE"""),"ORGANIZADOR DE CABLE DE 1U DE RACK DE 5 ANILLOS DE METAL")</f>
        <v>ORGANIZADOR DE CABLE DE 1U DE RACK DE 5 ANILLOS DE METAL</v>
      </c>
      <c r="C1471" s="4" t="str">
        <f>IFERROR(__xludf.DUMMYFUNCTION("""COMPUTED_VALUE"""),"Organizador de cable de 1u de rack de 5 anillos de metal")</f>
        <v>Organizador de cable de 1u de rack de 5 anillos de metal</v>
      </c>
      <c r="D1471" s="4" t="str">
        <f>IFERROR(__xludf.DUMMYFUNCTION("""COMPUTED_VALUE"""),"REGUVOLT")</f>
        <v>REGUVOLT</v>
      </c>
      <c r="E1471" s="4" t="str">
        <f>IFERROR(__xludf.DUMMYFUNCTION("""COMPUTED_VALUE"""),"RVO1U")</f>
        <v>RVO1U</v>
      </c>
      <c r="F1471" s="4" t="str">
        <f>IFERROR(__xludf.DUMMYFUNCTION("""COMPUTED_VALUE"""),"CONECTIVIDAD &gt; DELANTERA MICROPERFORADA; PUERTA TRASERA DOBLE")</f>
        <v>CONECTIVIDAD &gt; DELANTERA MICROPERFORADA; PUERTA TRASERA DOBLE</v>
      </c>
      <c r="G1471" s="5"/>
      <c r="H1471" s="6">
        <f>IFERROR(__xludf.DUMMYFUNCTION("""COMPUTED_VALUE"""),6.6)</f>
        <v>6.6</v>
      </c>
      <c r="I1471" s="7">
        <f>IFERROR(__xludf.DUMMYFUNCTION("""COMPUTED_VALUE"""),21.0)</f>
        <v>21</v>
      </c>
      <c r="J1471" s="6">
        <f>IFERROR(__xludf.DUMMYFUNCTION("""COMPUTED_VALUE"""),7.92)</f>
        <v>7.92</v>
      </c>
      <c r="K1471" s="6">
        <f>IFERROR(__xludf.DUMMYFUNCTION("""COMPUTED_VALUE"""),9.24)</f>
        <v>9.24</v>
      </c>
      <c r="L1471" s="3"/>
      <c r="M1471" s="3"/>
    </row>
    <row r="1472" ht="48.0" customHeight="1">
      <c r="A1472" s="3" t="str">
        <f>IFERROR(__xludf.DUMMYFUNCTION("""COMPUTED_VALUE"""),"RVO1UTAP")</f>
        <v>RVO1UTAP</v>
      </c>
      <c r="B1472" s="4" t="str">
        <f>IFERROR(__xludf.DUMMYFUNCTION("""COMPUTED_VALUE"""),"ORGANIZADOR DE CABLE DE 1U DE RACK DE 5")</f>
        <v>ORGANIZADOR DE CABLE DE 1U DE RACK DE 5</v>
      </c>
      <c r="C1472" s="4" t="str">
        <f>IFERROR(__xludf.DUMMYFUNCTION("""COMPUTED_VALUE"""),"Organizador de cable de 1u de rack de 5 anillos de metal C/Tapa de metal")</f>
        <v>Organizador de cable de 1u de rack de 5 anillos de metal C/Tapa de metal</v>
      </c>
      <c r="D1472" s="4" t="str">
        <f>IFERROR(__xludf.DUMMYFUNCTION("""COMPUTED_VALUE"""),"REGUVOLT")</f>
        <v>REGUVOLT</v>
      </c>
      <c r="E1472" s="4" t="str">
        <f>IFERROR(__xludf.DUMMYFUNCTION("""COMPUTED_VALUE"""),"RVO1UTAP")</f>
        <v>RVO1UTAP</v>
      </c>
      <c r="F1472" s="4" t="str">
        <f>IFERROR(__xludf.DUMMYFUNCTION("""COMPUTED_VALUE"""),"CONECTIVIDAD &gt; DELANTERA MICROPERFORADA; PUERTA TRASERA DOBLE")</f>
        <v>CONECTIVIDAD &gt; DELANTERA MICROPERFORADA; PUERTA TRASERA DOBLE</v>
      </c>
      <c r="G1472" s="5"/>
      <c r="H1472" s="6">
        <f>IFERROR(__xludf.DUMMYFUNCTION("""COMPUTED_VALUE"""),7.34)</f>
        <v>7.34</v>
      </c>
      <c r="I1472" s="7">
        <f>IFERROR(__xludf.DUMMYFUNCTION("""COMPUTED_VALUE"""),21.0)</f>
        <v>21</v>
      </c>
      <c r="J1472" s="6">
        <f>IFERROR(__xludf.DUMMYFUNCTION("""COMPUTED_VALUE"""),8.81)</f>
        <v>8.81</v>
      </c>
      <c r="K1472" s="6">
        <f>IFERROR(__xludf.DUMMYFUNCTION("""COMPUTED_VALUE"""),10.28)</f>
        <v>10.28</v>
      </c>
      <c r="L1472" s="3"/>
      <c r="M1472" s="3"/>
    </row>
    <row r="1473" ht="48.0" customHeight="1">
      <c r="A1473" s="3" t="str">
        <f>IFERROR(__xludf.DUMMYFUNCTION("""COMPUTED_VALUE"""),"RVO2UTAP")</f>
        <v>RVO2UTAP</v>
      </c>
      <c r="B1473" s="4" t="str">
        <f>IFERROR(__xludf.DUMMYFUNCTION("""COMPUTED_VALUE"""),"ORGANIZADOR DE CABLE DE 2U DE RACK DE 5")</f>
        <v>ORGANIZADOR DE CABLE DE 2U DE RACK DE 5</v>
      </c>
      <c r="C1473" s="4" t="str">
        <f>IFERROR(__xludf.DUMMYFUNCTION("""COMPUTED_VALUE"""),"Organizador de cable de 2u de rack de 5 anillos de metal C/Tapa de metal")</f>
        <v>Organizador de cable de 2u de rack de 5 anillos de metal C/Tapa de metal</v>
      </c>
      <c r="D1473" s="4" t="str">
        <f>IFERROR(__xludf.DUMMYFUNCTION("""COMPUTED_VALUE"""),"REGUVOLT")</f>
        <v>REGUVOLT</v>
      </c>
      <c r="E1473" s="4" t="str">
        <f>IFERROR(__xludf.DUMMYFUNCTION("""COMPUTED_VALUE"""),"RVO2UTAP")</f>
        <v>RVO2UTAP</v>
      </c>
      <c r="F1473" s="4" t="str">
        <f>IFERROR(__xludf.DUMMYFUNCTION("""COMPUTED_VALUE"""),"CONECTIVIDAD &gt; DELANTERA MICROPERFORADA; PUERTA TRASERA DOBLE")</f>
        <v>CONECTIVIDAD &gt; DELANTERA MICROPERFORADA; PUERTA TRASERA DOBLE</v>
      </c>
      <c r="G1473" s="5"/>
      <c r="H1473" s="6">
        <f>IFERROR(__xludf.DUMMYFUNCTION("""COMPUTED_VALUE"""),11.58)</f>
        <v>11.58</v>
      </c>
      <c r="I1473" s="7">
        <f>IFERROR(__xludf.DUMMYFUNCTION("""COMPUTED_VALUE"""),21.0)</f>
        <v>21</v>
      </c>
      <c r="J1473" s="6">
        <f>IFERROR(__xludf.DUMMYFUNCTION("""COMPUTED_VALUE"""),13.9)</f>
        <v>13.9</v>
      </c>
      <c r="K1473" s="6">
        <f>IFERROR(__xludf.DUMMYFUNCTION("""COMPUTED_VALUE"""),16.21)</f>
        <v>16.21</v>
      </c>
      <c r="L1473" s="3"/>
      <c r="M1473" s="3"/>
    </row>
    <row r="1474" ht="48.0" customHeight="1">
      <c r="A1474" s="3" t="str">
        <f>IFERROR(__xludf.DUMMYFUNCTION("""COMPUTED_VALUE"""),"RVFC1U")</f>
        <v>RVFC1U</v>
      </c>
      <c r="B1474" s="4" t="str">
        <f>IFERROR(__xludf.DUMMYFUNCTION("""COMPUTED_VALUE"""),"FRENTE CIEGO DE METAL DE 1U DE RACK CON CEPILLO")</f>
        <v>FRENTE CIEGO DE METAL DE 1U DE RACK CON CEPILLO</v>
      </c>
      <c r="C1474" s="4" t="str">
        <f>IFERROR(__xludf.DUMMYFUNCTION("""COMPUTED_VALUE"""),"Frente ciego de metal de 1u de rack con cepillo")</f>
        <v>Frente ciego de metal de 1u de rack con cepillo</v>
      </c>
      <c r="D1474" s="4" t="str">
        <f>IFERROR(__xludf.DUMMYFUNCTION("""COMPUTED_VALUE"""),"REGUVOLT")</f>
        <v>REGUVOLT</v>
      </c>
      <c r="E1474" s="4" t="str">
        <f>IFERROR(__xludf.DUMMYFUNCTION("""COMPUTED_VALUE"""),"RVFC1U")</f>
        <v>RVFC1U</v>
      </c>
      <c r="F1474" s="4" t="str">
        <f>IFERROR(__xludf.DUMMYFUNCTION("""COMPUTED_VALUE"""),"CONECTIVIDAD &gt; DELANTERA MICROPERFORADA; PUERTA TRASERA DOBLE")</f>
        <v>CONECTIVIDAD &gt; DELANTERA MICROPERFORADA; PUERTA TRASERA DOBLE</v>
      </c>
      <c r="G1474" s="5"/>
      <c r="H1474" s="6">
        <f>IFERROR(__xludf.DUMMYFUNCTION("""COMPUTED_VALUE"""),8.06)</f>
        <v>8.06</v>
      </c>
      <c r="I1474" s="7">
        <f>IFERROR(__xludf.DUMMYFUNCTION("""COMPUTED_VALUE"""),21.0)</f>
        <v>21</v>
      </c>
      <c r="J1474" s="6">
        <f>IFERROR(__xludf.DUMMYFUNCTION("""COMPUTED_VALUE"""),9.67)</f>
        <v>9.67</v>
      </c>
      <c r="K1474" s="6">
        <f>IFERROR(__xludf.DUMMYFUNCTION("""COMPUTED_VALUE"""),11.28)</f>
        <v>11.28</v>
      </c>
      <c r="L1474" s="3"/>
      <c r="M1474" s="3"/>
    </row>
    <row r="1475" ht="48.0" customHeight="1">
      <c r="A1475" s="3" t="str">
        <f>IFERROR(__xludf.DUMMYFUNCTION("""COMPUTED_VALUE"""),"RVFC2U")</f>
        <v>RVFC2U</v>
      </c>
      <c r="B1475" s="4" t="str">
        <f>IFERROR(__xludf.DUMMYFUNCTION("""COMPUTED_VALUE"""),"FRENTE CIEGO DE METAL DE 2U DE RACK")</f>
        <v>FRENTE CIEGO DE METAL DE 2U DE RACK</v>
      </c>
      <c r="C1475" s="4" t="str">
        <f>IFERROR(__xludf.DUMMYFUNCTION("""COMPUTED_VALUE"""),"Frente ciego de metal de 2u de rack")</f>
        <v>Frente ciego de metal de 2u de rack</v>
      </c>
      <c r="D1475" s="4" t="str">
        <f>IFERROR(__xludf.DUMMYFUNCTION("""COMPUTED_VALUE"""),"REGUVOLT")</f>
        <v>REGUVOLT</v>
      </c>
      <c r="E1475" s="4" t="str">
        <f>IFERROR(__xludf.DUMMYFUNCTION("""COMPUTED_VALUE"""),"RVFC2U")</f>
        <v>RVFC2U</v>
      </c>
      <c r="F1475" s="4" t="str">
        <f>IFERROR(__xludf.DUMMYFUNCTION("""COMPUTED_VALUE"""),"CONECTIVIDAD &gt; DELANTERA MICROPERFORADA; PUERTA TRASERA DOBLE")</f>
        <v>CONECTIVIDAD &gt; DELANTERA MICROPERFORADA; PUERTA TRASERA DOBLE</v>
      </c>
      <c r="G1475" s="5"/>
      <c r="H1475" s="6">
        <f>IFERROR(__xludf.DUMMYFUNCTION("""COMPUTED_VALUE"""),8.8)</f>
        <v>8.8</v>
      </c>
      <c r="I1475" s="7">
        <f>IFERROR(__xludf.DUMMYFUNCTION("""COMPUTED_VALUE"""),10.5)</f>
        <v>10.5</v>
      </c>
      <c r="J1475" s="6">
        <f>IFERROR(__xludf.DUMMYFUNCTION("""COMPUTED_VALUE"""),10.56)</f>
        <v>10.56</v>
      </c>
      <c r="K1475" s="6">
        <f>IFERROR(__xludf.DUMMYFUNCTION("""COMPUTED_VALUE"""),12.32)</f>
        <v>12.32</v>
      </c>
      <c r="L1475" s="3"/>
      <c r="M1475" s="3"/>
    </row>
    <row r="1476" ht="48.0" customHeight="1">
      <c r="A1476" s="3" t="str">
        <f>IFERROR(__xludf.DUMMYFUNCTION("""COMPUTED_VALUE"""),"RVCOOL1U")</f>
        <v>RVCOOL1U</v>
      </c>
      <c r="B1476" s="4" t="str">
        <f>IFERROR(__xludf.DUMMYFUNCTION("""COMPUTED_VALUE"""),"UNIDAD DE VENTILACIÓN DE 1 TURBO PARA MURALES")</f>
        <v>UNIDAD DE VENTILACIÓN DE 1 TURBO PARA MURALES</v>
      </c>
      <c r="C1476" s="4" t="str">
        <f>IFERROR(__xludf.DUMMYFUNCTION("""COMPUTED_VALUE"""),"Unidad de ventilación de 1 Turbo para murales")</f>
        <v>Unidad de ventilación de 1 Turbo para murales</v>
      </c>
      <c r="D1476" s="4" t="str">
        <f>IFERROR(__xludf.DUMMYFUNCTION("""COMPUTED_VALUE"""),"REGUVOLT")</f>
        <v>REGUVOLT</v>
      </c>
      <c r="E1476" s="4" t="str">
        <f>IFERROR(__xludf.DUMMYFUNCTION("""COMPUTED_VALUE"""),"RVCOOL1U")</f>
        <v>RVCOOL1U</v>
      </c>
      <c r="F1476" s="4" t="str">
        <f>IFERROR(__xludf.DUMMYFUNCTION("""COMPUTED_VALUE"""),"CONECTIVIDAD &gt; DELANTERA MICROPERFORADA; PUERTA TRASERA DOBLE")</f>
        <v>CONECTIVIDAD &gt; DELANTERA MICROPERFORADA; PUERTA TRASERA DOBLE</v>
      </c>
      <c r="G1476" s="5"/>
      <c r="H1476" s="6">
        <f>IFERROR(__xludf.DUMMYFUNCTION("""COMPUTED_VALUE"""),17.6)</f>
        <v>17.6</v>
      </c>
      <c r="I1476" s="7">
        <f>IFERROR(__xludf.DUMMYFUNCTION("""COMPUTED_VALUE"""),21.0)</f>
        <v>21</v>
      </c>
      <c r="J1476" s="6">
        <f>IFERROR(__xludf.DUMMYFUNCTION("""COMPUTED_VALUE"""),21.12)</f>
        <v>21.12</v>
      </c>
      <c r="K1476" s="6">
        <f>IFERROR(__xludf.DUMMYFUNCTION("""COMPUTED_VALUE"""),24.64)</f>
        <v>24.64</v>
      </c>
      <c r="L1476" s="3"/>
      <c r="M1476" s="3"/>
    </row>
    <row r="1477" ht="48.0" customHeight="1">
      <c r="A1477" s="3" t="str">
        <f>IFERROR(__xludf.DUMMYFUNCTION("""COMPUTED_VALUE"""),"RVCOOL2U")</f>
        <v>RVCOOL2U</v>
      </c>
      <c r="B1477" s="4" t="str">
        <f>IFERROR(__xludf.DUMMYFUNCTION("""COMPUTED_VALUE"""),"UNIDAD DE VENTILACIÓN DE 2 TURBOS PARA RACKS DE PIE")</f>
        <v>UNIDAD DE VENTILACIÓN DE 2 TURBOS PARA RACKS DE PIE</v>
      </c>
      <c r="C1477" s="4" t="str">
        <f>IFERROR(__xludf.DUMMYFUNCTION("""COMPUTED_VALUE"""),"Unidad de ventilación de 2 Turbos para racks de pie")</f>
        <v>Unidad de ventilación de 2 Turbos para racks de pie</v>
      </c>
      <c r="D1477" s="4" t="str">
        <f>IFERROR(__xludf.DUMMYFUNCTION("""COMPUTED_VALUE"""),"REGUVOLT")</f>
        <v>REGUVOLT</v>
      </c>
      <c r="E1477" s="4" t="str">
        <f>IFERROR(__xludf.DUMMYFUNCTION("""COMPUTED_VALUE"""),"RVCOOL2U")</f>
        <v>RVCOOL2U</v>
      </c>
      <c r="F1477" s="4" t="str">
        <f>IFERROR(__xludf.DUMMYFUNCTION("""COMPUTED_VALUE"""),"CONECTIVIDAD &gt; DELANTERA MICROPERFORADA; PUERTA TRASERA DOBLE")</f>
        <v>CONECTIVIDAD &gt; DELANTERA MICROPERFORADA; PUERTA TRASERA DOBLE</v>
      </c>
      <c r="G1477" s="5"/>
      <c r="H1477" s="6">
        <f>IFERROR(__xludf.DUMMYFUNCTION("""COMPUTED_VALUE"""),22.0)</f>
        <v>22</v>
      </c>
      <c r="I1477" s="7">
        <f>IFERROR(__xludf.DUMMYFUNCTION("""COMPUTED_VALUE"""),21.0)</f>
        <v>21</v>
      </c>
      <c r="J1477" s="6">
        <f>IFERROR(__xludf.DUMMYFUNCTION("""COMPUTED_VALUE"""),26.4)</f>
        <v>26.4</v>
      </c>
      <c r="K1477" s="6">
        <f>IFERROR(__xludf.DUMMYFUNCTION("""COMPUTED_VALUE"""),30.8)</f>
        <v>30.8</v>
      </c>
      <c r="L1477" s="3"/>
      <c r="M1477" s="3"/>
    </row>
    <row r="1478" ht="48.0" customHeight="1">
      <c r="A1478" s="3" t="str">
        <f>IFERROR(__xludf.DUMMYFUNCTION("""COMPUTED_VALUE"""),"RVCOOL4U")</f>
        <v>RVCOOL4U</v>
      </c>
      <c r="B1478" s="4" t="str">
        <f>IFERROR(__xludf.DUMMYFUNCTION("""COMPUTED_VALUE"""),"UNIDAD DE VENTILACIÓN DE 4 TURBOS PARA RACKS DE PIE")</f>
        <v>UNIDAD DE VENTILACIÓN DE 4 TURBOS PARA RACKS DE PIE</v>
      </c>
      <c r="C1478" s="4" t="str">
        <f>IFERROR(__xludf.DUMMYFUNCTION("""COMPUTED_VALUE"""),"Unidad de ventilación de 4 Turbos para racks de pie")</f>
        <v>Unidad de ventilación de 4 Turbos para racks de pie</v>
      </c>
      <c r="D1478" s="4" t="str">
        <f>IFERROR(__xludf.DUMMYFUNCTION("""COMPUTED_VALUE"""),"REGUVOLT")</f>
        <v>REGUVOLT</v>
      </c>
      <c r="E1478" s="4" t="str">
        <f>IFERROR(__xludf.DUMMYFUNCTION("""COMPUTED_VALUE"""),"RVCOOL4U")</f>
        <v>RVCOOL4U</v>
      </c>
      <c r="F1478" s="4" t="str">
        <f>IFERROR(__xludf.DUMMYFUNCTION("""COMPUTED_VALUE"""),"CONECTIVIDAD &gt; DELANTERA MICROPERFORADA; PUERTA TRASERA DOBLE")</f>
        <v>CONECTIVIDAD &gt; DELANTERA MICROPERFORADA; PUERTA TRASERA DOBLE</v>
      </c>
      <c r="G1478" s="5"/>
      <c r="H1478" s="6">
        <f>IFERROR(__xludf.DUMMYFUNCTION("""COMPUTED_VALUE"""),44.0)</f>
        <v>44</v>
      </c>
      <c r="I1478" s="7">
        <f>IFERROR(__xludf.DUMMYFUNCTION("""COMPUTED_VALUE"""),21.0)</f>
        <v>21</v>
      </c>
      <c r="J1478" s="6">
        <f>IFERROR(__xludf.DUMMYFUNCTION("""COMPUTED_VALUE"""),52.8)</f>
        <v>52.8</v>
      </c>
      <c r="K1478" s="6">
        <f>IFERROR(__xludf.DUMMYFUNCTION("""COMPUTED_VALUE"""),61.6)</f>
        <v>61.6</v>
      </c>
      <c r="L1478" s="3"/>
      <c r="M1478" s="3"/>
    </row>
    <row r="1479" ht="48.0" customHeight="1">
      <c r="A1479" s="3" t="str">
        <f>IFERROR(__xludf.DUMMYFUNCTION("""COMPUTED_VALUE"""),"RVTORN50U")</f>
        <v>RVTORN50U</v>
      </c>
      <c r="B1479" s="4" t="str">
        <f>IFERROR(__xludf.DUMMYFUNCTION("""COMPUTED_VALUE"""),"JUEGO DE 50U DE TORNILLOS Y TUERCAS DE FIJACION")</f>
        <v>JUEGO DE 50U DE TORNILLOS Y TUERCAS DE FIJACION</v>
      </c>
      <c r="C1479" s="4" t="str">
        <f>IFERROR(__xludf.DUMMYFUNCTION("""COMPUTED_VALUE"""),"Juego de 50u de tornillos y tuercas de fijacion M6 para murales y racks")</f>
        <v>Juego de 50u de tornillos y tuercas de fijacion M6 para murales y racks</v>
      </c>
      <c r="D1479" s="4" t="str">
        <f>IFERROR(__xludf.DUMMYFUNCTION("""COMPUTED_VALUE"""),"REGUVOLT")</f>
        <v>REGUVOLT</v>
      </c>
      <c r="E1479" s="4" t="str">
        <f>IFERROR(__xludf.DUMMYFUNCTION("""COMPUTED_VALUE"""),"RVTORN50U")</f>
        <v>RVTORN50U</v>
      </c>
      <c r="F1479" s="4" t="str">
        <f>IFERROR(__xludf.DUMMYFUNCTION("""COMPUTED_VALUE"""),"CONECTIVIDAD &gt; DELANTERA MICROPERFORADA; PUERTA TRASERA DOBLE")</f>
        <v>CONECTIVIDAD &gt; DELANTERA MICROPERFORADA; PUERTA TRASERA DOBLE</v>
      </c>
      <c r="G1479" s="5"/>
      <c r="H1479" s="6">
        <f>IFERROR(__xludf.DUMMYFUNCTION("""COMPUTED_VALUE"""),31.32)</f>
        <v>31.32</v>
      </c>
      <c r="I1479" s="7">
        <f>IFERROR(__xludf.DUMMYFUNCTION("""COMPUTED_VALUE"""),21.0)</f>
        <v>21</v>
      </c>
      <c r="J1479" s="6">
        <f>IFERROR(__xludf.DUMMYFUNCTION("""COMPUTED_VALUE"""),37.58)</f>
        <v>37.58</v>
      </c>
      <c r="K1479" s="6">
        <f>IFERROR(__xludf.DUMMYFUNCTION("""COMPUTED_VALUE"""),43.85)</f>
        <v>43.85</v>
      </c>
      <c r="L1479" s="3"/>
      <c r="M1479" s="3"/>
    </row>
    <row r="1480" ht="48.0" customHeight="1">
      <c r="A1480" s="3" t="str">
        <f>IFERROR(__xludf.DUMMYFUNCTION("""COMPUTED_VALUE"""),"HCLM10L100")</f>
        <v>HCLM10L100</v>
      </c>
      <c r="B1480" s="4" t="str">
        <f>IFERROR(__xludf.DUMMYFUNCTION("""COMPUTED_VALUE"""),"MONITOR LED 10 PULGADAS CON ENTRADA HDMI-VGA-VIDEO COMPUESTO")</f>
        <v>MONITOR LED 10 PULGADAS CON ENTRADA HDMI-VGA-VIDEO COMPUESTO</v>
      </c>
      <c r="C1480" s="4" t="str">
        <f>IFERROR(__xludf.DUMMYFUNCTION("""COMPUTED_VALUE"""),"Monitor LED 10 pulgadas con entrada HDMI-VGA-VIDEO COMPUESTO")</f>
        <v>Monitor LED 10 pulgadas con entrada HDMI-VGA-VIDEO COMPUESTO</v>
      </c>
      <c r="D1480" s="4" t="str">
        <f>IFERROR(__xludf.DUMMYFUNCTION("""COMPUTED_VALUE"""),"DAHUA")</f>
        <v>DAHUA</v>
      </c>
      <c r="E1480" s="4" t="str">
        <f>IFERROR(__xludf.DUMMYFUNCTION("""COMPUTED_VALUE"""),"HCLM10L100")</f>
        <v>HCLM10L100</v>
      </c>
      <c r="F1480" s="4" t="str">
        <f>IFERROR(__xludf.DUMMYFUNCTION("""COMPUTED_VALUE"""),"CONECTIVIDAD &gt; MONITORES PARA PC")</f>
        <v>CONECTIVIDAD &gt; MONITORES PARA PC</v>
      </c>
      <c r="G1480" s="5"/>
      <c r="H1480" s="6">
        <f>IFERROR(__xludf.DUMMYFUNCTION("""COMPUTED_VALUE"""),0.0)</f>
        <v>0</v>
      </c>
      <c r="I1480" s="7">
        <f>IFERROR(__xludf.DUMMYFUNCTION("""COMPUTED_VALUE"""),21.0)</f>
        <v>21</v>
      </c>
      <c r="J1480" s="6">
        <f>IFERROR(__xludf.DUMMYFUNCTION("""COMPUTED_VALUE"""),0.0)</f>
        <v>0</v>
      </c>
      <c r="K1480" s="6">
        <f>IFERROR(__xludf.DUMMYFUNCTION("""COMPUTED_VALUE"""),0.0)</f>
        <v>0</v>
      </c>
      <c r="L1480" s="3"/>
      <c r="M1480" s="3"/>
    </row>
    <row r="1481" ht="48.0" customHeight="1">
      <c r="A1481" s="3" t="str">
        <f>IFERROR(__xludf.DUMMYFUNCTION("""COMPUTED_VALUE"""),"DWCS19N")</f>
        <v>DWCS19N</v>
      </c>
      <c r="B1481" s="4" t="str">
        <f>IFERROR(__xludf.DUMMYFUNCTION("""COMPUTED_VALUE"""),"MONITOR LED19 PULGADAS 16:9- ENTRADAS: VGA+HDMI PANTALLA 19"" RESOLUCIÓ")</f>
        <v>MONITOR LED19 PULGADAS 16:9- ENTRADAS: VGA+HDMI PANTALLA 19" RESOLUCIÓ</v>
      </c>
      <c r="C1481" s="4" t="str">
        <f>IFERROR(__xludf.DUMMYFUNCTION("""COMPUTED_VALUE"""),"MONITOR LED19 pulgadas 16:9- Entradas: VGA+HDMI Pantalla 19"" Resolución: 1366x768 Hd Tiempo de respuesta 5ms Contraste: 1000:1 Brillo: 250cd Frecuencia de actualizacion: 60hz Color de la pantalla: 16.7m Angulo de vision: h:170 v:160")</f>
        <v>MONITOR LED19 pulgadas 16:9- Entradas: VGA+HDMI Pantalla 19" Resolución: 1366x768 Hd Tiempo de respuesta 5ms Contraste: 1000:1 Brillo: 250cd Frecuencia de actualizacion: 60hz Color de la pantalla: 16.7m Angulo de vision: h:170 v:160</v>
      </c>
      <c r="D1481" s="4" t="str">
        <f>IFERROR(__xludf.DUMMYFUNCTION("""COMPUTED_VALUE"""),"DAEWOO")</f>
        <v>DAEWOO</v>
      </c>
      <c r="E1481" s="4" t="str">
        <f>IFERROR(__xludf.DUMMYFUNCTION("""COMPUTED_VALUE"""),"DWCS19N")</f>
        <v>DWCS19N</v>
      </c>
      <c r="F1481" s="4" t="str">
        <f>IFERROR(__xludf.DUMMYFUNCTION("""COMPUTED_VALUE"""),"CONECTIVIDAD &gt; MONITORES PARA PC")</f>
        <v>CONECTIVIDAD &gt; MONITORES PARA PC</v>
      </c>
      <c r="G1481" s="5"/>
      <c r="H1481" s="6">
        <f>IFERROR(__xludf.DUMMYFUNCTION("""COMPUTED_VALUE"""),90.75)</f>
        <v>90.75</v>
      </c>
      <c r="I1481" s="7">
        <f>IFERROR(__xludf.DUMMYFUNCTION("""COMPUTED_VALUE"""),21.0)</f>
        <v>21</v>
      </c>
      <c r="J1481" s="6">
        <f>IFERROR(__xludf.DUMMYFUNCTION("""COMPUTED_VALUE"""),108.9)</f>
        <v>108.9</v>
      </c>
      <c r="K1481" s="6">
        <f>IFERROR(__xludf.DUMMYFUNCTION("""COMPUTED_VALUE"""),127.05)</f>
        <v>127.05</v>
      </c>
      <c r="L1481" s="3"/>
      <c r="M1481" s="3"/>
    </row>
    <row r="1482" ht="48.0" customHeight="1">
      <c r="A1482" s="3" t="str">
        <f>IFERROR(__xludf.DUMMYFUNCTION("""COMPUTED_VALUE"""),"DHI-LM22-B200S")</f>
        <v>DHI-LM22-B200S</v>
      </c>
      <c r="B1482" s="4" t="str">
        <f>IFERROR(__xludf.DUMMYFUNCTION("""COMPUTED_VALUE"""),"MONITOR 21,45″ FHD, PANEL VA 16:9, RESOLUCIÓN 1920×1080, TIEMPO")</f>
        <v>MONITOR 21,45″ FHD, PANEL VA 16:9, RESOLUCIÓN 1920×1080, TIEMPO</v>
      </c>
      <c r="C1482" s="4" t="str">
        <f>IFERROR(__xludf.DUMMYFUNCTION("""COMPUTED_VALUE"""),"Monitor 21,45″ FHD, panel VA 16:9, resolución 1920×1080, tiempo de respuesta 5 ms, tasa de refresco hasta 100 Hz, entradas VGA×1 y HDMI×1, altavoces integrados, consumo típico 22 W (standby ≤0,5 W), alimentación DC 12 V")</f>
        <v>Monitor 21,45″ FHD, panel VA 16:9, resolución 1920×1080, tiempo de respuesta 5 ms, tasa de refresco hasta 100 Hz, entradas VGA×1 y HDMI×1, altavoces integrados, consumo típico 22 W (standby ≤0,5 W), alimentación DC 12 V</v>
      </c>
      <c r="D1482" s="4" t="str">
        <f>IFERROR(__xludf.DUMMYFUNCTION("""COMPUTED_VALUE"""),"DAHUA")</f>
        <v>DAHUA</v>
      </c>
      <c r="E1482" s="4" t="str">
        <f>IFERROR(__xludf.DUMMYFUNCTION("""COMPUTED_VALUE"""),"DHI-LM22-B200S")</f>
        <v>DHI-LM22-B200S</v>
      </c>
      <c r="F1482" s="4" t="str">
        <f>IFERROR(__xludf.DUMMYFUNCTION("""COMPUTED_VALUE"""),"CONECTIVIDAD &gt; MONITORES PARA PC")</f>
        <v>CONECTIVIDAD &gt; MONITORES PARA PC</v>
      </c>
      <c r="G1482" s="5"/>
      <c r="H1482" s="6">
        <f>IFERROR(__xludf.DUMMYFUNCTION("""COMPUTED_VALUE"""),112.2)</f>
        <v>112.2</v>
      </c>
      <c r="I1482" s="7">
        <f>IFERROR(__xludf.DUMMYFUNCTION("""COMPUTED_VALUE"""),21.0)</f>
        <v>21</v>
      </c>
      <c r="J1482" s="6">
        <f>IFERROR(__xludf.DUMMYFUNCTION("""COMPUTED_VALUE"""),134.64)</f>
        <v>134.64</v>
      </c>
      <c r="K1482" s="6">
        <f>IFERROR(__xludf.DUMMYFUNCTION("""COMPUTED_VALUE"""),157.08)</f>
        <v>157.08</v>
      </c>
      <c r="L1482" s="3"/>
      <c r="M1482" s="3"/>
    </row>
    <row r="1483" ht="48.0" customHeight="1">
      <c r="A1483" s="3" t="str">
        <f>IFERROR(__xludf.DUMMYFUNCTION("""COMPUTED_VALUE"""),"DWCS22N")</f>
        <v>DWCS22N</v>
      </c>
      <c r="B1483" s="4" t="str">
        <f>IFERROR(__xludf.DUMMYFUNCTION("""COMPUTED_VALUE"""),"MONITOR LED22 PULGADAS 16:9- ENTRADAS: VGA+HDMI PANTALLA 22"" RESOLUCIÓ")</f>
        <v>MONITOR LED22 PULGADAS 16:9- ENTRADAS: VGA+HDMI PANTALLA 22" RESOLUCIÓ</v>
      </c>
      <c r="C1483" s="4" t="str">
        <f>IFERROR(__xludf.DUMMYFUNCTION("""COMPUTED_VALUE"""),"MONITOR LED22 pulgadas 16:9- Entradas: VGA+HDMI Pantalla 22"" Resolución: 1920x1080 Hd Tiempo de respuesta 5ms Contraste: 1000:1 Brillo: 250cd Frecuencia de actualizacion: 60hz Color de la pantalla: 16.7m Angulo de vision: h:170 v:160")</f>
        <v>MONITOR LED22 pulgadas 16:9- Entradas: VGA+HDMI Pantalla 22" Resolución: 1920x1080 Hd Tiempo de respuesta 5ms Contraste: 1000:1 Brillo: 250cd Frecuencia de actualizacion: 60hz Color de la pantalla: 16.7m Angulo de vision: h:170 v:160</v>
      </c>
      <c r="D1483" s="4" t="str">
        <f>IFERROR(__xludf.DUMMYFUNCTION("""COMPUTED_VALUE"""),"DAEWOO")</f>
        <v>DAEWOO</v>
      </c>
      <c r="E1483" s="4" t="str">
        <f>IFERROR(__xludf.DUMMYFUNCTION("""COMPUTED_VALUE"""),"DWCS22N")</f>
        <v>DWCS22N</v>
      </c>
      <c r="F1483" s="4" t="str">
        <f>IFERROR(__xludf.DUMMYFUNCTION("""COMPUTED_VALUE"""),"CONECTIVIDAD &gt; MONITORES PARA PC")</f>
        <v>CONECTIVIDAD &gt; MONITORES PARA PC</v>
      </c>
      <c r="G1483" s="5"/>
      <c r="H1483" s="6">
        <f>IFERROR(__xludf.DUMMYFUNCTION("""COMPUTED_VALUE"""),118.25)</f>
        <v>118.25</v>
      </c>
      <c r="I1483" s="7">
        <f>IFERROR(__xludf.DUMMYFUNCTION("""COMPUTED_VALUE"""),21.0)</f>
        <v>21</v>
      </c>
      <c r="J1483" s="6">
        <f>IFERROR(__xludf.DUMMYFUNCTION("""COMPUTED_VALUE"""),141.9)</f>
        <v>141.9</v>
      </c>
      <c r="K1483" s="6">
        <f>IFERROR(__xludf.DUMMYFUNCTION("""COMPUTED_VALUE"""),165.55)</f>
        <v>165.55</v>
      </c>
      <c r="L1483" s="3"/>
      <c r="M1483" s="3"/>
    </row>
    <row r="1484" ht="48.0" customHeight="1">
      <c r="A1484" s="3" t="str">
        <f>IFERROR(__xludf.DUMMYFUNCTION("""COMPUTED_VALUE"""),"MONILCDPC24")</f>
        <v>MONILCDPC24</v>
      </c>
      <c r="B1484" s="4" t="str">
        <f>IFERROR(__xludf.DUMMYFUNCTION("""COMPUTED_VALUE"""),"MONITOR LED24 PULGADAS 16:9")</f>
        <v>MONITOR LED24 PULGADAS 16:9</v>
      </c>
      <c r="C1484" s="4" t="str">
        <f>IFERROR(__xludf.DUMMYFUNCTION("""COMPUTED_VALUE"""),"MONITOR LED24 pulgadas 16:9")</f>
        <v>MONITOR LED24 pulgadas 16:9</v>
      </c>
      <c r="D1484" s="4" t="str">
        <f>IFERROR(__xludf.DUMMYFUNCTION("""COMPUTED_VALUE"""),"PHILIPS")</f>
        <v>PHILIPS</v>
      </c>
      <c r="E1484" s="4" t="str">
        <f>IFERROR(__xludf.DUMMYFUNCTION("""COMPUTED_VALUE"""),"MONILCDPC24")</f>
        <v>MONILCDPC24</v>
      </c>
      <c r="F1484" s="4" t="str">
        <f>IFERROR(__xludf.DUMMYFUNCTION("""COMPUTED_VALUE"""),"CONECTIVIDAD &gt; MONITORES PARA PC")</f>
        <v>CONECTIVIDAD &gt; MONITORES PARA PC</v>
      </c>
      <c r="G1484" s="5"/>
      <c r="H1484" s="6">
        <f>IFERROR(__xludf.DUMMYFUNCTION("""COMPUTED_VALUE"""),146.3)</f>
        <v>146.3</v>
      </c>
      <c r="I1484" s="7">
        <f>IFERROR(__xludf.DUMMYFUNCTION("""COMPUTED_VALUE"""),21.0)</f>
        <v>21</v>
      </c>
      <c r="J1484" s="6">
        <f>IFERROR(__xludf.DUMMYFUNCTION("""COMPUTED_VALUE"""),175.56)</f>
        <v>175.56</v>
      </c>
      <c r="K1484" s="6">
        <f>IFERROR(__xludf.DUMMYFUNCTION("""COMPUTED_VALUE"""),204.82)</f>
        <v>204.82</v>
      </c>
      <c r="L1484" s="3"/>
      <c r="M1484" s="3"/>
    </row>
    <row r="1485" ht="48.0" customHeight="1">
      <c r="A1485" s="3" t="str">
        <f>IFERROR(__xludf.DUMMYFUNCTION("""COMPUTED_VALUE"""),"MONILCDPC27")</f>
        <v>MONILCDPC27</v>
      </c>
      <c r="B1485" s="4" t="str">
        <f>IFERROR(__xludf.DUMMYFUNCTION("""COMPUTED_VALUE"""),"MONITOR LED27 PULGADAS 16:9")</f>
        <v>MONITOR LED27 PULGADAS 16:9</v>
      </c>
      <c r="C1485" s="4" t="str">
        <f>IFERROR(__xludf.DUMMYFUNCTION("""COMPUTED_VALUE"""),"MONITOR LED27 pulgadas 16:9")</f>
        <v>MONITOR LED27 pulgadas 16:9</v>
      </c>
      <c r="D1485" s="4" t="str">
        <f>IFERROR(__xludf.DUMMYFUNCTION("""COMPUTED_VALUE"""),"PHILIPS")</f>
        <v>PHILIPS</v>
      </c>
      <c r="E1485" s="4" t="str">
        <f>IFERROR(__xludf.DUMMYFUNCTION("""COMPUTED_VALUE"""),"MONILCDPC27")</f>
        <v>MONILCDPC27</v>
      </c>
      <c r="F1485" s="4" t="str">
        <f>IFERROR(__xludf.DUMMYFUNCTION("""COMPUTED_VALUE"""),"CONECTIVIDAD &gt; MONITORES PARA PC")</f>
        <v>CONECTIVIDAD &gt; MONITORES PARA PC</v>
      </c>
      <c r="G1485" s="5"/>
      <c r="H1485" s="6">
        <f>IFERROR(__xludf.DUMMYFUNCTION("""COMPUTED_VALUE"""),0.0)</f>
        <v>0</v>
      </c>
      <c r="I1485" s="7">
        <f>IFERROR(__xludf.DUMMYFUNCTION("""COMPUTED_VALUE"""),21.0)</f>
        <v>21</v>
      </c>
      <c r="J1485" s="6">
        <f>IFERROR(__xludf.DUMMYFUNCTION("""COMPUTED_VALUE"""),0.0)</f>
        <v>0</v>
      </c>
      <c r="K1485" s="6">
        <f>IFERROR(__xludf.DUMMYFUNCTION("""COMPUTED_VALUE"""),0.0)</f>
        <v>0</v>
      </c>
      <c r="L1485" s="3"/>
      <c r="M1485" s="3"/>
    </row>
    <row r="1486" ht="48.0" customHeight="1">
      <c r="A1486" s="3" t="str">
        <f>IFERROR(__xludf.DUMMYFUNCTION("""COMPUTED_VALUE"""),"ALMC1000SFP")</f>
        <v>ALMC1000SFP</v>
      </c>
      <c r="B1486" s="4" t="str">
        <f>IFERROR(__xludf.DUMMYFUNCTION("""COMPUTED_VALUE"""),"MEDIA CONVERTER GIGABIT RJ45 AND SFP FIBER CONVERTER 1-PORT")</f>
        <v>MEDIA CONVERTER GIGABIT RJ45 AND SFP FIBER CONVERTER 1-PORT</v>
      </c>
      <c r="C1486" s="4" t="str">
        <f>IFERROR(__xludf.DUMMYFUNCTION("""COMPUTED_VALUE"""),"Media converter Gigabit RJ45 and SFP Fiber Converter 1-port 10/100/1000 Base-T , 1-Port 100/1000Mbps SFP hot swappable, requiere un SFP-SX para fibra multimodo o SFP-LX-10 para fibra monomodo")</f>
        <v>Media converter Gigabit RJ45 and SFP Fiber Converter 1-port 10/100/1000 Base-T , 1-Port 100/1000Mbps SFP hot swappable, requiere un SFP-SX para fibra multimodo o SFP-LX-10 para fibra monomodo</v>
      </c>
      <c r="D1486" s="4" t="str">
        <f>IFERROR(__xludf.DUMMYFUNCTION("""COMPUTED_VALUE"""),"AIRLIVE")</f>
        <v>AIRLIVE</v>
      </c>
      <c r="E1486" s="4" t="str">
        <f>IFERROR(__xludf.DUMMYFUNCTION("""COMPUTED_VALUE"""),"ALMC1000SFP")</f>
        <v>ALMC1000SFP</v>
      </c>
      <c r="F1486" s="4" t="str">
        <f>IFERROR(__xludf.DUMMYFUNCTION("""COMPUTED_VALUE"""),"CONECTIVIDAD &gt; FIBRA ÓPTICA")</f>
        <v>CONECTIVIDAD &gt; FIBRA ÓPTICA</v>
      </c>
      <c r="G1486" s="5"/>
      <c r="H1486" s="6">
        <f>IFERROR(__xludf.DUMMYFUNCTION("""COMPUTED_VALUE"""),60.5)</f>
        <v>60.5</v>
      </c>
      <c r="I1486" s="7">
        <f>IFERROR(__xludf.DUMMYFUNCTION("""COMPUTED_VALUE"""),21.0)</f>
        <v>21</v>
      </c>
      <c r="J1486" s="6">
        <f>IFERROR(__xludf.DUMMYFUNCTION("""COMPUTED_VALUE"""),72.6)</f>
        <v>72.6</v>
      </c>
      <c r="K1486" s="6">
        <f>IFERROR(__xludf.DUMMYFUNCTION("""COMPUTED_VALUE"""),84.7)</f>
        <v>84.7</v>
      </c>
      <c r="L1486" s="3"/>
      <c r="M1486" s="3"/>
    </row>
    <row r="1487" ht="48.0" customHeight="1">
      <c r="A1487" s="3" t="str">
        <f>IFERROR(__xludf.DUMMYFUNCTION("""COMPUTED_VALUE"""),"TPLSM311LM")</f>
        <v>TPLSM311LM</v>
      </c>
      <c r="B1487" s="4" t="str">
        <f>IFERROR(__xludf.DUMMYFUNCTION("""COMPUTED_VALUE"""),"(0135501085) TP-LINK TL-SM311LS SFP/MINIGBIC FIBRA OPTICA 1250MBPS 850")</f>
        <v>(0135501085) TP-LINK TL-SM311LS SFP/MINIGBIC FIBRA OPTICA 1250MBPS 850</v>
      </c>
      <c r="C1487" s="4" t="str">
        <f>IFERROR(__xludf.DUMMYFUNCTION("""COMPUTED_VALUE"""),"(0135501085) TP-Link TL-SM311LS SFP/MiniGbic Fibra Optica 1250Mbps 850nm 1000Base-LX Multimodo Omada 550m")</f>
        <v>(0135501085) TP-Link TL-SM311LS SFP/MiniGbic Fibra Optica 1250Mbps 850nm 1000Base-LX Multimodo Omada 550m</v>
      </c>
      <c r="D1487" s="4" t="str">
        <f>IFERROR(__xludf.DUMMYFUNCTION("""COMPUTED_VALUE"""),"TP-LINK")</f>
        <v>TP-LINK</v>
      </c>
      <c r="E1487" s="4" t="str">
        <f>IFERROR(__xludf.DUMMYFUNCTION("""COMPUTED_VALUE"""),"TPLSM311LM")</f>
        <v>TPLSM311LM</v>
      </c>
      <c r="F1487" s="4" t="str">
        <f>IFERROR(__xludf.DUMMYFUNCTION("""COMPUTED_VALUE"""),"CONECTIVIDAD &gt; FIBRA ÓPTICA")</f>
        <v>CONECTIVIDAD &gt; FIBRA ÓPTICA</v>
      </c>
      <c r="G1487" s="5"/>
      <c r="H1487" s="6">
        <f>IFERROR(__xludf.DUMMYFUNCTION("""COMPUTED_VALUE"""),24.75)</f>
        <v>24.75</v>
      </c>
      <c r="I1487" s="7">
        <f>IFERROR(__xludf.DUMMYFUNCTION("""COMPUTED_VALUE"""),21.0)</f>
        <v>21</v>
      </c>
      <c r="J1487" s="6">
        <f>IFERROR(__xludf.DUMMYFUNCTION("""COMPUTED_VALUE"""),29.7)</f>
        <v>29.7</v>
      </c>
      <c r="K1487" s="6">
        <f>IFERROR(__xludf.DUMMYFUNCTION("""COMPUTED_VALUE"""),34.65)</f>
        <v>34.65</v>
      </c>
      <c r="L1487" s="3"/>
      <c r="M1487" s="3"/>
    </row>
    <row r="1488" ht="48.0" customHeight="1">
      <c r="A1488" s="3" t="str">
        <f>IFERROR(__xludf.DUMMYFUNCTION("""COMPUTED_VALUE"""),"TPLSM311LS")</f>
        <v>TPLSM311LS</v>
      </c>
      <c r="B1488" s="4" t="str">
        <f>IFERROR(__xludf.DUMMYFUNCTION("""COMPUTED_VALUE"""),"(0135501083) TP-LINK TL-SM311LS SFP/MINIGBIC FIBRA OPTICA 1250MBPS 131")</f>
        <v>(0135501083) TP-LINK TL-SM311LS SFP/MINIGBIC FIBRA OPTICA 1250MBPS 131</v>
      </c>
      <c r="C1488" s="4" t="str">
        <f>IFERROR(__xludf.DUMMYFUNCTION("""COMPUTED_VALUE"""),"(0135501083) TP-Link TL-SM311LS SFP/MiniGbic Fibra Optica 1250Mbps 1310nm 1000Base-LX Monomodo Omada 20Km")</f>
        <v>(0135501083) TP-Link TL-SM311LS SFP/MiniGbic Fibra Optica 1250Mbps 1310nm 1000Base-LX Monomodo Omada 20Km</v>
      </c>
      <c r="D1488" s="4" t="str">
        <f>IFERROR(__xludf.DUMMYFUNCTION("""COMPUTED_VALUE"""),"TP-LINK")</f>
        <v>TP-LINK</v>
      </c>
      <c r="E1488" s="4" t="str">
        <f>IFERROR(__xludf.DUMMYFUNCTION("""COMPUTED_VALUE"""),"TPLSM311LS")</f>
        <v>TPLSM311LS</v>
      </c>
      <c r="F1488" s="4" t="str">
        <f>IFERROR(__xludf.DUMMYFUNCTION("""COMPUTED_VALUE"""),"CONECTIVIDAD &gt; FIBRA ÓPTICA")</f>
        <v>CONECTIVIDAD &gt; FIBRA ÓPTICA</v>
      </c>
      <c r="G1488" s="5"/>
      <c r="H1488" s="6">
        <f>IFERROR(__xludf.DUMMYFUNCTION("""COMPUTED_VALUE"""),30.25)</f>
        <v>30.25</v>
      </c>
      <c r="I1488" s="7">
        <f>IFERROR(__xludf.DUMMYFUNCTION("""COMPUTED_VALUE"""),21.0)</f>
        <v>21</v>
      </c>
      <c r="J1488" s="6">
        <f>IFERROR(__xludf.DUMMYFUNCTION("""COMPUTED_VALUE"""),36.3)</f>
        <v>36.3</v>
      </c>
      <c r="K1488" s="6">
        <f>IFERROR(__xludf.DUMMYFUNCTION("""COMPUTED_VALUE"""),42.35)</f>
        <v>42.35</v>
      </c>
      <c r="L1488" s="3"/>
      <c r="M1488" s="3"/>
    </row>
    <row r="1489" ht="48.0" customHeight="1">
      <c r="A1489" s="3" t="str">
        <f>IFERROR(__xludf.DUMMYFUNCTION("""COMPUTED_VALUE"""),"TPLSM321B")</f>
        <v>TPLSM321B</v>
      </c>
      <c r="B1489" s="4" t="str">
        <f>IFERROR(__xludf.DUMMYFUNCTION("""COMPUTED_VALUE"""),"(0135501080) TP-LINK OMADA SM321B SFP FIBRA ÓPTICA 1250 MBPS")</f>
        <v>(0135501080) TP-LINK OMADA SM321B SFP FIBRA ÓPTICA 1250 MBPS</v>
      </c>
      <c r="C1489" s="4" t="str">
        <f>IFERROR(__xludf.DUMMYFUNCTION("""COMPUTED_VALUE"""),"(0135501080) TP-Link Omada SM321B SFP Fibra óptica 1250 Mbps Omada 1000Base-BX WDM Bi-Directional Monomodo LC 20Km")</f>
        <v>(0135501080) TP-Link Omada SM321B SFP Fibra óptica 1250 Mbps Omada 1000Base-BX WDM Bi-Directional Monomodo LC 20Km</v>
      </c>
      <c r="D1489" s="4" t="str">
        <f>IFERROR(__xludf.DUMMYFUNCTION("""COMPUTED_VALUE"""),"TP-LINK")</f>
        <v>TP-LINK</v>
      </c>
      <c r="E1489" s="4" t="str">
        <f>IFERROR(__xludf.DUMMYFUNCTION("""COMPUTED_VALUE"""),"TPLSM321B")</f>
        <v>TPLSM321B</v>
      </c>
      <c r="F1489" s="4" t="str">
        <f>IFERROR(__xludf.DUMMYFUNCTION("""COMPUTED_VALUE"""),"CONECTIVIDAD &gt; FIBRA ÓPTICA")</f>
        <v>CONECTIVIDAD &gt; FIBRA ÓPTICA</v>
      </c>
      <c r="G1489" s="5"/>
      <c r="H1489" s="6">
        <f>IFERROR(__xludf.DUMMYFUNCTION("""COMPUTED_VALUE"""),23.38)</f>
        <v>23.38</v>
      </c>
      <c r="I1489" s="7">
        <f>IFERROR(__xludf.DUMMYFUNCTION("""COMPUTED_VALUE"""),21.0)</f>
        <v>21</v>
      </c>
      <c r="J1489" s="6">
        <f>IFERROR(__xludf.DUMMYFUNCTION("""COMPUTED_VALUE"""),28.06)</f>
        <v>28.06</v>
      </c>
      <c r="K1489" s="6">
        <f>IFERROR(__xludf.DUMMYFUNCTION("""COMPUTED_VALUE"""),32.73)</f>
        <v>32.73</v>
      </c>
      <c r="L1489" s="3"/>
      <c r="M1489" s="3"/>
    </row>
    <row r="1490" ht="48.0" customHeight="1">
      <c r="A1490" s="3" t="str">
        <f>IFERROR(__xludf.DUMMYFUNCTION("""COMPUTED_VALUE"""),"ALSFPSXV2")</f>
        <v>ALSFPSXV2</v>
      </c>
      <c r="B1490" s="4" t="str">
        <f>IFERROR(__xludf.DUMMYFUNCTION("""COMPUTED_VALUE"""),"TRANSCEPTOR MULTIMODO MINIGBIC 1000BASE-SX, CONECTOR LC, V2")</f>
        <v>TRANSCEPTOR MULTIMODO MINIGBIC 1000BASE-SX, CONECTOR LC, V2</v>
      </c>
      <c r="C1490" s="4" t="str">
        <f>IFERROR(__xludf.DUMMYFUNCTION("""COMPUTED_VALUE"""),"Transceptor multimodo MiniGBIC 1000Base-SX, conector LC, V2")</f>
        <v>Transceptor multimodo MiniGBIC 1000Base-SX, conector LC, V2</v>
      </c>
      <c r="D1490" s="4" t="str">
        <f>IFERROR(__xludf.DUMMYFUNCTION("""COMPUTED_VALUE"""),"AIRLIVE")</f>
        <v>AIRLIVE</v>
      </c>
      <c r="E1490" s="4" t="str">
        <f>IFERROR(__xludf.DUMMYFUNCTION("""COMPUTED_VALUE"""),"ALSFPSXV2")</f>
        <v>ALSFPSXV2</v>
      </c>
      <c r="F1490" s="4" t="str">
        <f>IFERROR(__xludf.DUMMYFUNCTION("""COMPUTED_VALUE"""),"CONECTIVIDAD &gt; FIBRA ÓPTICA")</f>
        <v>CONECTIVIDAD &gt; FIBRA ÓPTICA</v>
      </c>
      <c r="G1490" s="5"/>
      <c r="H1490" s="6">
        <f>IFERROR(__xludf.DUMMYFUNCTION("""COMPUTED_VALUE"""),27.5)</f>
        <v>27.5</v>
      </c>
      <c r="I1490" s="7">
        <f>IFERROR(__xludf.DUMMYFUNCTION("""COMPUTED_VALUE"""),10.5)</f>
        <v>10.5</v>
      </c>
      <c r="J1490" s="6">
        <f>IFERROR(__xludf.DUMMYFUNCTION("""COMPUTED_VALUE"""),33.0)</f>
        <v>33</v>
      </c>
      <c r="K1490" s="6">
        <f>IFERROR(__xludf.DUMMYFUNCTION("""COMPUTED_VALUE"""),38.5)</f>
        <v>38.5</v>
      </c>
      <c r="L1490" s="3"/>
      <c r="M1490" s="3"/>
    </row>
    <row r="1491" ht="48.0" customHeight="1">
      <c r="A1491" s="3" t="str">
        <f>IFERROR(__xludf.DUMMYFUNCTION("""COMPUTED_VALUE"""),"ALSFPLX10V2")</f>
        <v>ALSFPLX10V2</v>
      </c>
      <c r="B1491" s="4" t="str">
        <f>IFERROR(__xludf.DUMMYFUNCTION("""COMPUTED_VALUE"""),"TRANSCEPTOR MONOMODO MINIGBIC 1000BASE-LX, CONECTOR LC, 10 KM, V2")</f>
        <v>TRANSCEPTOR MONOMODO MINIGBIC 1000BASE-LX, CONECTOR LC, 10 KM, V2</v>
      </c>
      <c r="C1491" s="4" t="str">
        <f>IFERROR(__xludf.DUMMYFUNCTION("""COMPUTED_VALUE"""),"Transceptor monomodo MiniGBIC 1000Base-LX, conector LC, 10 km, V2")</f>
        <v>Transceptor monomodo MiniGBIC 1000Base-LX, conector LC, 10 km, V2</v>
      </c>
      <c r="D1491" s="4" t="str">
        <f>IFERROR(__xludf.DUMMYFUNCTION("""COMPUTED_VALUE"""),"AIRLIVE")</f>
        <v>AIRLIVE</v>
      </c>
      <c r="E1491" s="4" t="str">
        <f>IFERROR(__xludf.DUMMYFUNCTION("""COMPUTED_VALUE"""),"ALSFPLX10V2")</f>
        <v>ALSFPLX10V2</v>
      </c>
      <c r="F1491" s="4" t="str">
        <f>IFERROR(__xludf.DUMMYFUNCTION("""COMPUTED_VALUE"""),"CONECTIVIDAD &gt; FIBRA ÓPTICA")</f>
        <v>CONECTIVIDAD &gt; FIBRA ÓPTICA</v>
      </c>
      <c r="G1491" s="5"/>
      <c r="H1491" s="6">
        <f>IFERROR(__xludf.DUMMYFUNCTION("""COMPUTED_VALUE"""),27.5)</f>
        <v>27.5</v>
      </c>
      <c r="I1491" s="7">
        <f>IFERROR(__xludf.DUMMYFUNCTION("""COMPUTED_VALUE"""),10.5)</f>
        <v>10.5</v>
      </c>
      <c r="J1491" s="6">
        <f>IFERROR(__xludf.DUMMYFUNCTION("""COMPUTED_VALUE"""),33.0)</f>
        <v>33</v>
      </c>
      <c r="K1491" s="6">
        <f>IFERROR(__xludf.DUMMYFUNCTION("""COMPUTED_VALUE"""),38.5)</f>
        <v>38.5</v>
      </c>
      <c r="L1491" s="3"/>
      <c r="M1491" s="3"/>
    </row>
    <row r="1492" ht="48.0" customHeight="1">
      <c r="A1492" s="3" t="str">
        <f>IFERROR(__xludf.DUMMYFUNCTION("""COMPUTED_VALUE"""),"HK-SFP-1.25G-20-1310")</f>
        <v>HK-SFP-1.25G-20-1310</v>
      </c>
      <c r="B1492" s="4" t="str">
        <f>IFERROR(__xludf.DUMMYFUNCTION("""COMPUTED_VALUE"""),"SFP MODULE SMALL FORM FACTOR PLUGGABLE (SFP) MSA COMPATIBLE")</f>
        <v>SFP MODULE SMALL FORM FACTOR PLUGGABLE (SFP) MSA COMPATIBLE</v>
      </c>
      <c r="C1492" s="4" t="str">
        <f>IFERROR(__xludf.DUMMYFUNCTION("""COMPUTED_VALUE"""),"SFP Module Small form factor pluggable (SFP) MSA compatible Single fiber bi-directional LC connector Hot pluggable capability Compliant with ROHS standard Cost effective SFP solution, enables higher port densities and greater bandwidth Supports 1.25G Ethe"&amp;"rnet")</f>
        <v>SFP Module Small form factor pluggable (SFP) MSA compatible Single fiber bi-directional LC connector Hot pluggable capability Compliant with ROHS standard Cost effective SFP solution, enables higher port densities and greater bandwidth Supports 1.25G Ethernet</v>
      </c>
      <c r="D1492" s="4" t="str">
        <f>IFERROR(__xludf.DUMMYFUNCTION("""COMPUTED_VALUE"""),"HIKVISION")</f>
        <v>HIKVISION</v>
      </c>
      <c r="E1492" s="4" t="str">
        <f>IFERROR(__xludf.DUMMYFUNCTION("""COMPUTED_VALUE"""),"HK-SFP-1.25G-20-1310")</f>
        <v>HK-SFP-1.25G-20-1310</v>
      </c>
      <c r="F1492" s="4" t="str">
        <f>IFERROR(__xludf.DUMMYFUNCTION("""COMPUTED_VALUE"""),"CONECTIVIDAD &gt; FIBRA ÓPTICA")</f>
        <v>CONECTIVIDAD &gt; FIBRA ÓPTICA</v>
      </c>
      <c r="G1492" s="5"/>
      <c r="H1492" s="6">
        <f>IFERROR(__xludf.DUMMYFUNCTION("""COMPUTED_VALUE"""),51.7)</f>
        <v>51.7</v>
      </c>
      <c r="I1492" s="7">
        <f>IFERROR(__xludf.DUMMYFUNCTION("""COMPUTED_VALUE"""),10.5)</f>
        <v>10.5</v>
      </c>
      <c r="J1492" s="6">
        <f>IFERROR(__xludf.DUMMYFUNCTION("""COMPUTED_VALUE"""),62.04)</f>
        <v>62.04</v>
      </c>
      <c r="K1492" s="6">
        <f>IFERROR(__xludf.DUMMYFUNCTION("""COMPUTED_VALUE"""),72.38)</f>
        <v>72.38</v>
      </c>
      <c r="L1492" s="3"/>
      <c r="M1492" s="3"/>
    </row>
    <row r="1493" ht="48.0" customHeight="1">
      <c r="A1493" s="3" t="str">
        <f>IFERROR(__xludf.DUMMYFUNCTION("""COMPUTED_VALUE"""),"HK-SFP-1.25G-20-1550")</f>
        <v>HK-SFP-1.25G-20-1550</v>
      </c>
      <c r="B1493" s="4" t="str">
        <f>IFERROR(__xludf.DUMMYFUNCTION("""COMPUTED_VALUE"""),"SFP MODULE SMALL FORM FACTOR PLUGGABLE (SFP) MSA COMPATIBLE")</f>
        <v>SFP MODULE SMALL FORM FACTOR PLUGGABLE (SFP) MSA COMPATIBLE</v>
      </c>
      <c r="C1493" s="4" t="str">
        <f>IFERROR(__xludf.DUMMYFUNCTION("""COMPUTED_VALUE"""),"SFP Module Small form factor pluggable (SFP) MSA compatible Single fiber bi-directional LC connector Hot pluggable capability Compliant with ROHS standard Cost effective SFP solution, enables higher port densities and greater bandwidth Supports 1.25G Ethe"&amp;"rnet")</f>
        <v>SFP Module Small form factor pluggable (SFP) MSA compatible Single fiber bi-directional LC connector Hot pluggable capability Compliant with ROHS standard Cost effective SFP solution, enables higher port densities and greater bandwidth Supports 1.25G Ethernet</v>
      </c>
      <c r="D1493" s="4" t="str">
        <f>IFERROR(__xludf.DUMMYFUNCTION("""COMPUTED_VALUE"""),"HIKVISION")</f>
        <v>HIKVISION</v>
      </c>
      <c r="E1493" s="4" t="str">
        <f>IFERROR(__xludf.DUMMYFUNCTION("""COMPUTED_VALUE"""),"HK-SFP-1.25G-20-1550")</f>
        <v>HK-SFP-1.25G-20-1550</v>
      </c>
      <c r="F1493" s="4" t="str">
        <f>IFERROR(__xludf.DUMMYFUNCTION("""COMPUTED_VALUE"""),"CONECTIVIDAD &gt; FIBRA ÓPTICA")</f>
        <v>CONECTIVIDAD &gt; FIBRA ÓPTICA</v>
      </c>
      <c r="G1493" s="5"/>
      <c r="H1493" s="6">
        <f>IFERROR(__xludf.DUMMYFUNCTION("""COMPUTED_VALUE"""),69.3)</f>
        <v>69.3</v>
      </c>
      <c r="I1493" s="7">
        <f>IFERROR(__xludf.DUMMYFUNCTION("""COMPUTED_VALUE"""),10.5)</f>
        <v>10.5</v>
      </c>
      <c r="J1493" s="6">
        <f>IFERROR(__xludf.DUMMYFUNCTION("""COMPUTED_VALUE"""),83.16)</f>
        <v>83.16</v>
      </c>
      <c r="K1493" s="6">
        <f>IFERROR(__xludf.DUMMYFUNCTION("""COMPUTED_VALUE"""),97.02)</f>
        <v>97.02</v>
      </c>
      <c r="L1493" s="3"/>
      <c r="M1493" s="3"/>
    </row>
    <row r="1494" ht="48.0" customHeight="1">
      <c r="A1494" s="3" t="str">
        <f>IFERROR(__xludf.DUMMYFUNCTION("""COMPUTED_VALUE"""),"TPLCPE210")</f>
        <v>TPLCPE210</v>
      </c>
      <c r="B1494" s="4" t="str">
        <f>IFERROR(__xludf.DUMMYFUNCTION("""COMPUTED_VALUE"""),"CPE210 CPE 2")</f>
        <v>CPE210 CPE 2</v>
      </c>
      <c r="C1494" s="4" t="str">
        <f>IFERROR(__xludf.DUMMYFUNCTION("""COMPUTED_VALUE"""),"CPE210 CPE 2.4 GHz 300 Mbps 9dbi High Power AP")</f>
        <v>CPE210 CPE 2.4 GHz 300 Mbps 9dbi High Power AP</v>
      </c>
      <c r="D1494" s="4" t="str">
        <f>IFERROR(__xludf.DUMMYFUNCTION("""COMPUTED_VALUE"""),"TP-LINK")</f>
        <v>TP-LINK</v>
      </c>
      <c r="E1494" s="4" t="str">
        <f>IFERROR(__xludf.DUMMYFUNCTION("""COMPUTED_VALUE"""),"TPLCPE210")</f>
        <v>TPLCPE210</v>
      </c>
      <c r="F1494" s="4" t="str">
        <f>IFERROR(__xludf.DUMMYFUNCTION("""COMPUTED_VALUE"""),"CONECTIVIDAD &gt; ENLACES INALAMBRICOS AP EXTERIOR")</f>
        <v>CONECTIVIDAD &gt; ENLACES INALAMBRICOS AP EXTERIOR</v>
      </c>
      <c r="G1494" s="5"/>
      <c r="H1494" s="6">
        <f>IFERROR(__xludf.DUMMYFUNCTION("""COMPUTED_VALUE"""),48.4)</f>
        <v>48.4</v>
      </c>
      <c r="I1494" s="7">
        <f>IFERROR(__xludf.DUMMYFUNCTION("""COMPUTED_VALUE"""),10.5)</f>
        <v>10.5</v>
      </c>
      <c r="J1494" s="6">
        <f>IFERROR(__xludf.DUMMYFUNCTION("""COMPUTED_VALUE"""),58.08)</f>
        <v>58.08</v>
      </c>
      <c r="K1494" s="6">
        <f>IFERROR(__xludf.DUMMYFUNCTION("""COMPUTED_VALUE"""),67.76)</f>
        <v>67.76</v>
      </c>
      <c r="L1494" s="3"/>
      <c r="M1494" s="3"/>
    </row>
    <row r="1495" ht="48.0" customHeight="1">
      <c r="A1495" s="3" t="str">
        <f>IFERROR(__xludf.DUMMYFUNCTION("""COMPUTED_VALUE"""),"TPLCPE220")</f>
        <v>TPLCPE220</v>
      </c>
      <c r="B1495" s="4" t="str">
        <f>IFERROR(__xludf.DUMMYFUNCTION("""COMPUTED_VALUE"""),"ANTENA TP LINK CPE OUTDOOR 300MBPS 2")</f>
        <v>ANTENA TP LINK CPE OUTDOOR 300MBPS 2</v>
      </c>
      <c r="C1495" s="4" t="str">
        <f>IFERROR(__xludf.DUMMYFUNCTION("""COMPUTED_VALUE"""),"ANTENA TP LINK CPE OUTDOOR 300Mbps 2.4GHZ 12 DBI MIMO 2X29")</f>
        <v>ANTENA TP LINK CPE OUTDOOR 300Mbps 2.4GHZ 12 DBI MIMO 2X29</v>
      </c>
      <c r="D1495" s="4" t="str">
        <f>IFERROR(__xludf.DUMMYFUNCTION("""COMPUTED_VALUE"""),"TP-LINK")</f>
        <v>TP-LINK</v>
      </c>
      <c r="E1495" s="4" t="str">
        <f>IFERROR(__xludf.DUMMYFUNCTION("""COMPUTED_VALUE"""),"TPLCPE220")</f>
        <v>TPLCPE220</v>
      </c>
      <c r="F1495" s="4" t="str">
        <f>IFERROR(__xludf.DUMMYFUNCTION("""COMPUTED_VALUE"""),"CONECTIVIDAD &gt; ENLACES INALAMBRICOS AP EXTERIOR")</f>
        <v>CONECTIVIDAD &gt; ENLACES INALAMBRICOS AP EXTERIOR</v>
      </c>
      <c r="G1495" s="5"/>
      <c r="H1495" s="6">
        <f>IFERROR(__xludf.DUMMYFUNCTION("""COMPUTED_VALUE"""),55.0)</f>
        <v>55</v>
      </c>
      <c r="I1495" s="7">
        <f>IFERROR(__xludf.DUMMYFUNCTION("""COMPUTED_VALUE"""),10.5)</f>
        <v>10.5</v>
      </c>
      <c r="J1495" s="6">
        <f>IFERROR(__xludf.DUMMYFUNCTION("""COMPUTED_VALUE"""),66.0)</f>
        <v>66</v>
      </c>
      <c r="K1495" s="6">
        <f>IFERROR(__xludf.DUMMYFUNCTION("""COMPUTED_VALUE"""),77.0)</f>
        <v>77</v>
      </c>
      <c r="L1495" s="3"/>
      <c r="M1495" s="3"/>
    </row>
    <row r="1496" ht="48.0" customHeight="1">
      <c r="A1496" s="3" t="str">
        <f>IFERROR(__xludf.DUMMYFUNCTION("""COMPUTED_VALUE"""),"TPLCPE510")</f>
        <v>TPLCPE510</v>
      </c>
      <c r="B1496" s="4" t="str">
        <f>IFERROR(__xludf.DUMMYFUNCTION("""COMPUTED_VALUE"""),"ANTENA TP LINK CPE OUTDOOR 300MBPS 5")</f>
        <v>ANTENA TP LINK CPE OUTDOOR 300MBPS 5</v>
      </c>
      <c r="C1496" s="4" t="str">
        <f>IFERROR(__xludf.DUMMYFUNCTION("""COMPUTED_VALUE"""),"ANTENA TP LINK CPE OUTDOOR 300Mbps 5.8GHZ 13DBI MIMO 2X2")</f>
        <v>ANTENA TP LINK CPE OUTDOOR 300Mbps 5.8GHZ 13DBI MIMO 2X2</v>
      </c>
      <c r="D1496" s="4" t="str">
        <f>IFERROR(__xludf.DUMMYFUNCTION("""COMPUTED_VALUE"""),"TP-LINK")</f>
        <v>TP-LINK</v>
      </c>
      <c r="E1496" s="4" t="str">
        <f>IFERROR(__xludf.DUMMYFUNCTION("""COMPUTED_VALUE"""),"TPLCPE510")</f>
        <v>TPLCPE510</v>
      </c>
      <c r="F1496" s="4" t="str">
        <f>IFERROR(__xludf.DUMMYFUNCTION("""COMPUTED_VALUE"""),"CONECTIVIDAD &gt; ENLACES INALAMBRICOS AP EXTERIOR")</f>
        <v>CONECTIVIDAD &gt; ENLACES INALAMBRICOS AP EXTERIOR</v>
      </c>
      <c r="G1496" s="5"/>
      <c r="H1496" s="6">
        <f>IFERROR(__xludf.DUMMYFUNCTION("""COMPUTED_VALUE"""),66.76)</f>
        <v>66.76</v>
      </c>
      <c r="I1496" s="7">
        <f>IFERROR(__xludf.DUMMYFUNCTION("""COMPUTED_VALUE"""),10.5)</f>
        <v>10.5</v>
      </c>
      <c r="J1496" s="6">
        <f>IFERROR(__xludf.DUMMYFUNCTION("""COMPUTED_VALUE"""),80.11)</f>
        <v>80.11</v>
      </c>
      <c r="K1496" s="6">
        <f>IFERROR(__xludf.DUMMYFUNCTION("""COMPUTED_VALUE"""),93.46)</f>
        <v>93.46</v>
      </c>
      <c r="L1496" s="3"/>
      <c r="M1496" s="3"/>
    </row>
    <row r="1497" ht="48.0" customHeight="1">
      <c r="A1497" s="3" t="str">
        <f>IFERROR(__xludf.DUMMYFUNCTION("""COMPUTED_VALUE"""),"TPLCPE610")</f>
        <v>TPLCPE610</v>
      </c>
      <c r="B1497" s="4" t="str">
        <f>IFERROR(__xludf.DUMMYFUNCTION("""COMPUTED_VALUE"""),"ANTENA TP LINK CPE OUTDOOR 300MBPS 5")</f>
        <v>ANTENA TP LINK CPE OUTDOOR 300MBPS 5</v>
      </c>
      <c r="C1497" s="4" t="str">
        <f>IFERROR(__xludf.DUMMYFUNCTION("""COMPUTED_VALUE"""),"ANTENA TP LINK CPE OUTDOOR 300Mbps 5.8GHZ 23DBI MIMO 2X2")</f>
        <v>ANTENA TP LINK CPE OUTDOOR 300Mbps 5.8GHZ 23DBI MIMO 2X2</v>
      </c>
      <c r="D1497" s="4" t="str">
        <f>IFERROR(__xludf.DUMMYFUNCTION("""COMPUTED_VALUE"""),"TP-LINK")</f>
        <v>TP-LINK</v>
      </c>
      <c r="E1497" s="4" t="str">
        <f>IFERROR(__xludf.DUMMYFUNCTION("""COMPUTED_VALUE"""),"TPLCPE610")</f>
        <v>TPLCPE610</v>
      </c>
      <c r="F1497" s="4" t="str">
        <f>IFERROR(__xludf.DUMMYFUNCTION("""COMPUTED_VALUE"""),"CONECTIVIDAD &gt; ENLACES INALAMBRICOS AP EXTERIOR")</f>
        <v>CONECTIVIDAD &gt; ENLACES INALAMBRICOS AP EXTERIOR</v>
      </c>
      <c r="G1497" s="5"/>
      <c r="H1497" s="6">
        <f>IFERROR(__xludf.DUMMYFUNCTION("""COMPUTED_VALUE"""),81.13)</f>
        <v>81.13</v>
      </c>
      <c r="I1497" s="7">
        <f>IFERROR(__xludf.DUMMYFUNCTION("""COMPUTED_VALUE"""),10.5)</f>
        <v>10.5</v>
      </c>
      <c r="J1497" s="6">
        <f>IFERROR(__xludf.DUMMYFUNCTION("""COMPUTED_VALUE"""),97.36)</f>
        <v>97.36</v>
      </c>
      <c r="K1497" s="6">
        <f>IFERROR(__xludf.DUMMYFUNCTION("""COMPUTED_VALUE"""),113.58)</f>
        <v>113.58</v>
      </c>
      <c r="L1497" s="3"/>
      <c r="M1497" s="3"/>
    </row>
    <row r="1498" ht="48.0" customHeight="1">
      <c r="A1498" s="3" t="str">
        <f>IFERROR(__xludf.DUMMYFUNCTION("""COMPUTED_VALUE"""),"TPLCPE710")</f>
        <v>TPLCPE710</v>
      </c>
      <c r="B1498" s="4" t="str">
        <f>IFERROR(__xludf.DUMMYFUNCTION("""COMPUTED_VALUE"""),"ANTENA TP LINK CPE OUTDOOR 300MBPS 5")</f>
        <v>ANTENA TP LINK CPE OUTDOOR 300MBPS 5</v>
      </c>
      <c r="C1498" s="4" t="str">
        <f>IFERROR(__xludf.DUMMYFUNCTION("""COMPUTED_VALUE"""),"ANTENA TP LINK CPE OUTDOOR 300Mbps 5.8GHZ 23DBI MIMO 2X2")</f>
        <v>ANTENA TP LINK CPE OUTDOOR 300Mbps 5.8GHZ 23DBI MIMO 2X2</v>
      </c>
      <c r="D1498" s="4" t="str">
        <f>IFERROR(__xludf.DUMMYFUNCTION("""COMPUTED_VALUE"""),"TP-LINK")</f>
        <v>TP-LINK</v>
      </c>
      <c r="E1498" s="4" t="str">
        <f>IFERROR(__xludf.DUMMYFUNCTION("""COMPUTED_VALUE"""),"TPLCPE710")</f>
        <v>TPLCPE710</v>
      </c>
      <c r="F1498" s="4" t="str">
        <f>IFERROR(__xludf.DUMMYFUNCTION("""COMPUTED_VALUE"""),"CONECTIVIDAD &gt; ENLACES INALAMBRICOS AP EXTERIOR")</f>
        <v>CONECTIVIDAD &gt; ENLACES INALAMBRICOS AP EXTERIOR</v>
      </c>
      <c r="G1498" s="5"/>
      <c r="H1498" s="6">
        <f>IFERROR(__xludf.DUMMYFUNCTION("""COMPUTED_VALUE"""),100.05)</f>
        <v>100.05</v>
      </c>
      <c r="I1498" s="7">
        <f>IFERROR(__xludf.DUMMYFUNCTION("""COMPUTED_VALUE"""),10.5)</f>
        <v>10.5</v>
      </c>
      <c r="J1498" s="6">
        <f>IFERROR(__xludf.DUMMYFUNCTION("""COMPUTED_VALUE"""),120.06)</f>
        <v>120.06</v>
      </c>
      <c r="K1498" s="6">
        <f>IFERROR(__xludf.DUMMYFUNCTION("""COMPUTED_VALUE"""),140.07)</f>
        <v>140.07</v>
      </c>
      <c r="L1498" s="3"/>
      <c r="M1498" s="3"/>
    </row>
    <row r="1499" ht="48.0" customHeight="1">
      <c r="A1499" s="3" t="str">
        <f>IFERROR(__xludf.DUMMYFUNCTION("""COMPUTED_VALUE"""),"UBLOCO5AC")</f>
        <v>UBLOCO5AC</v>
      </c>
      <c r="B1499" s="4" t="str">
        <f>IFERROR(__xludf.DUMMYFUNCTION("""COMPUTED_VALUE"""),"EQUIPO AP OUTDOOR 5GHZ LOCO 5AC 200MW S/POE")</f>
        <v>EQUIPO AP OUTDOOR 5GHZ LOCO 5AC 200MW S/POE</v>
      </c>
      <c r="C1499" s="4" t="str">
        <f>IFERROR(__xludf.DUMMYFUNCTION("""COMPUTED_VALUE"""),"Equipo AP Outdoor 5GHZ LOCO 5AC 200mW s/POE")</f>
        <v>Equipo AP Outdoor 5GHZ LOCO 5AC 200mW s/POE</v>
      </c>
      <c r="D1499" s="4" t="str">
        <f>IFERROR(__xludf.DUMMYFUNCTION("""COMPUTED_VALUE"""),"UBIQUITI")</f>
        <v>UBIQUITI</v>
      </c>
      <c r="E1499" s="4" t="str">
        <f>IFERROR(__xludf.DUMMYFUNCTION("""COMPUTED_VALUE"""),"UBLOCO5AC")</f>
        <v>UBLOCO5AC</v>
      </c>
      <c r="F1499" s="4" t="str">
        <f>IFERROR(__xludf.DUMMYFUNCTION("""COMPUTED_VALUE"""),"CONECTIVIDAD &gt; ENLACES INALAMBRICOS AP EXTERIOR")</f>
        <v>CONECTIVIDAD &gt; ENLACES INALAMBRICOS AP EXTERIOR</v>
      </c>
      <c r="G1499" s="5"/>
      <c r="H1499" s="6">
        <f>IFERROR(__xludf.DUMMYFUNCTION("""COMPUTED_VALUE"""),71.5)</f>
        <v>71.5</v>
      </c>
      <c r="I1499" s="7">
        <f>IFERROR(__xludf.DUMMYFUNCTION("""COMPUTED_VALUE"""),10.5)</f>
        <v>10.5</v>
      </c>
      <c r="J1499" s="6">
        <f>IFERROR(__xludf.DUMMYFUNCTION("""COMPUTED_VALUE"""),85.8)</f>
        <v>85.8</v>
      </c>
      <c r="K1499" s="6">
        <f>IFERROR(__xludf.DUMMYFUNCTION("""COMPUTED_VALUE"""),100.1)</f>
        <v>100.1</v>
      </c>
      <c r="L1499" s="3"/>
      <c r="M1499" s="3"/>
    </row>
    <row r="1500" ht="48.0" customHeight="1">
      <c r="A1500" s="3" t="str">
        <f>IFERROR(__xludf.DUMMYFUNCTION("""COMPUTED_VALUE"""),"UBPOE247WG")</f>
        <v>UBPOE247WG</v>
      </c>
      <c r="B1500" s="4" t="str">
        <f>IFERROR(__xludf.DUMMYFUNCTION("""COMPUTED_VALUE"""),"FUENTE POE 24VDC 7W GIGABIT")</f>
        <v>FUENTE POE 24VDC 7W GIGABIT</v>
      </c>
      <c r="C1500" s="4" t="str">
        <f>IFERROR(__xludf.DUMMYFUNCTION("""COMPUTED_VALUE"""),"Fuente POE 24VDC 7W Gigabit")</f>
        <v>Fuente POE 24VDC 7W Gigabit</v>
      </c>
      <c r="D1500" s="4" t="str">
        <f>IFERROR(__xludf.DUMMYFUNCTION("""COMPUTED_VALUE"""),"UBIQUITI")</f>
        <v>UBIQUITI</v>
      </c>
      <c r="E1500" s="4" t="str">
        <f>IFERROR(__xludf.DUMMYFUNCTION("""COMPUTED_VALUE"""),"UBPOE247WG")</f>
        <v>UBPOE247WG</v>
      </c>
      <c r="F1500" s="4" t="str">
        <f>IFERROR(__xludf.DUMMYFUNCTION("""COMPUTED_VALUE"""),"CONECTIVIDAD &gt; ENLACES INALAMBRICOS AP EXTERIOR")</f>
        <v>CONECTIVIDAD &gt; ENLACES INALAMBRICOS AP EXTERIOR</v>
      </c>
      <c r="G1500" s="5"/>
      <c r="H1500" s="6">
        <f>IFERROR(__xludf.DUMMYFUNCTION("""COMPUTED_VALUE"""),8.25)</f>
        <v>8.25</v>
      </c>
      <c r="I1500" s="7">
        <f>IFERROR(__xludf.DUMMYFUNCTION("""COMPUTED_VALUE"""),21.0)</f>
        <v>21</v>
      </c>
      <c r="J1500" s="6">
        <f>IFERROR(__xludf.DUMMYFUNCTION("""COMPUTED_VALUE"""),9.9)</f>
        <v>9.9</v>
      </c>
      <c r="K1500" s="6">
        <f>IFERROR(__xludf.DUMMYFUNCTION("""COMPUTED_VALUE"""),11.55)</f>
        <v>11.55</v>
      </c>
      <c r="L1500" s="3"/>
      <c r="M1500" s="3"/>
    </row>
    <row r="1501" ht="48.0" customHeight="1">
      <c r="A1501" s="3" t="str">
        <f>IFERROR(__xludf.DUMMYFUNCTION("""COMPUTED_VALUE"""),"UBLOCOM5")</f>
        <v>UBLOCOM5</v>
      </c>
      <c r="B1501" s="4" t="str">
        <f>IFERROR(__xludf.DUMMYFUNCTION("""COMPUTED_VALUE"""),"EQUIPO AP OUTDOOR 5GHZ LOCO M5 200MW")</f>
        <v>EQUIPO AP OUTDOOR 5GHZ LOCO M5 200MW</v>
      </c>
      <c r="C1501" s="4" t="str">
        <f>IFERROR(__xludf.DUMMYFUNCTION("""COMPUTED_VALUE"""),"Equipo AP Outdoor 5GHZ LOCO M5 200mW")</f>
        <v>Equipo AP Outdoor 5GHZ LOCO M5 200mW</v>
      </c>
      <c r="D1501" s="4" t="str">
        <f>IFERROR(__xludf.DUMMYFUNCTION("""COMPUTED_VALUE"""),"UBIQUITI")</f>
        <v>UBIQUITI</v>
      </c>
      <c r="E1501" s="4" t="str">
        <f>IFERROR(__xludf.DUMMYFUNCTION("""COMPUTED_VALUE"""),"UBLOCOM5")</f>
        <v>UBLOCOM5</v>
      </c>
      <c r="F1501" s="4" t="str">
        <f>IFERROR(__xludf.DUMMYFUNCTION("""COMPUTED_VALUE"""),"CONECTIVIDAD &gt; ENLACES INALAMBRICOS AP EXTERIOR")</f>
        <v>CONECTIVIDAD &gt; ENLACES INALAMBRICOS AP EXTERIOR</v>
      </c>
      <c r="G1501" s="5"/>
      <c r="H1501" s="6">
        <f>IFERROR(__xludf.DUMMYFUNCTION("""COMPUTED_VALUE"""),90.75)</f>
        <v>90.75</v>
      </c>
      <c r="I1501" s="7">
        <f>IFERROR(__xludf.DUMMYFUNCTION("""COMPUTED_VALUE"""),10.5)</f>
        <v>10.5</v>
      </c>
      <c r="J1501" s="6">
        <f>IFERROR(__xludf.DUMMYFUNCTION("""COMPUTED_VALUE"""),108.9)</f>
        <v>108.9</v>
      </c>
      <c r="K1501" s="6">
        <f>IFERROR(__xludf.DUMMYFUNCTION("""COMPUTED_VALUE"""),127.05)</f>
        <v>127.05</v>
      </c>
      <c r="L1501" s="3"/>
      <c r="M1501" s="3"/>
    </row>
    <row r="1502" ht="48.0" customHeight="1">
      <c r="A1502" s="3" t="str">
        <f>IFERROR(__xludf.DUMMYFUNCTION("""COMPUTED_VALUE"""),"UBLBEM523")</f>
        <v>UBLBEM523</v>
      </c>
      <c r="B1502" s="4" t="str">
        <f>IFERROR(__xludf.DUMMYFUNCTION("""COMPUTED_VALUE"""),"AP OUT")</f>
        <v>AP OUT</v>
      </c>
      <c r="C1502" s="4" t="str">
        <f>IFERROR(__xludf.DUMMYFUNCTION("""COMPUTED_VALUE"""),"AP OUT.UBIQUITI 5GHZ LITEBEAM 23 DBI 316MW")</f>
        <v>AP OUT.UBIQUITI 5GHZ LITEBEAM 23 DBI 316MW</v>
      </c>
      <c r="D1502" s="4" t="str">
        <f>IFERROR(__xludf.DUMMYFUNCTION("""COMPUTED_VALUE"""),"UBIQUITI")</f>
        <v>UBIQUITI</v>
      </c>
      <c r="E1502" s="4" t="str">
        <f>IFERROR(__xludf.DUMMYFUNCTION("""COMPUTED_VALUE"""),"UBLBEM523")</f>
        <v>UBLBEM523</v>
      </c>
      <c r="F1502" s="4" t="str">
        <f>IFERROR(__xludf.DUMMYFUNCTION("""COMPUTED_VALUE"""),"CONECTIVIDAD &gt; ENLACES INALAMBRICOS AP EXTERIOR")</f>
        <v>CONECTIVIDAD &gt; ENLACES INALAMBRICOS AP EXTERIOR</v>
      </c>
      <c r="G1502" s="5"/>
      <c r="H1502" s="6">
        <f>IFERROR(__xludf.DUMMYFUNCTION("""COMPUTED_VALUE"""),64.63)</f>
        <v>64.63</v>
      </c>
      <c r="I1502" s="7">
        <f>IFERROR(__xludf.DUMMYFUNCTION("""COMPUTED_VALUE"""),10.5)</f>
        <v>10.5</v>
      </c>
      <c r="J1502" s="6">
        <f>IFERROR(__xludf.DUMMYFUNCTION("""COMPUTED_VALUE"""),77.56)</f>
        <v>77.56</v>
      </c>
      <c r="K1502" s="6">
        <f>IFERROR(__xludf.DUMMYFUNCTION("""COMPUTED_VALUE"""),90.48)</f>
        <v>90.48</v>
      </c>
      <c r="L1502" s="3"/>
      <c r="M1502" s="3"/>
    </row>
    <row r="1503" ht="48.0" customHeight="1">
      <c r="A1503" s="3" t="str">
        <f>IFERROR(__xludf.DUMMYFUNCTION("""COMPUTED_VALUE"""),"UBNBE5ACGEN2")</f>
        <v>UBNBE5ACGEN2</v>
      </c>
      <c r="B1503" s="4" t="str">
        <f>IFERROR(__xludf.DUMMYFUNCTION("""COMPUTED_VALUE"""),"AP OUT")</f>
        <v>AP OUT</v>
      </c>
      <c r="C1503" s="4" t="str">
        <f>IFERROR(__xludf.DUMMYFUNCTION("""COMPUTED_VALUE"""),"AP OUT.UBIQUITI 5GHZ NANOBEAM AC 19DBI GEN2")</f>
        <v>AP OUT.UBIQUITI 5GHZ NANOBEAM AC 19DBI GEN2</v>
      </c>
      <c r="D1503" s="4" t="str">
        <f>IFERROR(__xludf.DUMMYFUNCTION("""COMPUTED_VALUE"""),"UBIQUITI")</f>
        <v>UBIQUITI</v>
      </c>
      <c r="E1503" s="4" t="str">
        <f>IFERROR(__xludf.DUMMYFUNCTION("""COMPUTED_VALUE"""),"UBNBE5ACGEN2")</f>
        <v>UBNBE5ACGEN2</v>
      </c>
      <c r="F1503" s="4" t="str">
        <f>IFERROR(__xludf.DUMMYFUNCTION("""COMPUTED_VALUE"""),"CONECTIVIDAD &gt; ENLACES INALAMBRICOS AP EXTERIOR")</f>
        <v>CONECTIVIDAD &gt; ENLACES INALAMBRICOS AP EXTERIOR</v>
      </c>
      <c r="G1503" s="5"/>
      <c r="H1503" s="6">
        <f>IFERROR(__xludf.DUMMYFUNCTION("""COMPUTED_VALUE"""),136.13)</f>
        <v>136.13</v>
      </c>
      <c r="I1503" s="7">
        <f>IFERROR(__xludf.DUMMYFUNCTION("""COMPUTED_VALUE"""),10.5)</f>
        <v>10.5</v>
      </c>
      <c r="J1503" s="6">
        <f>IFERROR(__xludf.DUMMYFUNCTION("""COMPUTED_VALUE"""),163.36)</f>
        <v>163.36</v>
      </c>
      <c r="K1503" s="6">
        <f>IFERROR(__xludf.DUMMYFUNCTION("""COMPUTED_VALUE"""),190.58)</f>
        <v>190.58</v>
      </c>
      <c r="L1503" s="3"/>
      <c r="M1503" s="3"/>
    </row>
    <row r="1504" ht="48.0" customHeight="1">
      <c r="A1504" s="3" t="str">
        <f>IFERROR(__xludf.DUMMYFUNCTION("""COMPUTED_VALUE"""),"UBLBE5ACGEN2")</f>
        <v>UBLBE5ACGEN2</v>
      </c>
      <c r="B1504" s="4" t="str">
        <f>IFERROR(__xludf.DUMMYFUNCTION("""COMPUTED_VALUE"""),"AP OUT")</f>
        <v>AP OUT</v>
      </c>
      <c r="C1504" s="4" t="str">
        <f>IFERROR(__xludf.DUMMYFUNCTION("""COMPUTED_VALUE"""),"AP OUT.UBIQUITI 5GHZ LITEBEAM AC 23 DBI GEN2")</f>
        <v>AP OUT.UBIQUITI 5GHZ LITEBEAM AC 23 DBI GEN2</v>
      </c>
      <c r="D1504" s="4" t="str">
        <f>IFERROR(__xludf.DUMMYFUNCTION("""COMPUTED_VALUE"""),"UBIQUITI")</f>
        <v>UBIQUITI</v>
      </c>
      <c r="E1504" s="4" t="str">
        <f>IFERROR(__xludf.DUMMYFUNCTION("""COMPUTED_VALUE"""),"UBLBE5ACGEN2")</f>
        <v>UBLBE5ACGEN2</v>
      </c>
      <c r="F1504" s="4" t="str">
        <f>IFERROR(__xludf.DUMMYFUNCTION("""COMPUTED_VALUE"""),"CONECTIVIDAD &gt; ENLACES INALAMBRICOS AP EXTERIOR")</f>
        <v>CONECTIVIDAD &gt; ENLACES INALAMBRICOS AP EXTERIOR</v>
      </c>
      <c r="G1504" s="5"/>
      <c r="H1504" s="6">
        <f>IFERROR(__xludf.DUMMYFUNCTION("""COMPUTED_VALUE"""),94.88)</f>
        <v>94.88</v>
      </c>
      <c r="I1504" s="7">
        <f>IFERROR(__xludf.DUMMYFUNCTION("""COMPUTED_VALUE"""),10.5)</f>
        <v>10.5</v>
      </c>
      <c r="J1504" s="6">
        <f>IFERROR(__xludf.DUMMYFUNCTION("""COMPUTED_VALUE"""),113.86)</f>
        <v>113.86</v>
      </c>
      <c r="K1504" s="6">
        <f>IFERROR(__xludf.DUMMYFUNCTION("""COMPUTED_VALUE"""),132.83)</f>
        <v>132.83</v>
      </c>
      <c r="L1504" s="3"/>
      <c r="M1504" s="3"/>
    </row>
    <row r="1505" ht="48.0" customHeight="1">
      <c r="A1505" s="3" t="str">
        <f>IFERROR(__xludf.DUMMYFUNCTION("""COMPUTED_VALUE"""),"UBPBE5ACGEN2")</f>
        <v>UBPBE5ACGEN2</v>
      </c>
      <c r="B1505" s="4" t="str">
        <f>IFERROR(__xludf.DUMMYFUNCTION("""COMPUTED_VALUE"""),"AP OUT")</f>
        <v>AP OUT</v>
      </c>
      <c r="C1505" s="4" t="str">
        <f>IFERROR(__xludf.DUMMYFUNCTION("""COMPUTED_VALUE"""),"AP OUT.UBIQUITI 5GHZ POWERBEAM AC 25DBI 2DA 2GEN")</f>
        <v>AP OUT.UBIQUITI 5GHZ POWERBEAM AC 25DBI 2DA 2GEN</v>
      </c>
      <c r="D1505" s="4" t="str">
        <f>IFERROR(__xludf.DUMMYFUNCTION("""COMPUTED_VALUE"""),"UBIQUITI")</f>
        <v>UBIQUITI</v>
      </c>
      <c r="E1505" s="4" t="str">
        <f>IFERROR(__xludf.DUMMYFUNCTION("""COMPUTED_VALUE"""),"UBPBE5ACGEN2")</f>
        <v>UBPBE5ACGEN2</v>
      </c>
      <c r="F1505" s="4" t="str">
        <f>IFERROR(__xludf.DUMMYFUNCTION("""COMPUTED_VALUE"""),"CONECTIVIDAD &gt; ENLACES INALAMBRICOS AP EXTERIOR")</f>
        <v>CONECTIVIDAD &gt; ENLACES INALAMBRICOS AP EXTERIOR</v>
      </c>
      <c r="G1505" s="5"/>
      <c r="H1505" s="6">
        <f>IFERROR(__xludf.DUMMYFUNCTION("""COMPUTED_VALUE"""),157.82)</f>
        <v>157.82</v>
      </c>
      <c r="I1505" s="7">
        <f>IFERROR(__xludf.DUMMYFUNCTION("""COMPUTED_VALUE"""),10.5)</f>
        <v>10.5</v>
      </c>
      <c r="J1505" s="6">
        <f>IFERROR(__xludf.DUMMYFUNCTION("""COMPUTED_VALUE"""),189.38)</f>
        <v>189.38</v>
      </c>
      <c r="K1505" s="6">
        <f>IFERROR(__xludf.DUMMYFUNCTION("""COMPUTED_VALUE"""),220.95)</f>
        <v>220.95</v>
      </c>
      <c r="L1505" s="3"/>
      <c r="M1505" s="3"/>
    </row>
    <row r="1506" ht="48.0" customHeight="1">
      <c r="A1506" s="3" t="str">
        <f>IFERROR(__xludf.DUMMYFUNCTION("""COMPUTED_VALUE"""),"UBUAPACM")</f>
        <v>UBUAPACM</v>
      </c>
      <c r="B1506" s="4" t="str">
        <f>IFERROR(__xludf.DUMMYFUNCTION("""COMPUTED_VALUE"""),"AP IN-OUT")</f>
        <v>AP IN-OUT</v>
      </c>
      <c r="C1506" s="4" t="str">
        <f>IFERROR(__xludf.DUMMYFUNCTION("""COMPUTED_VALUE"""),"AP IN-OUT.UBIQUITI MESH 100MW 2.4/5GHZ AC 300MBPS FUENTE24V")</f>
        <v>AP IN-OUT.UBIQUITI MESH 100MW 2.4/5GHZ AC 300MBPS FUENTE24V</v>
      </c>
      <c r="D1506" s="4" t="str">
        <f>IFERROR(__xludf.DUMMYFUNCTION("""COMPUTED_VALUE"""),"UBIQUITI")</f>
        <v>UBIQUITI</v>
      </c>
      <c r="E1506" s="4" t="str">
        <f>IFERROR(__xludf.DUMMYFUNCTION("""COMPUTED_VALUE"""),"UBUAPACM")</f>
        <v>UBUAPACM</v>
      </c>
      <c r="F1506" s="4" t="str">
        <f>IFERROR(__xludf.DUMMYFUNCTION("""COMPUTED_VALUE"""),"CONECTIVIDAD &gt; ENLACES INALAMBRICOS AP EXTERIOR")</f>
        <v>CONECTIVIDAD &gt; ENLACES INALAMBRICOS AP EXTERIOR</v>
      </c>
      <c r="G1506" s="5"/>
      <c r="H1506" s="6">
        <f>IFERROR(__xludf.DUMMYFUNCTION("""COMPUTED_VALUE"""),129.25)</f>
        <v>129.25</v>
      </c>
      <c r="I1506" s="7">
        <f>IFERROR(__xludf.DUMMYFUNCTION("""COMPUTED_VALUE"""),10.5)</f>
        <v>10.5</v>
      </c>
      <c r="J1506" s="6">
        <f>IFERROR(__xludf.DUMMYFUNCTION("""COMPUTED_VALUE"""),155.1)</f>
        <v>155.1</v>
      </c>
      <c r="K1506" s="6">
        <f>IFERROR(__xludf.DUMMYFUNCTION("""COMPUTED_VALUE"""),180.95)</f>
        <v>180.95</v>
      </c>
      <c r="L1506" s="3"/>
      <c r="M1506" s="3"/>
    </row>
    <row r="1507" ht="48.0" customHeight="1">
      <c r="A1507" s="3" t="str">
        <f>IFERROR(__xludf.DUMMYFUNCTION("""COMPUTED_VALUE"""),"UBUAPACMPRO")</f>
        <v>UBUAPACMPRO</v>
      </c>
      <c r="B1507" s="4" t="str">
        <f>IFERROR(__xludf.DUMMYFUNCTION("""COMPUTED_VALUE"""),"AP IN-OUT")</f>
        <v>AP IN-OUT</v>
      </c>
      <c r="C1507" s="4" t="str">
        <f>IFERROR(__xludf.DUMMYFUNCTION("""COMPUTED_VALUE"""),"AP IN-OUT.UBIQUITI MESH 160MW 2.4/5GHZ AC 450MBPS FUENTE48V")</f>
        <v>AP IN-OUT.UBIQUITI MESH 160MW 2.4/5GHZ AC 450MBPS FUENTE48V</v>
      </c>
      <c r="D1507" s="4" t="str">
        <f>IFERROR(__xludf.DUMMYFUNCTION("""COMPUTED_VALUE"""),"UBIQUITI")</f>
        <v>UBIQUITI</v>
      </c>
      <c r="E1507" s="4" t="str">
        <f>IFERROR(__xludf.DUMMYFUNCTION("""COMPUTED_VALUE"""),"UBUAPACMPRO")</f>
        <v>UBUAPACMPRO</v>
      </c>
      <c r="F1507" s="4" t="str">
        <f>IFERROR(__xludf.DUMMYFUNCTION("""COMPUTED_VALUE"""),"CONECTIVIDAD &gt; ENLACES INALAMBRICOS AP EXTERIOR")</f>
        <v>CONECTIVIDAD &gt; ENLACES INALAMBRICOS AP EXTERIOR</v>
      </c>
      <c r="G1507" s="5"/>
      <c r="H1507" s="6">
        <f>IFERROR(__xludf.DUMMYFUNCTION("""COMPUTED_VALUE"""),217.25)</f>
        <v>217.25</v>
      </c>
      <c r="I1507" s="7">
        <f>IFERROR(__xludf.DUMMYFUNCTION("""COMPUTED_VALUE"""),10.5)</f>
        <v>10.5</v>
      </c>
      <c r="J1507" s="6">
        <f>IFERROR(__xludf.DUMMYFUNCTION("""COMPUTED_VALUE"""),260.7)</f>
        <v>260.7</v>
      </c>
      <c r="K1507" s="6">
        <f>IFERROR(__xludf.DUMMYFUNCTION("""COMPUTED_VALUE"""),304.15)</f>
        <v>304.15</v>
      </c>
      <c r="L1507" s="3"/>
      <c r="M1507" s="3"/>
    </row>
    <row r="1508" ht="48.0" customHeight="1">
      <c r="A1508" s="3" t="str">
        <f>IFERROR(__xludf.DUMMYFUNCTION("""COMPUTED_VALUE"""),"UBLAP120")</f>
        <v>UBLAP120</v>
      </c>
      <c r="B1508" s="4" t="str">
        <f>IFERROR(__xludf.DUMMYFUNCTION("""COMPUTED_VALUE"""),"UBLAP120 AP OUT 5 GHZ AP+ SECTORIAL 16 DBI 120°")</f>
        <v>UBLAP120 AP OUT 5 GHZ AP+ SECTORIAL 16 DBI 120°</v>
      </c>
      <c r="C1508" s="4" t="str">
        <f>IFERROR(__xludf.DUMMYFUNCTION("""COMPUTED_VALUE"""),"UBLAP120 AP OUT 5 GHZ AP+ SECTORIAL 16 DBI 120°")</f>
        <v>UBLAP120 AP OUT 5 GHZ AP+ SECTORIAL 16 DBI 120°</v>
      </c>
      <c r="D1508" s="4" t="str">
        <f>IFERROR(__xludf.DUMMYFUNCTION("""COMPUTED_VALUE"""),"UBIQUITI")</f>
        <v>UBIQUITI</v>
      </c>
      <c r="E1508" s="4" t="str">
        <f>IFERROR(__xludf.DUMMYFUNCTION("""COMPUTED_VALUE"""),"UBLAP120")</f>
        <v>UBLAP120</v>
      </c>
      <c r="F1508" s="4" t="str">
        <f>IFERROR(__xludf.DUMMYFUNCTION("""COMPUTED_VALUE"""),"CONECTIVIDAD &gt; ENLACES INALAMBRICOS AP EXTERIOR")</f>
        <v>CONECTIVIDAD &gt; ENLACES INALAMBRICOS AP EXTERIOR</v>
      </c>
      <c r="G1508" s="5"/>
      <c r="H1508" s="6">
        <f>IFERROR(__xludf.DUMMYFUNCTION("""COMPUTED_VALUE"""),120.42)</f>
        <v>120.42</v>
      </c>
      <c r="I1508" s="7">
        <f>IFERROR(__xludf.DUMMYFUNCTION("""COMPUTED_VALUE"""),10.5)</f>
        <v>10.5</v>
      </c>
      <c r="J1508" s="6">
        <f>IFERROR(__xludf.DUMMYFUNCTION("""COMPUTED_VALUE"""),144.5)</f>
        <v>144.5</v>
      </c>
      <c r="K1508" s="6">
        <f>IFERROR(__xludf.DUMMYFUNCTION("""COMPUTED_VALUE"""),168.59)</f>
        <v>168.59</v>
      </c>
      <c r="L1508" s="3"/>
      <c r="M1508" s="3"/>
    </row>
    <row r="1509" ht="48.0" customHeight="1">
      <c r="A1509" s="3" t="str">
        <f>IFERROR(__xludf.DUMMYFUNCTION("""COMPUTED_VALUE"""),"ALAIRMAXDUO")</f>
        <v>ALAIRMAXDUO</v>
      </c>
      <c r="B1509" s="4" t="str">
        <f>IFERROR(__xludf.DUMMYFUNCTION("""COMPUTED_VALUE"""),"EQUIPO CPE OUTDOOR DUAL RADIO UNO 802")</f>
        <v>EQUIPO CPE OUTDOOR DUAL RADIO UNO 802</v>
      </c>
      <c r="C1509" s="4" t="str">
        <f>IFERROR(__xludf.DUMMYFUNCTION("""COMPUTED_VALUE"""),"Equipo CPE Outdoor Dual Radio uno 802.11a y otro 802.11a/b/g, 14 Modos, POE, Salida conector N , 23dm de Potencia. Ip67")</f>
        <v>Equipo CPE Outdoor Dual Radio uno 802.11a y otro 802.11a/b/g, 14 Modos, POE, Salida conector N , 23dm de Potencia. Ip67</v>
      </c>
      <c r="D1509" s="4" t="str">
        <f>IFERROR(__xludf.DUMMYFUNCTION("""COMPUTED_VALUE"""),"AIRLIVE")</f>
        <v>AIRLIVE</v>
      </c>
      <c r="E1509" s="4" t="str">
        <f>IFERROR(__xludf.DUMMYFUNCTION("""COMPUTED_VALUE"""),"ALAIRMAXDUO")</f>
        <v>ALAIRMAXDUO</v>
      </c>
      <c r="F1509" s="4" t="str">
        <f>IFERROR(__xludf.DUMMYFUNCTION("""COMPUTED_VALUE"""),"CONECTIVIDAD &gt; ENLACES INALAMBRICOS AP EXTERIOR")</f>
        <v>CONECTIVIDAD &gt; ENLACES INALAMBRICOS AP EXTERIOR</v>
      </c>
      <c r="G1509" s="5"/>
      <c r="H1509" s="6">
        <f>IFERROR(__xludf.DUMMYFUNCTION("""COMPUTED_VALUE"""),108.9)</f>
        <v>108.9</v>
      </c>
      <c r="I1509" s="7">
        <f>IFERROR(__xludf.DUMMYFUNCTION("""COMPUTED_VALUE"""),10.5)</f>
        <v>10.5</v>
      </c>
      <c r="J1509" s="6">
        <f>IFERROR(__xludf.DUMMYFUNCTION("""COMPUTED_VALUE"""),130.68)</f>
        <v>130.68</v>
      </c>
      <c r="K1509" s="6">
        <f>IFERROR(__xludf.DUMMYFUNCTION("""COMPUTED_VALUE"""),152.46)</f>
        <v>152.46</v>
      </c>
      <c r="L1509" s="3"/>
      <c r="M1509" s="3"/>
    </row>
    <row r="1510" ht="48.0" customHeight="1">
      <c r="A1510" s="3" t="str">
        <f>IFERROR(__xludf.DUMMYFUNCTION("""COMPUTED_VALUE"""),"ALWKAIRMAX5N")</f>
        <v>ALWKAIRMAX5N</v>
      </c>
      <c r="B1510" s="4" t="str">
        <f>IFERROR(__xludf.DUMMYFUNCTION("""COMPUTED_VALUE"""),"SOPORTE METALICO TRASERO P/EQUIPOS AIRMAX2 Y 5, IDEAL PARA")</f>
        <v>SOPORTE METALICO TRASERO P/EQUIPOS AIRMAX2 Y 5, IDEAL PARA</v>
      </c>
      <c r="C1510" s="4" t="str">
        <f>IFERROR(__xludf.DUMMYFUNCTION("""COMPUTED_VALUE"""),"Soporte metalico Trasero P/Equipos AirMax2 y 5, ideal para fijar en pared y cambiar polarizaciones de los paneles")</f>
        <v>Soporte metalico Trasero P/Equipos AirMax2 y 5, ideal para fijar en pared y cambiar polarizaciones de los paneles</v>
      </c>
      <c r="D1510" s="4" t="str">
        <f>IFERROR(__xludf.DUMMYFUNCTION("""COMPUTED_VALUE"""),"AIRLIVE")</f>
        <v>AIRLIVE</v>
      </c>
      <c r="E1510" s="4" t="str">
        <f>IFERROR(__xludf.DUMMYFUNCTION("""COMPUTED_VALUE"""),"ALWKAIRMAX5N")</f>
        <v>ALWKAIRMAX5N</v>
      </c>
      <c r="F1510" s="4" t="str">
        <f>IFERROR(__xludf.DUMMYFUNCTION("""COMPUTED_VALUE"""),"CONECTIVIDAD &gt; ENLACES INALAMBRICOS AP EXTERIOR")</f>
        <v>CONECTIVIDAD &gt; ENLACES INALAMBRICOS AP EXTERIOR</v>
      </c>
      <c r="G1510" s="5"/>
      <c r="H1510" s="6">
        <f>IFERROR(__xludf.DUMMYFUNCTION("""COMPUTED_VALUE"""),5.5)</f>
        <v>5.5</v>
      </c>
      <c r="I1510" s="7">
        <f>IFERROR(__xludf.DUMMYFUNCTION("""COMPUTED_VALUE"""),21.0)</f>
        <v>21</v>
      </c>
      <c r="J1510" s="6">
        <f>IFERROR(__xludf.DUMMYFUNCTION("""COMPUTED_VALUE"""),6.6)</f>
        <v>6.6</v>
      </c>
      <c r="K1510" s="6">
        <f>IFERROR(__xludf.DUMMYFUNCTION("""COMPUTED_VALUE"""),7.7)</f>
        <v>7.7</v>
      </c>
      <c r="L1510" s="3"/>
      <c r="M1510" s="3"/>
    </row>
    <row r="1511" ht="48.0" customHeight="1">
      <c r="A1511" s="3" t="str">
        <f>IFERROR(__xludf.DUMMYFUNCTION("""COMPUTED_VALUE"""),"ALWKAIRMAX")</f>
        <v>ALWKAIRMAX</v>
      </c>
      <c r="B1511" s="4" t="str">
        <f>IFERROR(__xludf.DUMMYFUNCTION("""COMPUTED_VALUE"""),"SOPORTE METALICO TRASERO P/EQUIPOS AIRMAX2 Y 5, IDEAL PARA")</f>
        <v>SOPORTE METALICO TRASERO P/EQUIPOS AIRMAX2 Y 5, IDEAL PARA</v>
      </c>
      <c r="C1511" s="4" t="str">
        <f>IFERROR(__xludf.DUMMYFUNCTION("""COMPUTED_VALUE"""),"Soporte metalico Trasero P/Equipos AirMax2 y 5, ideal para fijar en pared y cambiar polarizaciones de los paneles")</f>
        <v>Soporte metalico Trasero P/Equipos AirMax2 y 5, ideal para fijar en pared y cambiar polarizaciones de los paneles</v>
      </c>
      <c r="D1511" s="4" t="str">
        <f>IFERROR(__xludf.DUMMYFUNCTION("""COMPUTED_VALUE"""),"AIRLIVE")</f>
        <v>AIRLIVE</v>
      </c>
      <c r="E1511" s="4" t="str">
        <f>IFERROR(__xludf.DUMMYFUNCTION("""COMPUTED_VALUE"""),"ALWKAIRMAX")</f>
        <v>ALWKAIRMAX</v>
      </c>
      <c r="F1511" s="4" t="str">
        <f>IFERROR(__xludf.DUMMYFUNCTION("""COMPUTED_VALUE"""),"CONECTIVIDAD &gt; ENLACES INALAMBRICOS AP EXTERIOR")</f>
        <v>CONECTIVIDAD &gt; ENLACES INALAMBRICOS AP EXTERIOR</v>
      </c>
      <c r="G1511" s="5"/>
      <c r="H1511" s="6">
        <f>IFERROR(__xludf.DUMMYFUNCTION("""COMPUTED_VALUE"""),5.5)</f>
        <v>5.5</v>
      </c>
      <c r="I1511" s="7">
        <f>IFERROR(__xludf.DUMMYFUNCTION("""COMPUTED_VALUE"""),21.0)</f>
        <v>21</v>
      </c>
      <c r="J1511" s="6">
        <f>IFERROR(__xludf.DUMMYFUNCTION("""COMPUTED_VALUE"""),6.6)</f>
        <v>6.6</v>
      </c>
      <c r="K1511" s="6">
        <f>IFERROR(__xludf.DUMMYFUNCTION("""COMPUTED_VALUE"""),7.7)</f>
        <v>7.7</v>
      </c>
      <c r="L1511" s="3"/>
      <c r="M1511" s="3"/>
    </row>
    <row r="1512" ht="48.0" customHeight="1">
      <c r="A1512" s="3" t="str">
        <f>IFERROR(__xludf.DUMMYFUNCTION("""COMPUTED_VALUE"""),"ALAIRMAX4GW")</f>
        <v>ALAIRMAX4GW</v>
      </c>
      <c r="B1512" s="4" t="str">
        <f>IFERROR(__xludf.DUMMYFUNCTION("""COMPUTED_VALUE"""),"GATEWAY CELULAR PARA EXTERIOR LTE WIFI PARA APLICACIONES WIFI")</f>
        <v>GATEWAY CELULAR PARA EXTERIOR LTE WIFI PARA APLICACIONES WIFI</v>
      </c>
      <c r="C1512" s="4" t="str">
        <f>IFERROR(__xludf.DUMMYFUNCTION("""COMPUTED_VALUE"""),"Gateway celular para exterior LTE WiFi para aplicaciones WiFi puede distribuir la señal de Internet 4G o 3G a través de WiFi o conexiones Ethernet en cualquier lugar")</f>
        <v>Gateway celular para exterior LTE WiFi para aplicaciones WiFi puede distribuir la señal de Internet 4G o 3G a través de WiFi o conexiones Ethernet en cualquier lugar</v>
      </c>
      <c r="D1512" s="4" t="str">
        <f>IFERROR(__xludf.DUMMYFUNCTION("""COMPUTED_VALUE"""),"AIRLIVE")</f>
        <v>AIRLIVE</v>
      </c>
      <c r="E1512" s="4" t="str">
        <f>IFERROR(__xludf.DUMMYFUNCTION("""COMPUTED_VALUE"""),"ALAIRMAX4GW")</f>
        <v>ALAIRMAX4GW</v>
      </c>
      <c r="F1512" s="4" t="str">
        <f>IFERROR(__xludf.DUMMYFUNCTION("""COMPUTED_VALUE"""),"CONECTIVIDAD &gt; ENLACES INALAMBRICOS AP EXTERIOR")</f>
        <v>CONECTIVIDAD &gt; ENLACES INALAMBRICOS AP EXTERIOR</v>
      </c>
      <c r="G1512" s="5"/>
      <c r="H1512" s="6">
        <f>IFERROR(__xludf.DUMMYFUNCTION("""COMPUTED_VALUE"""),108.9)</f>
        <v>108.9</v>
      </c>
      <c r="I1512" s="7">
        <f>IFERROR(__xludf.DUMMYFUNCTION("""COMPUTED_VALUE"""),21.0)</f>
        <v>21</v>
      </c>
      <c r="J1512" s="6">
        <f>IFERROR(__xludf.DUMMYFUNCTION("""COMPUTED_VALUE"""),130.68)</f>
        <v>130.68</v>
      </c>
      <c r="K1512" s="6">
        <f>IFERROR(__xludf.DUMMYFUNCTION("""COMPUTED_VALUE"""),152.46)</f>
        <v>152.46</v>
      </c>
      <c r="L1512" s="3"/>
      <c r="M1512" s="3"/>
    </row>
    <row r="1513" ht="48.0" customHeight="1">
      <c r="A1513" s="3" t="str">
        <f>IFERROR(__xludf.DUMMYFUNCTION("""COMPUTED_VALUE"""),"ALPIGSMAN30")</f>
        <v>ALPIGSMAN30</v>
      </c>
      <c r="B1513" s="4" t="str">
        <f>IFERROR(__xludf.DUMMYFUNCTION("""COMPUTED_VALUE"""),"PIGTAIL SMA REVERSE A N MACHO DE 0,30CMTRS")</f>
        <v>PIGTAIL SMA REVERSE A N MACHO DE 0,30CMTRS</v>
      </c>
      <c r="C1513" s="4" t="str">
        <f>IFERROR(__xludf.DUMMYFUNCTION("""COMPUTED_VALUE"""),"Pigtail SMA Reverse a N Macho de 0,30Cmtrs.")</f>
        <v>Pigtail SMA Reverse a N Macho de 0,30Cmtrs.</v>
      </c>
      <c r="D1513" s="4" t="str">
        <f>IFERROR(__xludf.DUMMYFUNCTION("""COMPUTED_VALUE"""),"HYPERLINK")</f>
        <v>HYPERLINK</v>
      </c>
      <c r="E1513" s="4" t="str">
        <f>IFERROR(__xludf.DUMMYFUNCTION("""COMPUTED_VALUE"""),"ALPIGSMAN30")</f>
        <v>ALPIGSMAN30</v>
      </c>
      <c r="F1513" s="4" t="str">
        <f>IFERROR(__xludf.DUMMYFUNCTION("""COMPUTED_VALUE"""),"CONECTIVIDAD &gt; ENLACES INALAMBRICOS AP EXTERIOR")</f>
        <v>CONECTIVIDAD &gt; ENLACES INALAMBRICOS AP EXTERIOR</v>
      </c>
      <c r="G1513" s="5"/>
      <c r="H1513" s="6">
        <f>IFERROR(__xludf.DUMMYFUNCTION("""COMPUTED_VALUE"""),5.5)</f>
        <v>5.5</v>
      </c>
      <c r="I1513" s="7">
        <f>IFERROR(__xludf.DUMMYFUNCTION("""COMPUTED_VALUE"""),21.0)</f>
        <v>21</v>
      </c>
      <c r="J1513" s="6">
        <f>IFERROR(__xludf.DUMMYFUNCTION("""COMPUTED_VALUE"""),6.6)</f>
        <v>6.6</v>
      </c>
      <c r="K1513" s="6">
        <f>IFERROR(__xludf.DUMMYFUNCTION("""COMPUTED_VALUE"""),7.7)</f>
        <v>7.7</v>
      </c>
      <c r="L1513" s="3"/>
      <c r="M1513" s="3"/>
    </row>
    <row r="1514" ht="48.0" customHeight="1">
      <c r="A1514" s="3" t="str">
        <f>IFERROR(__xludf.DUMMYFUNCTION("""COMPUTED_VALUE"""),"ALPIGNN60")</f>
        <v>ALPIGNN60</v>
      </c>
      <c r="B1514" s="4" t="str">
        <f>IFERROR(__xludf.DUMMYFUNCTION("""COMPUTED_VALUE"""),"PIGTAIL N MACHO A N MACHO DE 0,60CMTRS")</f>
        <v>PIGTAIL N MACHO A N MACHO DE 0,60CMTRS</v>
      </c>
      <c r="C1514" s="4" t="str">
        <f>IFERROR(__xludf.DUMMYFUNCTION("""COMPUTED_VALUE"""),"Pigtail N Macho a N Macho de 0,60Cmtrs.")</f>
        <v>Pigtail N Macho a N Macho de 0,60Cmtrs.</v>
      </c>
      <c r="D1514" s="4" t="str">
        <f>IFERROR(__xludf.DUMMYFUNCTION("""COMPUTED_VALUE"""),"HYPERLINK")</f>
        <v>HYPERLINK</v>
      </c>
      <c r="E1514" s="4" t="str">
        <f>IFERROR(__xludf.DUMMYFUNCTION("""COMPUTED_VALUE"""),"ALPIGNN60")</f>
        <v>ALPIGNN60</v>
      </c>
      <c r="F1514" s="4" t="str">
        <f>IFERROR(__xludf.DUMMYFUNCTION("""COMPUTED_VALUE"""),"CONECTIVIDAD &gt; ENLACES INALAMBRICOS AP EXTERIOR")</f>
        <v>CONECTIVIDAD &gt; ENLACES INALAMBRICOS AP EXTERIOR</v>
      </c>
      <c r="G1514" s="5"/>
      <c r="H1514" s="6">
        <f>IFERROR(__xludf.DUMMYFUNCTION("""COMPUTED_VALUE"""),5.5)</f>
        <v>5.5</v>
      </c>
      <c r="I1514" s="7">
        <f>IFERROR(__xludf.DUMMYFUNCTION("""COMPUTED_VALUE"""),21.0)</f>
        <v>21</v>
      </c>
      <c r="J1514" s="6">
        <f>IFERROR(__xludf.DUMMYFUNCTION("""COMPUTED_VALUE"""),6.6)</f>
        <v>6.6</v>
      </c>
      <c r="K1514" s="6">
        <f>IFERROR(__xludf.DUMMYFUNCTION("""COMPUTED_VALUE"""),7.7)</f>
        <v>7.7</v>
      </c>
      <c r="L1514" s="3"/>
      <c r="M1514" s="3"/>
    </row>
    <row r="1515" ht="48.0" customHeight="1">
      <c r="A1515" s="3" t="str">
        <f>IFERROR(__xludf.DUMMYFUNCTION("""COMPUTED_VALUE"""),"DS-3E0105D-O")</f>
        <v>DS-3E0105D-O</v>
      </c>
      <c r="B1515" s="4" t="str">
        <f>IFERROR(__xludf.DUMMYFUNCTION("""COMPUTED_VALUE"""),"SWITCH 5 BOCAS L2, UNMANAGED, 5 10/100M RJ45 PORTS,")</f>
        <v>SWITCH 5 BOCAS L2, UNMANAGED, 5 10/100M RJ45 PORTS,</v>
      </c>
      <c r="C1515" s="4" t="str">
        <f>IFERROR(__xludf.DUMMYFUNCTION("""COMPUTED_VALUE"""),"Switch 5 bocas L2, Unmanaged, 5 10/100M RJ45 ports, desktop plastic switch")</f>
        <v>Switch 5 bocas L2, Unmanaged, 5 10/100M RJ45 ports, desktop plastic switch</v>
      </c>
      <c r="D1515" s="4" t="str">
        <f>IFERROR(__xludf.DUMMYFUNCTION("""COMPUTED_VALUE"""),"HIKVISION")</f>
        <v>HIKVISION</v>
      </c>
      <c r="E1515" s="4" t="str">
        <f>IFERROR(__xludf.DUMMYFUNCTION("""COMPUTED_VALUE"""),"DS-3E0105D-O")</f>
        <v>DS-3E0105D-O</v>
      </c>
      <c r="F1515" s="4" t="str">
        <f>IFERROR(__xludf.DUMMYFUNCTION("""COMPUTED_VALUE"""),"CONECTIVIDAD &gt; SWITCH")</f>
        <v>CONECTIVIDAD &gt; SWITCH</v>
      </c>
      <c r="G1515" s="5"/>
      <c r="H1515" s="6">
        <f>IFERROR(__xludf.DUMMYFUNCTION("""COMPUTED_VALUE"""),7.59)</f>
        <v>7.59</v>
      </c>
      <c r="I1515" s="7">
        <f>IFERROR(__xludf.DUMMYFUNCTION("""COMPUTED_VALUE"""),10.5)</f>
        <v>10.5</v>
      </c>
      <c r="J1515" s="6">
        <f>IFERROR(__xludf.DUMMYFUNCTION("""COMPUTED_VALUE"""),9.11)</f>
        <v>9.11</v>
      </c>
      <c r="K1515" s="6">
        <f>IFERROR(__xludf.DUMMYFUNCTION("""COMPUTED_VALUE"""),10.63)</f>
        <v>10.63</v>
      </c>
      <c r="L1515" s="3"/>
      <c r="M1515" s="3"/>
    </row>
    <row r="1516" ht="48.0" customHeight="1">
      <c r="A1516" s="3" t="str">
        <f>IFERROR(__xludf.DUMMYFUNCTION("""COMPUTED_VALUE"""),"DS-3E0105D-E")</f>
        <v>DS-3E0105D-E</v>
      </c>
      <c r="B1516" s="4" t="str">
        <f>IFERROR(__xludf.DUMMYFUNCTION("""COMPUTED_VALUE"""),"SWITCH 5 BOCAS L2, UNMANAGED, 5 10/100M RJ45 PORTS,")</f>
        <v>SWITCH 5 BOCAS L2, UNMANAGED, 5 10/100M RJ45 PORTS,</v>
      </c>
      <c r="C1516" s="4" t="str">
        <f>IFERROR(__xludf.DUMMYFUNCTION("""COMPUTED_VALUE"""),"Switch 5 bocas L2, Unmanaged, 5 10/100M RJ45 ports, desktop plastic switch")</f>
        <v>Switch 5 bocas L2, Unmanaged, 5 10/100M RJ45 ports, desktop plastic switch</v>
      </c>
      <c r="D1516" s="4" t="str">
        <f>IFERROR(__xludf.DUMMYFUNCTION("""COMPUTED_VALUE"""),"HIKVISION")</f>
        <v>HIKVISION</v>
      </c>
      <c r="E1516" s="4" t="str">
        <f>IFERROR(__xludf.DUMMYFUNCTION("""COMPUTED_VALUE"""),"DS-3E0105D-E")</f>
        <v>DS-3E0105D-E</v>
      </c>
      <c r="F1516" s="4" t="str">
        <f>IFERROR(__xludf.DUMMYFUNCTION("""COMPUTED_VALUE"""),"CONECTIVIDAD &gt; SWITCH")</f>
        <v>CONECTIVIDAD &gt; SWITCH</v>
      </c>
      <c r="G1516" s="5"/>
      <c r="H1516" s="6">
        <f>IFERROR(__xludf.DUMMYFUNCTION("""COMPUTED_VALUE"""),8.8)</f>
        <v>8.8</v>
      </c>
      <c r="I1516" s="7">
        <f>IFERROR(__xludf.DUMMYFUNCTION("""COMPUTED_VALUE"""),10.5)</f>
        <v>10.5</v>
      </c>
      <c r="J1516" s="6">
        <f>IFERROR(__xludf.DUMMYFUNCTION("""COMPUTED_VALUE"""),10.56)</f>
        <v>10.56</v>
      </c>
      <c r="K1516" s="6">
        <f>IFERROR(__xludf.DUMMYFUNCTION("""COMPUTED_VALUE"""),12.32)</f>
        <v>12.32</v>
      </c>
      <c r="L1516" s="3"/>
      <c r="M1516" s="3"/>
    </row>
    <row r="1517" ht="48.0" customHeight="1">
      <c r="A1517" s="3" t="str">
        <f>IFERROR(__xludf.DUMMYFUNCTION("""COMPUTED_VALUE"""),"DS-3E0108D-O")</f>
        <v>DS-3E0108D-O</v>
      </c>
      <c r="B1517" s="4" t="str">
        <f>IFERROR(__xludf.DUMMYFUNCTION("""COMPUTED_VALUE"""),"SWITCH 8 BOCAS L2, UNMANAGED, 8 10/100M RJ45 PORTS,")</f>
        <v>SWITCH 8 BOCAS L2, UNMANAGED, 8 10/100M RJ45 PORTS,</v>
      </c>
      <c r="C1517" s="4" t="str">
        <f>IFERROR(__xludf.DUMMYFUNCTION("""COMPUTED_VALUE"""),"Switch 8 bocas L2, Unmanaged, 8 10/100M RJ45 ports, desktop plastic switch")</f>
        <v>Switch 8 bocas L2, Unmanaged, 8 10/100M RJ45 ports, desktop plastic switch</v>
      </c>
      <c r="D1517" s="4" t="str">
        <f>IFERROR(__xludf.DUMMYFUNCTION("""COMPUTED_VALUE"""),"HIKVISION")</f>
        <v>HIKVISION</v>
      </c>
      <c r="E1517" s="4" t="str">
        <f>IFERROR(__xludf.DUMMYFUNCTION("""COMPUTED_VALUE"""),"DS-3E0108D-O")</f>
        <v>DS-3E0108D-O</v>
      </c>
      <c r="F1517" s="4" t="str">
        <f>IFERROR(__xludf.DUMMYFUNCTION("""COMPUTED_VALUE"""),"CONECTIVIDAD &gt; SWITCH")</f>
        <v>CONECTIVIDAD &gt; SWITCH</v>
      </c>
      <c r="G1517" s="5"/>
      <c r="H1517" s="6">
        <f>IFERROR(__xludf.DUMMYFUNCTION("""COMPUTED_VALUE"""),9.46)</f>
        <v>9.46</v>
      </c>
      <c r="I1517" s="7">
        <f>IFERROR(__xludf.DUMMYFUNCTION("""COMPUTED_VALUE"""),10.5)</f>
        <v>10.5</v>
      </c>
      <c r="J1517" s="6">
        <f>IFERROR(__xludf.DUMMYFUNCTION("""COMPUTED_VALUE"""),11.35)</f>
        <v>11.35</v>
      </c>
      <c r="K1517" s="6">
        <f>IFERROR(__xludf.DUMMYFUNCTION("""COMPUTED_VALUE"""),13.24)</f>
        <v>13.24</v>
      </c>
      <c r="L1517" s="3"/>
      <c r="M1517" s="3"/>
    </row>
    <row r="1518" ht="48.0" customHeight="1">
      <c r="A1518" s="3" t="str">
        <f>IFERROR(__xludf.DUMMYFUNCTION("""COMPUTED_VALUE"""),"DS-3E0516-E(B)")</f>
        <v>DS-3E0516-E(B)</v>
      </c>
      <c r="B1518" s="4" t="str">
        <f>IFERROR(__xludf.DUMMYFUNCTION("""COMPUTED_VALUE"""),"SWITCH 16 BOCAS GIGABIT RJ45 PORTS, 19-INCH RACK-MOUNTABLE STEEL")</f>
        <v>SWITCH 16 BOCAS GIGABIT RJ45 PORTS, 19-INCH RACK-MOUNTABLE STEEL</v>
      </c>
      <c r="C1518" s="4" t="str">
        <f>IFERROR(__xludf.DUMMYFUNCTION("""COMPUTED_VALUE"""),"Switch 16 bocas Gigabit RJ45 ports, 19-inch Rack-mountable Steel Case Unmanaged Switch")</f>
        <v>Switch 16 bocas Gigabit RJ45 ports, 19-inch Rack-mountable Steel Case Unmanaged Switch</v>
      </c>
      <c r="D1518" s="4" t="str">
        <f>IFERROR(__xludf.DUMMYFUNCTION("""COMPUTED_VALUE"""),"HIKVISION")</f>
        <v>HIKVISION</v>
      </c>
      <c r="E1518" s="4" t="str">
        <f>IFERROR(__xludf.DUMMYFUNCTION("""COMPUTED_VALUE"""),"DS-3E0516-E(B)")</f>
        <v>DS-3E0516-E(B)</v>
      </c>
      <c r="F1518" s="4" t="str">
        <f>IFERROR(__xludf.DUMMYFUNCTION("""COMPUTED_VALUE"""),"CONECTIVIDAD &gt; SWITCH")</f>
        <v>CONECTIVIDAD &gt; SWITCH</v>
      </c>
      <c r="G1518" s="5"/>
      <c r="H1518" s="6">
        <f>IFERROR(__xludf.DUMMYFUNCTION("""COMPUTED_VALUE"""),110.0)</f>
        <v>110</v>
      </c>
      <c r="I1518" s="7">
        <f>IFERROR(__xludf.DUMMYFUNCTION("""COMPUTED_VALUE"""),10.5)</f>
        <v>10.5</v>
      </c>
      <c r="J1518" s="6">
        <f>IFERROR(__xludf.DUMMYFUNCTION("""COMPUTED_VALUE"""),132.0)</f>
        <v>132</v>
      </c>
      <c r="K1518" s="6">
        <f>IFERROR(__xludf.DUMMYFUNCTION("""COMPUTED_VALUE"""),154.0)</f>
        <v>154</v>
      </c>
      <c r="L1518" s="3"/>
      <c r="M1518" s="3"/>
    </row>
    <row r="1519" ht="48.0" customHeight="1">
      <c r="A1519" s="3" t="str">
        <f>IFERROR(__xludf.DUMMYFUNCTION("""COMPUTED_VALUE"""),"DS-3E1516-EI(V3)")</f>
        <v>DS-3E1516-EI(V3)</v>
      </c>
      <c r="B1519" s="4" t="str">
        <f>IFERROR(__xludf.DUMMYFUNCTION("""COMPUTED_VALUE"""),"SWITCH 16 PORT GIGABIT SMART SWITCH")</f>
        <v>SWITCH 16 PORT GIGABIT SMART SWITCH</v>
      </c>
      <c r="C1519" s="4" t="str">
        <f>IFERROR(__xludf.DUMMYFUNCTION("""COMPUTED_VALUE"""),"Switch 16 Port Gigabit Smart Switch. 16 × Gigabit RJ45 port. Support IEEE 802.3az. Support STP/RSTP loop prevention with storm control. Support cable detection to locate failure. Support DHCP snooping. Support 6 kV surge protection")</f>
        <v>Switch 16 Port Gigabit Smart Switch. 16 × Gigabit RJ45 port. Support IEEE 802.3az. Support STP/RSTP loop prevention with storm control. Support cable detection to locate failure. Support DHCP snooping. Support 6 kV surge protection</v>
      </c>
      <c r="D1519" s="4" t="str">
        <f>IFERROR(__xludf.DUMMYFUNCTION("""COMPUTED_VALUE"""),"HIKVISION")</f>
        <v>HIKVISION</v>
      </c>
      <c r="E1519" s="4" t="str">
        <f>IFERROR(__xludf.DUMMYFUNCTION("""COMPUTED_VALUE"""),"DS-3E1516-EI(V3)")</f>
        <v>DS-3E1516-EI(V3)</v>
      </c>
      <c r="F1519" s="4" t="str">
        <f>IFERROR(__xludf.DUMMYFUNCTION("""COMPUTED_VALUE"""),"CONECTIVIDAD &gt; SWITCH")</f>
        <v>CONECTIVIDAD &gt; SWITCH</v>
      </c>
      <c r="G1519" s="5"/>
      <c r="H1519" s="6">
        <f>IFERROR(__xludf.DUMMYFUNCTION("""COMPUTED_VALUE"""),137.5)</f>
        <v>137.5</v>
      </c>
      <c r="I1519" s="7">
        <f>IFERROR(__xludf.DUMMYFUNCTION("""COMPUTED_VALUE"""),10.5)</f>
        <v>10.5</v>
      </c>
      <c r="J1519" s="6">
        <f>IFERROR(__xludf.DUMMYFUNCTION("""COMPUTED_VALUE"""),165.0)</f>
        <v>165</v>
      </c>
      <c r="K1519" s="6">
        <f>IFERROR(__xludf.DUMMYFUNCTION("""COMPUTED_VALUE"""),192.5)</f>
        <v>192.5</v>
      </c>
      <c r="L1519" s="3"/>
      <c r="M1519" s="3"/>
    </row>
    <row r="1520" ht="48.0" customHeight="1">
      <c r="A1520" s="3" t="str">
        <f>IFERROR(__xludf.DUMMYFUNCTION("""COMPUTED_VALUE"""),"DS3E0524EB")</f>
        <v>DS3E0524EB</v>
      </c>
      <c r="B1520" s="4" t="str">
        <f>IFERROR(__xludf.DUMMYFUNCTION("""COMPUTED_VALUE"""),"SWITCH 24 BOCAS GIGABIT RJ45 PORTS, 19-INCH RACK-MOUNTABLE STEEL")</f>
        <v>SWITCH 24 BOCAS GIGABIT RJ45 PORTS, 19-INCH RACK-MOUNTABLE STEEL</v>
      </c>
      <c r="C1520" s="4" t="str">
        <f>IFERROR(__xludf.DUMMYFUNCTION("""COMPUTED_VALUE"""),"Switch 24 bocas Gigabit RJ45 ports, 19-inch Rack-mountable Steel Case Unmanaged Switch")</f>
        <v>Switch 24 bocas Gigabit RJ45 ports, 19-inch Rack-mountable Steel Case Unmanaged Switch</v>
      </c>
      <c r="D1520" s="4" t="str">
        <f>IFERROR(__xludf.DUMMYFUNCTION("""COMPUTED_VALUE"""),"HIKVISION")</f>
        <v>HIKVISION</v>
      </c>
      <c r="E1520" s="4" t="str">
        <f>IFERROR(__xludf.DUMMYFUNCTION("""COMPUTED_VALUE"""),"DS3E0524EB")</f>
        <v>DS3E0524EB</v>
      </c>
      <c r="F1520" s="4" t="str">
        <f>IFERROR(__xludf.DUMMYFUNCTION("""COMPUTED_VALUE"""),"CONECTIVIDAD &gt; SWITCH")</f>
        <v>CONECTIVIDAD &gt; SWITCH</v>
      </c>
      <c r="G1520" s="5"/>
      <c r="H1520" s="6">
        <f>IFERROR(__xludf.DUMMYFUNCTION("""COMPUTED_VALUE"""),154.0)</f>
        <v>154</v>
      </c>
      <c r="I1520" s="7">
        <f>IFERROR(__xludf.DUMMYFUNCTION("""COMPUTED_VALUE"""),10.5)</f>
        <v>10.5</v>
      </c>
      <c r="J1520" s="6">
        <f>IFERROR(__xludf.DUMMYFUNCTION("""COMPUTED_VALUE"""),184.8)</f>
        <v>184.8</v>
      </c>
      <c r="K1520" s="6">
        <f>IFERROR(__xludf.DUMMYFUNCTION("""COMPUTED_VALUE"""),215.6)</f>
        <v>215.6</v>
      </c>
      <c r="L1520" s="3"/>
      <c r="M1520" s="3"/>
    </row>
    <row r="1521" ht="48.0" customHeight="1">
      <c r="A1521" s="3" t="str">
        <f>IFERROR(__xludf.DUMMYFUNCTION("""COMPUTED_VALUE"""),"DS3E1524EI")</f>
        <v>DS3E1524EI</v>
      </c>
      <c r="B1521" s="4" t="str">
        <f>IFERROR(__xludf.DUMMYFUNCTION("""COMPUTED_VALUE"""),"SWITCH 24 BOCAS L2, SMART MANAGED, 24 GIGABIT RJ45")</f>
        <v>SWITCH 24 BOCAS L2, SMART MANAGED, 24 GIGABIT RJ45</v>
      </c>
      <c r="C1521" s="4" t="str">
        <f>IFERROR(__xludf.DUMMYFUNCTION("""COMPUTED_VALUE"""),"Switch 24 bocas L2, Smart Managed, 24 Gigabit RJ45 ports, Visualized Topology Management, Network Health Monitor, Real-Time Alarm Push and Video Control and Preview")</f>
        <v>Switch 24 bocas L2, Smart Managed, 24 Gigabit RJ45 ports, Visualized Topology Management, Network Health Monitor, Real-Time Alarm Push and Video Control and Preview</v>
      </c>
      <c r="D1521" s="4" t="str">
        <f>IFERROR(__xludf.DUMMYFUNCTION("""COMPUTED_VALUE"""),"HIKVISION")</f>
        <v>HIKVISION</v>
      </c>
      <c r="E1521" s="4" t="str">
        <f>IFERROR(__xludf.DUMMYFUNCTION("""COMPUTED_VALUE"""),"DS3E1524EI")</f>
        <v>DS3E1524EI</v>
      </c>
      <c r="F1521" s="4" t="str">
        <f>IFERROR(__xludf.DUMMYFUNCTION("""COMPUTED_VALUE"""),"CONECTIVIDAD &gt; SWITCH")</f>
        <v>CONECTIVIDAD &gt; SWITCH</v>
      </c>
      <c r="G1521" s="5"/>
      <c r="H1521" s="6">
        <f>IFERROR(__xludf.DUMMYFUNCTION("""COMPUTED_VALUE"""),209.0)</f>
        <v>209</v>
      </c>
      <c r="I1521" s="7">
        <f>IFERROR(__xludf.DUMMYFUNCTION("""COMPUTED_VALUE"""),10.5)</f>
        <v>10.5</v>
      </c>
      <c r="J1521" s="6">
        <f>IFERROR(__xludf.DUMMYFUNCTION("""COMPUTED_VALUE"""),250.8)</f>
        <v>250.8</v>
      </c>
      <c r="K1521" s="6">
        <f>IFERROR(__xludf.DUMMYFUNCTION("""COMPUTED_VALUE"""),292.6)</f>
        <v>292.6</v>
      </c>
      <c r="L1521" s="3"/>
      <c r="M1521" s="3"/>
    </row>
    <row r="1522" ht="48.0" customHeight="1">
      <c r="A1522" s="3" t="str">
        <f>IFERROR(__xludf.DUMMYFUNCTION("""COMPUTED_VALUE"""),"DS-3E1524-EI(V3)")</f>
        <v>DS-3E1524-EI(V3)</v>
      </c>
      <c r="B1522" s="4" t="str">
        <f>IFERROR(__xludf.DUMMYFUNCTION("""COMPUTED_VALUE"""),"SWITCH 24 PORT GIGABIT SMART SWITCH 24 × GIGABIT RJ45 PORTS")</f>
        <v>SWITCH 24 PORT GIGABIT SMART SWITCH 24 × GIGABIT RJ45 PORTS</v>
      </c>
      <c r="C1522" s="4" t="str">
        <f>IFERROR(__xludf.DUMMYFUNCTION("""COMPUTED_VALUE"""),"Switch 24 Port Gigabit Smart Switch 24 × gigabit RJ45 ports. Support IEEE 802.3az Support STP/RSTP loop prevention with storm control Support cable detection to locate failure. Support DHCP snooping. Support 6 kV surge protection")</f>
        <v>Switch 24 Port Gigabit Smart Switch 24 × gigabit RJ45 ports. Support IEEE 802.3az Support STP/RSTP loop prevention with storm control Support cable detection to locate failure. Support DHCP snooping. Support 6 kV surge protection</v>
      </c>
      <c r="D1522" s="4" t="str">
        <f>IFERROR(__xludf.DUMMYFUNCTION("""COMPUTED_VALUE"""),"HIKVISION")</f>
        <v>HIKVISION</v>
      </c>
      <c r="E1522" s="4" t="str">
        <f>IFERROR(__xludf.DUMMYFUNCTION("""COMPUTED_VALUE"""),"DS-3E1524-EI(V3)")</f>
        <v>DS-3E1524-EI(V3)</v>
      </c>
      <c r="F1522" s="4" t="str">
        <f>IFERROR(__xludf.DUMMYFUNCTION("""COMPUTED_VALUE"""),"CONECTIVIDAD &gt; SWITCH")</f>
        <v>CONECTIVIDAD &gt; SWITCH</v>
      </c>
      <c r="G1522" s="5"/>
      <c r="H1522" s="6">
        <f>IFERROR(__xludf.DUMMYFUNCTION("""COMPUTED_VALUE"""),194.7)</f>
        <v>194.7</v>
      </c>
      <c r="I1522" s="7">
        <f>IFERROR(__xludf.DUMMYFUNCTION("""COMPUTED_VALUE"""),10.5)</f>
        <v>10.5</v>
      </c>
      <c r="J1522" s="6">
        <f>IFERROR(__xludf.DUMMYFUNCTION("""COMPUTED_VALUE"""),233.64)</f>
        <v>233.64</v>
      </c>
      <c r="K1522" s="6">
        <f>IFERROR(__xludf.DUMMYFUNCTION("""COMPUTED_VALUE"""),272.58)</f>
        <v>272.58</v>
      </c>
      <c r="L1522" s="3"/>
      <c r="M1522" s="3"/>
    </row>
    <row r="1523" ht="48.0" customHeight="1">
      <c r="A1523" s="3" t="str">
        <f>IFERROR(__xludf.DUMMYFUNCTION("""COMPUTED_VALUE"""),"DS-3E1528-SI-24T4F")</f>
        <v>DS-3E1528-SI-24T4F</v>
      </c>
      <c r="B1523" s="4" t="str">
        <f>IFERROR(__xludf.DUMMYFUNCTION("""COMPUTED_VALUE"""),"SWITCH 28 PORT AGGREGATION SWITCH")</f>
        <v>SWITCH 28 PORT AGGREGATION SWITCH</v>
      </c>
      <c r="C1523" s="4" t="str">
        <f>IFERROR(__xludf.DUMMYFUNCTION("""COMPUTED_VALUE"""),"Switch 28 Port Aggregation Switch. 24 x gigabit RJ45 ports,4 x gigabit fiber optical port. Support DHCP snooping. Support 802.1Q VLAN. Support ACL List. Support STP/ERPS loop prevention, storm control. Support ARP Anti-Spoofing. Support SNMP, QoS. 6 kV Su"&amp;"rge Protection")</f>
        <v>Switch 28 Port Aggregation Switch. 24 x gigabit RJ45 ports,4 x gigabit fiber optical port. Support DHCP snooping. Support 802.1Q VLAN. Support ACL List. Support STP/ERPS loop prevention, storm control. Support ARP Anti-Spoofing. Support SNMP, QoS. 6 kV Surge Protection</v>
      </c>
      <c r="D1523" s="4" t="str">
        <f>IFERROR(__xludf.DUMMYFUNCTION("""COMPUTED_VALUE"""),"HIKVISION")</f>
        <v>HIKVISION</v>
      </c>
      <c r="E1523" s="4" t="str">
        <f>IFERROR(__xludf.DUMMYFUNCTION("""COMPUTED_VALUE"""),"DS-3E1528-SI-24T4F")</f>
        <v>DS-3E1528-SI-24T4F</v>
      </c>
      <c r="F1523" s="4" t="str">
        <f>IFERROR(__xludf.DUMMYFUNCTION("""COMPUTED_VALUE"""),"CONECTIVIDAD &gt; SWITCH")</f>
        <v>CONECTIVIDAD &gt; SWITCH</v>
      </c>
      <c r="G1523" s="5"/>
      <c r="H1523" s="6">
        <f>IFERROR(__xludf.DUMMYFUNCTION("""COMPUTED_VALUE"""),255.2)</f>
        <v>255.2</v>
      </c>
      <c r="I1523" s="7">
        <f>IFERROR(__xludf.DUMMYFUNCTION("""COMPUTED_VALUE"""),10.5)</f>
        <v>10.5</v>
      </c>
      <c r="J1523" s="6">
        <f>IFERROR(__xludf.DUMMYFUNCTION("""COMPUTED_VALUE"""),306.24)</f>
        <v>306.24</v>
      </c>
      <c r="K1523" s="6">
        <f>IFERROR(__xludf.DUMMYFUNCTION("""COMPUTED_VALUE"""),357.28)</f>
        <v>357.28</v>
      </c>
      <c r="L1523" s="3"/>
      <c r="M1523" s="3"/>
    </row>
    <row r="1524" ht="48.0" customHeight="1">
      <c r="A1524" s="3" t="str">
        <f>IFERROR(__xludf.DUMMYFUNCTION("""COMPUTED_VALUE"""),"DHPFS3005-5GT-L-V2")</f>
        <v>DHPFS3005-5GT-L-V2</v>
      </c>
      <c r="B1524" s="4" t="str">
        <f>IFERROR(__xludf.DUMMYFUNCTION("""COMPUTED_VALUE"""),"SWITCH 5-PORT DESKTOP GIGABIT ETHERNET SWITCH, GABINETE PLÁSTICO")</f>
        <v>SWITCH 5-PORT DESKTOP GIGABIT ETHERNET SWITCH, GABINETE PLÁSTICO</v>
      </c>
      <c r="C1524" s="4" t="str">
        <f>IFERROR(__xludf.DUMMYFUNCTION("""COMPUTED_VALUE"""),"SWITCH 5-Port Desktop Gigabit Ethernet Switch, gabinete plástico")</f>
        <v>SWITCH 5-Port Desktop Gigabit Ethernet Switch, gabinete plástico</v>
      </c>
      <c r="D1524" s="4" t="str">
        <f>IFERROR(__xludf.DUMMYFUNCTION("""COMPUTED_VALUE"""),"DAHUA")</f>
        <v>DAHUA</v>
      </c>
      <c r="E1524" s="4" t="str">
        <f>IFERROR(__xludf.DUMMYFUNCTION("""COMPUTED_VALUE"""),"DHPFS3005-5GT-L-V2")</f>
        <v>DHPFS3005-5GT-L-V2</v>
      </c>
      <c r="F1524" s="4" t="str">
        <f>IFERROR(__xludf.DUMMYFUNCTION("""COMPUTED_VALUE"""),"CONECTIVIDAD &gt; SWITCH")</f>
        <v>CONECTIVIDAD &gt; SWITCH</v>
      </c>
      <c r="G1524" s="5"/>
      <c r="H1524" s="6">
        <f>IFERROR(__xludf.DUMMYFUNCTION("""COMPUTED_VALUE"""),13.92)</f>
        <v>13.92</v>
      </c>
      <c r="I1524" s="7">
        <f>IFERROR(__xludf.DUMMYFUNCTION("""COMPUTED_VALUE"""),10.5)</f>
        <v>10.5</v>
      </c>
      <c r="J1524" s="6">
        <f>IFERROR(__xludf.DUMMYFUNCTION("""COMPUTED_VALUE"""),16.7)</f>
        <v>16.7</v>
      </c>
      <c r="K1524" s="6">
        <f>IFERROR(__xludf.DUMMYFUNCTION("""COMPUTED_VALUE"""),19.49)</f>
        <v>19.49</v>
      </c>
      <c r="L1524" s="3"/>
      <c r="M1524" s="3"/>
    </row>
    <row r="1525" ht="48.0" customHeight="1">
      <c r="A1525" s="3" t="str">
        <f>IFERROR(__xludf.DUMMYFUNCTION("""COMPUTED_VALUE"""),"DHPFS3008-8GT-L-V2")</f>
        <v>DHPFS3008-8GT-L-V2</v>
      </c>
      <c r="B1525" s="4" t="str">
        <f>IFERROR(__xludf.DUMMYFUNCTION("""COMPUTED_VALUE"""),"SWITCH 8-PORT UNMANAGED GIGABIT SWITCH, GABINETE PLÁSTICO")</f>
        <v>SWITCH 8-PORT UNMANAGED GIGABIT SWITCH, GABINETE PLÁSTICO</v>
      </c>
      <c r="C1525" s="4" t="str">
        <f>IFERROR(__xludf.DUMMYFUNCTION("""COMPUTED_VALUE"""),"SWITCH 8-Port Unmanaged Gigabit Switch, gabinete plástico")</f>
        <v>SWITCH 8-Port Unmanaged Gigabit Switch, gabinete plástico</v>
      </c>
      <c r="D1525" s="4" t="str">
        <f>IFERROR(__xludf.DUMMYFUNCTION("""COMPUTED_VALUE"""),"DAHUA")</f>
        <v>DAHUA</v>
      </c>
      <c r="E1525" s="4" t="str">
        <f>IFERROR(__xludf.DUMMYFUNCTION("""COMPUTED_VALUE"""),"DHPFS3008-8GT-L-V2")</f>
        <v>DHPFS3008-8GT-L-V2</v>
      </c>
      <c r="F1525" s="4" t="str">
        <f>IFERROR(__xludf.DUMMYFUNCTION("""COMPUTED_VALUE"""),"CONECTIVIDAD &gt; SWITCH")</f>
        <v>CONECTIVIDAD &gt; SWITCH</v>
      </c>
      <c r="G1525" s="5"/>
      <c r="H1525" s="6">
        <f>IFERROR(__xludf.DUMMYFUNCTION("""COMPUTED_VALUE"""),21.18)</f>
        <v>21.18</v>
      </c>
      <c r="I1525" s="7">
        <f>IFERROR(__xludf.DUMMYFUNCTION("""COMPUTED_VALUE"""),10.5)</f>
        <v>10.5</v>
      </c>
      <c r="J1525" s="6">
        <f>IFERROR(__xludf.DUMMYFUNCTION("""COMPUTED_VALUE"""),25.42)</f>
        <v>25.42</v>
      </c>
      <c r="K1525" s="6">
        <f>IFERROR(__xludf.DUMMYFUNCTION("""COMPUTED_VALUE"""),29.65)</f>
        <v>29.65</v>
      </c>
      <c r="L1525" s="3"/>
      <c r="M1525" s="3"/>
    </row>
    <row r="1526" ht="48.0" customHeight="1">
      <c r="A1526" s="3" t="str">
        <f>IFERROR(__xludf.DUMMYFUNCTION("""COMPUTED_VALUE"""),"TPLSF1005D")</f>
        <v>TPLSF1005D</v>
      </c>
      <c r="B1526" s="4" t="str">
        <f>IFERROR(__xludf.DUMMYFUNCTION("""COMPUTED_VALUE"""),"SWITCH 5 PUERTOS 10/100 MBPS")</f>
        <v>SWITCH 5 PUERTOS 10/100 MBPS</v>
      </c>
      <c r="C1526" s="4" t="str">
        <f>IFERROR(__xludf.DUMMYFUNCTION("""COMPUTED_VALUE"""),"Switch 5 puertos 10/100 MBPS")</f>
        <v>Switch 5 puertos 10/100 MBPS</v>
      </c>
      <c r="D1526" s="4" t="str">
        <f>IFERROR(__xludf.DUMMYFUNCTION("""COMPUTED_VALUE"""),"TP-LINK")</f>
        <v>TP-LINK</v>
      </c>
      <c r="E1526" s="4" t="str">
        <f>IFERROR(__xludf.DUMMYFUNCTION("""COMPUTED_VALUE"""),"TPLSF1005D")</f>
        <v>TPLSF1005D</v>
      </c>
      <c r="F1526" s="4" t="str">
        <f>IFERROR(__xludf.DUMMYFUNCTION("""COMPUTED_VALUE"""),"CONECTIVIDAD &gt; SWITCH")</f>
        <v>CONECTIVIDAD &gt; SWITCH</v>
      </c>
      <c r="G1526" s="5"/>
      <c r="H1526" s="6">
        <f>IFERROR(__xludf.DUMMYFUNCTION("""COMPUTED_VALUE"""),10.32)</f>
        <v>10.32</v>
      </c>
      <c r="I1526" s="7">
        <f>IFERROR(__xludf.DUMMYFUNCTION("""COMPUTED_VALUE"""),10.5)</f>
        <v>10.5</v>
      </c>
      <c r="J1526" s="6">
        <f>IFERROR(__xludf.DUMMYFUNCTION("""COMPUTED_VALUE"""),12.38)</f>
        <v>12.38</v>
      </c>
      <c r="K1526" s="6">
        <f>IFERROR(__xludf.DUMMYFUNCTION("""COMPUTED_VALUE"""),14.45)</f>
        <v>14.45</v>
      </c>
      <c r="L1526" s="3"/>
      <c r="M1526" s="3"/>
    </row>
    <row r="1527" ht="48.0" customHeight="1">
      <c r="A1527" s="3" t="str">
        <f>IFERROR(__xludf.DUMMYFUNCTION("""COMPUTED_VALUE"""),"TPLSG1005D")</f>
        <v>TPLSG1005D</v>
      </c>
      <c r="B1527" s="4" t="str">
        <f>IFERROR(__xludf.DUMMYFUNCTION("""COMPUTED_VALUE"""),"SWITCH 5 PUERTOS DE ESCRITORIO GIGABIT")</f>
        <v>SWITCH 5 PUERTOS DE ESCRITORIO GIGABIT</v>
      </c>
      <c r="C1527" s="4" t="str">
        <f>IFERROR(__xludf.DUMMYFUNCTION("""COMPUTED_VALUE"""),"Switch 5 puertos de escritorio Gigabit")</f>
        <v>Switch 5 puertos de escritorio Gigabit</v>
      </c>
      <c r="D1527" s="4" t="str">
        <f>IFERROR(__xludf.DUMMYFUNCTION("""COMPUTED_VALUE"""),"TP-LINK")</f>
        <v>TP-LINK</v>
      </c>
      <c r="E1527" s="4" t="str">
        <f>IFERROR(__xludf.DUMMYFUNCTION("""COMPUTED_VALUE"""),"TPLSG1005D")</f>
        <v>TPLSG1005D</v>
      </c>
      <c r="F1527" s="4" t="str">
        <f>IFERROR(__xludf.DUMMYFUNCTION("""COMPUTED_VALUE"""),"CONECTIVIDAD &gt; SWITCH")</f>
        <v>CONECTIVIDAD &gt; SWITCH</v>
      </c>
      <c r="G1527" s="5"/>
      <c r="H1527" s="6">
        <f>IFERROR(__xludf.DUMMYFUNCTION("""COMPUTED_VALUE"""),15.82)</f>
        <v>15.82</v>
      </c>
      <c r="I1527" s="7">
        <f>IFERROR(__xludf.DUMMYFUNCTION("""COMPUTED_VALUE"""),10.5)</f>
        <v>10.5</v>
      </c>
      <c r="J1527" s="6">
        <f>IFERROR(__xludf.DUMMYFUNCTION("""COMPUTED_VALUE"""),18.98)</f>
        <v>18.98</v>
      </c>
      <c r="K1527" s="6">
        <f>IFERROR(__xludf.DUMMYFUNCTION("""COMPUTED_VALUE"""),22.15)</f>
        <v>22.15</v>
      </c>
      <c r="L1527" s="3"/>
      <c r="M1527" s="3"/>
    </row>
    <row r="1528" ht="48.0" customHeight="1">
      <c r="A1528" s="3" t="str">
        <f>IFERROR(__xludf.DUMMYFUNCTION("""COMPUTED_VALUE"""),"TPLSF1008D")</f>
        <v>TPLSF1008D</v>
      </c>
      <c r="B1528" s="4" t="str">
        <f>IFERROR(__xludf.DUMMYFUNCTION("""COMPUTED_VALUE"""),"SWITCH 8 PUERTOS DE SOBREMESA 10/100 MBPS")</f>
        <v>SWITCH 8 PUERTOS DE SOBREMESA 10/100 MBPS</v>
      </c>
      <c r="C1528" s="4" t="str">
        <f>IFERROR(__xludf.DUMMYFUNCTION("""COMPUTED_VALUE"""),"Switch 8 puertos de sobremesa 10/100 Mbps")</f>
        <v>Switch 8 puertos de sobremesa 10/100 Mbps</v>
      </c>
      <c r="D1528" s="4" t="str">
        <f>IFERROR(__xludf.DUMMYFUNCTION("""COMPUTED_VALUE"""),"TP-LINK")</f>
        <v>TP-LINK</v>
      </c>
      <c r="E1528" s="4" t="str">
        <f>IFERROR(__xludf.DUMMYFUNCTION("""COMPUTED_VALUE"""),"TPLSF1008D")</f>
        <v>TPLSF1008D</v>
      </c>
      <c r="F1528" s="4" t="str">
        <f>IFERROR(__xludf.DUMMYFUNCTION("""COMPUTED_VALUE"""),"CONECTIVIDAD &gt; SWITCH")</f>
        <v>CONECTIVIDAD &gt; SWITCH</v>
      </c>
      <c r="G1528" s="5"/>
      <c r="H1528" s="6">
        <f>IFERROR(__xludf.DUMMYFUNCTION("""COMPUTED_VALUE"""),12.72)</f>
        <v>12.72</v>
      </c>
      <c r="I1528" s="7">
        <f>IFERROR(__xludf.DUMMYFUNCTION("""COMPUTED_VALUE"""),10.5)</f>
        <v>10.5</v>
      </c>
      <c r="J1528" s="6">
        <f>IFERROR(__xludf.DUMMYFUNCTION("""COMPUTED_VALUE"""),15.26)</f>
        <v>15.26</v>
      </c>
      <c r="K1528" s="6">
        <f>IFERROR(__xludf.DUMMYFUNCTION("""COMPUTED_VALUE"""),17.81)</f>
        <v>17.81</v>
      </c>
      <c r="L1528" s="3"/>
      <c r="M1528" s="3"/>
    </row>
    <row r="1529" ht="48.0" customHeight="1">
      <c r="A1529" s="3" t="str">
        <f>IFERROR(__xludf.DUMMYFUNCTION("""COMPUTED_VALUE"""),"TPLSG108")</f>
        <v>TPLSG108</v>
      </c>
      <c r="B1529" s="4" t="str">
        <f>IFERROR(__xludf.DUMMYFUNCTION("""COMPUTED_VALUE"""),"SWITCH 8 PORT 10/100/1000, GABINETE METÁLICO")</f>
        <v>SWITCH 8 PORT 10/100/1000, GABINETE METÁLICO</v>
      </c>
      <c r="C1529" s="4" t="str">
        <f>IFERROR(__xludf.DUMMYFUNCTION("""COMPUTED_VALUE"""),"Switch 8 Port 10/100/1000, gabinete metálico")</f>
        <v>Switch 8 Port 10/100/1000, gabinete metálico</v>
      </c>
      <c r="D1529" s="4" t="str">
        <f>IFERROR(__xludf.DUMMYFUNCTION("""COMPUTED_VALUE"""),"TP-LINK")</f>
        <v>TP-LINK</v>
      </c>
      <c r="E1529" s="4" t="str">
        <f>IFERROR(__xludf.DUMMYFUNCTION("""COMPUTED_VALUE"""),"TPLSG108")</f>
        <v>TPLSG108</v>
      </c>
      <c r="F1529" s="4" t="str">
        <f>IFERROR(__xludf.DUMMYFUNCTION("""COMPUTED_VALUE"""),"CONECTIVIDAD &gt; SWITCH")</f>
        <v>CONECTIVIDAD &gt; SWITCH</v>
      </c>
      <c r="G1529" s="5"/>
      <c r="H1529" s="6">
        <f>IFERROR(__xludf.DUMMYFUNCTION("""COMPUTED_VALUE"""),25.98)</f>
        <v>25.98</v>
      </c>
      <c r="I1529" s="7">
        <f>IFERROR(__xludf.DUMMYFUNCTION("""COMPUTED_VALUE"""),10.5)</f>
        <v>10.5</v>
      </c>
      <c r="J1529" s="6">
        <f>IFERROR(__xludf.DUMMYFUNCTION("""COMPUTED_VALUE"""),31.18)</f>
        <v>31.18</v>
      </c>
      <c r="K1529" s="6">
        <f>IFERROR(__xludf.DUMMYFUNCTION("""COMPUTED_VALUE"""),36.37)</f>
        <v>36.37</v>
      </c>
      <c r="L1529" s="3"/>
      <c r="M1529" s="3"/>
    </row>
    <row r="1530" ht="48.0" customHeight="1">
      <c r="A1530" s="3" t="str">
        <f>IFERROR(__xludf.DUMMYFUNCTION("""COMPUTED_VALUE"""),"TPLSG1008D")</f>
        <v>TPLSG1008D</v>
      </c>
      <c r="B1530" s="4" t="str">
        <f>IFERROR(__xludf.DUMMYFUNCTION("""COMPUTED_VALUE"""),"SWITCH DE 8 PUERTOS DE ESCRITORIO GIGABIT")</f>
        <v>SWITCH DE 8 PUERTOS DE ESCRITORIO GIGABIT</v>
      </c>
      <c r="C1530" s="4" t="str">
        <f>IFERROR(__xludf.DUMMYFUNCTION("""COMPUTED_VALUE"""),"Switch de 8 puertos de escritorio Gigabit. Caja de plástico, diseño de montaje de escritorio o en pared. Plug and play, sin necesidad de configuración")</f>
        <v>Switch de 8 puertos de escritorio Gigabit. Caja de plástico, diseño de montaje de escritorio o en pared. Plug and play, sin necesidad de configuración</v>
      </c>
      <c r="D1530" s="4" t="str">
        <f>IFERROR(__xludf.DUMMYFUNCTION("""COMPUTED_VALUE"""),"TP-LINK")</f>
        <v>TP-LINK</v>
      </c>
      <c r="E1530" s="4" t="str">
        <f>IFERROR(__xludf.DUMMYFUNCTION("""COMPUTED_VALUE"""),"TPLSG1008D")</f>
        <v>TPLSG1008D</v>
      </c>
      <c r="F1530" s="4" t="str">
        <f>IFERROR(__xludf.DUMMYFUNCTION("""COMPUTED_VALUE"""),"CONECTIVIDAD &gt; SWITCH")</f>
        <v>CONECTIVIDAD &gt; SWITCH</v>
      </c>
      <c r="G1530" s="5"/>
      <c r="H1530" s="6">
        <f>IFERROR(__xludf.DUMMYFUNCTION("""COMPUTED_VALUE"""),24.75)</f>
        <v>24.75</v>
      </c>
      <c r="I1530" s="7">
        <f>IFERROR(__xludf.DUMMYFUNCTION("""COMPUTED_VALUE"""),10.5)</f>
        <v>10.5</v>
      </c>
      <c r="J1530" s="6">
        <f>IFERROR(__xludf.DUMMYFUNCTION("""COMPUTED_VALUE"""),29.7)</f>
        <v>29.7</v>
      </c>
      <c r="K1530" s="6">
        <f>IFERROR(__xludf.DUMMYFUNCTION("""COMPUTED_VALUE"""),34.65)</f>
        <v>34.65</v>
      </c>
      <c r="L1530" s="3"/>
      <c r="M1530" s="3"/>
    </row>
    <row r="1531" ht="48.0" customHeight="1">
      <c r="A1531" s="3" t="str">
        <f>IFERROR(__xludf.DUMMYFUNCTION("""COMPUTED_VALUE"""),"TPLSG108E")</f>
        <v>TPLSG108E</v>
      </c>
      <c r="B1531" s="4" t="str">
        <f>IFERROR(__xludf.DUMMYFUNCTION("""COMPUTED_VALUE"""),"SWITCH 8P TPLINK SMART GIGABIT ACERO")</f>
        <v>SWITCH 8P TPLINK SMART GIGABIT ACERO</v>
      </c>
      <c r="C1531" s="4" t="str">
        <f>IFERROR(__xludf.DUMMYFUNCTION("""COMPUTED_VALUE"""),"Switch 8P TpLink Smart Gigabit Acero")</f>
        <v>Switch 8P TpLink Smart Gigabit Acero</v>
      </c>
      <c r="D1531" s="4" t="str">
        <f>IFERROR(__xludf.DUMMYFUNCTION("""COMPUTED_VALUE"""),"TP-LINK")</f>
        <v>TP-LINK</v>
      </c>
      <c r="E1531" s="4" t="str">
        <f>IFERROR(__xludf.DUMMYFUNCTION("""COMPUTED_VALUE"""),"TPLSG108E")</f>
        <v>TPLSG108E</v>
      </c>
      <c r="F1531" s="4" t="str">
        <f>IFERROR(__xludf.DUMMYFUNCTION("""COMPUTED_VALUE"""),"CONECTIVIDAD &gt; SWITCH")</f>
        <v>CONECTIVIDAD &gt; SWITCH</v>
      </c>
      <c r="G1531" s="5"/>
      <c r="H1531" s="6">
        <f>IFERROR(__xludf.DUMMYFUNCTION("""COMPUTED_VALUE"""),41.25)</f>
        <v>41.25</v>
      </c>
      <c r="I1531" s="7">
        <f>IFERROR(__xludf.DUMMYFUNCTION("""COMPUTED_VALUE"""),10.5)</f>
        <v>10.5</v>
      </c>
      <c r="J1531" s="6">
        <f>IFERROR(__xludf.DUMMYFUNCTION("""COMPUTED_VALUE"""),49.5)</f>
        <v>49.5</v>
      </c>
      <c r="K1531" s="6">
        <f>IFERROR(__xludf.DUMMYFUNCTION("""COMPUTED_VALUE"""),57.75)</f>
        <v>57.75</v>
      </c>
      <c r="L1531" s="3"/>
      <c r="M1531" s="3"/>
    </row>
    <row r="1532" ht="48.0" customHeight="1">
      <c r="A1532" s="3" t="str">
        <f>IFERROR(__xludf.DUMMYFUNCTION("""COMPUTED_VALUE"""),"TPLSF1016D")</f>
        <v>TPLSF1016D</v>
      </c>
      <c r="B1532" s="4" t="str">
        <f>IFERROR(__xludf.DUMMYFUNCTION("""COMPUTED_VALUE"""),"SWITCH 16 PORT 10/100, GABINETE PLÁSTICO")</f>
        <v>SWITCH 16 PORT 10/100, GABINETE PLÁSTICO</v>
      </c>
      <c r="C1532" s="4" t="str">
        <f>IFERROR(__xludf.DUMMYFUNCTION("""COMPUTED_VALUE"""),"Switch 16 Port 10/100, gabinete plástico. 16 puertos RJ4510/100 Mbps Auto-Negociación, compatible con Auto MDI / MDIX Tecnología Green Ethernet ahorra la energía hasta un 70%.IEEE 802.3x control de flujo proporciona una transferencia de datos fiables. Caj"&amp;"a de plástico, diseño de montaje de escritorio o en pared. Plug and play, sin necesidad de configuración")</f>
        <v>Switch 16 Port 10/100, gabinete plástico. 16 puertos RJ4510/100 Mbps Auto-Negociación, compatible con Auto MDI / MDIX Tecnología Green Ethernet ahorra la energía hasta un 70%.IEEE 802.3x control de flujo proporciona una transferencia de datos fiables. Caja de plástico, diseño de montaje de escritorio o en pared. Plug and play, sin necesidad de configuración</v>
      </c>
      <c r="D1532" s="4" t="str">
        <f>IFERROR(__xludf.DUMMYFUNCTION("""COMPUTED_VALUE"""),"TP-LINK")</f>
        <v>TP-LINK</v>
      </c>
      <c r="E1532" s="4" t="str">
        <f>IFERROR(__xludf.DUMMYFUNCTION("""COMPUTED_VALUE"""),"TPLSF1016D")</f>
        <v>TPLSF1016D</v>
      </c>
      <c r="F1532" s="4" t="str">
        <f>IFERROR(__xludf.DUMMYFUNCTION("""COMPUTED_VALUE"""),"CONECTIVIDAD &gt; SWITCH")</f>
        <v>CONECTIVIDAD &gt; SWITCH</v>
      </c>
      <c r="G1532" s="5"/>
      <c r="H1532" s="6">
        <f>IFERROR(__xludf.DUMMYFUNCTION("""COMPUTED_VALUE"""),24.48)</f>
        <v>24.48</v>
      </c>
      <c r="I1532" s="7">
        <f>IFERROR(__xludf.DUMMYFUNCTION("""COMPUTED_VALUE"""),10.5)</f>
        <v>10.5</v>
      </c>
      <c r="J1532" s="6">
        <f>IFERROR(__xludf.DUMMYFUNCTION("""COMPUTED_VALUE"""),29.38)</f>
        <v>29.38</v>
      </c>
      <c r="K1532" s="6">
        <f>IFERROR(__xludf.DUMMYFUNCTION("""COMPUTED_VALUE"""),34.27)</f>
        <v>34.27</v>
      </c>
      <c r="L1532" s="3"/>
      <c r="M1532" s="3"/>
    </row>
    <row r="1533" ht="48.0" customHeight="1">
      <c r="A1533" s="3" t="str">
        <f>IFERROR(__xludf.DUMMYFUNCTION("""COMPUTED_VALUE"""),"TPLSG1016")</f>
        <v>TPLSG1016</v>
      </c>
      <c r="B1533" s="4" t="str">
        <f>IFERROR(__xludf.DUMMYFUNCTION("""COMPUTED_VALUE"""),"SWITCH GIGABIT 16P TP-LINK R19")</f>
        <v>SWITCH GIGABIT 16P TP-LINK R19</v>
      </c>
      <c r="C1533" s="4" t="str">
        <f>IFERROR(__xludf.DUMMYFUNCTION("""COMPUTED_VALUE"""),"Switch Gigabit 16P Tp-Link R19")</f>
        <v>Switch Gigabit 16P Tp-Link R19</v>
      </c>
      <c r="D1533" s="4" t="str">
        <f>IFERROR(__xludf.DUMMYFUNCTION("""COMPUTED_VALUE"""),"TP-LINK")</f>
        <v>TP-LINK</v>
      </c>
      <c r="E1533" s="4" t="str">
        <f>IFERROR(__xludf.DUMMYFUNCTION("""COMPUTED_VALUE"""),"TPLSG1016")</f>
        <v>TPLSG1016</v>
      </c>
      <c r="F1533" s="4" t="str">
        <f>IFERROR(__xludf.DUMMYFUNCTION("""COMPUTED_VALUE"""),"CONECTIVIDAD &gt; SWITCH")</f>
        <v>CONECTIVIDAD &gt; SWITCH</v>
      </c>
      <c r="G1533" s="5"/>
      <c r="H1533" s="6">
        <f>IFERROR(__xludf.DUMMYFUNCTION("""COMPUTED_VALUE"""),74.25)</f>
        <v>74.25</v>
      </c>
      <c r="I1533" s="7">
        <f>IFERROR(__xludf.DUMMYFUNCTION("""COMPUTED_VALUE"""),10.5)</f>
        <v>10.5</v>
      </c>
      <c r="J1533" s="6">
        <f>IFERROR(__xludf.DUMMYFUNCTION("""COMPUTED_VALUE"""),89.1)</f>
        <v>89.1</v>
      </c>
      <c r="K1533" s="6">
        <f>IFERROR(__xludf.DUMMYFUNCTION("""COMPUTED_VALUE"""),103.95)</f>
        <v>103.95</v>
      </c>
      <c r="L1533" s="3"/>
      <c r="M1533" s="3"/>
    </row>
    <row r="1534" ht="48.0" customHeight="1">
      <c r="A1534" s="3" t="str">
        <f>IFERROR(__xludf.DUMMYFUNCTION("""COMPUTED_VALUE"""),"TPLSG1016D")</f>
        <v>TPLSG1016D</v>
      </c>
      <c r="B1534" s="4" t="str">
        <f>IFERROR(__xludf.DUMMYFUNCTION("""COMPUTED_VALUE"""),"SWITCH DE 16 PUERTOS GIGABIT PARA ESCRITORIO / MONTAJE EN RACK")</f>
        <v>SWITCH DE 16 PUERTOS GIGABIT PARA ESCRITORIO / MONTAJE EN RACK</v>
      </c>
      <c r="C1534" s="4" t="str">
        <f>IFERROR(__xludf.DUMMYFUNCTION("""COMPUTED_VALUE"""),"Switch de 16 puertos Gigabit para escritorio / montaje en rack")</f>
        <v>Switch de 16 puertos Gigabit para escritorio / montaje en rack</v>
      </c>
      <c r="D1534" s="4" t="str">
        <f>IFERROR(__xludf.DUMMYFUNCTION("""COMPUTED_VALUE"""),"TP-LINK")</f>
        <v>TP-LINK</v>
      </c>
      <c r="E1534" s="4" t="str">
        <f>IFERROR(__xludf.DUMMYFUNCTION("""COMPUTED_VALUE"""),"TPLSG1016D")</f>
        <v>TPLSG1016D</v>
      </c>
      <c r="F1534" s="4" t="str">
        <f>IFERROR(__xludf.DUMMYFUNCTION("""COMPUTED_VALUE"""),"CONECTIVIDAD &gt; SWITCH")</f>
        <v>CONECTIVIDAD &gt; SWITCH</v>
      </c>
      <c r="G1534" s="5"/>
      <c r="H1534" s="6">
        <f>IFERROR(__xludf.DUMMYFUNCTION("""COMPUTED_VALUE"""),96.12)</f>
        <v>96.12</v>
      </c>
      <c r="I1534" s="7">
        <f>IFERROR(__xludf.DUMMYFUNCTION("""COMPUTED_VALUE"""),10.5)</f>
        <v>10.5</v>
      </c>
      <c r="J1534" s="6">
        <f>IFERROR(__xludf.DUMMYFUNCTION("""COMPUTED_VALUE"""),115.34)</f>
        <v>115.34</v>
      </c>
      <c r="K1534" s="6">
        <f>IFERROR(__xludf.DUMMYFUNCTION("""COMPUTED_VALUE"""),134.57)</f>
        <v>134.57</v>
      </c>
      <c r="L1534" s="3"/>
      <c r="M1534" s="3"/>
    </row>
    <row r="1535" ht="48.0" customHeight="1">
      <c r="A1535" s="3" t="str">
        <f>IFERROR(__xludf.DUMMYFUNCTION("""COMPUTED_VALUE"""),"TPLSG1016DE")</f>
        <v>TPLSG1016DE</v>
      </c>
      <c r="B1535" s="4" t="str">
        <f>IFERROR(__xludf.DUMMYFUNCTION("""COMPUTED_VALUE"""),"SWITCH 16 PUERTOS GIGABIT EASY SMART 16X 10/100/1000MBPS RJ45 PORTS")</f>
        <v>SWITCH 16 PUERTOS GIGABIT EASY SMART 16X 10/100/1000MBPS RJ45 PORTS</v>
      </c>
      <c r="C1535" s="4" t="str">
        <f>IFERROR(__xludf.DUMMYFUNCTION("""COMPUTED_VALUE"""),"SWITCH 16 PUERTOS GIGABIT EASY SMART 16x 10/100/1000Mbps RJ45 ports. Provides network monitoring, traffic prioritization and VLAN features. Green technology reduces power consumption. Simple network set-up on top of plug-and-play connectivity. Web-based u"&amp;"ser interface and management utility simplify configuration")</f>
        <v>SWITCH 16 PUERTOS GIGABIT EASY SMART 16x 10/100/1000Mbps RJ45 ports. Provides network monitoring, traffic prioritization and VLAN features. Green technology reduces power consumption. Simple network set-up on top of plug-and-play connectivity. Web-based user interface and management utility simplify configuration</v>
      </c>
      <c r="D1535" s="4" t="str">
        <f>IFERROR(__xludf.DUMMYFUNCTION("""COMPUTED_VALUE"""),"TP-LINK")</f>
        <v>TP-LINK</v>
      </c>
      <c r="E1535" s="4" t="str">
        <f>IFERROR(__xludf.DUMMYFUNCTION("""COMPUTED_VALUE"""),"TPLSG1016DE")</f>
        <v>TPLSG1016DE</v>
      </c>
      <c r="F1535" s="4" t="str">
        <f>IFERROR(__xludf.DUMMYFUNCTION("""COMPUTED_VALUE"""),"CONECTIVIDAD &gt; SWITCH")</f>
        <v>CONECTIVIDAD &gt; SWITCH</v>
      </c>
      <c r="G1535" s="5"/>
      <c r="H1535" s="6">
        <f>IFERROR(__xludf.DUMMYFUNCTION("""COMPUTED_VALUE"""),112.92)</f>
        <v>112.92</v>
      </c>
      <c r="I1535" s="7">
        <f>IFERROR(__xludf.DUMMYFUNCTION("""COMPUTED_VALUE"""),10.5)</f>
        <v>10.5</v>
      </c>
      <c r="J1535" s="6">
        <f>IFERROR(__xludf.DUMMYFUNCTION("""COMPUTED_VALUE"""),135.5)</f>
        <v>135.5</v>
      </c>
      <c r="K1535" s="6">
        <f>IFERROR(__xludf.DUMMYFUNCTION("""COMPUTED_VALUE"""),158.09)</f>
        <v>158.09</v>
      </c>
      <c r="L1535" s="3"/>
      <c r="M1535" s="3"/>
    </row>
    <row r="1536" ht="48.0" customHeight="1">
      <c r="A1536" s="3" t="str">
        <f>IFERROR(__xludf.DUMMYFUNCTION("""COMPUTED_VALUE"""),"TPLSF1024D")</f>
        <v>TPLSF1024D</v>
      </c>
      <c r="B1536" s="4" t="str">
        <f>IFERROR(__xludf.DUMMYFUNCTION("""COMPUTED_VALUE"""),"SWITCH 24P TP-LINK DESKTOP")</f>
        <v>SWITCH 24P TP-LINK DESKTOP</v>
      </c>
      <c r="C1536" s="4" t="str">
        <f>IFERROR(__xludf.DUMMYFUNCTION("""COMPUTED_VALUE"""),"Switch 24P Tp-Link Desktop")</f>
        <v>Switch 24P Tp-Link Desktop</v>
      </c>
      <c r="D1536" s="4" t="str">
        <f>IFERROR(__xludf.DUMMYFUNCTION("""COMPUTED_VALUE"""),"TP-LINK")</f>
        <v>TP-LINK</v>
      </c>
      <c r="E1536" s="4" t="str">
        <f>IFERROR(__xludf.DUMMYFUNCTION("""COMPUTED_VALUE"""),"TPLSF1024D")</f>
        <v>TPLSF1024D</v>
      </c>
      <c r="F1536" s="4" t="str">
        <f>IFERROR(__xludf.DUMMYFUNCTION("""COMPUTED_VALUE"""),"CONECTIVIDAD &gt; SWITCH")</f>
        <v>CONECTIVIDAD &gt; SWITCH</v>
      </c>
      <c r="G1536" s="5"/>
      <c r="H1536" s="6">
        <f>IFERROR(__xludf.DUMMYFUNCTION("""COMPUTED_VALUE"""),50.88)</f>
        <v>50.88</v>
      </c>
      <c r="I1536" s="7">
        <f>IFERROR(__xludf.DUMMYFUNCTION("""COMPUTED_VALUE"""),10.5)</f>
        <v>10.5</v>
      </c>
      <c r="J1536" s="6">
        <f>IFERROR(__xludf.DUMMYFUNCTION("""COMPUTED_VALUE"""),61.06)</f>
        <v>61.06</v>
      </c>
      <c r="K1536" s="6">
        <f>IFERROR(__xludf.DUMMYFUNCTION("""COMPUTED_VALUE"""),71.23)</f>
        <v>71.23</v>
      </c>
      <c r="L1536" s="3"/>
      <c r="M1536" s="3"/>
    </row>
    <row r="1537" ht="48.0" customHeight="1">
      <c r="A1537" s="3" t="str">
        <f>IFERROR(__xludf.DUMMYFUNCTION("""COMPUTED_VALUE"""),"TPLSG1024D")</f>
        <v>TPLSG1024D</v>
      </c>
      <c r="B1537" s="4" t="str">
        <f>IFERROR(__xludf.DUMMYFUNCTION("""COMPUTED_VALUE"""),"SWITCH 24 PUERTOS GIGABIT MONTAJE EN ESCRITORIO / RACK")</f>
        <v>SWITCH 24 PUERTOS GIGABIT MONTAJE EN ESCRITORIO / RACK</v>
      </c>
      <c r="C1537" s="4" t="str">
        <f>IFERROR(__xludf.DUMMYFUNCTION("""COMPUTED_VALUE"""),"Switch 24 puertos Gigabit montaje en escritorio / rack")</f>
        <v>Switch 24 puertos Gigabit montaje en escritorio / rack</v>
      </c>
      <c r="D1537" s="4" t="str">
        <f>IFERROR(__xludf.DUMMYFUNCTION("""COMPUTED_VALUE"""),"TP-LINK")</f>
        <v>TP-LINK</v>
      </c>
      <c r="E1537" s="4" t="str">
        <f>IFERROR(__xludf.DUMMYFUNCTION("""COMPUTED_VALUE"""),"TPLSG1024D")</f>
        <v>TPLSG1024D</v>
      </c>
      <c r="F1537" s="4" t="str">
        <f>IFERROR(__xludf.DUMMYFUNCTION("""COMPUTED_VALUE"""),"CONECTIVIDAD &gt; SWITCH")</f>
        <v>CONECTIVIDAD &gt; SWITCH</v>
      </c>
      <c r="G1537" s="5"/>
      <c r="H1537" s="6">
        <f>IFERROR(__xludf.DUMMYFUNCTION("""COMPUTED_VALUE"""),100.38)</f>
        <v>100.38</v>
      </c>
      <c r="I1537" s="7">
        <f>IFERROR(__xludf.DUMMYFUNCTION("""COMPUTED_VALUE"""),10.5)</f>
        <v>10.5</v>
      </c>
      <c r="J1537" s="6">
        <f>IFERROR(__xludf.DUMMYFUNCTION("""COMPUTED_VALUE"""),120.46)</f>
        <v>120.46</v>
      </c>
      <c r="K1537" s="6">
        <f>IFERROR(__xludf.DUMMYFUNCTION("""COMPUTED_VALUE"""),140.53)</f>
        <v>140.53</v>
      </c>
      <c r="L1537" s="3"/>
      <c r="M1537" s="3"/>
    </row>
    <row r="1538" ht="48.0" customHeight="1">
      <c r="A1538" s="3" t="str">
        <f>IFERROR(__xludf.DUMMYFUNCTION("""COMPUTED_VALUE"""),"DS-3E0105P-E/M(C)")</f>
        <v>DS-3E0105P-E/M(C)</v>
      </c>
      <c r="B1538" s="4" t="str">
        <f>IFERROR(__xludf.DUMMYFUNCTION("""COMPUTED_VALUE"""),"SWITCH POE 4-PORTS 4 UNMANAGED POE 4 × 100")</f>
        <v>SWITCH POE 4-PORTS 4 UNMANAGED POE 4 × 100</v>
      </c>
      <c r="C1538" s="4" t="str">
        <f>IFERROR(__xludf.DUMMYFUNCTION("""COMPUTED_VALUE"""),"Switch POE 4-ports 4 Unmanaged POE 4 × 100 Mbps Switch Up to 300 m Long Range PoE Transmission 6 kV Surge Protection to Improve Reliability in Harsh Environment")</f>
        <v>Switch POE 4-ports 4 Unmanaged POE 4 × 100 Mbps Switch Up to 300 m Long Range PoE Transmission 6 kV Surge Protection to Improve Reliability in Harsh Environment</v>
      </c>
      <c r="D1538" s="4" t="str">
        <f>IFERROR(__xludf.DUMMYFUNCTION("""COMPUTED_VALUE"""),"HIKVISION")</f>
        <v>HIKVISION</v>
      </c>
      <c r="E1538" s="4" t="str">
        <f>IFERROR(__xludf.DUMMYFUNCTION("""COMPUTED_VALUE"""),"DS-3E0105P-E/M(C)")</f>
        <v>DS-3E0105P-E/M(C)</v>
      </c>
      <c r="F1538" s="4" t="str">
        <f>IFERROR(__xludf.DUMMYFUNCTION("""COMPUTED_VALUE"""),"CONECTIVIDAD &gt; SWITCH POE")</f>
        <v>CONECTIVIDAD &gt; SWITCH POE</v>
      </c>
      <c r="G1538" s="5"/>
      <c r="H1538" s="6">
        <f>IFERROR(__xludf.DUMMYFUNCTION("""COMPUTED_VALUE"""),32.78)</f>
        <v>32.78</v>
      </c>
      <c r="I1538" s="7">
        <f>IFERROR(__xludf.DUMMYFUNCTION("""COMPUTED_VALUE"""),10.5)</f>
        <v>10.5</v>
      </c>
      <c r="J1538" s="6">
        <f>IFERROR(__xludf.DUMMYFUNCTION("""COMPUTED_VALUE"""),39.34)</f>
        <v>39.34</v>
      </c>
      <c r="K1538" s="6">
        <f>IFERROR(__xludf.DUMMYFUNCTION("""COMPUTED_VALUE"""),45.89)</f>
        <v>45.89</v>
      </c>
      <c r="L1538" s="3"/>
      <c r="M1538" s="3"/>
    </row>
    <row r="1539" ht="48.0" customHeight="1">
      <c r="A1539" s="3" t="str">
        <f>IFERROR(__xludf.DUMMYFUNCTION("""COMPUTED_VALUE"""),"DS-3E0106P-E/M")</f>
        <v>DS-3E0106P-E/M</v>
      </c>
      <c r="B1539" s="4" t="str">
        <f>IFERROR(__xludf.DUMMYFUNCTION("""COMPUTED_VALUE"""),"SWITCH POE 4-PORTS X 10/100M RJ45 POE PORTS, MAS")</f>
        <v>SWITCH POE 4-PORTS X 10/100M RJ45 POE PORTS, MAS</v>
      </c>
      <c r="C1539" s="4" t="str">
        <f>IFERROR(__xludf.DUMMYFUNCTION("""COMPUTED_VALUE"""),"Switch POE 4-ports x 10/100M RJ45 PoE ports, mas 2x 10/100M RJ45 uplink port, 802.3af/at, PoE power budget 35W, max. 300m long distance transmission, 6KV surge protection")</f>
        <v>Switch POE 4-ports x 10/100M RJ45 PoE ports, mas 2x 10/100M RJ45 uplink port, 802.3af/at, PoE power budget 35W, max. 300m long distance transmission, 6KV surge protection</v>
      </c>
      <c r="D1539" s="4" t="str">
        <f>IFERROR(__xludf.DUMMYFUNCTION("""COMPUTED_VALUE"""),"HIKVISION")</f>
        <v>HIKVISION</v>
      </c>
      <c r="E1539" s="4" t="str">
        <f>IFERROR(__xludf.DUMMYFUNCTION("""COMPUTED_VALUE"""),"DS-3E0106P-E/M")</f>
        <v>DS-3E0106P-E/M</v>
      </c>
      <c r="F1539" s="4" t="str">
        <f>IFERROR(__xludf.DUMMYFUNCTION("""COMPUTED_VALUE"""),"CONECTIVIDAD &gt; SWITCH POE")</f>
        <v>CONECTIVIDAD &gt; SWITCH POE</v>
      </c>
      <c r="G1539" s="5"/>
      <c r="H1539" s="6">
        <f>IFERROR(__xludf.DUMMYFUNCTION("""COMPUTED_VALUE"""),36.3)</f>
        <v>36.3</v>
      </c>
      <c r="I1539" s="7">
        <f>IFERROR(__xludf.DUMMYFUNCTION("""COMPUTED_VALUE"""),10.5)</f>
        <v>10.5</v>
      </c>
      <c r="J1539" s="6">
        <f>IFERROR(__xludf.DUMMYFUNCTION("""COMPUTED_VALUE"""),43.56)</f>
        <v>43.56</v>
      </c>
      <c r="K1539" s="6">
        <f>IFERROR(__xludf.DUMMYFUNCTION("""COMPUTED_VALUE"""),50.82)</f>
        <v>50.82</v>
      </c>
      <c r="L1539" s="3"/>
      <c r="M1539" s="3"/>
    </row>
    <row r="1540" ht="48.0" customHeight="1">
      <c r="A1540" s="3" t="str">
        <f>IFERROR(__xludf.DUMMYFUNCTION("""COMPUTED_VALUE"""),"DS-3E0105P-E(B)")</f>
        <v>DS-3E0105P-E(B)</v>
      </c>
      <c r="B1540" s="4" t="str">
        <f>IFERROR(__xludf.DUMMYFUNCTION("""COMPUTED_VALUE"""),"SWITCH POE 4-PORTS 100MBPS UNMANAGED POE SWITCH 4 ×")</f>
        <v>SWITCH POE 4-PORTS 100MBPS UNMANAGED POE SWITCH 4 ×</v>
      </c>
      <c r="C1540" s="4" t="str">
        <f>IFERROR(__xludf.DUMMYFUNCTION("""COMPUTED_VALUE"""),"Switch POE 4-ports 100Mbps Unmanaged PoE Switch 4 × 100 Mbps PoE ports and IEEE 802.3at and IEEE 802.3af Auto-MDIX PoE ports Provides up to 30 watts per PoE port. 448 Kbits RAM Data Buffer. 1K MAC address entries 8-core power supply. Up to 300 m transmis"&amp;"sion distance.")</f>
        <v>Switch POE 4-ports 100Mbps Unmanaged PoE Switch 4 × 100 Mbps PoE ports and IEEE 802.3at and IEEE 802.3af Auto-MDIX PoE ports Provides up to 30 watts per PoE port. 448 Kbits RAM Data Buffer. 1K MAC address entries 8-core power supply._x009f_ Up to 300 m transmission distance._x009f_</v>
      </c>
      <c r="D1540" s="4" t="str">
        <f>IFERROR(__xludf.DUMMYFUNCTION("""COMPUTED_VALUE"""),"HIKVISION")</f>
        <v>HIKVISION</v>
      </c>
      <c r="E1540" s="4" t="str">
        <f>IFERROR(__xludf.DUMMYFUNCTION("""COMPUTED_VALUE"""),"DS-3E0105P-E(B)")</f>
        <v>DS-3E0105P-E(B)</v>
      </c>
      <c r="F1540" s="4" t="str">
        <f>IFERROR(__xludf.DUMMYFUNCTION("""COMPUTED_VALUE"""),"CONECTIVIDAD &gt; SWITCH POE")</f>
        <v>CONECTIVIDAD &gt; SWITCH POE</v>
      </c>
      <c r="G1540" s="5"/>
      <c r="H1540" s="6">
        <f>IFERROR(__xludf.DUMMYFUNCTION("""COMPUTED_VALUE"""),47.3)</f>
        <v>47.3</v>
      </c>
      <c r="I1540" s="7">
        <f>IFERROR(__xludf.DUMMYFUNCTION("""COMPUTED_VALUE"""),10.5)</f>
        <v>10.5</v>
      </c>
      <c r="J1540" s="6">
        <f>IFERROR(__xludf.DUMMYFUNCTION("""COMPUTED_VALUE"""),56.76)</f>
        <v>56.76</v>
      </c>
      <c r="K1540" s="6">
        <f>IFERROR(__xludf.DUMMYFUNCTION("""COMPUTED_VALUE"""),66.22)</f>
        <v>66.22</v>
      </c>
      <c r="L1540" s="3"/>
      <c r="M1540" s="3"/>
    </row>
    <row r="1541" ht="48.0" customHeight="1">
      <c r="A1541" s="3" t="str">
        <f>IFERROR(__xludf.DUMMYFUNCTION("""COMPUTED_VALUE"""),"DS-3E1105P-EI")</f>
        <v>DS-3E1105P-EI</v>
      </c>
      <c r="B1541" s="4" t="str">
        <f>IFERROR(__xludf.DUMMYFUNCTION("""COMPUTED_VALUE"""),"SWITCH POE 4-PORTS L2, SMART MANAGED, 4 10/100M RJ45")</f>
        <v>SWITCH POE 4-PORTS L2, SMART MANAGED, 4 10/100M RJ45</v>
      </c>
      <c r="C1541" s="4" t="str">
        <f>IFERROR(__xludf.DUMMYFUNCTION("""COMPUTED_VALUE"""),"Switch POE 4-ports L2, Smart Managed, 4 10/100M RJ45 PoE ports, 1 10/100M RJ45 port, 802.3af/at, PoE power budget 60W, Max. 300 meter long distance PoE transmission, Visualized Topology Management, Network Health Monitor, Real-Time Alarm Push and Video Co"&amp;"ntrol and Preview")</f>
        <v>Switch POE 4-ports L2, Smart Managed, 4 10/100M RJ45 PoE ports, 1 10/100M RJ45 port, 802.3af/at, PoE power budget 60W, Max. 300 meter long distance PoE transmission, Visualized Topology Management, Network Health Monitor, Real-Time Alarm Push and Video Control and Preview</v>
      </c>
      <c r="D1541" s="4" t="str">
        <f>IFERROR(__xludf.DUMMYFUNCTION("""COMPUTED_VALUE"""),"HIKVISION")</f>
        <v>HIKVISION</v>
      </c>
      <c r="E1541" s="4" t="str">
        <f>IFERROR(__xludf.DUMMYFUNCTION("""COMPUTED_VALUE"""),"DS-3E1105P-EI")</f>
        <v>DS-3E1105P-EI</v>
      </c>
      <c r="F1541" s="4" t="str">
        <f>IFERROR(__xludf.DUMMYFUNCTION("""COMPUTED_VALUE"""),"CONECTIVIDAD &gt; SWITCH POE")</f>
        <v>CONECTIVIDAD &gt; SWITCH POE</v>
      </c>
      <c r="G1541" s="5"/>
      <c r="H1541" s="6">
        <f>IFERROR(__xludf.DUMMYFUNCTION("""COMPUTED_VALUE"""),67.1)</f>
        <v>67.1</v>
      </c>
      <c r="I1541" s="7">
        <f>IFERROR(__xludf.DUMMYFUNCTION("""COMPUTED_VALUE"""),10.5)</f>
        <v>10.5</v>
      </c>
      <c r="J1541" s="6">
        <f>IFERROR(__xludf.DUMMYFUNCTION("""COMPUTED_VALUE"""),80.52)</f>
        <v>80.52</v>
      </c>
      <c r="K1541" s="6">
        <f>IFERROR(__xludf.DUMMYFUNCTION("""COMPUTED_VALUE"""),93.94)</f>
        <v>93.94</v>
      </c>
      <c r="L1541" s="3"/>
      <c r="M1541" s="3"/>
    </row>
    <row r="1542" ht="48.0" customHeight="1">
      <c r="A1542" s="3" t="str">
        <f>IFERROR(__xludf.DUMMYFUNCTION("""COMPUTED_VALUE"""),"DS-3E0106HP-E")</f>
        <v>DS-3E0106HP-E</v>
      </c>
      <c r="B1542" s="4" t="str">
        <f>IFERROR(__xludf.DUMMYFUNCTION("""COMPUTED_VALUE"""),"SWITCH POE 4-PORTS L2, UNMANAGED, POE 4 10/100M RJ45")</f>
        <v>SWITCH POE 4-PORTS L2, UNMANAGED, POE 4 10/100M RJ45</v>
      </c>
      <c r="C1542" s="4" t="str">
        <f>IFERROR(__xludf.DUMMYFUNCTION("""COMPUTED_VALUE"""),"Switch POE 4-ports L2, Unmanaged, POE 4 10/100M RJ45 PoE ports, 2 10/100M RJ45 uplink ports, 802.3af/at/bt, port 1 support Hi-PoE 60w, PoE power budget 60W, max. 300m long distance transmission, 6KV surge protection")</f>
        <v>Switch POE 4-ports L2, Unmanaged, POE 4 10/100M RJ45 PoE ports, 2 10/100M RJ45 uplink ports, 802.3af/at/bt, port 1 support Hi-PoE 60w, PoE power budget 60W, max. 300m long distance transmission, 6KV surge protection</v>
      </c>
      <c r="D1542" s="4" t="str">
        <f>IFERROR(__xludf.DUMMYFUNCTION("""COMPUTED_VALUE"""),"HIKVISION")</f>
        <v>HIKVISION</v>
      </c>
      <c r="E1542" s="4" t="str">
        <f>IFERROR(__xludf.DUMMYFUNCTION("""COMPUTED_VALUE"""),"DS-3E0106HP-E")</f>
        <v>DS-3E0106HP-E</v>
      </c>
      <c r="F1542" s="4" t="str">
        <f>IFERROR(__xludf.DUMMYFUNCTION("""COMPUTED_VALUE"""),"CONECTIVIDAD &gt; SWITCH POE")</f>
        <v>CONECTIVIDAD &gt; SWITCH POE</v>
      </c>
      <c r="G1542" s="5"/>
      <c r="H1542" s="6">
        <f>IFERROR(__xludf.DUMMYFUNCTION("""COMPUTED_VALUE"""),52.8)</f>
        <v>52.8</v>
      </c>
      <c r="I1542" s="7">
        <f>IFERROR(__xludf.DUMMYFUNCTION("""COMPUTED_VALUE"""),10.5)</f>
        <v>10.5</v>
      </c>
      <c r="J1542" s="6">
        <f>IFERROR(__xludf.DUMMYFUNCTION("""COMPUTED_VALUE"""),63.36)</f>
        <v>63.36</v>
      </c>
      <c r="K1542" s="6">
        <f>IFERROR(__xludf.DUMMYFUNCTION("""COMPUTED_VALUE"""),73.92)</f>
        <v>73.92</v>
      </c>
      <c r="L1542" s="3"/>
      <c r="M1542" s="3"/>
    </row>
    <row r="1543" ht="48.0" customHeight="1">
      <c r="A1543" s="3" t="str">
        <f>IFERROR(__xludf.DUMMYFUNCTION("""COMPUTED_VALUE"""),"DS-3E0505P-E(B)")</f>
        <v>DS-3E0505P-E(B)</v>
      </c>
      <c r="B1543" s="4" t="str">
        <f>IFERROR(__xludf.DUMMYFUNCTION("""COMPUTED_VALUE"""),"SWITCH POE 4-PORTS L2, UNMANAGED, 4 GIGABIT POE PORTS,")</f>
        <v>SWITCH POE 4-PORTS L2, UNMANAGED, 4 GIGABIT POE PORTS,</v>
      </c>
      <c r="C1543" s="4" t="str">
        <f>IFERROR(__xludf.DUMMYFUNCTION("""COMPUTED_VALUE"""),"Switch POE 4-ports L2, Unmanaged, 4 Gigabit POE ports, 1 Gigabit RJ45 uplink port, 802.3af/at, PoE power budget 60w")</f>
        <v>Switch POE 4-ports L2, Unmanaged, 4 Gigabit POE ports, 1 Gigabit RJ45 uplink port, 802.3af/at, PoE power budget 60w</v>
      </c>
      <c r="D1543" s="4" t="str">
        <f>IFERROR(__xludf.DUMMYFUNCTION("""COMPUTED_VALUE"""),"HIKVISION")</f>
        <v>HIKVISION</v>
      </c>
      <c r="E1543" s="4" t="str">
        <f>IFERROR(__xludf.DUMMYFUNCTION("""COMPUTED_VALUE"""),"DS-3E0505P-E(B)")</f>
        <v>DS-3E0505P-E(B)</v>
      </c>
      <c r="F1543" s="4" t="str">
        <f>IFERROR(__xludf.DUMMYFUNCTION("""COMPUTED_VALUE"""),"CONECTIVIDAD &gt; SWITCH POE")</f>
        <v>CONECTIVIDAD &gt; SWITCH POE</v>
      </c>
      <c r="G1543" s="5"/>
      <c r="H1543" s="6">
        <f>IFERROR(__xludf.DUMMYFUNCTION("""COMPUTED_VALUE"""),56.1)</f>
        <v>56.1</v>
      </c>
      <c r="I1543" s="7">
        <f>IFERROR(__xludf.DUMMYFUNCTION("""COMPUTED_VALUE"""),10.5)</f>
        <v>10.5</v>
      </c>
      <c r="J1543" s="6">
        <f>IFERROR(__xludf.DUMMYFUNCTION("""COMPUTED_VALUE"""),67.32)</f>
        <v>67.32</v>
      </c>
      <c r="K1543" s="6">
        <f>IFERROR(__xludf.DUMMYFUNCTION("""COMPUTED_VALUE"""),78.54)</f>
        <v>78.54</v>
      </c>
      <c r="L1543" s="3"/>
      <c r="M1543" s="3"/>
    </row>
    <row r="1544" ht="48.0" customHeight="1">
      <c r="A1544" s="3" t="str">
        <f>IFERROR(__xludf.DUMMYFUNCTION("""COMPUTED_VALUE"""),"DS-3E1505P-EI")</f>
        <v>DS-3E1505P-EI</v>
      </c>
      <c r="B1544" s="4" t="str">
        <f>IFERROR(__xludf.DUMMYFUNCTION("""COMPUTED_VALUE"""),"SWITCH POE 4-PORTS INTELIGENTE 4 PUERTOS GIGABIT POE, 1")</f>
        <v>SWITCH POE 4-PORTS INTELIGENTE 4 PUERTOS GIGABIT POE, 1</v>
      </c>
      <c r="C1544" s="4" t="str">
        <f>IFERROR(__xludf.DUMMYFUNCTION("""COMPUTED_VALUE"""),"Switch POE 4-ports inteligente 4 puertos Gigabit PoE, 1 puerto Gigabit RJ45 Presupuesto de energía PoE total 60W Compatibilidad con 802.1Q VLAN Admite el vigilancia PoE para detectar y reiniciar las cámaras que no responden Apoyar la prevención de bucles "&amp;"STP/RSTP Admite la detección de cables para localizar fallas Transmisión PoE de largo alcance de hasta 300 m Protección contra sobretensiones de 6KV")</f>
        <v>Switch POE 4-ports inteligente 4 puertos Gigabit PoE, 1 puerto Gigabit RJ45 Presupuesto de energía PoE total 60W Compatibilidad con 802.1Q VLAN Admite el vigilancia PoE para detectar y reiniciar las cámaras que no responden Apoyar la prevención de bucles STP/RSTP Admite la detección de cables para localizar fallas Transmisión PoE de largo alcance de hasta 300 m Protección contra sobretensiones de 6KV</v>
      </c>
      <c r="D1544" s="4" t="str">
        <f>IFERROR(__xludf.DUMMYFUNCTION("""COMPUTED_VALUE"""),"HIKVISION")</f>
        <v>HIKVISION</v>
      </c>
      <c r="E1544" s="4" t="str">
        <f>IFERROR(__xludf.DUMMYFUNCTION("""COMPUTED_VALUE"""),"DS-3E1505P-EI")</f>
        <v>DS-3E1505P-EI</v>
      </c>
      <c r="F1544" s="4" t="str">
        <f>IFERROR(__xludf.DUMMYFUNCTION("""COMPUTED_VALUE"""),"CONECTIVIDAD &gt; SWITCH POE")</f>
        <v>CONECTIVIDAD &gt; SWITCH POE</v>
      </c>
      <c r="G1544" s="5"/>
      <c r="H1544" s="6">
        <f>IFERROR(__xludf.DUMMYFUNCTION("""COMPUTED_VALUE"""),59.4)</f>
        <v>59.4</v>
      </c>
      <c r="I1544" s="7">
        <f>IFERROR(__xludf.DUMMYFUNCTION("""COMPUTED_VALUE"""),10.5)</f>
        <v>10.5</v>
      </c>
      <c r="J1544" s="6">
        <f>IFERROR(__xludf.DUMMYFUNCTION("""COMPUTED_VALUE"""),71.28)</f>
        <v>71.28</v>
      </c>
      <c r="K1544" s="6">
        <f>IFERROR(__xludf.DUMMYFUNCTION("""COMPUTED_VALUE"""),83.16)</f>
        <v>83.16</v>
      </c>
      <c r="L1544" s="3"/>
      <c r="M1544" s="3"/>
    </row>
    <row r="1545" ht="48.0" customHeight="1">
      <c r="A1545" s="3" t="str">
        <f>IFERROR(__xludf.DUMMYFUNCTION("""COMPUTED_VALUE"""),"DS-3E1106HP-EI")</f>
        <v>DS-3E1106HP-EI</v>
      </c>
      <c r="B1545" s="4" t="str">
        <f>IFERROR(__xludf.DUMMYFUNCTION("""COMPUTED_VALUE"""),"SWITCH POE 4-PORTS L2, SMART MANAGED, 4 10/100M RJ45")</f>
        <v>SWITCH POE 4-PORTS L2, SMART MANAGED, 4 10/100M RJ45</v>
      </c>
      <c r="C1545" s="4" t="str">
        <f>IFERROR(__xludf.DUMMYFUNCTION("""COMPUTED_VALUE"""),"Switch POE 4-ports L2, Smart Managed, 4 10/100M RJ45 PoE ports, 2 10/100M RJ45 port, 802.3af/at/bt, PoE power budget 60W, Max. 300 meter long distance PoE transmission, Visualized Topology Management, Network Health Monitor, Real-Time Alarm Push and Video"&amp;" Control and Preview")</f>
        <v>Switch POE 4-ports L2, Smart Managed, 4 10/100M RJ45 PoE ports, 2 10/100M RJ45 port, 802.3af/at/bt, PoE power budget 60W, Max. 300 meter long distance PoE transmission, Visualized Topology Management, Network Health Monitor, Real-Time Alarm Push and Video Control and Preview</v>
      </c>
      <c r="D1545" s="4" t="str">
        <f>IFERROR(__xludf.DUMMYFUNCTION("""COMPUTED_VALUE"""),"HIKVISION")</f>
        <v>HIKVISION</v>
      </c>
      <c r="E1545" s="4" t="str">
        <f>IFERROR(__xludf.DUMMYFUNCTION("""COMPUTED_VALUE"""),"DS-3E1106HP-EI")</f>
        <v>DS-3E1106HP-EI</v>
      </c>
      <c r="F1545" s="4" t="str">
        <f>IFERROR(__xludf.DUMMYFUNCTION("""COMPUTED_VALUE"""),"CONECTIVIDAD &gt; SWITCH POE")</f>
        <v>CONECTIVIDAD &gt; SWITCH POE</v>
      </c>
      <c r="G1545" s="5"/>
      <c r="H1545" s="6">
        <f>IFERROR(__xludf.DUMMYFUNCTION("""COMPUTED_VALUE"""),86.9)</f>
        <v>86.9</v>
      </c>
      <c r="I1545" s="7">
        <f>IFERROR(__xludf.DUMMYFUNCTION("""COMPUTED_VALUE"""),10.5)</f>
        <v>10.5</v>
      </c>
      <c r="J1545" s="6">
        <f>IFERROR(__xludf.DUMMYFUNCTION("""COMPUTED_VALUE"""),104.28)</f>
        <v>104.28</v>
      </c>
      <c r="K1545" s="6">
        <f>IFERROR(__xludf.DUMMYFUNCTION("""COMPUTED_VALUE"""),121.66)</f>
        <v>121.66</v>
      </c>
      <c r="L1545" s="3"/>
      <c r="M1545" s="3"/>
    </row>
    <row r="1546" ht="48.0" customHeight="1">
      <c r="A1546" s="3" t="str">
        <f>IFERROR(__xludf.DUMMYFUNCTION("""COMPUTED_VALUE"""),"DS3T0306HPEHS")</f>
        <v>DS3T0306HPEHS</v>
      </c>
      <c r="B1546" s="4" t="str">
        <f>IFERROR(__xludf.DUMMYFUNCTION("""COMPUTED_VALUE"""),"SWITCH POE 4-PORTS DS-3T0306HP-E/HS SWITCH 4 BOCAS INDUSTRIAL POE")</f>
        <v>SWITCH POE 4-PORTS DS-3T0306HP-E/HS SWITCH 4 BOCAS INDUSTRIAL POE</v>
      </c>
      <c r="C1546" s="4" t="str">
        <f>IFERROR(__xludf.DUMMYFUNCTION("""COMPUTED_VALUE"""),"Switch POE 4-ports DS-3T0306HP-E/HS Switch 4 bocas Industrial POE 3 × 100M PoE ports, 1 × Hi-PoE port, 1 × gigabit RJ45 port and 1 × gigabit SFP Fiber Optical Port. Unmanaged PoE L2 Series. Temperatura de funcionamiento-30 °C to 65 °C")</f>
        <v>Switch POE 4-ports DS-3T0306HP-E/HS Switch 4 bocas Industrial POE 3 × 100M PoE ports, 1 × Hi-PoE port, 1 × gigabit RJ45 port and 1 × gigabit SFP Fiber Optical Port. Unmanaged PoE L2 Series. Temperatura de funcionamiento-30 °C to 65 °C</v>
      </c>
      <c r="D1546" s="4" t="str">
        <f>IFERROR(__xludf.DUMMYFUNCTION("""COMPUTED_VALUE"""),"HIKVISION")</f>
        <v>HIKVISION</v>
      </c>
      <c r="E1546" s="4" t="str">
        <f>IFERROR(__xludf.DUMMYFUNCTION("""COMPUTED_VALUE"""),"DS3T0306HPEHS")</f>
        <v>DS3T0306HPEHS</v>
      </c>
      <c r="F1546" s="4" t="str">
        <f>IFERROR(__xludf.DUMMYFUNCTION("""COMPUTED_VALUE"""),"CONECTIVIDAD &gt; SWITCH POE")</f>
        <v>CONECTIVIDAD &gt; SWITCH POE</v>
      </c>
      <c r="G1546" s="5"/>
      <c r="H1546" s="6">
        <f>IFERROR(__xludf.DUMMYFUNCTION("""COMPUTED_VALUE"""),118.8)</f>
        <v>118.8</v>
      </c>
      <c r="I1546" s="7">
        <f>IFERROR(__xludf.DUMMYFUNCTION("""COMPUTED_VALUE"""),10.5)</f>
        <v>10.5</v>
      </c>
      <c r="J1546" s="6">
        <f>IFERROR(__xludf.DUMMYFUNCTION("""COMPUTED_VALUE"""),142.56)</f>
        <v>142.56</v>
      </c>
      <c r="K1546" s="6">
        <f>IFERROR(__xludf.DUMMYFUNCTION("""COMPUTED_VALUE"""),166.32)</f>
        <v>166.32</v>
      </c>
      <c r="L1546" s="3"/>
      <c r="M1546" s="3"/>
    </row>
    <row r="1547" ht="48.0" customHeight="1">
      <c r="A1547" s="3" t="str">
        <f>IFERROR(__xludf.DUMMYFUNCTION("""COMPUTED_VALUE"""),"DS-3T1306P-SI/HS")</f>
        <v>DS-3T1306P-SI/HS</v>
      </c>
      <c r="B1547" s="4" t="str">
        <f>IFERROR(__xludf.DUMMYFUNCTION("""COMPUTED_VALUE"""),"SWITCH POE 4-PORTS L2, SMART MANAGED, 4 BOCAS 10/100M")</f>
        <v>SWITCH POE 4-PORTS L2, SMART MANAGED, 4 BOCAS 10/100M</v>
      </c>
      <c r="C1547" s="4" t="str">
        <f>IFERROR(__xludf.DUMMYFUNCTION("""COMPUTED_VALUE"""),"Switch POE 4-ports L2, Smart Managed, 4 bocas 10/100M PoE ports, 1 Gigabit RJ45, 1 Gigabit SFP Uplink, 802.3af/at, PoE power budget 60w, max. 300 meter long distance PoE transmission, PoE watchdog, VLAN, QoS, SNMP, STP/RSTP, ERPS, Visualized Topology Mana"&amp;"gement, -30~65°C, DIN rail, IP40, Network Health Monitor, power supply unit is included by default, industrial power supply optional")</f>
        <v>Switch POE 4-ports L2, Smart Managed, 4 bocas 10/100M PoE ports, 1 Gigabit RJ45, 1 Gigabit SFP Uplink, 802.3af/at, PoE power budget 60w, max. 300 meter long distance PoE transmission, PoE watchdog, VLAN, QoS, SNMP, STP/RSTP, ERPS, Visualized Topology Management, -30~65°C, DIN rail, IP40, Network Health Monitor, power supply unit is included by default, industrial power supply optional</v>
      </c>
      <c r="D1547" s="4" t="str">
        <f>IFERROR(__xludf.DUMMYFUNCTION("""COMPUTED_VALUE"""),"HIKVISION")</f>
        <v>HIKVISION</v>
      </c>
      <c r="E1547" s="4" t="str">
        <f>IFERROR(__xludf.DUMMYFUNCTION("""COMPUTED_VALUE"""),"DS-3T1306P-SI/HS")</f>
        <v>DS-3T1306P-SI/HS</v>
      </c>
      <c r="F1547" s="4" t="str">
        <f>IFERROR(__xludf.DUMMYFUNCTION("""COMPUTED_VALUE"""),"CONECTIVIDAD &gt; SWITCH POE")</f>
        <v>CONECTIVIDAD &gt; SWITCH POE</v>
      </c>
      <c r="G1547" s="5"/>
      <c r="H1547" s="6">
        <f>IFERROR(__xludf.DUMMYFUNCTION("""COMPUTED_VALUE"""),141.9)</f>
        <v>141.9</v>
      </c>
      <c r="I1547" s="7">
        <f>IFERROR(__xludf.DUMMYFUNCTION("""COMPUTED_VALUE"""),10.5)</f>
        <v>10.5</v>
      </c>
      <c r="J1547" s="6">
        <f>IFERROR(__xludf.DUMMYFUNCTION("""COMPUTED_VALUE"""),170.28)</f>
        <v>170.28</v>
      </c>
      <c r="K1547" s="6">
        <f>IFERROR(__xludf.DUMMYFUNCTION("""COMPUTED_VALUE"""),198.66)</f>
        <v>198.66</v>
      </c>
      <c r="L1547" s="3"/>
      <c r="M1547" s="3"/>
    </row>
    <row r="1548" ht="48.0" customHeight="1">
      <c r="A1548" s="3" t="str">
        <f>IFERROR(__xludf.DUMMYFUNCTION("""COMPUTED_VALUE"""),"DS-3T0506HP-E/HS")</f>
        <v>DS-3T0506HP-E/HS</v>
      </c>
      <c r="B1548" s="4" t="str">
        <f>IFERROR(__xludf.DUMMYFUNCTION("""COMPUTED_VALUE"""),"SWITCH POE 4-PORTS L2, UNMANAGED, 4 GIGABIT RJ45 POE")</f>
        <v>SWITCH POE 4-PORTS L2, UNMANAGED, 4 GIGABIT RJ45 POE</v>
      </c>
      <c r="C1548" s="4" t="str">
        <f>IFERROR(__xludf.DUMMYFUNCTION("""COMPUTED_VALUE"""),"Switch POE 4-ports L2, Unmanaged, 4 Gigabit RJ45 PoE ports, 2 Gigabit SFP uplink ports, 802.3af/at/bt, port 1 support Hi-PoE 60w, PoE power budget 60W, ports 3-4 support up to 300meter, 6KV surge protection, supports POE watchdog, port isolation, -30~65°C"&amp;", DIN rail")</f>
        <v>Switch POE 4-ports L2, Unmanaged, 4 Gigabit RJ45 PoE ports, 2 Gigabit SFP uplink ports, 802.3af/at/bt, port 1 support Hi-PoE 60w, PoE power budget 60W, ports 3-4 support up to 300meter, 6KV surge protection, supports POE watchdog, port isolation, -30~65°C, DIN rail</v>
      </c>
      <c r="D1548" s="4" t="str">
        <f>IFERROR(__xludf.DUMMYFUNCTION("""COMPUTED_VALUE"""),"HIKVISION")</f>
        <v>HIKVISION</v>
      </c>
      <c r="E1548" s="4" t="str">
        <f>IFERROR(__xludf.DUMMYFUNCTION("""COMPUTED_VALUE"""),"DS-3T0506HP-E/HS")</f>
        <v>DS-3T0506HP-E/HS</v>
      </c>
      <c r="F1548" s="4" t="str">
        <f>IFERROR(__xludf.DUMMYFUNCTION("""COMPUTED_VALUE"""),"CONECTIVIDAD &gt; SWITCH POE")</f>
        <v>CONECTIVIDAD &gt; SWITCH POE</v>
      </c>
      <c r="G1548" s="5"/>
      <c r="H1548" s="6">
        <f>IFERROR(__xludf.DUMMYFUNCTION("""COMPUTED_VALUE"""),141.9)</f>
        <v>141.9</v>
      </c>
      <c r="I1548" s="7">
        <f>IFERROR(__xludf.DUMMYFUNCTION("""COMPUTED_VALUE"""),10.5)</f>
        <v>10.5</v>
      </c>
      <c r="J1548" s="6">
        <f>IFERROR(__xludf.DUMMYFUNCTION("""COMPUTED_VALUE"""),170.28)</f>
        <v>170.28</v>
      </c>
      <c r="K1548" s="6">
        <f>IFERROR(__xludf.DUMMYFUNCTION("""COMPUTED_VALUE"""),198.66)</f>
        <v>198.66</v>
      </c>
      <c r="L1548" s="3"/>
      <c r="M1548" s="3"/>
    </row>
    <row r="1549" ht="48.0" customHeight="1">
      <c r="A1549" s="3" t="str">
        <f>IFERROR(__xludf.DUMMYFUNCTION("""COMPUTED_VALUE"""),"DS-3E0310HP-E")</f>
        <v>DS-3E0310HP-E</v>
      </c>
      <c r="B1549" s="4" t="str">
        <f>IFERROR(__xludf.DUMMYFUNCTION("""COMPUTED_VALUE"""),"SWITCH POE 8-PORTS L2, UNMANAGED, 8 × GIGABIT POE")</f>
        <v>SWITCH POE 8-PORTS L2, UNMANAGED, 8 × GIGABIT POE</v>
      </c>
      <c r="C1549" s="4" t="str">
        <f>IFERROR(__xludf.DUMMYFUNCTION("""COMPUTED_VALUE"""),"Switch POE 8-ports L2, Unmanaged, 8 × Gigabit PoE port,2 × Gigabit fiber optical port")</f>
        <v>Switch POE 8-ports L2, Unmanaged, 8 × Gigabit PoE port,2 × Gigabit fiber optical port</v>
      </c>
      <c r="D1549" s="4" t="str">
        <f>IFERROR(__xludf.DUMMYFUNCTION("""COMPUTED_VALUE"""),"HIKVISION")</f>
        <v>HIKVISION</v>
      </c>
      <c r="E1549" s="4" t="str">
        <f>IFERROR(__xludf.DUMMYFUNCTION("""COMPUTED_VALUE"""),"DS-3E0310HP-E")</f>
        <v>DS-3E0310HP-E</v>
      </c>
      <c r="F1549" s="4" t="str">
        <f>IFERROR(__xludf.DUMMYFUNCTION("""COMPUTED_VALUE"""),"CONECTIVIDAD &gt; SWITCH POE")</f>
        <v>CONECTIVIDAD &gt; SWITCH POE</v>
      </c>
      <c r="G1549" s="5"/>
      <c r="H1549" s="6">
        <f>IFERROR(__xludf.DUMMYFUNCTION("""COMPUTED_VALUE"""),102.3)</f>
        <v>102.3</v>
      </c>
      <c r="I1549" s="7">
        <f>IFERROR(__xludf.DUMMYFUNCTION("""COMPUTED_VALUE"""),10.5)</f>
        <v>10.5</v>
      </c>
      <c r="J1549" s="6">
        <f>IFERROR(__xludf.DUMMYFUNCTION("""COMPUTED_VALUE"""),122.76)</f>
        <v>122.76</v>
      </c>
      <c r="K1549" s="6">
        <f>IFERROR(__xludf.DUMMYFUNCTION("""COMPUTED_VALUE"""),143.22)</f>
        <v>143.22</v>
      </c>
      <c r="L1549" s="3"/>
      <c r="M1549" s="3"/>
    </row>
    <row r="1550" ht="48.0" customHeight="1">
      <c r="A1550" s="3" t="str">
        <f>IFERROR(__xludf.DUMMYFUNCTION("""COMPUTED_VALUE"""),"DS-3E0109P-E/M(B)")</f>
        <v>DS-3E0109P-E/M(B)</v>
      </c>
      <c r="B1550" s="4" t="str">
        <f>IFERROR(__xludf.DUMMYFUNCTION("""COMPUTED_VALUE"""),"SWITCH POE 8-PORTS FAST ETHERNET UNMANAGED POE")</f>
        <v>SWITCH POE 8-PORTS FAST ETHERNET UNMANAGED POE</v>
      </c>
      <c r="C1550" s="4" t="str">
        <f>IFERROR(__xludf.DUMMYFUNCTION("""COMPUTED_VALUE"""),"Switch POE 8-ports Fast Ethernet Unmanaged POE. Intelligent PoE Management. When the power supply exceeds the limit, PoE ports intelligently manage the power supply, which extends the switch lifetime. Up to 300 m Long Range PoE Transmission. The distance "&amp;"between IPCs and switch can reach maximum 300 meters. 4/8-Core Adaptive Power Supply with Less Power Loss. 8-core power supply reduces the power loss on cables. 6KV Surge Protection to Improve Reliability in Harsh Environment. The built-in surge protectio"&amp;"n device protects the switch from the sudden lightning surge in harsh environment. Design for Video Transmission. VIP port ensures important data transmission when network congestion occurs.")</f>
        <v>Switch POE 8-ports Fast Ethernet Unmanaged POE. Intelligent PoE Management. When the power supply exceeds the limit, PoE ports intelligently manage the power supply, which extends the switch lifetime. Up to 300 m Long Range PoE Transmission. The distance between IPCs and switch can reach maximum 300 meters. 4/8-Core Adaptive Power Supply with Less Power Loss. 8-core power supply reduces the power loss on cables. 6KV Surge Protection to Improve Reliability in Harsh Environment. The built-in surge protection device protects the switch from the sudden lightning surge in harsh environment. Design for Video Transmission. VIP port ensures important data transmission when network congestion occurs.</v>
      </c>
      <c r="D1550" s="4" t="str">
        <f>IFERROR(__xludf.DUMMYFUNCTION("""COMPUTED_VALUE"""),"HIKVISION")</f>
        <v>HIKVISION</v>
      </c>
      <c r="E1550" s="4" t="str">
        <f>IFERROR(__xludf.DUMMYFUNCTION("""COMPUTED_VALUE"""),"DS-3E0109P-E/M(B)")</f>
        <v>DS-3E0109P-E/M(B)</v>
      </c>
      <c r="F1550" s="4" t="str">
        <f>IFERROR(__xludf.DUMMYFUNCTION("""COMPUTED_VALUE"""),"CONECTIVIDAD &gt; SWITCH POE")</f>
        <v>CONECTIVIDAD &gt; SWITCH POE</v>
      </c>
      <c r="G1550" s="5"/>
      <c r="H1550" s="6">
        <f>IFERROR(__xludf.DUMMYFUNCTION("""COMPUTED_VALUE"""),50.6)</f>
        <v>50.6</v>
      </c>
      <c r="I1550" s="7">
        <f>IFERROR(__xludf.DUMMYFUNCTION("""COMPUTED_VALUE"""),10.5)</f>
        <v>10.5</v>
      </c>
      <c r="J1550" s="6">
        <f>IFERROR(__xludf.DUMMYFUNCTION("""COMPUTED_VALUE"""),60.72)</f>
        <v>60.72</v>
      </c>
      <c r="K1550" s="6">
        <f>IFERROR(__xludf.DUMMYFUNCTION("""COMPUTED_VALUE"""),70.84)</f>
        <v>70.84</v>
      </c>
      <c r="L1550" s="3"/>
      <c r="M1550" s="3"/>
    </row>
    <row r="1551" ht="48.0" customHeight="1">
      <c r="A1551" s="3" t="str">
        <f>IFERROR(__xludf.DUMMYFUNCTION("""COMPUTED_VALUE"""),"DS-3E1309P-EI")</f>
        <v>DS-3E1309P-EI</v>
      </c>
      <c r="B1551" s="4" t="str">
        <f>IFERROR(__xludf.DUMMYFUNCTION("""COMPUTED_VALUE"""),"SWITCH POE 8-PORTS × 100 MBPS POE RJ45 PORTS,")</f>
        <v>SWITCH POE 8-PORTS × 100 MBPS POE RJ45 PORTS,</v>
      </c>
      <c r="C1551" s="4" t="str">
        <f>IFERROR(__xludf.DUMMYFUNCTION("""COMPUTED_VALUE"""),"Switch POE 8-ports × 100 Mbps PoE RJ45 ports, 1 × gigabit network RJ45 port. Managed Series 8 × 100 Mbps PoE RJ45 ports, 1 × gigabit network RJ45 port. IEEE 802.3at/af standard for PoE ports. Network topology management, alarm push, network health monitor"&amp;". 6 KV surge protection for PoE ports. Up to 300 m long-range transmission. AF/AT camera can reach up to 300 m in extend mode.")</f>
        <v>Switch POE 8-ports × 100 Mbps PoE RJ45 ports, 1 × gigabit network RJ45 port. Managed Series 8 × 100 Mbps PoE RJ45 ports, 1 × gigabit network RJ45 port. IEEE 802.3at/af standard for PoE ports. Network topology management, alarm push, network health monitor. 6 KV surge protection for PoE ports. Up to 300 m long-range transmission. AF/AT camera can reach up to 300 m in extend mode.</v>
      </c>
      <c r="D1551" s="4" t="str">
        <f>IFERROR(__xludf.DUMMYFUNCTION("""COMPUTED_VALUE"""),"HIKVISION")</f>
        <v>HIKVISION</v>
      </c>
      <c r="E1551" s="4" t="str">
        <f>IFERROR(__xludf.DUMMYFUNCTION("""COMPUTED_VALUE"""),"DS-3E1309P-EI")</f>
        <v>DS-3E1309P-EI</v>
      </c>
      <c r="F1551" s="4" t="str">
        <f>IFERROR(__xludf.DUMMYFUNCTION("""COMPUTED_VALUE"""),"CONECTIVIDAD &gt; SWITCH POE")</f>
        <v>CONECTIVIDAD &gt; SWITCH POE</v>
      </c>
      <c r="G1551" s="5"/>
      <c r="H1551" s="6">
        <f>IFERROR(__xludf.DUMMYFUNCTION("""COMPUTED_VALUE"""),127.6)</f>
        <v>127.6</v>
      </c>
      <c r="I1551" s="7">
        <f>IFERROR(__xludf.DUMMYFUNCTION("""COMPUTED_VALUE"""),10.5)</f>
        <v>10.5</v>
      </c>
      <c r="J1551" s="6">
        <f>IFERROR(__xludf.DUMMYFUNCTION("""COMPUTED_VALUE"""),153.12)</f>
        <v>153.12</v>
      </c>
      <c r="K1551" s="6">
        <f>IFERROR(__xludf.DUMMYFUNCTION("""COMPUTED_VALUE"""),178.64)</f>
        <v>178.64</v>
      </c>
      <c r="L1551" s="3"/>
      <c r="M1551" s="3"/>
    </row>
    <row r="1552" ht="48.0" customHeight="1">
      <c r="A1552" s="3" t="str">
        <f>IFERROR(__xludf.DUMMYFUNCTION("""COMPUTED_VALUE"""),"DS-3E1510P-EI/M")</f>
        <v>DS-3E1510P-EI/M</v>
      </c>
      <c r="B1552" s="4" t="str">
        <f>IFERROR(__xludf.DUMMYFUNCTION("""COMPUTED_VALUE"""),"SWITCH POE 8-PORTS INTELIGENTE GIGABIT")</f>
        <v>SWITCH POE 8-PORTS INTELIGENTE GIGABIT</v>
      </c>
      <c r="C1552" s="4" t="str">
        <f>IFERROR(__xludf.DUMMYFUNCTION("""COMPUTED_VALUE"""),"Switch POE 8-ports inteligente Gigabit. 8 puertos Gigabit PoE, 2 puertos Gigabit RJ45. Presupuesto de energía PoE total 60W. Compatibilidad con 802.1Q VLAN. Admite el vigilancia PoE para detectar y reiniciar las cámaras que no responden. Apoyar la prevenc"&amp;"ión de bucles STP/RSTP. Admite la detección de cables para localizar fallas. Transmisión PoE de largo alcance de hasta 300 m. Protección contra sobretensiones de 6KV.")</f>
        <v>Switch POE 8-ports inteligente Gigabit. 8 puertos Gigabit PoE, 2 puertos Gigabit RJ45. Presupuesto de energía PoE total 60W. Compatibilidad con 802.1Q VLAN. Admite el vigilancia PoE para detectar y reiniciar las cámaras que no responden. Apoyar la prevención de bucles STP/RSTP. Admite la detección de cables para localizar fallas. Transmisión PoE de largo alcance de hasta 300 m. Protección contra sobretensiones de 6KV.</v>
      </c>
      <c r="D1552" s="4" t="str">
        <f>IFERROR(__xludf.DUMMYFUNCTION("""COMPUTED_VALUE"""),"HIKVISION")</f>
        <v>HIKVISION</v>
      </c>
      <c r="E1552" s="4" t="str">
        <f>IFERROR(__xludf.DUMMYFUNCTION("""COMPUTED_VALUE"""),"DS-3E1510P-EI/M")</f>
        <v>DS-3E1510P-EI/M</v>
      </c>
      <c r="F1552" s="4" t="str">
        <f>IFERROR(__xludf.DUMMYFUNCTION("""COMPUTED_VALUE"""),"CONECTIVIDAD &gt; SWITCH POE")</f>
        <v>CONECTIVIDAD &gt; SWITCH POE</v>
      </c>
      <c r="G1552" s="5"/>
      <c r="H1552" s="6">
        <f>IFERROR(__xludf.DUMMYFUNCTION("""COMPUTED_VALUE"""),91.3)</f>
        <v>91.3</v>
      </c>
      <c r="I1552" s="7">
        <f>IFERROR(__xludf.DUMMYFUNCTION("""COMPUTED_VALUE"""),10.5)</f>
        <v>10.5</v>
      </c>
      <c r="J1552" s="6">
        <f>IFERROR(__xludf.DUMMYFUNCTION("""COMPUTED_VALUE"""),109.56)</f>
        <v>109.56</v>
      </c>
      <c r="K1552" s="6">
        <f>IFERROR(__xludf.DUMMYFUNCTION("""COMPUTED_VALUE"""),127.82)</f>
        <v>127.82</v>
      </c>
      <c r="L1552" s="3"/>
      <c r="M1552" s="3"/>
    </row>
    <row r="1553" ht="48.0" customHeight="1">
      <c r="A1553" s="3" t="str">
        <f>IFERROR(__xludf.DUMMYFUNCTION("""COMPUTED_VALUE"""),"DS-3E0510P-E(B)")</f>
        <v>DS-3E0510P-E(B)</v>
      </c>
      <c r="B1553" s="4" t="str">
        <f>IFERROR(__xludf.DUMMYFUNCTION("""COMPUTED_VALUE"""),"SWITCH POE 8-PORTS L2, UNMANAGED, 8 GIGABIT POE PORTS,")</f>
        <v>SWITCH POE 8-PORTS L2, UNMANAGED, 8 GIGABIT POE PORTS,</v>
      </c>
      <c r="C1553" s="4" t="str">
        <f>IFERROR(__xludf.DUMMYFUNCTION("""COMPUTED_VALUE"""),"Switch POE 8-ports L2, Unmanaged, 8 Gigabit POE ports, 1 Gigabit RJ45 uplink port, 1 Gigabit SFP uplink port, 802.3af/at, PoE power budget 110w")</f>
        <v>Switch POE 8-ports L2, Unmanaged, 8 Gigabit POE ports, 1 Gigabit RJ45 uplink port, 1 Gigabit SFP uplink port, 802.3af/at, PoE power budget 110w</v>
      </c>
      <c r="D1553" s="4" t="str">
        <f>IFERROR(__xludf.DUMMYFUNCTION("""COMPUTED_VALUE"""),"HIKVISION")</f>
        <v>HIKVISION</v>
      </c>
      <c r="E1553" s="4" t="str">
        <f>IFERROR(__xludf.DUMMYFUNCTION("""COMPUTED_VALUE"""),"DS-3E0510P-E(B)")</f>
        <v>DS-3E0510P-E(B)</v>
      </c>
      <c r="F1553" s="4" t="str">
        <f>IFERROR(__xludf.DUMMYFUNCTION("""COMPUTED_VALUE"""),"CONECTIVIDAD &gt; SWITCH POE")</f>
        <v>CONECTIVIDAD &gt; SWITCH POE</v>
      </c>
      <c r="G1553" s="5"/>
      <c r="H1553" s="6">
        <f>IFERROR(__xludf.DUMMYFUNCTION("""COMPUTED_VALUE"""),113.3)</f>
        <v>113.3</v>
      </c>
      <c r="I1553" s="7">
        <f>IFERROR(__xludf.DUMMYFUNCTION("""COMPUTED_VALUE"""),10.5)</f>
        <v>10.5</v>
      </c>
      <c r="J1553" s="6">
        <f>IFERROR(__xludf.DUMMYFUNCTION("""COMPUTED_VALUE"""),135.96)</f>
        <v>135.96</v>
      </c>
      <c r="K1553" s="6">
        <f>IFERROR(__xludf.DUMMYFUNCTION("""COMPUTED_VALUE"""),158.62)</f>
        <v>158.62</v>
      </c>
      <c r="L1553" s="3"/>
      <c r="M1553" s="3"/>
    </row>
    <row r="1554" ht="48.0" customHeight="1">
      <c r="A1554" s="3" t="str">
        <f>IFERROR(__xludf.DUMMYFUNCTION("""COMPUTED_VALUE"""),"DS-3T0510HP-E/HS")</f>
        <v>DS-3T0510HP-E/HS</v>
      </c>
      <c r="B1554" s="4" t="str">
        <f>IFERROR(__xludf.DUMMYFUNCTION("""COMPUTED_VALUE"""),"SWITCH POE 8-PORTS INDUSTRIAL NO ADMINISTRABLE GIGABIT, 6 PUERTOS")</f>
        <v>SWITCH POE 8-PORTS INDUSTRIAL NO ADMINISTRABLE GIGABIT, 6 PUERTOS</v>
      </c>
      <c r="C1554" s="4" t="str">
        <f>IFERROR(__xludf.DUMMYFUNCTION("""COMPUTED_VALUE"""),"Switch POE 8-ports industrial no administrable Gigabit, 6 Puertos Gigabit PoE+ (30 W), 2 Puertos Gigabit PoE++ (60 W), 120 W Total")</f>
        <v>Switch POE 8-ports industrial no administrable Gigabit, 6 Puertos Gigabit PoE+ (30 W), 2 Puertos Gigabit PoE++ (60 W), 120 W Total</v>
      </c>
      <c r="D1554" s="4" t="str">
        <f>IFERROR(__xludf.DUMMYFUNCTION("""COMPUTED_VALUE"""),"HIKVISION")</f>
        <v>HIKVISION</v>
      </c>
      <c r="E1554" s="4" t="str">
        <f>IFERROR(__xludf.DUMMYFUNCTION("""COMPUTED_VALUE"""),"DS-3T0510HP-E/HS")</f>
        <v>DS-3T0510HP-E/HS</v>
      </c>
      <c r="F1554" s="4" t="str">
        <f>IFERROR(__xludf.DUMMYFUNCTION("""COMPUTED_VALUE"""),"CONECTIVIDAD &gt; SWITCH POE")</f>
        <v>CONECTIVIDAD &gt; SWITCH POE</v>
      </c>
      <c r="G1554" s="5"/>
      <c r="H1554" s="6">
        <f>IFERROR(__xludf.DUMMYFUNCTION("""COMPUTED_VALUE"""),235.4)</f>
        <v>235.4</v>
      </c>
      <c r="I1554" s="7">
        <f>IFERROR(__xludf.DUMMYFUNCTION("""COMPUTED_VALUE"""),10.5)</f>
        <v>10.5</v>
      </c>
      <c r="J1554" s="6">
        <f>IFERROR(__xludf.DUMMYFUNCTION("""COMPUTED_VALUE"""),282.48)</f>
        <v>282.48</v>
      </c>
      <c r="K1554" s="6">
        <f>IFERROR(__xludf.DUMMYFUNCTION("""COMPUTED_VALUE"""),329.56)</f>
        <v>329.56</v>
      </c>
      <c r="L1554" s="3"/>
      <c r="M1554" s="3"/>
    </row>
    <row r="1555" ht="48.0" customHeight="1">
      <c r="A1555" s="3" t="str">
        <f>IFERROR(__xludf.DUMMYFUNCTION("""COMPUTED_VALUE"""),"DS3T0310HPEHS")</f>
        <v>DS3T0310HPEHS</v>
      </c>
      <c r="B1555" s="4" t="str">
        <f>IFERROR(__xludf.DUMMYFUNCTION("""COMPUTED_VALUE"""),"SWITCH POE 8-PORTS INDUSTRIAL POE 6 × 100M POE")</f>
        <v>SWITCH POE 8-PORTS INDUSTRIAL POE 6 × 100M POE</v>
      </c>
      <c r="C1555" s="4" t="str">
        <f>IFERROR(__xludf.DUMMYFUNCTION("""COMPUTED_VALUE"""),"Switch POE 8-ports industrial POE 6 × 100M PoE ports, 2 × Hi-PoE port, 1 × gigabit RJ45 port and 1 × gigabit SFP fiber optical port. Unmanaged PoE L2 Series. Temperatura de funcionamiento-30 °C to 65 °C")</f>
        <v>Switch POE 8-ports industrial POE 6 × 100M PoE ports, 2 × Hi-PoE port, 1 × gigabit RJ45 port and 1 × gigabit SFP fiber optical port. Unmanaged PoE L2 Series. Temperatura de funcionamiento-30 °C to 65 °C</v>
      </c>
      <c r="D1555" s="4" t="str">
        <f>IFERROR(__xludf.DUMMYFUNCTION("""COMPUTED_VALUE"""),"HIKVISION")</f>
        <v>HIKVISION</v>
      </c>
      <c r="E1555" s="4" t="str">
        <f>IFERROR(__xludf.DUMMYFUNCTION("""COMPUTED_VALUE"""),"DS3T0310HPEHS")</f>
        <v>DS3T0310HPEHS</v>
      </c>
      <c r="F1555" s="4" t="str">
        <f>IFERROR(__xludf.DUMMYFUNCTION("""COMPUTED_VALUE"""),"CONECTIVIDAD &gt; SWITCH POE")</f>
        <v>CONECTIVIDAD &gt; SWITCH POE</v>
      </c>
      <c r="G1555" s="5"/>
      <c r="H1555" s="6">
        <f>IFERROR(__xludf.DUMMYFUNCTION("""COMPUTED_VALUE"""),200.2)</f>
        <v>200.2</v>
      </c>
      <c r="I1555" s="7">
        <f>IFERROR(__xludf.DUMMYFUNCTION("""COMPUTED_VALUE"""),10.5)</f>
        <v>10.5</v>
      </c>
      <c r="J1555" s="6">
        <f>IFERROR(__xludf.DUMMYFUNCTION("""COMPUTED_VALUE"""),240.24)</f>
        <v>240.24</v>
      </c>
      <c r="K1555" s="6">
        <f>IFERROR(__xludf.DUMMYFUNCTION("""COMPUTED_VALUE"""),280.28)</f>
        <v>280.28</v>
      </c>
      <c r="L1555" s="3"/>
      <c r="M1555" s="3"/>
    </row>
    <row r="1556" ht="48.0" customHeight="1">
      <c r="A1556" s="3" t="str">
        <f>IFERROR(__xludf.DUMMYFUNCTION("""COMPUTED_VALUE"""),"DS-3E0318P-E/M(C)")</f>
        <v>DS-3E0318P-E/M(C)</v>
      </c>
      <c r="B1556" s="4" t="str">
        <f>IFERROR(__xludf.DUMMYFUNCTION("""COMPUTED_VALUE"""),"SWITCH POE 16-PORTS L2, UNMANAGED, 16 10/100M RJ45 POE")</f>
        <v>SWITCH POE 16-PORTS L2, UNMANAGED, 16 10/100M RJ45 POE</v>
      </c>
      <c r="C1556" s="4" t="str">
        <f>IFERROR(__xludf.DUMMYFUNCTION("""COMPUTED_VALUE"""),"Switch POE 16-ports L2, Unmanaged, 16 10/100M RJ45 PoE ports, 1 Gigabit RJ45 port, 1 Gigabit combo port, 802.3af/at, PoE power budget 130W, ports 9-16 support up to 300meter, 6KV surge protection")</f>
        <v>Switch POE 16-ports L2, Unmanaged, 16 10/100M RJ45 PoE ports, 1 Gigabit RJ45 port, 1 Gigabit combo port, 802.3af/at, PoE power budget 130W, ports 9-16 support up to 300meter, 6KV surge protection</v>
      </c>
      <c r="D1556" s="4" t="str">
        <f>IFERROR(__xludf.DUMMYFUNCTION("""COMPUTED_VALUE"""),"HIKVISION")</f>
        <v>HIKVISION</v>
      </c>
      <c r="E1556" s="4" t="str">
        <f>IFERROR(__xludf.DUMMYFUNCTION("""COMPUTED_VALUE"""),"DS-3E0318P-E/M(C)")</f>
        <v>DS-3E0318P-E/M(C)</v>
      </c>
      <c r="F1556" s="4" t="str">
        <f>IFERROR(__xludf.DUMMYFUNCTION("""COMPUTED_VALUE"""),"CONECTIVIDAD &gt; SWITCH POE")</f>
        <v>CONECTIVIDAD &gt; SWITCH POE</v>
      </c>
      <c r="G1556" s="5"/>
      <c r="H1556" s="6">
        <f>IFERROR(__xludf.DUMMYFUNCTION("""COMPUTED_VALUE"""),161.7)</f>
        <v>161.7</v>
      </c>
      <c r="I1556" s="7">
        <f>IFERROR(__xludf.DUMMYFUNCTION("""COMPUTED_VALUE"""),10.5)</f>
        <v>10.5</v>
      </c>
      <c r="J1556" s="6">
        <f>IFERROR(__xludf.DUMMYFUNCTION("""COMPUTED_VALUE"""),194.04)</f>
        <v>194.04</v>
      </c>
      <c r="K1556" s="6">
        <f>IFERROR(__xludf.DUMMYFUNCTION("""COMPUTED_VALUE"""),226.38)</f>
        <v>226.38</v>
      </c>
      <c r="L1556" s="3"/>
      <c r="M1556" s="3"/>
    </row>
    <row r="1557" ht="48.0" customHeight="1">
      <c r="A1557" s="3" t="str">
        <f>IFERROR(__xludf.DUMMYFUNCTION("""COMPUTED_VALUE"""),"DS-3E1518P-EIV2")</f>
        <v>DS-3E1518P-EIV2</v>
      </c>
      <c r="B1557" s="4" t="str">
        <f>IFERROR(__xludf.DUMMYFUNCTION("""COMPUTED_VALUE"""),"SWITCH 16-PUERTOS POE RJ45 DE GIGABIT, 1 PUERTO RJ45")</f>
        <v>SWITCH 16-PUERTOS POE RJ45 DE GIGABIT, 1 PUERTO RJ45</v>
      </c>
      <c r="C1557" s="4" t="str">
        <f>IFERROR(__xludf.DUMMYFUNCTION("""COMPUTED_VALUE"""),"Switch 16-puertos PoE RJ45 de gigabit, 1 puerto RJ45 de gigabit, 1 puerto de fibra óptica de gigabit. PoE total 230 W. Administración unificada de la nube para sistemas de seguridad. Topología de red al alcance de su mano. Resolución remota de problemas. "&amp;"Gestión de la topología visualizada. Transmisión PoE de largo alcance de hasta 300 m. Protección contra sobretensiones de 6 kV")</f>
        <v>Switch 16-puertos PoE RJ45 de gigabit, 1 puerto RJ45 de gigabit, 1 puerto de fibra óptica de gigabit. PoE total 230 W. Administración unificada de la nube para sistemas de seguridad. Topología de red al alcance de su mano. Resolución remota de problemas. Gestión de la topología visualizada. Transmisión PoE de largo alcance de hasta 300 m. Protección contra sobretensiones de 6 kV</v>
      </c>
      <c r="D1557" s="4" t="str">
        <f>IFERROR(__xludf.DUMMYFUNCTION("""COMPUTED_VALUE"""),"HIKVISION")</f>
        <v>HIKVISION</v>
      </c>
      <c r="E1557" s="4" t="str">
        <f>IFERROR(__xludf.DUMMYFUNCTION("""COMPUTED_VALUE"""),"DS-3E1518P-EIV2")</f>
        <v>DS-3E1518P-EIV2</v>
      </c>
      <c r="F1557" s="4" t="str">
        <f>IFERROR(__xludf.DUMMYFUNCTION("""COMPUTED_VALUE"""),"CONECTIVIDAD &gt; SWITCH POE")</f>
        <v>CONECTIVIDAD &gt; SWITCH POE</v>
      </c>
      <c r="G1557" s="5"/>
      <c r="H1557" s="6">
        <f>IFERROR(__xludf.DUMMYFUNCTION("""COMPUTED_VALUE"""),383.9)</f>
        <v>383.9</v>
      </c>
      <c r="I1557" s="7">
        <f>IFERROR(__xludf.DUMMYFUNCTION("""COMPUTED_VALUE"""),10.5)</f>
        <v>10.5</v>
      </c>
      <c r="J1557" s="6">
        <f>IFERROR(__xludf.DUMMYFUNCTION("""COMPUTED_VALUE"""),460.68)</f>
        <v>460.68</v>
      </c>
      <c r="K1557" s="6">
        <f>IFERROR(__xludf.DUMMYFUNCTION("""COMPUTED_VALUE"""),537.46)</f>
        <v>537.46</v>
      </c>
      <c r="L1557" s="3"/>
      <c r="M1557" s="3"/>
    </row>
    <row r="1558" ht="48.0" customHeight="1">
      <c r="A1558" s="3" t="str">
        <f>IFERROR(__xludf.DUMMYFUNCTION("""COMPUTED_VALUE"""),"DS3E0518PEM")</f>
        <v>DS3E0518PEM</v>
      </c>
      <c r="B1558" s="4" t="str">
        <f>IFERROR(__xludf.DUMMYFUNCTION("""COMPUTED_VALUE"""),"SWITCH POE 16-PORTS DS-3E0518P-E/M SWITCH 16 BOCAS POE GIGABIT")</f>
        <v>SWITCH POE 16-PORTS DS-3E0518P-E/M SWITCH 16 BOCAS POE GIGABIT</v>
      </c>
      <c r="C1558" s="4" t="str">
        <f>IFERROR(__xludf.DUMMYFUNCTION("""COMPUTED_VALUE"""),"Switch POE 16-ports DS-3E0518P-E/M Switch 16 bocas POE Gigabit Unmanaged 16 × Gigabit PoE ports, 2 × Gigabit SFP fiber optical ports")</f>
        <v>Switch POE 16-ports DS-3E0518P-E/M Switch 16 bocas POE Gigabit Unmanaged 16 × Gigabit PoE ports, 2 × Gigabit SFP fiber optical ports</v>
      </c>
      <c r="D1558" s="4" t="str">
        <f>IFERROR(__xludf.DUMMYFUNCTION("""COMPUTED_VALUE"""),"HIKVISION")</f>
        <v>HIKVISION</v>
      </c>
      <c r="E1558" s="4" t="str">
        <f>IFERROR(__xludf.DUMMYFUNCTION("""COMPUTED_VALUE"""),"DS3E0518PEM")</f>
        <v>DS3E0518PEM</v>
      </c>
      <c r="F1558" s="4" t="str">
        <f>IFERROR(__xludf.DUMMYFUNCTION("""COMPUTED_VALUE"""),"CONECTIVIDAD &gt; SWITCH POE")</f>
        <v>CONECTIVIDAD &gt; SWITCH POE</v>
      </c>
      <c r="G1558" s="5"/>
      <c r="H1558" s="6">
        <f>IFERROR(__xludf.DUMMYFUNCTION("""COMPUTED_VALUE"""),198.0)</f>
        <v>198</v>
      </c>
      <c r="I1558" s="7">
        <f>IFERROR(__xludf.DUMMYFUNCTION("""COMPUTED_VALUE"""),10.5)</f>
        <v>10.5</v>
      </c>
      <c r="J1558" s="6">
        <f>IFERROR(__xludf.DUMMYFUNCTION("""COMPUTED_VALUE"""),237.6)</f>
        <v>237.6</v>
      </c>
      <c r="K1558" s="6">
        <f>IFERROR(__xludf.DUMMYFUNCTION("""COMPUTED_VALUE"""),277.2)</f>
        <v>277.2</v>
      </c>
      <c r="L1558" s="3"/>
      <c r="M1558" s="3"/>
    </row>
    <row r="1559" ht="48.0" customHeight="1">
      <c r="A1559" s="3" t="str">
        <f>IFERROR(__xludf.DUMMYFUNCTION("""COMPUTED_VALUE"""),"DS-3E1318P-EI(B)")</f>
        <v>DS-3E1318P-EI(B)</v>
      </c>
      <c r="B1559" s="4" t="str">
        <f>IFERROR(__xludf.DUMMYFUNCTION("""COMPUTED_VALUE"""),"SWITCH POE 16-PORTS L2, SMART MANAGED, 16 10/100M RJ45")</f>
        <v>SWITCH POE 16-PORTS L2, SMART MANAGED, 16 10/100M RJ45</v>
      </c>
      <c r="C1559" s="4" t="str">
        <f>IFERROR(__xludf.DUMMYFUNCTION("""COMPUTED_VALUE"""),"Switch POE 16-ports L2, Smart Managed, 16 10/100M RJ45 PoE ports, 2 Gigabit combo ports, 802.3af/at, PoE power budget 230W, Max. 300 meter long distance PoE transmission, Visualized Topology Management, Network Health Monitor, Real-Time Alarm Push and Vid"&amp;"eo Control and Preview")</f>
        <v>Switch POE 16-ports L2, Smart Managed, 16 10/100M RJ45 PoE ports, 2 Gigabit combo ports, 802.3af/at, PoE power budget 230W, Max. 300 meter long distance PoE transmission, Visualized Topology Management, Network Health Monitor, Real-Time Alarm Push and Video Control and Preview</v>
      </c>
      <c r="D1559" s="4" t="str">
        <f>IFERROR(__xludf.DUMMYFUNCTION("""COMPUTED_VALUE"""),"HIKVISION")</f>
        <v>HIKVISION</v>
      </c>
      <c r="E1559" s="4" t="str">
        <f>IFERROR(__xludf.DUMMYFUNCTION("""COMPUTED_VALUE"""),"DS-3E1318P-EI(B)")</f>
        <v>DS-3E1318P-EI(B)</v>
      </c>
      <c r="F1559" s="4" t="str">
        <f>IFERROR(__xludf.DUMMYFUNCTION("""COMPUTED_VALUE"""),"CONECTIVIDAD &gt; SWITCH POE")</f>
        <v>CONECTIVIDAD &gt; SWITCH POE</v>
      </c>
      <c r="G1559" s="5"/>
      <c r="H1559" s="6">
        <f>IFERROR(__xludf.DUMMYFUNCTION("""COMPUTED_VALUE"""),327.8)</f>
        <v>327.8</v>
      </c>
      <c r="I1559" s="7">
        <f>IFERROR(__xludf.DUMMYFUNCTION("""COMPUTED_VALUE"""),10.5)</f>
        <v>10.5</v>
      </c>
      <c r="J1559" s="6">
        <f>IFERROR(__xludf.DUMMYFUNCTION("""COMPUTED_VALUE"""),393.36)</f>
        <v>393.36</v>
      </c>
      <c r="K1559" s="6">
        <f>IFERROR(__xludf.DUMMYFUNCTION("""COMPUTED_VALUE"""),458.92)</f>
        <v>458.92</v>
      </c>
      <c r="L1559" s="3"/>
      <c r="M1559" s="3"/>
    </row>
    <row r="1560" ht="48.0" customHeight="1">
      <c r="A1560" s="3" t="str">
        <f>IFERROR(__xludf.DUMMYFUNCTION("""COMPUTED_VALUE"""),"DS-3E0518P-E")</f>
        <v>DS-3E0518P-E</v>
      </c>
      <c r="B1560" s="4" t="str">
        <f>IFERROR(__xludf.DUMMYFUNCTION("""COMPUTED_VALUE"""),"SWITCH POE 16-PORTS L2, UNMANAGED, 16 GIGABIT POE PORTS,")</f>
        <v>SWITCH POE 16-PORTS L2, UNMANAGED, 16 GIGABIT POE PORTS,</v>
      </c>
      <c r="C1560" s="4" t="str">
        <f>IFERROR(__xludf.DUMMYFUNCTION("""COMPUTED_VALUE"""),"Switch POE 16-ports L2, Unmanaged, 16 Gigabit POE ports, 1 Gigabit RJ45 uplink port, 1 Gigabit SFP uplink port, 802.3af/at, PoE power budget 230w")</f>
        <v>Switch POE 16-ports L2, Unmanaged, 16 Gigabit POE ports, 1 Gigabit RJ45 uplink port, 1 Gigabit SFP uplink port, 802.3af/at, PoE power budget 230w</v>
      </c>
      <c r="D1560" s="4" t="str">
        <f>IFERROR(__xludf.DUMMYFUNCTION("""COMPUTED_VALUE"""),"HIKVISION")</f>
        <v>HIKVISION</v>
      </c>
      <c r="E1560" s="4" t="str">
        <f>IFERROR(__xludf.DUMMYFUNCTION("""COMPUTED_VALUE"""),"DS-3E0518P-E")</f>
        <v>DS-3E0518P-E</v>
      </c>
      <c r="F1560" s="4" t="str">
        <f>IFERROR(__xludf.DUMMYFUNCTION("""COMPUTED_VALUE"""),"CONECTIVIDAD &gt; SWITCH POE")</f>
        <v>CONECTIVIDAD &gt; SWITCH POE</v>
      </c>
      <c r="G1560" s="5"/>
      <c r="H1560" s="6">
        <f>IFERROR(__xludf.DUMMYFUNCTION("""COMPUTED_VALUE"""),253.0)</f>
        <v>253</v>
      </c>
      <c r="I1560" s="7">
        <f>IFERROR(__xludf.DUMMYFUNCTION("""COMPUTED_VALUE"""),10.5)</f>
        <v>10.5</v>
      </c>
      <c r="J1560" s="6">
        <f>IFERROR(__xludf.DUMMYFUNCTION("""COMPUTED_VALUE"""),303.6)</f>
        <v>303.6</v>
      </c>
      <c r="K1560" s="6">
        <f>IFERROR(__xludf.DUMMYFUNCTION("""COMPUTED_VALUE"""),354.2)</f>
        <v>354.2</v>
      </c>
      <c r="L1560" s="3"/>
      <c r="M1560" s="3"/>
    </row>
    <row r="1561" ht="48.0" customHeight="1">
      <c r="A1561" s="3" t="str">
        <f>IFERROR(__xludf.DUMMYFUNCTION("""COMPUTED_VALUE"""),"DS-3E0326P-E/M(C)")</f>
        <v>DS-3E0326P-E/M(C)</v>
      </c>
      <c r="B1561" s="4" t="str">
        <f>IFERROR(__xludf.DUMMYFUNCTION("""COMPUTED_VALUE"""),"SWITCH POE 24-PORTS L2, UNMANAGED, 24 10/100M RJ45 POE")</f>
        <v>SWITCH POE 24-PORTS L2, UNMANAGED, 24 10/100M RJ45 POE</v>
      </c>
      <c r="C1561" s="4" t="str">
        <f>IFERROR(__xludf.DUMMYFUNCTION("""COMPUTED_VALUE"""),"Switch POE 24-ports L2, Unmanaged, 24 10/100M RJ45 PoE ports, 1 Gigabit RJ45 port, 1 Gigabit combo port, 802.3af/at, PoE power budget 230W, ports 17-24 support up to 300meter, 6KV surge protection")</f>
        <v>Switch POE 24-ports L2, Unmanaged, 24 10/100M RJ45 PoE ports, 1 Gigabit RJ45 port, 1 Gigabit combo port, 802.3af/at, PoE power budget 230W, ports 17-24 support up to 300meter, 6KV surge protection</v>
      </c>
      <c r="D1561" s="4" t="str">
        <f>IFERROR(__xludf.DUMMYFUNCTION("""COMPUTED_VALUE"""),"HIKVISION")</f>
        <v>HIKVISION</v>
      </c>
      <c r="E1561" s="4" t="str">
        <f>IFERROR(__xludf.DUMMYFUNCTION("""COMPUTED_VALUE"""),"DS-3E0326P-E/M(C)")</f>
        <v>DS-3E0326P-E/M(C)</v>
      </c>
      <c r="F1561" s="4" t="str">
        <f>IFERROR(__xludf.DUMMYFUNCTION("""COMPUTED_VALUE"""),"CONECTIVIDAD &gt; SWITCH POE")</f>
        <v>CONECTIVIDAD &gt; SWITCH POE</v>
      </c>
      <c r="G1561" s="5"/>
      <c r="H1561" s="6">
        <f>IFERROR(__xludf.DUMMYFUNCTION("""COMPUTED_VALUE"""),209.0)</f>
        <v>209</v>
      </c>
      <c r="I1561" s="7">
        <f>IFERROR(__xludf.DUMMYFUNCTION("""COMPUTED_VALUE"""),10.5)</f>
        <v>10.5</v>
      </c>
      <c r="J1561" s="6">
        <f>IFERROR(__xludf.DUMMYFUNCTION("""COMPUTED_VALUE"""),250.8)</f>
        <v>250.8</v>
      </c>
      <c r="K1561" s="6">
        <f>IFERROR(__xludf.DUMMYFUNCTION("""COMPUTED_VALUE"""),292.6)</f>
        <v>292.6</v>
      </c>
      <c r="L1561" s="3"/>
      <c r="M1561" s="3"/>
    </row>
    <row r="1562" ht="48.0" customHeight="1">
      <c r="A1562" s="3" t="str">
        <f>IFERROR(__xludf.DUMMYFUNCTION("""COMPUTED_VALUE"""),"DS-3E1326P-EI")</f>
        <v>DS-3E1326P-EI</v>
      </c>
      <c r="B1562" s="4" t="str">
        <f>IFERROR(__xludf.DUMMYFUNCTION("""COMPUTED_VALUE"""),"SWITCH POE 24-PORTS L2, SMART MANAGED, 24 10/100M RJ45")</f>
        <v>SWITCH POE 24-PORTS L2, SMART MANAGED, 24 10/100M RJ45</v>
      </c>
      <c r="C1562" s="4" t="str">
        <f>IFERROR(__xludf.DUMMYFUNCTION("""COMPUTED_VALUE"""),"Switch POE 24-ports L2, Smart Managed, 24 10/100M RJ45 PoE ports, 2 Gigabit combo ports, 802.3af/at, PoE power budget 370W, Max. 300 meter long distance PoE transmission, Visualized Topology Management, Network Health Monitor, Real-Time Alarm Push and Vid"&amp;"eo Control and Preview")</f>
        <v>Switch POE 24-ports L2, Smart Managed, 24 10/100M RJ45 PoE ports, 2 Gigabit combo ports, 802.3af/at, PoE power budget 370W, Max. 300 meter long distance PoE transmission, Visualized Topology Management, Network Health Monitor, Real-Time Alarm Push and Video Control and Preview</v>
      </c>
      <c r="D1562" s="4" t="str">
        <f>IFERROR(__xludf.DUMMYFUNCTION("""COMPUTED_VALUE"""),"HIKVISION")</f>
        <v>HIKVISION</v>
      </c>
      <c r="E1562" s="4" t="str">
        <f>IFERROR(__xludf.DUMMYFUNCTION("""COMPUTED_VALUE"""),"DS-3E1326P-EI")</f>
        <v>DS-3E1326P-EI</v>
      </c>
      <c r="F1562" s="4" t="str">
        <f>IFERROR(__xludf.DUMMYFUNCTION("""COMPUTED_VALUE"""),"CONECTIVIDAD &gt; SWITCH POE")</f>
        <v>CONECTIVIDAD &gt; SWITCH POE</v>
      </c>
      <c r="G1562" s="5"/>
      <c r="H1562" s="6">
        <f>IFERROR(__xludf.DUMMYFUNCTION("""COMPUTED_VALUE"""),407.0)</f>
        <v>407</v>
      </c>
      <c r="I1562" s="7">
        <f>IFERROR(__xludf.DUMMYFUNCTION("""COMPUTED_VALUE"""),10.5)</f>
        <v>10.5</v>
      </c>
      <c r="J1562" s="6">
        <f>IFERROR(__xludf.DUMMYFUNCTION("""COMPUTED_VALUE"""),488.4)</f>
        <v>488.4</v>
      </c>
      <c r="K1562" s="6">
        <f>IFERROR(__xludf.DUMMYFUNCTION("""COMPUTED_VALUE"""),569.8)</f>
        <v>569.8</v>
      </c>
      <c r="L1562" s="3"/>
      <c r="M1562" s="3"/>
    </row>
    <row r="1563" ht="48.0" customHeight="1">
      <c r="A1563" s="3" t="str">
        <f>IFERROR(__xludf.DUMMYFUNCTION("""COMPUTED_VALUE"""),"DS-3E1326P-EI (B)")</f>
        <v>DS-3E1326P-EI (B)</v>
      </c>
      <c r="B1563" s="4" t="str">
        <f>IFERROR(__xludf.DUMMYFUNCTION("""COMPUTED_VALUE"""),"SWITCH POE 24-PORTS FAST ETHERNET SMART POE SWITCH 24")</f>
        <v>SWITCH POE 24-PORTS FAST ETHERNET SMART POE SWITCH 24</v>
      </c>
      <c r="C1563" s="4" t="str">
        <f>IFERROR(__xludf.DUMMYFUNCTION("""COMPUTED_VALUE"""),"Switch POE 24-ports Fast Ethernet Smart POE Switch 24 × 10/100M PoE ports, 2 × Gigabit combos. Total PoE Power Budget 370 W Support 802.1Q VLAN Support PoE watchdog to detect and restart the cameras that do not respond Support STP/RSTP Loop prevention")</f>
        <v>Switch POE 24-ports Fast Ethernet Smart POE Switch 24 × 10/100M PoE ports, 2 × Gigabit combos. Total PoE Power Budget 370 W Support 802.1Q VLAN Support PoE watchdog to detect and restart the cameras that do not respond Support STP/RSTP Loop prevention</v>
      </c>
      <c r="D1563" s="4" t="str">
        <f>IFERROR(__xludf.DUMMYFUNCTION("""COMPUTED_VALUE"""),"HIKVISION")</f>
        <v>HIKVISION</v>
      </c>
      <c r="E1563" s="4" t="str">
        <f>IFERROR(__xludf.DUMMYFUNCTION("""COMPUTED_VALUE"""),"DS-3E1326P-EI (B)")</f>
        <v>DS-3E1326P-EI (B)</v>
      </c>
      <c r="F1563" s="4" t="str">
        <f>IFERROR(__xludf.DUMMYFUNCTION("""COMPUTED_VALUE"""),"CONECTIVIDAD &gt; SWITCH POE")</f>
        <v>CONECTIVIDAD &gt; SWITCH POE</v>
      </c>
      <c r="G1563" s="5"/>
      <c r="H1563" s="6">
        <f>IFERROR(__xludf.DUMMYFUNCTION("""COMPUTED_VALUE"""),419.1)</f>
        <v>419.1</v>
      </c>
      <c r="I1563" s="7">
        <f>IFERROR(__xludf.DUMMYFUNCTION("""COMPUTED_VALUE"""),10.5)</f>
        <v>10.5</v>
      </c>
      <c r="J1563" s="6">
        <f>IFERROR(__xludf.DUMMYFUNCTION("""COMPUTED_VALUE"""),502.92)</f>
        <v>502.92</v>
      </c>
      <c r="K1563" s="6">
        <f>IFERROR(__xludf.DUMMYFUNCTION("""COMPUTED_VALUE"""),586.74)</f>
        <v>586.74</v>
      </c>
      <c r="L1563" s="3"/>
      <c r="M1563" s="3"/>
    </row>
    <row r="1564" ht="48.0" customHeight="1">
      <c r="A1564" s="3" t="str">
        <f>IFERROR(__xludf.DUMMYFUNCTION("""COMPUTED_VALUE"""),"DS-3E1526P-SI")</f>
        <v>DS-3E1526P-SI</v>
      </c>
      <c r="B1564" s="4" t="str">
        <f>IFERROR(__xludf.DUMMYFUNCTION("""COMPUTED_VALUE"""),"SWITCH POE 24-PORTS L2, SMART MANAGED, 24 GIGABIT POE")</f>
        <v>SWITCH POE 24-PORTS L2, SMART MANAGED, 24 GIGABIT POE</v>
      </c>
      <c r="C1564" s="4" t="str">
        <f>IFERROR(__xludf.DUMMYFUNCTION("""COMPUTED_VALUE"""),"Switch POE 24-ports L2, Smart Managed, 24 Gigabit PoE ports, 2 Gigabit SFP ports, 802.3af/at, PoE power budget 370W, max. 300 meter long distance PoE transmission, PoE watchdog, VLAN, QoS, SNMP, Port Mirroring, Storm Control, Visualized Topology Managemen"&amp;"t, Network Health Monitor, Real-Time Alarm Push and Video Control and Preview")</f>
        <v>Switch POE 24-ports L2, Smart Managed, 24 Gigabit PoE ports, 2 Gigabit SFP ports, 802.3af/at, PoE power budget 370W, max. 300 meter long distance PoE transmission, PoE watchdog, VLAN, QoS, SNMP, Port Mirroring, Storm Control, Visualized Topology Management, Network Health Monitor, Real-Time Alarm Push and Video Control and Preview</v>
      </c>
      <c r="D1564" s="4" t="str">
        <f>IFERROR(__xludf.DUMMYFUNCTION("""COMPUTED_VALUE"""),"HIKVISION")</f>
        <v>HIKVISION</v>
      </c>
      <c r="E1564" s="4" t="str">
        <f>IFERROR(__xludf.DUMMYFUNCTION("""COMPUTED_VALUE"""),"DS-3E1526P-SI")</f>
        <v>DS-3E1526P-SI</v>
      </c>
      <c r="F1564" s="4" t="str">
        <f>IFERROR(__xludf.DUMMYFUNCTION("""COMPUTED_VALUE"""),"CONECTIVIDAD &gt; SWITCH POE")</f>
        <v>CONECTIVIDAD &gt; SWITCH POE</v>
      </c>
      <c r="G1564" s="5"/>
      <c r="H1564" s="6">
        <f>IFERROR(__xludf.DUMMYFUNCTION("""COMPUTED_VALUE"""),710.6)</f>
        <v>710.6</v>
      </c>
      <c r="I1564" s="7">
        <f>IFERROR(__xludf.DUMMYFUNCTION("""COMPUTED_VALUE"""),10.5)</f>
        <v>10.5</v>
      </c>
      <c r="J1564" s="6">
        <f>IFERROR(__xludf.DUMMYFUNCTION("""COMPUTED_VALUE"""),852.72)</f>
        <v>852.72</v>
      </c>
      <c r="K1564" s="6">
        <f>IFERROR(__xludf.DUMMYFUNCTION("""COMPUTED_VALUE"""),994.84)</f>
        <v>994.84</v>
      </c>
      <c r="L1564" s="3"/>
      <c r="M1564" s="3"/>
    </row>
    <row r="1565" ht="48.0" customHeight="1">
      <c r="A1565" s="3" t="str">
        <f>IFERROR(__xludf.DUMMYFUNCTION("""COMPUTED_VALUE"""),"DHPFL21064ET96")</f>
        <v>DHPFL21064ET96</v>
      </c>
      <c r="B1565" s="4" t="str">
        <f>IFERROR(__xludf.DUMMYFUNCTION("""COMPUTED_VALUE"""),"SWITCH POE 4-PORTS PFL2106-4ET-96 SWITCH 4X EPOE 10/100M (&lt;800M")</f>
        <v>SWITCH POE 4-PORTS PFL2106-4ET-96 SWITCH 4X EPOE 10/100M (&lt;800M</v>
      </c>
      <c r="C1565" s="4" t="str">
        <f>IFERROR(__xludf.DUMMYFUNCTION("""COMPUTED_VALUE"""),"Switch POE 4-ports PFL2106-4ET-96 Switch 4x ePoE 10/100M (&lt;800m de conexión) - 96W + 1 Gigabit Ethernet + 1 Gigabit SFP")</f>
        <v>Switch POE 4-ports PFL2106-4ET-96 Switch 4x ePoE 10/100M (&lt;800m de conexión) - 96W + 1 Gigabit Ethernet + 1 Gigabit SFP</v>
      </c>
      <c r="D1565" s="4" t="str">
        <f>IFERROR(__xludf.DUMMYFUNCTION("""COMPUTED_VALUE"""),"DAHUA")</f>
        <v>DAHUA</v>
      </c>
      <c r="E1565" s="4" t="str">
        <f>IFERROR(__xludf.DUMMYFUNCTION("""COMPUTED_VALUE"""),"DHPFL21064ET96")</f>
        <v>DHPFL21064ET96</v>
      </c>
      <c r="F1565" s="4" t="str">
        <f>IFERROR(__xludf.DUMMYFUNCTION("""COMPUTED_VALUE"""),"CONECTIVIDAD &gt; SWITCH POE")</f>
        <v>CONECTIVIDAD &gt; SWITCH POE</v>
      </c>
      <c r="G1565" s="5"/>
      <c r="H1565" s="6">
        <f>IFERROR(__xludf.DUMMYFUNCTION("""COMPUTED_VALUE"""),121.0)</f>
        <v>121</v>
      </c>
      <c r="I1565" s="7">
        <f>IFERROR(__xludf.DUMMYFUNCTION("""COMPUTED_VALUE"""),21.0)</f>
        <v>21</v>
      </c>
      <c r="J1565" s="6">
        <f>IFERROR(__xludf.DUMMYFUNCTION("""COMPUTED_VALUE"""),145.2)</f>
        <v>145.2</v>
      </c>
      <c r="K1565" s="6">
        <f>IFERROR(__xludf.DUMMYFUNCTION("""COMPUTED_VALUE"""),169.4)</f>
        <v>169.4</v>
      </c>
      <c r="L1565" s="3"/>
      <c r="M1565" s="3"/>
    </row>
    <row r="1566" ht="48.0" customHeight="1">
      <c r="A1566" s="3" t="str">
        <f>IFERROR(__xludf.DUMMYFUNCTION("""COMPUTED_VALUE"""),"TPLSG1005P")</f>
        <v>TPLSG1005P</v>
      </c>
      <c r="B1566" s="4" t="str">
        <f>IFERROR(__xludf.DUMMYFUNCTION("""COMPUTED_VALUE"""),"SWITCH POE 5-PORTS SWITCH DE SOBREMESA DE 5 PUERTOS")</f>
        <v>SWITCH POE 5-PORTS SWITCH DE SOBREMESA DE 5 PUERTOS</v>
      </c>
      <c r="C1566" s="4" t="str">
        <f>IFERROR(__xludf.DUMMYFUNCTION("""COMPUTED_VALUE"""),"Switch POE 5-ports Switch de Sobremesa de 5 Puertos Gigabit con 4 puertos PoE")</f>
        <v>Switch POE 5-ports Switch de Sobremesa de 5 Puertos Gigabit con 4 puertos PoE</v>
      </c>
      <c r="D1566" s="4" t="str">
        <f>IFERROR(__xludf.DUMMYFUNCTION("""COMPUTED_VALUE"""),"TP-LINK")</f>
        <v>TP-LINK</v>
      </c>
      <c r="E1566" s="4" t="str">
        <f>IFERROR(__xludf.DUMMYFUNCTION("""COMPUTED_VALUE"""),"TPLSG1005P")</f>
        <v>TPLSG1005P</v>
      </c>
      <c r="F1566" s="4" t="str">
        <f>IFERROR(__xludf.DUMMYFUNCTION("""COMPUTED_VALUE"""),"CONECTIVIDAD &gt; SWITCH POE")</f>
        <v>CONECTIVIDAD &gt; SWITCH POE</v>
      </c>
      <c r="G1566" s="5"/>
      <c r="H1566" s="6">
        <f>IFERROR(__xludf.DUMMYFUNCTION("""COMPUTED_VALUE"""),52.25)</f>
        <v>52.25</v>
      </c>
      <c r="I1566" s="7">
        <f>IFERROR(__xludf.DUMMYFUNCTION("""COMPUTED_VALUE"""),10.5)</f>
        <v>10.5</v>
      </c>
      <c r="J1566" s="6">
        <f>IFERROR(__xludf.DUMMYFUNCTION("""COMPUTED_VALUE"""),62.7)</f>
        <v>62.7</v>
      </c>
      <c r="K1566" s="6">
        <f>IFERROR(__xludf.DUMMYFUNCTION("""COMPUTED_VALUE"""),73.15)</f>
        <v>73.15</v>
      </c>
      <c r="L1566" s="3"/>
      <c r="M1566" s="3"/>
    </row>
    <row r="1567" ht="48.0" customHeight="1">
      <c r="A1567" s="3" t="str">
        <f>IFERROR(__xludf.DUMMYFUNCTION("""COMPUTED_VALUE"""),"TPLSG1008P")</f>
        <v>TPLSG1008P</v>
      </c>
      <c r="B1567" s="4" t="str">
        <f>IFERROR(__xludf.DUMMYFUNCTION("""COMPUTED_VALUE"""),"SWITCH POE 8-PORTS SWITCH 8 PUERTOS GIGABIT (4 POE)")</f>
        <v>SWITCH POE 8-PORTS SWITCH 8 PUERTOS GIGABIT (4 POE)</v>
      </c>
      <c r="C1567" s="4" t="str">
        <f>IFERROR(__xludf.DUMMYFUNCTION("""COMPUTED_VALUE"""),"Switch POE 8-ports Switch 8 puertos gigabit (4 POE) Tp-Link Smart Rack/Desk")</f>
        <v>Switch POE 8-ports Switch 8 puertos gigabit (4 POE) Tp-Link Smart Rack/Desk</v>
      </c>
      <c r="D1567" s="4" t="str">
        <f>IFERROR(__xludf.DUMMYFUNCTION("""COMPUTED_VALUE"""),"TP-LINK")</f>
        <v>TP-LINK</v>
      </c>
      <c r="E1567" s="4" t="str">
        <f>IFERROR(__xludf.DUMMYFUNCTION("""COMPUTED_VALUE"""),"TPLSG1008P")</f>
        <v>TPLSG1008P</v>
      </c>
      <c r="F1567" s="4" t="str">
        <f>IFERROR(__xludf.DUMMYFUNCTION("""COMPUTED_VALUE"""),"CONECTIVIDAD &gt; SWITCH POE")</f>
        <v>CONECTIVIDAD &gt; SWITCH POE</v>
      </c>
      <c r="G1567" s="5"/>
      <c r="H1567" s="6">
        <f>IFERROR(__xludf.DUMMYFUNCTION("""COMPUTED_VALUE"""),50.88)</f>
        <v>50.88</v>
      </c>
      <c r="I1567" s="7">
        <f>IFERROR(__xludf.DUMMYFUNCTION("""COMPUTED_VALUE"""),10.5)</f>
        <v>10.5</v>
      </c>
      <c r="J1567" s="6">
        <f>IFERROR(__xludf.DUMMYFUNCTION("""COMPUTED_VALUE"""),61.06)</f>
        <v>61.06</v>
      </c>
      <c r="K1567" s="6">
        <f>IFERROR(__xludf.DUMMYFUNCTION("""COMPUTED_VALUE"""),71.23)</f>
        <v>71.23</v>
      </c>
      <c r="L1567" s="3"/>
      <c r="M1567" s="3"/>
    </row>
    <row r="1568" ht="48.0" customHeight="1">
      <c r="A1568" s="3" t="str">
        <f>IFERROR(__xludf.DUMMYFUNCTION("""COMPUTED_VALUE"""),"TPLSG1210P")</f>
        <v>TPLSG1210P</v>
      </c>
      <c r="B1568" s="4" t="str">
        <f>IFERROR(__xludf.DUMMYFUNCTION("""COMPUTED_VALUE"""),"SWITCH POE 10-PORTS SWITCH SOBREMESA 10-PUERTOS GIGABIT CON 8")</f>
        <v>SWITCH POE 10-PORTS SWITCH SOBREMESA 10-PUERTOS GIGABIT CON 8</v>
      </c>
      <c r="C1568" s="4" t="str">
        <f>IFERROR(__xludf.DUMMYFUNCTION("""COMPUTED_VALUE"""),"Switch POE 10-ports Switch Sobremesa 10-Puertos Gigabit con 8 Puertos PoE+ - 8 PoE+ 10/100/1000Mbps RJ45 Ports 1 10/100/1000Mbps RJ45 Port 1 Gigabit SFP Slot")</f>
        <v>Switch POE 10-ports Switch Sobremesa 10-Puertos Gigabit con 8 Puertos PoE+ - 8 PoE+ 10/100/1000Mbps RJ45 Ports 1 10/100/1000Mbps RJ45 Port 1 Gigabit SFP Slot</v>
      </c>
      <c r="D1568" s="4" t="str">
        <f>IFERROR(__xludf.DUMMYFUNCTION("""COMPUTED_VALUE"""),"TP-LINK")</f>
        <v>TP-LINK</v>
      </c>
      <c r="E1568" s="4" t="str">
        <f>IFERROR(__xludf.DUMMYFUNCTION("""COMPUTED_VALUE"""),"TPLSG1210P")</f>
        <v>TPLSG1210P</v>
      </c>
      <c r="F1568" s="4" t="str">
        <f>IFERROR(__xludf.DUMMYFUNCTION("""COMPUTED_VALUE"""),"CONECTIVIDAD &gt; SWITCH POE")</f>
        <v>CONECTIVIDAD &gt; SWITCH POE</v>
      </c>
      <c r="G1568" s="5"/>
      <c r="H1568" s="6">
        <f>IFERROR(__xludf.DUMMYFUNCTION("""COMPUTED_VALUE"""),100.38)</f>
        <v>100.38</v>
      </c>
      <c r="I1568" s="7">
        <f>IFERROR(__xludf.DUMMYFUNCTION("""COMPUTED_VALUE"""),10.5)</f>
        <v>10.5</v>
      </c>
      <c r="J1568" s="6">
        <f>IFERROR(__xludf.DUMMYFUNCTION("""COMPUTED_VALUE"""),120.46)</f>
        <v>120.46</v>
      </c>
      <c r="K1568" s="6">
        <f>IFERROR(__xludf.DUMMYFUNCTION("""COMPUTED_VALUE"""),140.53)</f>
        <v>140.53</v>
      </c>
      <c r="L1568" s="3"/>
      <c r="M1568" s="3"/>
    </row>
    <row r="1569" ht="48.0" customHeight="1">
      <c r="A1569" s="3" t="str">
        <f>IFERROR(__xludf.DUMMYFUNCTION("""COMPUTED_VALUE"""),"TPLSG1016PE")</f>
        <v>TPLSG1016PE</v>
      </c>
      <c r="B1569" s="4" t="str">
        <f>IFERROR(__xludf.DUMMYFUNCTION("""COMPUTED_VALUE"""),"SWITCH POE 16-PORTS SWITCH EASY SMART DE 16 PUERTOS")</f>
        <v>SWITCH POE 16-PORTS SWITCH EASY SMART DE 16 PUERTOS</v>
      </c>
      <c r="C1569" s="4" t="str">
        <f>IFERROR(__xludf.DUMMYFUNCTION("""COMPUTED_VALUE"""),"Switch POE 16-ports Switch Easy Smart de 16 Puertos Gigabit con 8 Puertos PoE+")</f>
        <v>Switch POE 16-ports Switch Easy Smart de 16 Puertos Gigabit con 8 Puertos PoE+</v>
      </c>
      <c r="D1569" s="4" t="str">
        <f>IFERROR(__xludf.DUMMYFUNCTION("""COMPUTED_VALUE"""),"TP-LINK")</f>
        <v>TP-LINK</v>
      </c>
      <c r="E1569" s="4" t="str">
        <f>IFERROR(__xludf.DUMMYFUNCTION("""COMPUTED_VALUE"""),"TPLSG1016PE")</f>
        <v>TPLSG1016PE</v>
      </c>
      <c r="F1569" s="4" t="str">
        <f>IFERROR(__xludf.DUMMYFUNCTION("""COMPUTED_VALUE"""),"CONECTIVIDAD &gt; SWITCH POE")</f>
        <v>CONECTIVIDAD &gt; SWITCH POE</v>
      </c>
      <c r="G1569" s="5"/>
      <c r="H1569" s="6">
        <f>IFERROR(__xludf.DUMMYFUNCTION("""COMPUTED_VALUE"""),154.0)</f>
        <v>154</v>
      </c>
      <c r="I1569" s="7">
        <f>IFERROR(__xludf.DUMMYFUNCTION("""COMPUTED_VALUE"""),10.5)</f>
        <v>10.5</v>
      </c>
      <c r="J1569" s="6">
        <f>IFERROR(__xludf.DUMMYFUNCTION("""COMPUTED_VALUE"""),184.8)</f>
        <v>184.8</v>
      </c>
      <c r="K1569" s="6">
        <f>IFERROR(__xludf.DUMMYFUNCTION("""COMPUTED_VALUE"""),215.6)</f>
        <v>215.6</v>
      </c>
      <c r="L1569" s="3"/>
      <c r="M1569" s="3"/>
    </row>
    <row r="1570" ht="48.0" customHeight="1">
      <c r="A1570" s="3" t="str">
        <f>IFERROR(__xludf.DUMMYFUNCTION("""COMPUTED_VALUE"""),"TPLSG2428P")</f>
        <v>TPLSG2428P</v>
      </c>
      <c r="B1570" s="4" t="str">
        <f>IFERROR(__xludf.DUMMYFUNCTION("""COMPUTED_VALUE"""),"SWITCH POE 24-PORTS SWITCH SMART GIGABIT JETSTREAM DE 24")</f>
        <v>SWITCH POE 24-PORTS SWITCH SMART GIGABIT JETSTREAM DE 24</v>
      </c>
      <c r="C1570" s="4" t="str">
        <f>IFERROR(__xludf.DUMMYFUNCTION("""COMPUTED_VALUE"""),"Switch POE 24-ports Switch Smart Gigabit JetStream de 24 puertos PoE+ y 4 ranuras SFP")</f>
        <v>Switch POE 24-ports Switch Smart Gigabit JetStream de 24 puertos PoE+ y 4 ranuras SFP</v>
      </c>
      <c r="D1570" s="4" t="str">
        <f>IFERROR(__xludf.DUMMYFUNCTION("""COMPUTED_VALUE"""),"TP-LINK")</f>
        <v>TP-LINK</v>
      </c>
      <c r="E1570" s="4" t="str">
        <f>IFERROR(__xludf.DUMMYFUNCTION("""COMPUTED_VALUE"""),"TPLSG2428P")</f>
        <v>TPLSG2428P</v>
      </c>
      <c r="F1570" s="4" t="str">
        <f>IFERROR(__xludf.DUMMYFUNCTION("""COMPUTED_VALUE"""),"CONECTIVIDAD &gt; SWITCH POE")</f>
        <v>CONECTIVIDAD &gt; SWITCH POE</v>
      </c>
      <c r="G1570" s="5"/>
      <c r="H1570" s="6">
        <f>IFERROR(__xludf.DUMMYFUNCTION("""COMPUTED_VALUE"""),301.13)</f>
        <v>301.13</v>
      </c>
      <c r="I1570" s="7">
        <f>IFERROR(__xludf.DUMMYFUNCTION("""COMPUTED_VALUE"""),10.5)</f>
        <v>10.5</v>
      </c>
      <c r="J1570" s="6">
        <f>IFERROR(__xludf.DUMMYFUNCTION("""COMPUTED_VALUE"""),361.36)</f>
        <v>361.36</v>
      </c>
      <c r="K1570" s="6">
        <f>IFERROR(__xludf.DUMMYFUNCTION("""COMPUTED_VALUE"""),421.58)</f>
        <v>421.58</v>
      </c>
      <c r="L1570" s="3"/>
      <c r="M1570" s="3"/>
    </row>
    <row r="1571" ht="48.0" customHeight="1">
      <c r="A1571" s="3" t="str">
        <f>IFERROR(__xludf.DUMMYFUNCTION("""COMPUTED_VALUE"""),"DHPFS31108ET96V2")</f>
        <v>DHPFS31108ET96V2</v>
      </c>
      <c r="B1571" s="4" t="str">
        <f>IFERROR(__xludf.DUMMYFUNCTION("""COMPUTED_VALUE"""),"SWITCH POE 8-PORTS DH-PFS3110-8ET-96 / -V2 SWITCH POE DE CAPA 2")</f>
        <v>SWITCH POE 8-PORTS DH-PFS3110-8ET-96 / -V2 SWITCH POE DE CAPA 2</v>
      </c>
      <c r="C1571" s="4" t="str">
        <f>IFERROR(__xludf.DUMMYFUNCTION("""COMPUTED_VALUE"""),"Switch POE 8-ports DH-PFS3110-8ET-96 / -V2 Switch PoE de capa 2; 8 puertos PoE Base-T, 1 puerto Base-T, 1 puerto Base-X, 8 puerto 10/100 Base-T PoE; Cumple con las normas IEEE802.3af y IEEE802.3at; Diseño amplio de temperatura -30°C a 65°C")</f>
        <v>Switch POE 8-ports DH-PFS3110-8ET-96 / -V2 Switch PoE de capa 2; 8 puertos PoE Base-T, 1 puerto Base-T, 1 puerto Base-X, 8 puerto 10/100 Base-T PoE; Cumple con las normas IEEE802.3af y IEEE802.3at; Diseño amplio de temperatura -30°C a 65°C</v>
      </c>
      <c r="D1571" s="4" t="str">
        <f>IFERROR(__xludf.DUMMYFUNCTION("""COMPUTED_VALUE"""),"DAHUA")</f>
        <v>DAHUA</v>
      </c>
      <c r="E1571" s="4" t="str">
        <f>IFERROR(__xludf.DUMMYFUNCTION("""COMPUTED_VALUE"""),"DHPFS31108ET96V2")</f>
        <v>DHPFS31108ET96V2</v>
      </c>
      <c r="F1571" s="4" t="str">
        <f>IFERROR(__xludf.DUMMYFUNCTION("""COMPUTED_VALUE"""),"CONECTIVIDAD &gt; SWITCH POE")</f>
        <v>CONECTIVIDAD &gt; SWITCH POE</v>
      </c>
      <c r="G1571" s="5"/>
      <c r="H1571" s="6">
        <f>IFERROR(__xludf.DUMMYFUNCTION("""COMPUTED_VALUE"""),127.6)</f>
        <v>127.6</v>
      </c>
      <c r="I1571" s="7">
        <f>IFERROR(__xludf.DUMMYFUNCTION("""COMPUTED_VALUE"""),10.5)</f>
        <v>10.5</v>
      </c>
      <c r="J1571" s="6">
        <f>IFERROR(__xludf.DUMMYFUNCTION("""COMPUTED_VALUE"""),153.12)</f>
        <v>153.12</v>
      </c>
      <c r="K1571" s="6">
        <f>IFERROR(__xludf.DUMMYFUNCTION("""COMPUTED_VALUE"""),178.64)</f>
        <v>178.64</v>
      </c>
      <c r="L1571" s="3"/>
      <c r="M1571" s="3"/>
    </row>
    <row r="1572" ht="48.0" customHeight="1">
      <c r="A1572" s="3" t="str">
        <f>IFERROR(__xludf.DUMMYFUNCTION("""COMPUTED_VALUE"""),"ALPOEGSH604ATU")</f>
        <v>ALPOEGSH604ATU</v>
      </c>
      <c r="B1572" s="4" t="str">
        <f>IFERROR(__xludf.DUMMYFUNCTION("""COMPUTED_VALUE"""),"SWITCH POE 6-PORT GIGABIT SWITCH WITH 4-PORT 10/100/1000T POE")</f>
        <v>SWITCH POE 6-PORT GIGABIT SWITCH WITH 4-PORT 10/100/1000T POE</v>
      </c>
      <c r="C1572" s="4" t="str">
        <f>IFERROR(__xludf.DUMMYFUNCTION("""COMPUTED_VALUE"""),"Switch POE 6-Port Gigabit Switch with 4-Port 10/100/1000T POE and SFP, 802.3at POE 65W 802.3AT POE/POE+ 10/100/1000Base-T, 65W Power budget 4P-POE Gigabit RJ45, 1*Gigabit RJ45, 1 GB SFP, 6P total Unmanaged Switch, desktop, external 48V Power adapter 72W")</f>
        <v>Switch POE 6-Port Gigabit Switch with 4-Port 10/100/1000T POE and SFP, 802.3at POE 65W 802.3AT POE/POE+ 10/100/1000Base-T, 65W Power budget 4P-POE Gigabit RJ45, 1*Gigabit RJ45, 1 GB SFP, 6P total Unmanaged Switch, desktop, external 48V Power adapter 72W</v>
      </c>
      <c r="D1572" s="4" t="str">
        <f>IFERROR(__xludf.DUMMYFUNCTION("""COMPUTED_VALUE"""),"AIRLIVE")</f>
        <v>AIRLIVE</v>
      </c>
      <c r="E1572" s="4" t="str">
        <f>IFERROR(__xludf.DUMMYFUNCTION("""COMPUTED_VALUE"""),"ALPOEGSH604ATU")</f>
        <v>ALPOEGSH604ATU</v>
      </c>
      <c r="F1572" s="4" t="str">
        <f>IFERROR(__xludf.DUMMYFUNCTION("""COMPUTED_VALUE"""),"CONECTIVIDAD &gt; SWITCH POE")</f>
        <v>CONECTIVIDAD &gt; SWITCH POE</v>
      </c>
      <c r="G1572" s="5"/>
      <c r="H1572" s="6">
        <f>IFERROR(__xludf.DUMMYFUNCTION("""COMPUTED_VALUE"""),99.0)</f>
        <v>99</v>
      </c>
      <c r="I1572" s="7">
        <f>IFERROR(__xludf.DUMMYFUNCTION("""COMPUTED_VALUE"""),21.0)</f>
        <v>21</v>
      </c>
      <c r="J1572" s="6">
        <f>IFERROR(__xludf.DUMMYFUNCTION("""COMPUTED_VALUE"""),118.8)</f>
        <v>118.8</v>
      </c>
      <c r="K1572" s="6">
        <f>IFERROR(__xludf.DUMMYFUNCTION("""COMPUTED_VALUE"""),138.6)</f>
        <v>138.6</v>
      </c>
      <c r="L1572" s="3"/>
      <c r="M1572" s="3"/>
    </row>
    <row r="1573" ht="48.0" customHeight="1">
      <c r="A1573" s="3" t="str">
        <f>IFERROR(__xludf.DUMMYFUNCTION("""COMPUTED_VALUE"""),"DHPFS3006-4ET-60-V2")</f>
        <v>DHPFS3006-4ET-60-V2</v>
      </c>
      <c r="B1573" s="4" t="str">
        <f>IFERROR(__xludf.DUMMYFUNCTION("""COMPUTED_VALUE"""),"SWITCH POE 6-PORT-PORT 10/100MBPS UNMANAGED DESKTOP SWITCH WITH 4")</f>
        <v>SWITCH POE 6-PORT-PORT 10/100MBPS UNMANAGED DESKTOP SWITCH WITH 4</v>
      </c>
      <c r="C1573" s="4" t="str">
        <f>IFERROR(__xludf.DUMMYFUNCTION("""COMPUTED_VALUE"""),"Switch POE 6-Port-Port 10/100Mbps Unmanaged Desktop Switch with 4 PoE Ports")</f>
        <v>Switch POE 6-Port-Port 10/100Mbps Unmanaged Desktop Switch with 4 PoE Ports</v>
      </c>
      <c r="D1573" s="4" t="str">
        <f>IFERROR(__xludf.DUMMYFUNCTION("""COMPUTED_VALUE"""),"DAHUA")</f>
        <v>DAHUA</v>
      </c>
      <c r="E1573" s="4" t="str">
        <f>IFERROR(__xludf.DUMMYFUNCTION("""COMPUTED_VALUE"""),"DHPFS3006-4ET-60-V2")</f>
        <v>DHPFS3006-4ET-60-V2</v>
      </c>
      <c r="F1573" s="4" t="str">
        <f>IFERROR(__xludf.DUMMYFUNCTION("""COMPUTED_VALUE"""),"CONECTIVIDAD &gt; SWITCH POE")</f>
        <v>CONECTIVIDAD &gt; SWITCH POE</v>
      </c>
      <c r="G1573" s="5"/>
      <c r="H1573" s="6">
        <f>IFERROR(__xludf.DUMMYFUNCTION("""COMPUTED_VALUE"""),53.34)</f>
        <v>53.34</v>
      </c>
      <c r="I1573" s="7">
        <f>IFERROR(__xludf.DUMMYFUNCTION("""COMPUTED_VALUE"""),10.5)</f>
        <v>10.5</v>
      </c>
      <c r="J1573" s="6">
        <f>IFERROR(__xludf.DUMMYFUNCTION("""COMPUTED_VALUE"""),64.01)</f>
        <v>64.01</v>
      </c>
      <c r="K1573" s="6">
        <f>IFERROR(__xludf.DUMMYFUNCTION("""COMPUTED_VALUE"""),74.68)</f>
        <v>74.68</v>
      </c>
      <c r="L1573" s="3"/>
      <c r="M1573" s="3"/>
    </row>
    <row r="1574" ht="48.0" customHeight="1">
      <c r="A1574" s="3" t="str">
        <f>IFERROR(__xludf.DUMMYFUNCTION("""COMPUTED_VALUE"""),"DHPFS3005-4ET-60-V2")</f>
        <v>DHPFS3005-4ET-60-V2</v>
      </c>
      <c r="B1574" s="4" t="str">
        <f>IFERROR(__xludf.DUMMYFUNCTION("""COMPUTED_VALUE"""),"SWITCH POE 5-PORT UNMANAGED DESKTOP SWITCH WITH 4-PORT POE")</f>
        <v>SWITCH POE 5-PORT UNMANAGED DESKTOP SWITCH WITH 4-PORT POE</v>
      </c>
      <c r="C1574" s="4" t="str">
        <f>IFERROR(__xludf.DUMMYFUNCTION("""COMPUTED_VALUE"""),"Switch POE 5-Port Unmanaged Desktop Switch with 4-Port PoE")</f>
        <v>Switch POE 5-Port Unmanaged Desktop Switch with 4-Port PoE</v>
      </c>
      <c r="D1574" s="4" t="str">
        <f>IFERROR(__xludf.DUMMYFUNCTION("""COMPUTED_VALUE"""),"DAHUA")</f>
        <v>DAHUA</v>
      </c>
      <c r="E1574" s="4" t="str">
        <f>IFERROR(__xludf.DUMMYFUNCTION("""COMPUTED_VALUE"""),"DHPFS3005-4ET-60-V2")</f>
        <v>DHPFS3005-4ET-60-V2</v>
      </c>
      <c r="F1574" s="4" t="str">
        <f>IFERROR(__xludf.DUMMYFUNCTION("""COMPUTED_VALUE"""),"CONECTIVIDAD &gt; SWITCH POE")</f>
        <v>CONECTIVIDAD &gt; SWITCH POE</v>
      </c>
      <c r="G1574" s="5"/>
      <c r="H1574" s="6">
        <f>IFERROR(__xludf.DUMMYFUNCTION("""COMPUTED_VALUE"""),49.07)</f>
        <v>49.07</v>
      </c>
      <c r="I1574" s="7">
        <f>IFERROR(__xludf.DUMMYFUNCTION("""COMPUTED_VALUE"""),10.5)</f>
        <v>10.5</v>
      </c>
      <c r="J1574" s="6">
        <f>IFERROR(__xludf.DUMMYFUNCTION("""COMPUTED_VALUE"""),58.88)</f>
        <v>58.88</v>
      </c>
      <c r="K1574" s="6">
        <f>IFERROR(__xludf.DUMMYFUNCTION("""COMPUTED_VALUE"""),68.7)</f>
        <v>68.7</v>
      </c>
      <c r="L1574" s="3"/>
      <c r="M1574" s="3"/>
    </row>
    <row r="1575" ht="48.0" customHeight="1">
      <c r="A1575" s="3" t="str">
        <f>IFERROR(__xludf.DUMMYFUNCTION("""COMPUTED_VALUE"""),"DHPFS3008-8GT-96-V2")</f>
        <v>DHPFS3008-8GT-96-V2</v>
      </c>
      <c r="B1575" s="4" t="str">
        <f>IFERROR(__xludf.DUMMYFUNCTION("""COMPUTED_VALUE"""),"SWITCH POE 8 PORT UNMANAGED DESKTOP SWITCH WITH 8 PORT POE")</f>
        <v>SWITCH POE 8 PORT UNMANAGED DESKTOP SWITCH WITH 8 PORT POE</v>
      </c>
      <c r="C1575" s="4" t="str">
        <f>IFERROR(__xludf.DUMMYFUNCTION("""COMPUTED_VALUE"""),"Switch POE 8 Port Unmanaged Desktop Switch with 8 Port PoE. Intelligent PoE. BT 90W. All-giga Ports. Long distance PoE. PoE watchdog. Wide working temperature")</f>
        <v>Switch POE 8 Port Unmanaged Desktop Switch with 8 Port PoE. Intelligent PoE. BT 90W. All-giga Ports. Long distance PoE. PoE watchdog. Wide working temperature</v>
      </c>
      <c r="D1575" s="4" t="str">
        <f>IFERROR(__xludf.DUMMYFUNCTION("""COMPUTED_VALUE"""),"DAHUA")</f>
        <v>DAHUA</v>
      </c>
      <c r="E1575" s="4" t="str">
        <f>IFERROR(__xludf.DUMMYFUNCTION("""COMPUTED_VALUE"""),"DHPFS3008-8GT-96-V2")</f>
        <v>DHPFS3008-8GT-96-V2</v>
      </c>
      <c r="F1575" s="4" t="str">
        <f>IFERROR(__xludf.DUMMYFUNCTION("""COMPUTED_VALUE"""),"CONECTIVIDAD &gt; SWITCH POE")</f>
        <v>CONECTIVIDAD &gt; SWITCH POE</v>
      </c>
      <c r="G1575" s="5"/>
      <c r="H1575" s="6">
        <f>IFERROR(__xludf.DUMMYFUNCTION("""COMPUTED_VALUE"""),100.29)</f>
        <v>100.29</v>
      </c>
      <c r="I1575" s="7">
        <f>IFERROR(__xludf.DUMMYFUNCTION("""COMPUTED_VALUE"""),10.5)</f>
        <v>10.5</v>
      </c>
      <c r="J1575" s="6">
        <f>IFERROR(__xludf.DUMMYFUNCTION("""COMPUTED_VALUE"""),120.35)</f>
        <v>120.35</v>
      </c>
      <c r="K1575" s="6">
        <f>IFERROR(__xludf.DUMMYFUNCTION("""COMPUTED_VALUE"""),140.41)</f>
        <v>140.41</v>
      </c>
      <c r="L1575" s="3"/>
      <c r="M1575" s="3"/>
    </row>
    <row r="1576" ht="48.0" customHeight="1">
      <c r="A1576" s="3" t="str">
        <f>IFERROR(__xludf.DUMMYFUNCTION("""COMPUTED_VALUE"""),"ALARM204")</f>
        <v>ALARM204</v>
      </c>
      <c r="B1576" s="4" t="str">
        <f>IFERROR(__xludf.DUMMYFUNCTION("""COMPUTED_VALUE"""),"ROUTER")</f>
        <v>ROUTER</v>
      </c>
      <c r="C1576" s="4" t="str">
        <f>IFERROR(__xludf.DUMMYFUNCTION("""COMPUTED_VALUE"""),"Modem/router ADSL 2/2+ 4 Puertos")</f>
        <v>Modem/router ADSL 2/2+ 4 Puertos</v>
      </c>
      <c r="D1576" s="4" t="str">
        <f>IFERROR(__xludf.DUMMYFUNCTION("""COMPUTED_VALUE"""),"AIRLIVE")</f>
        <v>AIRLIVE</v>
      </c>
      <c r="E1576" s="4" t="str">
        <f>IFERROR(__xludf.DUMMYFUNCTION("""COMPUTED_VALUE"""),"ALARM204")</f>
        <v>ALARM204</v>
      </c>
      <c r="F1576" s="4" t="str">
        <f>IFERROR(__xludf.DUMMYFUNCTION("""COMPUTED_VALUE"""),"CONECTIVIDAD &gt; ROUTERS / MODEMS")</f>
        <v>CONECTIVIDAD &gt; ROUTERS / MODEMS</v>
      </c>
      <c r="G1576" s="5"/>
      <c r="H1576" s="6">
        <f>IFERROR(__xludf.DUMMYFUNCTION("""COMPUTED_VALUE"""),68.2)</f>
        <v>68.2</v>
      </c>
      <c r="I1576" s="7">
        <f>IFERROR(__xludf.DUMMYFUNCTION("""COMPUTED_VALUE"""),10.5)</f>
        <v>10.5</v>
      </c>
      <c r="J1576" s="6">
        <f>IFERROR(__xludf.DUMMYFUNCTION("""COMPUTED_VALUE"""),81.84)</f>
        <v>81.84</v>
      </c>
      <c r="K1576" s="6">
        <f>IFERROR(__xludf.DUMMYFUNCTION("""COMPUTED_VALUE"""),95.48)</f>
        <v>95.48</v>
      </c>
      <c r="L1576" s="3"/>
      <c r="M1576" s="3"/>
    </row>
    <row r="1577" ht="48.0" customHeight="1">
      <c r="A1577" s="3" t="str">
        <f>IFERROR(__xludf.DUMMYFUNCTION("""COMPUTED_VALUE"""),"TPLER605")</f>
        <v>TPLER605</v>
      </c>
      <c r="B1577" s="4" t="str">
        <f>IFERROR(__xludf.DUMMYFUNCTION("""COMPUTED_VALUE"""),"ROUTER")</f>
        <v>ROUTER</v>
      </c>
      <c r="C1577" s="4" t="str">
        <f>IFERROR(__xludf.DUMMYFUNCTION("""COMPUTED_VALUE"""),"ROUTER WIR TP LINK OMADA GIGABIT VPN ROUTER Five Gigabit Ports: High-speed wired connectivity. Up to 3 WAN Ethernet Ports: 1 gigabit WAN port and 2 gigabit WAN/LAN ports with load balance raise the utilization rate of multi-line broadband.")</f>
        <v>ROUTER WIR TP LINK OMADA GIGABIT VPN ROUTER Five Gigabit Ports: High-speed wired connectivity. Up to 3 WAN Ethernet Ports: 1 gigabit WAN port and 2 gigabit WAN/LAN ports with load balance raise the utilization rate of multi-line broadband.</v>
      </c>
      <c r="D1577" s="4" t="str">
        <f>IFERROR(__xludf.DUMMYFUNCTION("""COMPUTED_VALUE"""),"TP-LINK")</f>
        <v>TP-LINK</v>
      </c>
      <c r="E1577" s="4" t="str">
        <f>IFERROR(__xludf.DUMMYFUNCTION("""COMPUTED_VALUE"""),"TPLER605")</f>
        <v>TPLER605</v>
      </c>
      <c r="F1577" s="4" t="str">
        <f>IFERROR(__xludf.DUMMYFUNCTION("""COMPUTED_VALUE"""),"CONECTIVIDAD &gt; ROUTERS / MODEMS")</f>
        <v>CONECTIVIDAD &gt; ROUTERS / MODEMS</v>
      </c>
      <c r="G1577" s="5"/>
      <c r="H1577" s="6">
        <f>IFERROR(__xludf.DUMMYFUNCTION("""COMPUTED_VALUE"""),60.5)</f>
        <v>60.5</v>
      </c>
      <c r="I1577" s="7">
        <f>IFERROR(__xludf.DUMMYFUNCTION("""COMPUTED_VALUE"""),10.5)</f>
        <v>10.5</v>
      </c>
      <c r="J1577" s="6">
        <f>IFERROR(__xludf.DUMMYFUNCTION("""COMPUTED_VALUE"""),72.6)</f>
        <v>72.6</v>
      </c>
      <c r="K1577" s="6">
        <f>IFERROR(__xludf.DUMMYFUNCTION("""COMPUTED_VALUE"""),84.7)</f>
        <v>84.7</v>
      </c>
      <c r="L1577" s="3"/>
      <c r="M1577" s="3"/>
    </row>
    <row r="1578" ht="48.0" customHeight="1">
      <c r="A1578" s="3" t="str">
        <f>IFERROR(__xludf.DUMMYFUNCTION("""COMPUTED_VALUE"""),"TPLMW301R")</f>
        <v>TPLMW301R</v>
      </c>
      <c r="B1578" s="4" t="str">
        <f>IFERROR(__xludf.DUMMYFUNCTION("""COMPUTED_VALUE"""),"ROUTER WIFI 300MBPS")</f>
        <v>ROUTER WIFI 300MBPS</v>
      </c>
      <c r="C1578" s="4" t="str">
        <f>IFERROR(__xludf.DUMMYFUNCTION("""COMPUTED_VALUE"""),"TP LINK router wifi 300mbps mercusys (2ant)")</f>
        <v>TP LINK router wifi 300mbps mercusys (2ant)</v>
      </c>
      <c r="D1578" s="4" t="str">
        <f>IFERROR(__xludf.DUMMYFUNCTION("""COMPUTED_VALUE"""),"TP-LINK")</f>
        <v>TP-LINK</v>
      </c>
      <c r="E1578" s="4" t="str">
        <f>IFERROR(__xludf.DUMMYFUNCTION("""COMPUTED_VALUE"""),"TPLMW301R")</f>
        <v>TPLMW301R</v>
      </c>
      <c r="F1578" s="4" t="str">
        <f>IFERROR(__xludf.DUMMYFUNCTION("""COMPUTED_VALUE"""),"CONECTIVIDAD &gt; ROUTERS / MODEMS")</f>
        <v>CONECTIVIDAD &gt; ROUTERS / MODEMS</v>
      </c>
      <c r="G1578" s="5"/>
      <c r="H1578" s="6">
        <f>IFERROR(__xludf.DUMMYFUNCTION("""COMPUTED_VALUE"""),14.43)</f>
        <v>14.43</v>
      </c>
      <c r="I1578" s="7">
        <f>IFERROR(__xludf.DUMMYFUNCTION("""COMPUTED_VALUE"""),10.5)</f>
        <v>10.5</v>
      </c>
      <c r="J1578" s="6">
        <f>IFERROR(__xludf.DUMMYFUNCTION("""COMPUTED_VALUE"""),17.32)</f>
        <v>17.32</v>
      </c>
      <c r="K1578" s="6">
        <f>IFERROR(__xludf.DUMMYFUNCTION("""COMPUTED_VALUE"""),20.2)</f>
        <v>20.2</v>
      </c>
      <c r="L1578" s="3"/>
      <c r="M1578" s="3"/>
    </row>
    <row r="1579" ht="48.0" customHeight="1">
      <c r="A1579" s="3" t="str">
        <f>IFERROR(__xludf.DUMMYFUNCTION("""COMPUTED_VALUE"""),"TPLMW302R")</f>
        <v>TPLMW302R</v>
      </c>
      <c r="B1579" s="4" t="str">
        <f>IFERROR(__xludf.DUMMYFUNCTION("""COMPUTED_VALUE"""),"ROUTER WIFI 300MBPS")</f>
        <v>ROUTER WIFI 300MBPS</v>
      </c>
      <c r="C1579" s="4" t="str">
        <f>IFERROR(__xludf.DUMMYFUNCTION("""COMPUTED_VALUE"""),"TP LINK ROUTER WIFI 300MBPS MERCUSYS (2ANT)")</f>
        <v>TP LINK ROUTER WIFI 300MBPS MERCUSYS (2ANT)</v>
      </c>
      <c r="D1579" s="4" t="str">
        <f>IFERROR(__xludf.DUMMYFUNCTION("""COMPUTED_VALUE"""),"TP-LINK")</f>
        <v>TP-LINK</v>
      </c>
      <c r="E1579" s="4" t="str">
        <f>IFERROR(__xludf.DUMMYFUNCTION("""COMPUTED_VALUE"""),"TPLMW302R")</f>
        <v>TPLMW302R</v>
      </c>
      <c r="F1579" s="4" t="str">
        <f>IFERROR(__xludf.DUMMYFUNCTION("""COMPUTED_VALUE"""),"CONECTIVIDAD &gt; ROUTERS / MODEMS")</f>
        <v>CONECTIVIDAD &gt; ROUTERS / MODEMS</v>
      </c>
      <c r="G1579" s="5"/>
      <c r="H1579" s="6">
        <f>IFERROR(__xludf.DUMMYFUNCTION("""COMPUTED_VALUE"""),12.38)</f>
        <v>12.38</v>
      </c>
      <c r="I1579" s="7">
        <f>IFERROR(__xludf.DUMMYFUNCTION("""COMPUTED_VALUE"""),10.5)</f>
        <v>10.5</v>
      </c>
      <c r="J1579" s="6">
        <f>IFERROR(__xludf.DUMMYFUNCTION("""COMPUTED_VALUE"""),14.86)</f>
        <v>14.86</v>
      </c>
      <c r="K1579" s="6">
        <f>IFERROR(__xludf.DUMMYFUNCTION("""COMPUTED_VALUE"""),17.33)</f>
        <v>17.33</v>
      </c>
      <c r="L1579" s="3"/>
      <c r="M1579" s="3"/>
    </row>
    <row r="1580" ht="48.0" customHeight="1">
      <c r="A1580" s="3" t="str">
        <f>IFERROR(__xludf.DUMMYFUNCTION("""COMPUTED_VALUE"""),"TPLWR820N")</f>
        <v>TPLWR820N</v>
      </c>
      <c r="B1580" s="4" t="str">
        <f>IFERROR(__xludf.DUMMYFUNCTION("""COMPUTED_VALUE"""),"ROUTER WIFI 300MBPS")</f>
        <v>ROUTER WIFI 300MBPS</v>
      </c>
      <c r="C1580" s="4" t="str">
        <f>IFERROR(__xludf.DUMMYFUNCTION("""COMPUTED_VALUE"""),"TP LINK ROUTER WIFI 300MBPS (2ANT)")</f>
        <v>TP LINK ROUTER WIFI 300MBPS (2ANT)</v>
      </c>
      <c r="D1580" s="4" t="str">
        <f>IFERROR(__xludf.DUMMYFUNCTION("""COMPUTED_VALUE"""),"TP-LINK")</f>
        <v>TP-LINK</v>
      </c>
      <c r="E1580" s="4" t="str">
        <f>IFERROR(__xludf.DUMMYFUNCTION("""COMPUTED_VALUE"""),"TPLWR820N")</f>
        <v>TPLWR820N</v>
      </c>
      <c r="F1580" s="4" t="str">
        <f>IFERROR(__xludf.DUMMYFUNCTION("""COMPUTED_VALUE"""),"CONECTIVIDAD &gt; ROUTERS / MODEMS")</f>
        <v>CONECTIVIDAD &gt; ROUTERS / MODEMS</v>
      </c>
      <c r="G1580" s="5"/>
      <c r="H1580" s="6">
        <f>IFERROR(__xludf.DUMMYFUNCTION("""COMPUTED_VALUE"""),16.23)</f>
        <v>16.23</v>
      </c>
      <c r="I1580" s="7">
        <f>IFERROR(__xludf.DUMMYFUNCTION("""COMPUTED_VALUE"""),10.5)</f>
        <v>10.5</v>
      </c>
      <c r="J1580" s="6">
        <f>IFERROR(__xludf.DUMMYFUNCTION("""COMPUTED_VALUE"""),19.48)</f>
        <v>19.48</v>
      </c>
      <c r="K1580" s="6">
        <f>IFERROR(__xludf.DUMMYFUNCTION("""COMPUTED_VALUE"""),22.72)</f>
        <v>22.72</v>
      </c>
      <c r="L1580" s="3"/>
      <c r="M1580" s="3"/>
    </row>
    <row r="1581" ht="48.0" customHeight="1">
      <c r="A1581" s="3" t="str">
        <f>IFERROR(__xludf.DUMMYFUNCTION("""COMPUTED_VALUE"""),"TPLARCHERC24")</f>
        <v>TPLARCHERC24</v>
      </c>
      <c r="B1581" s="4" t="str">
        <f>IFERROR(__xludf.DUMMYFUNCTION("""COMPUTED_VALUE"""),"ROUTER WIFI")</f>
        <v>ROUTER WIFI</v>
      </c>
      <c r="C1581" s="4" t="str">
        <f>IFERROR(__xludf.DUMMYFUNCTION("""COMPUTED_VALUE"""),"TP LINK router wifi doble banda ac750 (4ant)")</f>
        <v>TP LINK router wifi doble banda ac750 (4ant)</v>
      </c>
      <c r="D1581" s="4" t="str">
        <f>IFERROR(__xludf.DUMMYFUNCTION("""COMPUTED_VALUE"""),"TP-LINK")</f>
        <v>TP-LINK</v>
      </c>
      <c r="E1581" s="4" t="str">
        <f>IFERROR(__xludf.DUMMYFUNCTION("""COMPUTED_VALUE"""),"TPLARCHERC24")</f>
        <v>TPLARCHERC24</v>
      </c>
      <c r="F1581" s="4" t="str">
        <f>IFERROR(__xludf.DUMMYFUNCTION("""COMPUTED_VALUE"""),"CONECTIVIDAD &gt; ROUTERS / MODEMS")</f>
        <v>CONECTIVIDAD &gt; ROUTERS / MODEMS</v>
      </c>
      <c r="G1581" s="5"/>
      <c r="H1581" s="6">
        <f>IFERROR(__xludf.DUMMYFUNCTION("""COMPUTED_VALUE"""),37.13)</f>
        <v>37.13</v>
      </c>
      <c r="I1581" s="7">
        <f>IFERROR(__xludf.DUMMYFUNCTION("""COMPUTED_VALUE"""),10.5)</f>
        <v>10.5</v>
      </c>
      <c r="J1581" s="6">
        <f>IFERROR(__xludf.DUMMYFUNCTION("""COMPUTED_VALUE"""),44.56)</f>
        <v>44.56</v>
      </c>
      <c r="K1581" s="6">
        <f>IFERROR(__xludf.DUMMYFUNCTION("""COMPUTED_VALUE"""),51.98)</f>
        <v>51.98</v>
      </c>
      <c r="L1581" s="3"/>
      <c r="M1581" s="3"/>
    </row>
    <row r="1582" ht="48.0" customHeight="1">
      <c r="A1582" s="3" t="str">
        <f>IFERROR(__xludf.DUMMYFUNCTION("""COMPUTED_VALUE"""),"TPLARCHERC5")</f>
        <v>TPLARCHERC5</v>
      </c>
      <c r="B1582" s="4" t="str">
        <f>IFERROR(__xludf.DUMMYFUNCTION("""COMPUTED_VALUE"""),"ARCHER C5 AC1200 4 ANT AGILE CFG GIGABIT WIR D")</f>
        <v>ARCHER C5 AC1200 4 ANT AGILE CFG GIGABIT WIR D</v>
      </c>
      <c r="C1582" s="4" t="str">
        <f>IFERROR(__xludf.DUMMYFUNCTION("""COMPUTED_VALUE"""),"ARCHER C5 AC1200 4 Ant Agile Cfg Gigabit Wir D.Band Tp-Link")</f>
        <v>ARCHER C5 AC1200 4 Ant Agile Cfg Gigabit Wir D.Band Tp-Link</v>
      </c>
      <c r="D1582" s="4" t="str">
        <f>IFERROR(__xludf.DUMMYFUNCTION("""COMPUTED_VALUE"""),"TP-LINK")</f>
        <v>TP-LINK</v>
      </c>
      <c r="E1582" s="4" t="str">
        <f>IFERROR(__xludf.DUMMYFUNCTION("""COMPUTED_VALUE"""),"TPLARCHERC5")</f>
        <v>TPLARCHERC5</v>
      </c>
      <c r="F1582" s="4" t="str">
        <f>IFERROR(__xludf.DUMMYFUNCTION("""COMPUTED_VALUE"""),"CONECTIVIDAD &gt; ENLACES INALAMBRICOS AP INTERIOR")</f>
        <v>CONECTIVIDAD &gt; ENLACES INALAMBRICOS AP INTERIOR</v>
      </c>
      <c r="G1582" s="5"/>
      <c r="H1582" s="6">
        <f>IFERROR(__xludf.DUMMYFUNCTION("""COMPUTED_VALUE"""),99.21)</f>
        <v>99.21</v>
      </c>
      <c r="I1582" s="7">
        <f>IFERROR(__xludf.DUMMYFUNCTION("""COMPUTED_VALUE"""),10.5)</f>
        <v>10.5</v>
      </c>
      <c r="J1582" s="6">
        <f>IFERROR(__xludf.DUMMYFUNCTION("""COMPUTED_VALUE"""),119.05)</f>
        <v>119.05</v>
      </c>
      <c r="K1582" s="6">
        <f>IFERROR(__xludf.DUMMYFUNCTION("""COMPUTED_VALUE"""),138.89)</f>
        <v>138.89</v>
      </c>
      <c r="L1582" s="3"/>
      <c r="M1582" s="3"/>
    </row>
    <row r="1583" ht="48.0" customHeight="1">
      <c r="A1583" s="3" t="str">
        <f>IFERROR(__xludf.DUMMYFUNCTION("""COMPUTED_VALUE"""),"TPLARCHER-AX10")</f>
        <v>TPLARCHER-AX10</v>
      </c>
      <c r="B1583" s="4" t="str">
        <f>IFERROR(__xludf.DUMMYFUNCTION("""COMPUTED_VALUE"""),"ROUTER WIFI 6 1201MBPS")</f>
        <v>ROUTER WIFI 6 1201MBPS</v>
      </c>
      <c r="C1583" s="4" t="str">
        <f>IFERROR(__xludf.DUMMYFUNCTION("""COMPUTED_VALUE"""),"TP LINK ROUTER WIFI Velocidad 1,5 Gbps de Doble Banda . 1201 Mbps en 5 GHz y 300 Mbps en 2,4 GHz. AX1500 Wi-Fi 6 (4ANT)")</f>
        <v>TP LINK ROUTER WIFI Velocidad 1,5 Gbps de Doble Banda . 1201 Mbps en 5 GHz y 300 Mbps en 2,4 GHz. AX1500 Wi-Fi 6 (4ANT)</v>
      </c>
      <c r="D1583" s="4" t="str">
        <f>IFERROR(__xludf.DUMMYFUNCTION("""COMPUTED_VALUE"""),"TP-LINK")</f>
        <v>TP-LINK</v>
      </c>
      <c r="E1583" s="4" t="str">
        <f>IFERROR(__xludf.DUMMYFUNCTION("""COMPUTED_VALUE"""),"TPLARCHER-AX10")</f>
        <v>TPLARCHER-AX10</v>
      </c>
      <c r="F1583" s="4" t="str">
        <f>IFERROR(__xludf.DUMMYFUNCTION("""COMPUTED_VALUE"""),"CONECTIVIDAD &gt; ROUTERS / MODEMS")</f>
        <v>CONECTIVIDAD &gt; ROUTERS / MODEMS</v>
      </c>
      <c r="G1583" s="5"/>
      <c r="H1583" s="6">
        <f>IFERROR(__xludf.DUMMYFUNCTION("""COMPUTED_VALUE"""),49.5)</f>
        <v>49.5</v>
      </c>
      <c r="I1583" s="7">
        <f>IFERROR(__xludf.DUMMYFUNCTION("""COMPUTED_VALUE"""),10.5)</f>
        <v>10.5</v>
      </c>
      <c r="J1583" s="6">
        <f>IFERROR(__xludf.DUMMYFUNCTION("""COMPUTED_VALUE"""),59.4)</f>
        <v>59.4</v>
      </c>
      <c r="K1583" s="6">
        <f>IFERROR(__xludf.DUMMYFUNCTION("""COMPUTED_VALUE"""),69.3)</f>
        <v>69.3</v>
      </c>
      <c r="L1583" s="3"/>
      <c r="M1583" s="3"/>
    </row>
    <row r="1584" ht="48.0" customHeight="1">
      <c r="A1584" s="3" t="str">
        <f>IFERROR(__xludf.DUMMYFUNCTION("""COMPUTED_VALUE"""),"TPLARCHER-AX55")</f>
        <v>TPLARCHER-AX55</v>
      </c>
      <c r="B1584" s="4" t="str">
        <f>IFERROR(__xludf.DUMMYFUNCTION("""COMPUTED_VALUE"""),"ROUTER WIFI 6 2402MBPS")</f>
        <v>ROUTER WIFI 6 2402MBPS</v>
      </c>
      <c r="C1584" s="4" t="str">
        <f>IFERROR(__xludf.DUMMYFUNCTION("""COMPUTED_VALUE"""),"TP LINK ROUTER WIFI Velocidad 3 Gbps Doble Banda 2402 Mbps en 5 GHz y 574 Mbps en 2,4 GHz. AX3000 Wi-Fi 6 (4ANT)")</f>
        <v>TP LINK ROUTER WIFI Velocidad 3 Gbps Doble Banda 2402 Mbps en 5 GHz y 574 Mbps en 2,4 GHz. AX3000 Wi-Fi 6 (4ANT)</v>
      </c>
      <c r="D1584" s="4" t="str">
        <f>IFERROR(__xludf.DUMMYFUNCTION("""COMPUTED_VALUE"""),"TP-LINK")</f>
        <v>TP-LINK</v>
      </c>
      <c r="E1584" s="4" t="str">
        <f>IFERROR(__xludf.DUMMYFUNCTION("""COMPUTED_VALUE"""),"TPLARCHER-AX55")</f>
        <v>TPLARCHER-AX55</v>
      </c>
      <c r="F1584" s="4" t="str">
        <f>IFERROR(__xludf.DUMMYFUNCTION("""COMPUTED_VALUE"""),"CONECTIVIDAD &gt; ROUTERS / MODEMS")</f>
        <v>CONECTIVIDAD &gt; ROUTERS / MODEMS</v>
      </c>
      <c r="G1584" s="5"/>
      <c r="H1584" s="6">
        <f>IFERROR(__xludf.DUMMYFUNCTION("""COMPUTED_VALUE"""),75.63)</f>
        <v>75.63</v>
      </c>
      <c r="I1584" s="7">
        <f>IFERROR(__xludf.DUMMYFUNCTION("""COMPUTED_VALUE"""),10.5)</f>
        <v>10.5</v>
      </c>
      <c r="J1584" s="6">
        <f>IFERROR(__xludf.DUMMYFUNCTION("""COMPUTED_VALUE"""),90.76)</f>
        <v>90.76</v>
      </c>
      <c r="K1584" s="6">
        <f>IFERROR(__xludf.DUMMYFUNCTION("""COMPUTED_VALUE"""),105.88)</f>
        <v>105.88</v>
      </c>
      <c r="L1584" s="3"/>
      <c r="M1584" s="3"/>
    </row>
    <row r="1585" ht="48.0" customHeight="1">
      <c r="A1585" s="3" t="str">
        <f>IFERROR(__xludf.DUMMYFUNCTION("""COMPUTED_VALUE"""),"TPLXN020G3V")</f>
        <v>TPLXN020G3V</v>
      </c>
      <c r="B1585" s="4" t="str">
        <f>IFERROR(__xludf.DUMMYFUNCTION("""COMPUTED_VALUE"""),"ROUTER 300MBPS")</f>
        <v>ROUTER 300MBPS</v>
      </c>
      <c r="C1585" s="4" t="str">
        <f>IFERROR(__xludf.DUMMYFUNCTION("""COMPUTED_VALUE"""),"TP LINK Router N Inalámbrico 300 Mbps Gigabit VoIP GPON (2ant)")</f>
        <v>TP LINK Router N Inalámbrico 300 Mbps Gigabit VoIP GPON (2ant)</v>
      </c>
      <c r="D1585" s="4" t="str">
        <f>IFERROR(__xludf.DUMMYFUNCTION("""COMPUTED_VALUE"""),"TP-LINK")</f>
        <v>TP-LINK</v>
      </c>
      <c r="E1585" s="4" t="str">
        <f>IFERROR(__xludf.DUMMYFUNCTION("""COMPUTED_VALUE"""),"TPLXN020G3V")</f>
        <v>TPLXN020G3V</v>
      </c>
      <c r="F1585" s="4" t="str">
        <f>IFERROR(__xludf.DUMMYFUNCTION("""COMPUTED_VALUE"""),"CONECTIVIDAD &gt; ROUTERS / MODEMS")</f>
        <v>CONECTIVIDAD &gt; ROUTERS / MODEMS</v>
      </c>
      <c r="G1585" s="5"/>
      <c r="H1585" s="6">
        <f>IFERROR(__xludf.DUMMYFUNCTION("""COMPUTED_VALUE"""),41.25)</f>
        <v>41.25</v>
      </c>
      <c r="I1585" s="7">
        <f>IFERROR(__xludf.DUMMYFUNCTION("""COMPUTED_VALUE"""),10.5)</f>
        <v>10.5</v>
      </c>
      <c r="J1585" s="6">
        <f>IFERROR(__xludf.DUMMYFUNCTION("""COMPUTED_VALUE"""),49.5)</f>
        <v>49.5</v>
      </c>
      <c r="K1585" s="6">
        <f>IFERROR(__xludf.DUMMYFUNCTION("""COMPUTED_VALUE"""),57.75)</f>
        <v>57.75</v>
      </c>
      <c r="L1585" s="3"/>
      <c r="M1585" s="3"/>
    </row>
    <row r="1586" ht="48.0" customHeight="1">
      <c r="A1586" s="3" t="str">
        <f>IFERROR(__xludf.DUMMYFUNCTION("""COMPUTED_VALUE"""),"TPLARCHERMR600")</f>
        <v>TPLARCHERMR600</v>
      </c>
      <c r="B1586" s="4" t="str">
        <f>IFERROR(__xludf.DUMMYFUNCTION("""COMPUTED_VALUE"""),"ARCHER MR600 ROUWI P/MICRO SIM 4G AC1200 2 ANT")</f>
        <v>ARCHER MR600 ROUWI P/MICRO SIM 4G AC1200 2 ANT</v>
      </c>
      <c r="C1586" s="4" t="str">
        <f>IFERROR(__xludf.DUMMYFUNCTION("""COMPUTED_VALUE"""),"Archer MR600 RouWi p/Micro SIM 4G AC1200 2 Ant")</f>
        <v>Archer MR600 RouWi p/Micro SIM 4G AC1200 2 Ant</v>
      </c>
      <c r="D1586" s="4" t="str">
        <f>IFERROR(__xludf.DUMMYFUNCTION("""COMPUTED_VALUE"""),"TP-LINK")</f>
        <v>TP-LINK</v>
      </c>
      <c r="E1586" s="4" t="str">
        <f>IFERROR(__xludf.DUMMYFUNCTION("""COMPUTED_VALUE"""),"TPLARCHERMR600")</f>
        <v>TPLARCHERMR600</v>
      </c>
      <c r="F1586" s="4" t="str">
        <f>IFERROR(__xludf.DUMMYFUNCTION("""COMPUTED_VALUE"""),"CONECTIVIDAD &gt; ENLACES INALAMBRICOS AP INTERIOR")</f>
        <v>CONECTIVIDAD &gt; ENLACES INALAMBRICOS AP INTERIOR</v>
      </c>
      <c r="G1586" s="5"/>
      <c r="H1586" s="6">
        <f>IFERROR(__xludf.DUMMYFUNCTION("""COMPUTED_VALUE"""),152.63)</f>
        <v>152.63</v>
      </c>
      <c r="I1586" s="7">
        <f>IFERROR(__xludf.DUMMYFUNCTION("""COMPUTED_VALUE"""),10.5)</f>
        <v>10.5</v>
      </c>
      <c r="J1586" s="6">
        <f>IFERROR(__xludf.DUMMYFUNCTION("""COMPUTED_VALUE"""),183.16)</f>
        <v>183.16</v>
      </c>
      <c r="K1586" s="6">
        <f>IFERROR(__xludf.DUMMYFUNCTION("""COMPUTED_VALUE"""),213.68)</f>
        <v>213.68</v>
      </c>
      <c r="L1586" s="3"/>
      <c r="M1586" s="3"/>
    </row>
    <row r="1587" ht="48.0" customHeight="1">
      <c r="A1587" s="3" t="str">
        <f>IFERROR(__xludf.DUMMYFUNCTION("""COMPUTED_VALUE"""),"TPLMW300RE")</f>
        <v>TPLMW300RE</v>
      </c>
      <c r="B1587" s="4" t="str">
        <f>IFERROR(__xludf.DUMMYFUNCTION("""COMPUTED_VALUE"""),"EXTENSOR DE COBERTURA WI-FI UNIVERSAL A 300MBPS CON 3 ANTENAS")</f>
        <v>EXTENSOR DE COBERTURA WI-FI UNIVERSAL A 300MBPS CON 3 ANTENAS</v>
      </c>
      <c r="C1587" s="4" t="str">
        <f>IFERROR(__xludf.DUMMYFUNCTION("""COMPUTED_VALUE"""),"Extensor de Cobertura Wi-Fi Universal a 300Mbps con 3 Antenas")</f>
        <v>Extensor de Cobertura Wi-Fi Universal a 300Mbps con 3 Antenas</v>
      </c>
      <c r="D1587" s="4" t="str">
        <f>IFERROR(__xludf.DUMMYFUNCTION("""COMPUTED_VALUE"""),"TP-LINK")</f>
        <v>TP-LINK</v>
      </c>
      <c r="E1587" s="4" t="str">
        <f>IFERROR(__xludf.DUMMYFUNCTION("""COMPUTED_VALUE"""),"TPLMW300RE")</f>
        <v>TPLMW300RE</v>
      </c>
      <c r="F1587" s="4" t="str">
        <f>IFERROR(__xludf.DUMMYFUNCTION("""COMPUTED_VALUE"""),"CONECTIVIDAD &gt; ENLACES INALAMBRICOS AP INTERIOR")</f>
        <v>CONECTIVIDAD &gt; ENLACES INALAMBRICOS AP INTERIOR</v>
      </c>
      <c r="G1587" s="5"/>
      <c r="H1587" s="6">
        <f>IFERROR(__xludf.DUMMYFUNCTION("""COMPUTED_VALUE"""),11.68)</f>
        <v>11.68</v>
      </c>
      <c r="I1587" s="7">
        <f>IFERROR(__xludf.DUMMYFUNCTION("""COMPUTED_VALUE"""),10.5)</f>
        <v>10.5</v>
      </c>
      <c r="J1587" s="6">
        <f>IFERROR(__xludf.DUMMYFUNCTION("""COMPUTED_VALUE"""),14.02)</f>
        <v>14.02</v>
      </c>
      <c r="K1587" s="6">
        <f>IFERROR(__xludf.DUMMYFUNCTION("""COMPUTED_VALUE"""),16.35)</f>
        <v>16.35</v>
      </c>
      <c r="L1587" s="3"/>
      <c r="M1587" s="3"/>
    </row>
    <row r="1588" ht="48.0" customHeight="1">
      <c r="A1588" s="3" t="str">
        <f>IFERROR(__xludf.DUMMYFUNCTION("""COMPUTED_VALUE"""),"TPLWA850RE")</f>
        <v>TPLWA850RE</v>
      </c>
      <c r="B1588" s="4" t="str">
        <f>IFERROR(__xludf.DUMMYFUNCTION("""COMPUTED_VALUE"""),"EXTENSOR DE COBERTURA WI-FI UNIVERSAL A 300MBPS")</f>
        <v>EXTENSOR DE COBERTURA WI-FI UNIVERSAL A 300MBPS</v>
      </c>
      <c r="C1588" s="4" t="str">
        <f>IFERROR(__xludf.DUMMYFUNCTION("""COMPUTED_VALUE"""),"Extensor de Cobertura Wi-Fi Universal a 300Mbps")</f>
        <v>Extensor de Cobertura Wi-Fi Universal a 300Mbps</v>
      </c>
      <c r="D1588" s="4" t="str">
        <f>IFERROR(__xludf.DUMMYFUNCTION("""COMPUTED_VALUE"""),"TP-LINK")</f>
        <v>TP-LINK</v>
      </c>
      <c r="E1588" s="4" t="str">
        <f>IFERROR(__xludf.DUMMYFUNCTION("""COMPUTED_VALUE"""),"TPLWA850RE")</f>
        <v>TPLWA850RE</v>
      </c>
      <c r="F1588" s="4" t="str">
        <f>IFERROR(__xludf.DUMMYFUNCTION("""COMPUTED_VALUE"""),"CONECTIVIDAD &gt; ENLACES INALAMBRICOS AP INTERIOR")</f>
        <v>CONECTIVIDAD &gt; ENLACES INALAMBRICOS AP INTERIOR</v>
      </c>
      <c r="G1588" s="5"/>
      <c r="H1588" s="6">
        <f>IFERROR(__xludf.DUMMYFUNCTION("""COMPUTED_VALUE"""),20.28)</f>
        <v>20.28</v>
      </c>
      <c r="I1588" s="7">
        <f>IFERROR(__xludf.DUMMYFUNCTION("""COMPUTED_VALUE"""),10.5)</f>
        <v>10.5</v>
      </c>
      <c r="J1588" s="6">
        <f>IFERROR(__xludf.DUMMYFUNCTION("""COMPUTED_VALUE"""),24.34)</f>
        <v>24.34</v>
      </c>
      <c r="K1588" s="6">
        <f>IFERROR(__xludf.DUMMYFUNCTION("""COMPUTED_VALUE"""),28.39)</f>
        <v>28.39</v>
      </c>
      <c r="L1588" s="3"/>
      <c r="M1588" s="3"/>
    </row>
    <row r="1589" ht="48.0" customHeight="1">
      <c r="A1589" s="3" t="str">
        <f>IFERROR(__xludf.DUMMYFUNCTION("""COMPUTED_VALUE"""),"TPLEAP245")</f>
        <v>TPLEAP245</v>
      </c>
      <c r="B1589" s="4" t="str">
        <f>IFERROR(__xludf.DUMMYFUNCTION("""COMPUTED_VALUE"""),"EAP245 AC1750 MBPS AP GIGABIT CEILLING WALL MOUNTING")</f>
        <v>EAP245 AC1750 MBPS AP GIGABIT CEILLING WALL MOUNTING</v>
      </c>
      <c r="C1589" s="4" t="str">
        <f>IFERROR(__xludf.DUMMYFUNCTION("""COMPUTED_VALUE"""),"EAP245 AC1750 Mbps AP Gigabit Ceilling Wall Mounting")</f>
        <v>EAP245 AC1750 Mbps AP Gigabit Ceilling Wall Mounting</v>
      </c>
      <c r="D1589" s="4" t="str">
        <f>IFERROR(__xludf.DUMMYFUNCTION("""COMPUTED_VALUE"""),"TP-LINK")</f>
        <v>TP-LINK</v>
      </c>
      <c r="E1589" s="4" t="str">
        <f>IFERROR(__xludf.DUMMYFUNCTION("""COMPUTED_VALUE"""),"TPLEAP245")</f>
        <v>TPLEAP245</v>
      </c>
      <c r="F1589" s="4" t="str">
        <f>IFERROR(__xludf.DUMMYFUNCTION("""COMPUTED_VALUE"""),"CONECTIVIDAD &gt; ENLACES INALAMBRICOS AP INTERIOR")</f>
        <v>CONECTIVIDAD &gt; ENLACES INALAMBRICOS AP INTERIOR</v>
      </c>
      <c r="G1589" s="5"/>
      <c r="H1589" s="6">
        <f>IFERROR(__xludf.DUMMYFUNCTION("""COMPUTED_VALUE"""),92.13)</f>
        <v>92.13</v>
      </c>
      <c r="I1589" s="7">
        <f>IFERROR(__xludf.DUMMYFUNCTION("""COMPUTED_VALUE"""),10.5)</f>
        <v>10.5</v>
      </c>
      <c r="J1589" s="6">
        <f>IFERROR(__xludf.DUMMYFUNCTION("""COMPUTED_VALUE"""),110.56)</f>
        <v>110.56</v>
      </c>
      <c r="K1589" s="6">
        <f>IFERROR(__xludf.DUMMYFUNCTION("""COMPUTED_VALUE"""),128.98)</f>
        <v>128.98</v>
      </c>
      <c r="L1589" s="3"/>
      <c r="M1589" s="3"/>
    </row>
    <row r="1590" ht="48.0" customHeight="1">
      <c r="A1590" s="3" t="str">
        <f>IFERROR(__xludf.DUMMYFUNCTION("""COMPUTED_VALUE"""),"TPLEAP265HD")</f>
        <v>TPLEAP265HD</v>
      </c>
      <c r="B1590" s="4" t="str">
        <f>IFERROR(__xludf.DUMMYFUNCTION("""COMPUTED_VALUE"""),"ACCESS POINT INTERIOR DUAL-BAND WI-FI: SIMULTANEOUS 450 MBPS ON 2")</f>
        <v>ACCESS POINT INTERIOR DUAL-BAND WI-FI: SIMULTANEOUS 450 MBPS ON 2</v>
      </c>
      <c r="C1590" s="4" t="str">
        <f>IFERROR(__xludf.DUMMYFUNCTION("""COMPUTED_VALUE"""),"Access Point interior Dual-Band Wi-Fi: Simultaneous 450 Mbps on 2.4 GHz and 1300 Mbps on 5 GHz totals 1750 Mbps Wi-Fi speeds Supports both standard 802.3af/at and Passive PoE (PoE adapter included) for flexible installations.")</f>
        <v>Access Point interior Dual-Band Wi-Fi: Simultaneous 450 Mbps on 2.4 GHz and 1300 Mbps on 5 GHz totals 1750 Mbps Wi-Fi speeds Supports both standard 802.3af/at and Passive PoE (PoE adapter included) for flexible installations.</v>
      </c>
      <c r="D1590" s="4" t="str">
        <f>IFERROR(__xludf.DUMMYFUNCTION("""COMPUTED_VALUE"""),"TP-LINK")</f>
        <v>TP-LINK</v>
      </c>
      <c r="E1590" s="4" t="str">
        <f>IFERROR(__xludf.DUMMYFUNCTION("""COMPUTED_VALUE"""),"TPLEAP265HD")</f>
        <v>TPLEAP265HD</v>
      </c>
      <c r="F1590" s="4" t="str">
        <f>IFERROR(__xludf.DUMMYFUNCTION("""COMPUTED_VALUE"""),"CONECTIVIDAD &gt; ENLACES INALAMBRICOS AP INTERIOR")</f>
        <v>CONECTIVIDAD &gt; ENLACES INALAMBRICOS AP INTERIOR</v>
      </c>
      <c r="G1590" s="5"/>
      <c r="H1590" s="6">
        <f>IFERROR(__xludf.DUMMYFUNCTION("""COMPUTED_VALUE"""),99.0)</f>
        <v>99</v>
      </c>
      <c r="I1590" s="7">
        <f>IFERROR(__xludf.DUMMYFUNCTION("""COMPUTED_VALUE"""),10.5)</f>
        <v>10.5</v>
      </c>
      <c r="J1590" s="6">
        <f>IFERROR(__xludf.DUMMYFUNCTION("""COMPUTED_VALUE"""),118.8)</f>
        <v>118.8</v>
      </c>
      <c r="K1590" s="6">
        <f>IFERROR(__xludf.DUMMYFUNCTION("""COMPUTED_VALUE"""),138.6)</f>
        <v>138.6</v>
      </c>
      <c r="L1590" s="3"/>
      <c r="M1590" s="3"/>
    </row>
    <row r="1591" ht="48.0" customHeight="1">
      <c r="A1591" s="3" t="str">
        <f>IFERROR(__xludf.DUMMYFUNCTION("""COMPUTED_VALUE"""),"UBUAPACLITE")</f>
        <v>UBUAPACLITE</v>
      </c>
      <c r="B1591" s="4" t="str">
        <f>IFERROR(__xludf.DUMMYFUNCTION("""COMPUTED_VALUE"""),"UAP-AC-LITE ACCESS POINT INTERIOR UNIFI AC LITE 100MW A/B/G/N/AC")</f>
        <v>UAP-AC-LITE ACCESS POINT INTERIOR UNIFI AC LITE 100MW A/B/G/N/AC</v>
      </c>
      <c r="C1591" s="4" t="str">
        <f>IFERROR(__xludf.DUMMYFUNCTION("""COMPUTED_VALUE"""),"UAP-AC-LITE Access Point interior UNIFI AC LITE 100MW A/B/G/N/AC POE 24V")</f>
        <v>UAP-AC-LITE Access Point interior UNIFI AC LITE 100MW A/B/G/N/AC POE 24V</v>
      </c>
      <c r="D1591" s="4" t="str">
        <f>IFERROR(__xludf.DUMMYFUNCTION("""COMPUTED_VALUE"""),"UBIQUITI")</f>
        <v>UBIQUITI</v>
      </c>
      <c r="E1591" s="4" t="str">
        <f>IFERROR(__xludf.DUMMYFUNCTION("""COMPUTED_VALUE"""),"UBUAPACLITE")</f>
        <v>UBUAPACLITE</v>
      </c>
      <c r="F1591" s="4" t="str">
        <f>IFERROR(__xludf.DUMMYFUNCTION("""COMPUTED_VALUE"""),"CONECTIVIDAD &gt; ENLACES INALAMBRICOS AP INTERIOR")</f>
        <v>CONECTIVIDAD &gt; ENLACES INALAMBRICOS AP INTERIOR</v>
      </c>
      <c r="G1591" s="5"/>
      <c r="H1591" s="6">
        <f>IFERROR(__xludf.DUMMYFUNCTION("""COMPUTED_VALUE"""),253.0)</f>
        <v>253</v>
      </c>
      <c r="I1591" s="7">
        <f>IFERROR(__xludf.DUMMYFUNCTION("""COMPUTED_VALUE"""),10.5)</f>
        <v>10.5</v>
      </c>
      <c r="J1591" s="6">
        <f>IFERROR(__xludf.DUMMYFUNCTION("""COMPUTED_VALUE"""),303.6)</f>
        <v>303.6</v>
      </c>
      <c r="K1591" s="6">
        <f>IFERROR(__xludf.DUMMYFUNCTION("""COMPUTED_VALUE"""),354.2)</f>
        <v>354.2</v>
      </c>
      <c r="L1591" s="3"/>
      <c r="M1591" s="3"/>
    </row>
    <row r="1592" ht="48.0" customHeight="1">
      <c r="A1592" s="3" t="str">
        <f>IFERROR(__xludf.DUMMYFUNCTION("""COMPUTED_VALUE"""),"UBU6-LR")</f>
        <v>UBU6-LR</v>
      </c>
      <c r="B1592" s="4" t="str">
        <f>IFERROR(__xludf.DUMMYFUNCTION("""COMPUTED_VALUE"""),"UNIFI 6 LR UNIFI 6 LONG-RANGE ACCESS POINT")</f>
        <v>UNIFI 6 LR UNIFI 6 LONG-RANGE ACCESS POINT</v>
      </c>
      <c r="C1592" s="4" t="str">
        <f>IFERROR(__xludf.DUMMYFUNCTION("""COMPUTED_VALUE"""),"Unifi 6 LR UniFi 6 Long-Range Access Point - Sin fuente")</f>
        <v>Unifi 6 LR UniFi 6 Long-Range Access Point - Sin fuente</v>
      </c>
      <c r="D1592" s="4" t="str">
        <f>IFERROR(__xludf.DUMMYFUNCTION("""COMPUTED_VALUE"""),"UBIQUITI")</f>
        <v>UBIQUITI</v>
      </c>
      <c r="E1592" s="4" t="str">
        <f>IFERROR(__xludf.DUMMYFUNCTION("""COMPUTED_VALUE"""),"UBU6-LR")</f>
        <v>UBU6-LR</v>
      </c>
      <c r="F1592" s="4" t="str">
        <f>IFERROR(__xludf.DUMMYFUNCTION("""COMPUTED_VALUE"""),"CONECTIVIDAD &gt; ENLACES INALAMBRICOS AP INTERIOR")</f>
        <v>CONECTIVIDAD &gt; ENLACES INALAMBRICOS AP INTERIOR</v>
      </c>
      <c r="G1592" s="5"/>
      <c r="H1592" s="6">
        <f>IFERROR(__xludf.DUMMYFUNCTION("""COMPUTED_VALUE"""),237.88)</f>
        <v>237.88</v>
      </c>
      <c r="I1592" s="7">
        <f>IFERROR(__xludf.DUMMYFUNCTION("""COMPUTED_VALUE"""),10.5)</f>
        <v>10.5</v>
      </c>
      <c r="J1592" s="6">
        <f>IFERROR(__xludf.DUMMYFUNCTION("""COMPUTED_VALUE"""),285.46)</f>
        <v>285.46</v>
      </c>
      <c r="K1592" s="6">
        <f>IFERROR(__xludf.DUMMYFUNCTION("""COMPUTED_VALUE"""),333.03)</f>
        <v>333.03</v>
      </c>
      <c r="L1592" s="3"/>
      <c r="M1592" s="3"/>
    </row>
    <row r="1593" ht="48.0" customHeight="1">
      <c r="A1593" s="3" t="str">
        <f>IFERROR(__xludf.DUMMYFUNCTION("""COMPUTED_VALUE"""),"UBUAPNANOHD")</f>
        <v>UBUAPNANOHD</v>
      </c>
      <c r="B1593" s="4" t="str">
        <f>IFERROR(__xludf.DUMMYFUNCTION("""COMPUTED_VALUE"""),"ACCESS POINT UNIFI NANO HD 2033MB AC WAVE2 POE VELOCIDAD DE 2033MBPS")</f>
        <v>ACCESS POINT UNIFI NANO HD 2033MB AC WAVE2 POE VELOCIDAD DE 2033MBPS</v>
      </c>
      <c r="C1593" s="4" t="str">
        <f>IFERROR(__xludf.DUMMYFUNCTION("""COMPUTED_VALUE"""),"Access Point UNIFI NANO HD 2033MB AC WAVE2 POE velocidad de 2033Mbps. Banda doble de 2.4 GHz y 5 GHz. Posee 4 antenas internas. 1 puerto para conectarse.")</f>
        <v>Access Point UNIFI NANO HD 2033MB AC WAVE2 POE velocidad de 2033Mbps. Banda doble de 2.4 GHz y 5 GHz. Posee 4 antenas internas. 1 puerto para conectarse.</v>
      </c>
      <c r="D1593" s="4" t="str">
        <f>IFERROR(__xludf.DUMMYFUNCTION("""COMPUTED_VALUE"""),"UBIQUITI")</f>
        <v>UBIQUITI</v>
      </c>
      <c r="E1593" s="4" t="str">
        <f>IFERROR(__xludf.DUMMYFUNCTION("""COMPUTED_VALUE"""),"UBUAPNANOHD")</f>
        <v>UBUAPNANOHD</v>
      </c>
      <c r="F1593" s="4" t="str">
        <f>IFERROR(__xludf.DUMMYFUNCTION("""COMPUTED_VALUE"""),"CONECTIVIDAD &gt; ENLACES INALAMBRICOS AP INTERIOR")</f>
        <v>CONECTIVIDAD &gt; ENLACES INALAMBRICOS AP INTERIOR</v>
      </c>
      <c r="G1593" s="5"/>
      <c r="H1593" s="6">
        <f>IFERROR(__xludf.DUMMYFUNCTION("""COMPUTED_VALUE"""),196.63)</f>
        <v>196.63</v>
      </c>
      <c r="I1593" s="7">
        <f>IFERROR(__xludf.DUMMYFUNCTION("""COMPUTED_VALUE"""),10.5)</f>
        <v>10.5</v>
      </c>
      <c r="J1593" s="6">
        <f>IFERROR(__xludf.DUMMYFUNCTION("""COMPUTED_VALUE"""),235.96)</f>
        <v>235.96</v>
      </c>
      <c r="K1593" s="6">
        <f>IFERROR(__xludf.DUMMYFUNCTION("""COMPUTED_VALUE"""),275.28)</f>
        <v>275.28</v>
      </c>
      <c r="L1593" s="3"/>
      <c r="M1593" s="3"/>
    </row>
    <row r="1594" ht="48.0" customHeight="1">
      <c r="A1594" s="3" t="str">
        <f>IFERROR(__xludf.DUMMYFUNCTION("""COMPUTED_VALUE"""),"TPLDECOE4-PACK1")</f>
        <v>TPLDECOE4-PACK1</v>
      </c>
      <c r="B1594" s="4" t="str">
        <f>IFERROR(__xludf.DUMMYFUNCTION("""COMPUTED_VALUE"""),"ROUTER MESH")</f>
        <v>ROUTER MESH</v>
      </c>
      <c r="C1594" s="4" t="str">
        <f>IFERROR(__xludf.DUMMYFUNCTION("""COMPUTED_VALUE"""),"Sistema Wi-Fi Mesh para toda la Casa AC1200 2×Puertos FE/Unidad Deco E4 (1-unidad)")</f>
        <v>Sistema Wi-Fi Mesh para toda la Casa AC1200 2×Puertos FE/Unidad Deco E4 (1-unidad)</v>
      </c>
      <c r="D1594" s="4" t="str">
        <f>IFERROR(__xludf.DUMMYFUNCTION("""COMPUTED_VALUE"""),"TP-LINK")</f>
        <v>TP-LINK</v>
      </c>
      <c r="E1594" s="4" t="str">
        <f>IFERROR(__xludf.DUMMYFUNCTION("""COMPUTED_VALUE"""),"TPLDECOE4-PACK1")</f>
        <v>TPLDECOE4-PACK1</v>
      </c>
      <c r="F1594" s="4" t="str">
        <f>IFERROR(__xludf.DUMMYFUNCTION("""COMPUTED_VALUE"""),"CONECTIVIDAD &gt; ROUTERS / MODEMS")</f>
        <v>CONECTIVIDAD &gt; ROUTERS / MODEMS</v>
      </c>
      <c r="G1594" s="5"/>
      <c r="H1594" s="6">
        <f>IFERROR(__xludf.DUMMYFUNCTION("""COMPUTED_VALUE"""),36.43)</f>
        <v>36.43</v>
      </c>
      <c r="I1594" s="7">
        <f>IFERROR(__xludf.DUMMYFUNCTION("""COMPUTED_VALUE"""),10.5)</f>
        <v>10.5</v>
      </c>
      <c r="J1594" s="6">
        <f>IFERROR(__xludf.DUMMYFUNCTION("""COMPUTED_VALUE"""),43.72)</f>
        <v>43.72</v>
      </c>
      <c r="K1594" s="6">
        <f>IFERROR(__xludf.DUMMYFUNCTION("""COMPUTED_VALUE"""),51.0)</f>
        <v>51</v>
      </c>
      <c r="L1594" s="3"/>
      <c r="M1594" s="3"/>
    </row>
    <row r="1595" ht="48.0" customHeight="1">
      <c r="A1595" s="3" t="str">
        <f>IFERROR(__xludf.DUMMYFUNCTION("""COMPUTED_VALUE"""),"TPLDECOE4-PACK2")</f>
        <v>TPLDECOE4-PACK2</v>
      </c>
      <c r="B1595" s="4" t="str">
        <f>IFERROR(__xludf.DUMMYFUNCTION("""COMPUTED_VALUE"""),"ROUTER MESH")</f>
        <v>ROUTER MESH</v>
      </c>
      <c r="C1595" s="4" t="str">
        <f>IFERROR(__xludf.DUMMYFUNCTION("""COMPUTED_VALUE"""),"Sistema Wi-Fi Mesh para toda la Casa AC1200 2×Puertos FE/Unidad Deco E4 (2 unidades)")</f>
        <v>Sistema Wi-Fi Mesh para toda la Casa AC1200 2×Puertos FE/Unidad Deco E4 (2 unidades)</v>
      </c>
      <c r="D1595" s="4" t="str">
        <f>IFERROR(__xludf.DUMMYFUNCTION("""COMPUTED_VALUE"""),"TP-LINK")</f>
        <v>TP-LINK</v>
      </c>
      <c r="E1595" s="4" t="str">
        <f>IFERROR(__xludf.DUMMYFUNCTION("""COMPUTED_VALUE"""),"TPLDECOE4-PACK2")</f>
        <v>TPLDECOE4-PACK2</v>
      </c>
      <c r="F1595" s="4" t="str">
        <f>IFERROR(__xludf.DUMMYFUNCTION("""COMPUTED_VALUE"""),"CONECTIVIDAD &gt; ROUTERS / MODEMS")</f>
        <v>CONECTIVIDAD &gt; ROUTERS / MODEMS</v>
      </c>
      <c r="G1595" s="5"/>
      <c r="H1595" s="6">
        <f>IFERROR(__xludf.DUMMYFUNCTION("""COMPUTED_VALUE"""),64.63)</f>
        <v>64.63</v>
      </c>
      <c r="I1595" s="7">
        <f>IFERROR(__xludf.DUMMYFUNCTION("""COMPUTED_VALUE"""),10.5)</f>
        <v>10.5</v>
      </c>
      <c r="J1595" s="6">
        <f>IFERROR(__xludf.DUMMYFUNCTION("""COMPUTED_VALUE"""),77.56)</f>
        <v>77.56</v>
      </c>
      <c r="K1595" s="6">
        <f>IFERROR(__xludf.DUMMYFUNCTION("""COMPUTED_VALUE"""),90.48)</f>
        <v>90.48</v>
      </c>
      <c r="L1595" s="3"/>
      <c r="M1595" s="3"/>
    </row>
    <row r="1596" ht="48.0" customHeight="1">
      <c r="A1596" s="3" t="str">
        <f>IFERROR(__xludf.DUMMYFUNCTION("""COMPUTED_VALUE"""),"TPLDECOE4-PACK3")</f>
        <v>TPLDECOE4-PACK3</v>
      </c>
      <c r="B1596" s="4" t="str">
        <f>IFERROR(__xludf.DUMMYFUNCTION("""COMPUTED_VALUE"""),"ROUTER MESH")</f>
        <v>ROUTER MESH</v>
      </c>
      <c r="C1596" s="4" t="str">
        <f>IFERROR(__xludf.DUMMYFUNCTION("""COMPUTED_VALUE"""),"Sistema Wi-Fi Mesh para toda la Casa AC1200 2×Puertos FE/Unidad Deco E4 (3 unidades)")</f>
        <v>Sistema Wi-Fi Mesh para toda la Casa AC1200 2×Puertos FE/Unidad Deco E4 (3 unidades)</v>
      </c>
      <c r="D1596" s="4" t="str">
        <f>IFERROR(__xludf.DUMMYFUNCTION("""COMPUTED_VALUE"""),"TP-LINK")</f>
        <v>TP-LINK</v>
      </c>
      <c r="E1596" s="4" t="str">
        <f>IFERROR(__xludf.DUMMYFUNCTION("""COMPUTED_VALUE"""),"TPLDECOE4-PACK3")</f>
        <v>TPLDECOE4-PACK3</v>
      </c>
      <c r="F1596" s="4" t="str">
        <f>IFERROR(__xludf.DUMMYFUNCTION("""COMPUTED_VALUE"""),"CONECTIVIDAD &gt; ROUTERS / MODEMS")</f>
        <v>CONECTIVIDAD &gt; ROUTERS / MODEMS</v>
      </c>
      <c r="G1596" s="5"/>
      <c r="H1596" s="6">
        <f>IFERROR(__xludf.DUMMYFUNCTION("""COMPUTED_VALUE"""),97.63)</f>
        <v>97.63</v>
      </c>
      <c r="I1596" s="7">
        <f>IFERROR(__xludf.DUMMYFUNCTION("""COMPUTED_VALUE"""),10.5)</f>
        <v>10.5</v>
      </c>
      <c r="J1596" s="6">
        <f>IFERROR(__xludf.DUMMYFUNCTION("""COMPUTED_VALUE"""),117.16)</f>
        <v>117.16</v>
      </c>
      <c r="K1596" s="6">
        <f>IFERROR(__xludf.DUMMYFUNCTION("""COMPUTED_VALUE"""),136.68)</f>
        <v>136.68</v>
      </c>
      <c r="L1596" s="3"/>
      <c r="M1596" s="3"/>
    </row>
    <row r="1597" ht="48.0" customHeight="1">
      <c r="A1597" s="3" t="str">
        <f>IFERROR(__xludf.DUMMYFUNCTION("""COMPUTED_VALUE"""),"TPLDECOM42")</f>
        <v>TPLDECOM42</v>
      </c>
      <c r="B1597" s="4" t="str">
        <f>IFERROR(__xludf.DUMMYFUNCTION("""COMPUTED_VALUE"""),"ROUTER MESH 867MBPS")</f>
        <v>ROUTER MESH 867MBPS</v>
      </c>
      <c r="C1597" s="4" t="str">
        <f>IFERROR(__xludf.DUMMYFUNCTION("""COMPUTED_VALUE"""),"Deco M4(2-pack) TP LINK WHOLE-HOME MESH Wi-Fi SYSTEM AC1200 ( 2PCS ) 867 Mbps + 300 Mbps 2× Gigabit Ports 2× Internal Antennas Connect up to 100 Devices")</f>
        <v>Deco M4(2-pack) TP LINK WHOLE-HOME MESH Wi-Fi SYSTEM AC1200 ( 2PCS ) 867 Mbps + 300 Mbps 2× Gigabit Ports 2× Internal Antennas Connect up to 100 Devices</v>
      </c>
      <c r="D1597" s="4" t="str">
        <f>IFERROR(__xludf.DUMMYFUNCTION("""COMPUTED_VALUE"""),"TP-LINK")</f>
        <v>TP-LINK</v>
      </c>
      <c r="E1597" s="4" t="str">
        <f>IFERROR(__xludf.DUMMYFUNCTION("""COMPUTED_VALUE"""),"TPLDECOM42")</f>
        <v>TPLDECOM42</v>
      </c>
      <c r="F1597" s="4" t="str">
        <f>IFERROR(__xludf.DUMMYFUNCTION("""COMPUTED_VALUE"""),"CONECTIVIDAD &gt; ROUTERS / MODEMS")</f>
        <v>CONECTIVIDAD &gt; ROUTERS / MODEMS</v>
      </c>
      <c r="G1597" s="5"/>
      <c r="H1597" s="6">
        <f>IFERROR(__xludf.DUMMYFUNCTION("""COMPUTED_VALUE"""),82.5)</f>
        <v>82.5</v>
      </c>
      <c r="I1597" s="7">
        <f>IFERROR(__xludf.DUMMYFUNCTION("""COMPUTED_VALUE"""),10.5)</f>
        <v>10.5</v>
      </c>
      <c r="J1597" s="6">
        <f>IFERROR(__xludf.DUMMYFUNCTION("""COMPUTED_VALUE"""),99.0)</f>
        <v>99</v>
      </c>
      <c r="K1597" s="6">
        <f>IFERROR(__xludf.DUMMYFUNCTION("""COMPUTED_VALUE"""),115.5)</f>
        <v>115.5</v>
      </c>
      <c r="L1597" s="3"/>
      <c r="M1597" s="3"/>
    </row>
    <row r="1598" ht="48.0" customHeight="1">
      <c r="A1598" s="3" t="str">
        <f>IFERROR(__xludf.DUMMYFUNCTION("""COMPUTED_VALUE"""),"TPLDECOM52")</f>
        <v>TPLDECOM52</v>
      </c>
      <c r="B1598" s="4" t="str">
        <f>IFERROR(__xludf.DUMMYFUNCTION("""COMPUTED_VALUE"""),"ROUTER MESH 867MBPS")</f>
        <v>ROUTER MESH 867MBPS</v>
      </c>
      <c r="C1598" s="4" t="str">
        <f>IFERROR(__xludf.DUMMYFUNCTION("""COMPUTED_VALUE"""),"Deco M5(2-PACK) TP LINK WHOLE-HOME MESH Wi-Fi SYSTEM AC1300 ( 2PCS ) 867 Mbps + 400 Mbps 2× Gigabit Ports 4× Internal Antennas Connect over 100 devices")</f>
        <v>Deco M5(2-PACK) TP LINK WHOLE-HOME MESH Wi-Fi SYSTEM AC1300 ( 2PCS ) 867 Mbps + 400 Mbps 2× Gigabit Ports 4× Internal Antennas Connect over 100 devices</v>
      </c>
      <c r="D1598" s="4" t="str">
        <f>IFERROR(__xludf.DUMMYFUNCTION("""COMPUTED_VALUE"""),"TP-LINK")</f>
        <v>TP-LINK</v>
      </c>
      <c r="E1598" s="4" t="str">
        <f>IFERROR(__xludf.DUMMYFUNCTION("""COMPUTED_VALUE"""),"TPLDECOM52")</f>
        <v>TPLDECOM52</v>
      </c>
      <c r="F1598" s="4" t="str">
        <f>IFERROR(__xludf.DUMMYFUNCTION("""COMPUTED_VALUE"""),"CONECTIVIDAD &gt; ROUTERS / MODEMS")</f>
        <v>CONECTIVIDAD &gt; ROUTERS / MODEMS</v>
      </c>
      <c r="G1598" s="5"/>
      <c r="H1598" s="6">
        <f>IFERROR(__xludf.DUMMYFUNCTION("""COMPUTED_VALUE"""),224.13)</f>
        <v>224.13</v>
      </c>
      <c r="I1598" s="7">
        <f>IFERROR(__xludf.DUMMYFUNCTION("""COMPUTED_VALUE"""),10.5)</f>
        <v>10.5</v>
      </c>
      <c r="J1598" s="6">
        <f>IFERROR(__xludf.DUMMYFUNCTION("""COMPUTED_VALUE"""),268.96)</f>
        <v>268.96</v>
      </c>
      <c r="K1598" s="6">
        <f>IFERROR(__xludf.DUMMYFUNCTION("""COMPUTED_VALUE"""),313.78)</f>
        <v>313.78</v>
      </c>
      <c r="L1598" s="3"/>
      <c r="M1598" s="3"/>
    </row>
    <row r="1599" ht="48.0" customHeight="1">
      <c r="A1599" s="3" t="str">
        <f>IFERROR(__xludf.DUMMYFUNCTION("""COMPUTED_VALUE"""),"TPLDECOX203")</f>
        <v>TPLDECOX203</v>
      </c>
      <c r="B1599" s="4" t="str">
        <f>IFERROR(__xludf.DUMMYFUNCTION("""COMPUTED_VALUE"""),"ROUTER WIFI MESH 1201MBPS")</f>
        <v>ROUTER WIFI MESH 1201MBPS</v>
      </c>
      <c r="C1599" s="4" t="str">
        <f>IFERROR(__xludf.DUMMYFUNCTION("""COMPUTED_VALUE"""),"Deco X20(3-PACK) TP LINK WHOLE-HOME MESH WIFI6 SYSTEM AX1800 (3PCS) 1201 Mbps + 574 Mbps 2× Gigabit Ports 2× Antennas Connects 150 Devices")</f>
        <v>Deco X20(3-PACK) TP LINK WHOLE-HOME MESH WIFI6 SYSTEM AX1800 (3PCS) 1201 Mbps + 574 Mbps 2× Gigabit Ports 2× Antennas Connects 150 Devices</v>
      </c>
      <c r="D1599" s="4" t="str">
        <f>IFERROR(__xludf.DUMMYFUNCTION("""COMPUTED_VALUE"""),"TP-LINK")</f>
        <v>TP-LINK</v>
      </c>
      <c r="E1599" s="4" t="str">
        <f>IFERROR(__xludf.DUMMYFUNCTION("""COMPUTED_VALUE"""),"TPLDECOX203")</f>
        <v>TPLDECOX203</v>
      </c>
      <c r="F1599" s="4" t="str">
        <f>IFERROR(__xludf.DUMMYFUNCTION("""COMPUTED_VALUE"""),"CONECTIVIDAD &gt; ROUTERS / MODEMS")</f>
        <v>CONECTIVIDAD &gt; ROUTERS / MODEMS</v>
      </c>
      <c r="G1599" s="5"/>
      <c r="H1599" s="6">
        <f>IFERROR(__xludf.DUMMYFUNCTION("""COMPUTED_VALUE"""),180.13)</f>
        <v>180.13</v>
      </c>
      <c r="I1599" s="7">
        <f>IFERROR(__xludf.DUMMYFUNCTION("""COMPUTED_VALUE"""),10.5)</f>
        <v>10.5</v>
      </c>
      <c r="J1599" s="6">
        <f>IFERROR(__xludf.DUMMYFUNCTION("""COMPUTED_VALUE"""),216.16)</f>
        <v>216.16</v>
      </c>
      <c r="K1599" s="6">
        <f>IFERROR(__xludf.DUMMYFUNCTION("""COMPUTED_VALUE"""),252.18)</f>
        <v>252.18</v>
      </c>
      <c r="L1599" s="3"/>
      <c r="M1599" s="3"/>
    </row>
    <row r="1600" ht="48.0" customHeight="1">
      <c r="A1600" s="3" t="str">
        <f>IFERROR(__xludf.DUMMYFUNCTION("""COMPUTED_VALUE"""),"ALWL5470POE")</f>
        <v>ALWL5470POE</v>
      </c>
      <c r="B1600" s="4" t="str">
        <f>IFERROR(__xludf.DUMMYFUNCTION("""COMPUTED_VALUE"""),"ACCESS POINT POE 802")</f>
        <v>ACCESS POINT POE 802</v>
      </c>
      <c r="C1600" s="4" t="str">
        <f>IFERROR(__xludf.DUMMYFUNCTION("""COMPUTED_VALUE"""),"Access Point POE 802.11af, 2 Lan 8 Modos Multi Funcion 802.11G, 26dbm de Potencia (Opera como Gateway)")</f>
        <v>Access Point POE 802.11af, 2 Lan 8 Modos Multi Funcion 802.11G, 26dbm de Potencia (Opera como Gateway)</v>
      </c>
      <c r="D1600" s="4" t="str">
        <f>IFERROR(__xludf.DUMMYFUNCTION("""COMPUTED_VALUE"""),"AIRLIVE")</f>
        <v>AIRLIVE</v>
      </c>
      <c r="E1600" s="4" t="str">
        <f>IFERROR(__xludf.DUMMYFUNCTION("""COMPUTED_VALUE"""),"ALWL5470POE")</f>
        <v>ALWL5470POE</v>
      </c>
      <c r="F1600" s="4" t="str">
        <f>IFERROR(__xludf.DUMMYFUNCTION("""COMPUTED_VALUE"""),"CONECTIVIDAD &gt; ENLACES INALAMBRICOS AP INTERIOR")</f>
        <v>CONECTIVIDAD &gt; ENLACES INALAMBRICOS AP INTERIOR</v>
      </c>
      <c r="G1600" s="5"/>
      <c r="H1600" s="6">
        <f>IFERROR(__xludf.DUMMYFUNCTION("""COMPUTED_VALUE"""),11.0)</f>
        <v>11</v>
      </c>
      <c r="I1600" s="7">
        <f>IFERROR(__xludf.DUMMYFUNCTION("""COMPUTED_VALUE"""),10.5)</f>
        <v>10.5</v>
      </c>
      <c r="J1600" s="6">
        <f>IFERROR(__xludf.DUMMYFUNCTION("""COMPUTED_VALUE"""),13.2)</f>
        <v>13.2</v>
      </c>
      <c r="K1600" s="6">
        <f>IFERROR(__xludf.DUMMYFUNCTION("""COMPUTED_VALUE"""),15.4)</f>
        <v>15.4</v>
      </c>
      <c r="L1600" s="3"/>
      <c r="M1600" s="3"/>
    </row>
    <row r="1601" ht="48.0" customHeight="1">
      <c r="A1601" s="3" t="str">
        <f>IFERROR(__xludf.DUMMYFUNCTION("""COMPUTED_VALUE"""),"ALWN250USB")</f>
        <v>ALWN250USB</v>
      </c>
      <c r="B1601" s="4" t="str">
        <f>IFERROR(__xludf.DUMMYFUNCTION("""COMPUTED_VALUE"""),"MINI DONGLE USB N 802")</f>
        <v>MINI DONGLE USB N 802</v>
      </c>
      <c r="C1601" s="4" t="str">
        <f>IFERROR(__xludf.DUMMYFUNCTION("""COMPUTED_VALUE"""),"Mini Dongle USB N 802.11b/g/simpleN, 150Mbps. Permite Transformar Dispositivos USB en WiFI")</f>
        <v>Mini Dongle USB N 802.11b/g/simpleN, 150Mbps. Permite Transformar Dispositivos USB en WiFI</v>
      </c>
      <c r="D1601" s="4" t="str">
        <f>IFERROR(__xludf.DUMMYFUNCTION("""COMPUTED_VALUE"""),"AIRLIVE")</f>
        <v>AIRLIVE</v>
      </c>
      <c r="E1601" s="4" t="str">
        <f>IFERROR(__xludf.DUMMYFUNCTION("""COMPUTED_VALUE"""),"ALWN250USB")</f>
        <v>ALWN250USB</v>
      </c>
      <c r="F1601" s="4" t="str">
        <f>IFERROR(__xludf.DUMMYFUNCTION("""COMPUTED_VALUE"""),"CONECTIVIDAD &gt; ENLACES INALAMBRICOS AP INTERIOR")</f>
        <v>CONECTIVIDAD &gt; ENLACES INALAMBRICOS AP INTERIOR</v>
      </c>
      <c r="G1601" s="5"/>
      <c r="H1601" s="6">
        <f>IFERROR(__xludf.DUMMYFUNCTION("""COMPUTED_VALUE"""),11.0)</f>
        <v>11</v>
      </c>
      <c r="I1601" s="7">
        <f>IFERROR(__xludf.DUMMYFUNCTION("""COMPUTED_VALUE"""),10.5)</f>
        <v>10.5</v>
      </c>
      <c r="J1601" s="6">
        <f>IFERROR(__xludf.DUMMYFUNCTION("""COMPUTED_VALUE"""),13.2)</f>
        <v>13.2</v>
      </c>
      <c r="K1601" s="6">
        <f>IFERROR(__xludf.DUMMYFUNCTION("""COMPUTED_VALUE"""),15.4)</f>
        <v>15.4</v>
      </c>
      <c r="L1601" s="3"/>
      <c r="M1601" s="3"/>
    </row>
    <row r="1602" ht="48.0" customHeight="1">
      <c r="A1602" s="3" t="str">
        <f>IFERROR(__xludf.DUMMYFUNCTION("""COMPUTED_VALUE"""),"ALWL1700USB")</f>
        <v>ALWL1700USB</v>
      </c>
      <c r="B1602" s="4" t="str">
        <f>IFERROR(__xludf.DUMMYFUNCTION("""COMPUTED_VALUE"""),"ADAPTADOR USB HIGH POWER 802")</f>
        <v>ADAPTADOR USB HIGH POWER 802</v>
      </c>
      <c r="C1602" s="4" t="str">
        <f>IFERROR(__xludf.DUMMYFUNCTION("""COMPUTED_VALUE"""),"Adaptador USB High Power 802.11g, 54Mbps, Antena de 5dbi, 27dbm de Potencia (1Watt)")</f>
        <v>Adaptador USB High Power 802.11g, 54Mbps, Antena de 5dbi, 27dbm de Potencia (1Watt)</v>
      </c>
      <c r="D1602" s="4" t="str">
        <f>IFERROR(__xludf.DUMMYFUNCTION("""COMPUTED_VALUE"""),"AIRLIVE")</f>
        <v>AIRLIVE</v>
      </c>
      <c r="E1602" s="4" t="str">
        <f>IFERROR(__xludf.DUMMYFUNCTION("""COMPUTED_VALUE"""),"ALWL1700USB")</f>
        <v>ALWL1700USB</v>
      </c>
      <c r="F1602" s="4" t="str">
        <f>IFERROR(__xludf.DUMMYFUNCTION("""COMPUTED_VALUE"""),"CONECTIVIDAD &gt; ENLACES INALAMBRICOS AP INTERIOR")</f>
        <v>CONECTIVIDAD &gt; ENLACES INALAMBRICOS AP INTERIOR</v>
      </c>
      <c r="G1602" s="5"/>
      <c r="H1602" s="6">
        <f>IFERROR(__xludf.DUMMYFUNCTION("""COMPUTED_VALUE"""),16.5)</f>
        <v>16.5</v>
      </c>
      <c r="I1602" s="7">
        <f>IFERROR(__xludf.DUMMYFUNCTION("""COMPUTED_VALUE"""),10.5)</f>
        <v>10.5</v>
      </c>
      <c r="J1602" s="6">
        <f>IFERROR(__xludf.DUMMYFUNCTION("""COMPUTED_VALUE"""),19.8)</f>
        <v>19.8</v>
      </c>
      <c r="K1602" s="6">
        <f>IFERROR(__xludf.DUMMYFUNCTION("""COMPUTED_VALUE"""),23.1)</f>
        <v>23.1</v>
      </c>
      <c r="L1602" s="3"/>
      <c r="M1602" s="3"/>
    </row>
    <row r="1603" ht="48.0" customHeight="1">
      <c r="A1603" s="3" t="str">
        <f>IFERROR(__xludf.DUMMYFUNCTION("""COMPUTED_VALUE"""),"UBUCK-G2")</f>
        <v>UBUCK-G2</v>
      </c>
      <c r="B1603" s="4" t="str">
        <f>IFERROR(__xludf.DUMMYFUNCTION("""COMPUTED_VALUE"""),"SWITCH UBIQUITI UNIFI CONTROLLER CLOUD KEY GEN2 UCK-G2")</f>
        <v>SWITCH UBIQUITI UNIFI CONTROLLER CLOUD KEY GEN2 UCK-G2</v>
      </c>
      <c r="C1603" s="4" t="str">
        <f>IFERROR(__xludf.DUMMYFUNCTION("""COMPUTED_VALUE"""),"Switch Ubiquiti Unifi Controller Cloud Key Gen2 Uck-g2")</f>
        <v>Switch Ubiquiti Unifi Controller Cloud Key Gen2 Uck-g2</v>
      </c>
      <c r="D1603" s="4" t="str">
        <f>IFERROR(__xludf.DUMMYFUNCTION("""COMPUTED_VALUE"""),"UBIQUITI")</f>
        <v>UBIQUITI</v>
      </c>
      <c r="E1603" s="4" t="str">
        <f>IFERROR(__xludf.DUMMYFUNCTION("""COMPUTED_VALUE"""),"UBUCK-G2")</f>
        <v>UBUCK-G2</v>
      </c>
      <c r="F1603" s="4" t="str">
        <f>IFERROR(__xludf.DUMMYFUNCTION("""COMPUTED_VALUE"""),"CONECTIVIDAD &gt; SWITCH")</f>
        <v>CONECTIVIDAD &gt; SWITCH</v>
      </c>
      <c r="G1603" s="5"/>
      <c r="H1603" s="6">
        <f>IFERROR(__xludf.DUMMYFUNCTION("""COMPUTED_VALUE"""),347.88)</f>
        <v>347.88</v>
      </c>
      <c r="I1603" s="7">
        <f>IFERROR(__xludf.DUMMYFUNCTION("""COMPUTED_VALUE"""),10.5)</f>
        <v>10.5</v>
      </c>
      <c r="J1603" s="6">
        <f>IFERROR(__xludf.DUMMYFUNCTION("""COMPUTED_VALUE"""),417.46)</f>
        <v>417.46</v>
      </c>
      <c r="K1603" s="6">
        <f>IFERROR(__xludf.DUMMYFUNCTION("""COMPUTED_VALUE"""),487.03)</f>
        <v>487.03</v>
      </c>
      <c r="L1603" s="3"/>
      <c r="M1603" s="3"/>
    </row>
    <row r="1604" ht="48.0" customHeight="1">
      <c r="A1604" s="3" t="str">
        <f>IFERROR(__xludf.DUMMYFUNCTION("""COMPUTED_VALUE"""),"ALPOE1P")</f>
        <v>ALPOE1P</v>
      </c>
      <c r="B1604" s="4" t="str">
        <f>IFERROR(__xludf.DUMMYFUNCTION("""COMPUTED_VALUE"""),"INYECTOR PASIVO POE PARA TODO TIPO DE EQUIPOS (SOPORTA HASTA 57 VCC)")</f>
        <v>INYECTOR PASIVO POE PARA TODO TIPO DE EQUIPOS (SOPORTA HASTA 57 VCC)</v>
      </c>
      <c r="C1604" s="4" t="str">
        <f>IFERROR(__xludf.DUMMYFUNCTION("""COMPUTED_VALUE"""),"Inyector Pasivo POE para todo tipo de equipos (Soporta hasta 57 VCC)")</f>
        <v>Inyector Pasivo POE para todo tipo de equipos (Soporta hasta 57 VCC)</v>
      </c>
      <c r="D1604" s="4" t="str">
        <f>IFERROR(__xludf.DUMMYFUNCTION("""COMPUTED_VALUE"""),"AIRLIVE")</f>
        <v>AIRLIVE</v>
      </c>
      <c r="E1604" s="4" t="str">
        <f>IFERROR(__xludf.DUMMYFUNCTION("""COMPUTED_VALUE"""),"ALPOE1P")</f>
        <v>ALPOE1P</v>
      </c>
      <c r="F1604" s="4" t="str">
        <f>IFERROR(__xludf.DUMMYFUNCTION("""COMPUTED_VALUE"""),"CONECTIVIDAD &gt; ACCESORIO PASIVO DE POE")</f>
        <v>CONECTIVIDAD &gt; ACCESORIO PASIVO DE POE</v>
      </c>
      <c r="G1604" s="5"/>
      <c r="H1604" s="6">
        <f>IFERROR(__xludf.DUMMYFUNCTION("""COMPUTED_VALUE"""),13.2)</f>
        <v>13.2</v>
      </c>
      <c r="I1604" s="7">
        <f>IFERROR(__xludf.DUMMYFUNCTION("""COMPUTED_VALUE"""),21.0)</f>
        <v>21</v>
      </c>
      <c r="J1604" s="6">
        <f>IFERROR(__xludf.DUMMYFUNCTION("""COMPUTED_VALUE"""),15.84)</f>
        <v>15.84</v>
      </c>
      <c r="K1604" s="6">
        <f>IFERROR(__xludf.DUMMYFUNCTION("""COMPUTED_VALUE"""),18.48)</f>
        <v>18.48</v>
      </c>
      <c r="L1604" s="3"/>
      <c r="M1604" s="3"/>
    </row>
    <row r="1605" ht="48.0" customHeight="1">
      <c r="A1605" s="3" t="str">
        <f>IFERROR(__xludf.DUMMYFUNCTION("""COMPUTED_VALUE"""),"OWPOE2P")</f>
        <v>OWPOE2P</v>
      </c>
      <c r="B1605" s="4" t="str">
        <f>IFERROR(__xludf.DUMMYFUNCTION("""COMPUTED_VALUE"""),"INYECTOR/DIVISOR PASIVO POE PARA TODO TIPO DE EQUIPOS")</f>
        <v>INYECTOR/DIVISOR PASIVO POE PARA TODO TIPO DE EQUIPOS</v>
      </c>
      <c r="C1605" s="4" t="str">
        <f>IFERROR(__xludf.DUMMYFUNCTION("""COMPUTED_VALUE"""),"Inyector/Divisor Pasivo POE para todo tipo de equipos")</f>
        <v>Inyector/Divisor Pasivo POE para todo tipo de equipos</v>
      </c>
      <c r="D1605" s="4" t="str">
        <f>IFERROR(__xludf.DUMMYFUNCTION("""COMPUTED_VALUE"""),"GENERICO")</f>
        <v>GENERICO</v>
      </c>
      <c r="E1605" s="4" t="str">
        <f>IFERROR(__xludf.DUMMYFUNCTION("""COMPUTED_VALUE"""),"OWPOE2P")</f>
        <v>OWPOE2P</v>
      </c>
      <c r="F1605" s="4" t="str">
        <f>IFERROR(__xludf.DUMMYFUNCTION("""COMPUTED_VALUE"""),"CONECTIVIDAD &gt; ACCESORIO PASIVO DE POE")</f>
        <v>CONECTIVIDAD &gt; ACCESORIO PASIVO DE POE</v>
      </c>
      <c r="G1605" s="5"/>
      <c r="H1605" s="6">
        <f>IFERROR(__xludf.DUMMYFUNCTION("""COMPUTED_VALUE"""),3.4)</f>
        <v>3.4</v>
      </c>
      <c r="I1605" s="7">
        <f>IFERROR(__xludf.DUMMYFUNCTION("""COMPUTED_VALUE"""),21.0)</f>
        <v>21</v>
      </c>
      <c r="J1605" s="6">
        <f>IFERROR(__xludf.DUMMYFUNCTION("""COMPUTED_VALUE"""),4.08)</f>
        <v>4.08</v>
      </c>
      <c r="K1605" s="6">
        <f>IFERROR(__xludf.DUMMYFUNCTION("""COMPUTED_VALUE"""),4.76)</f>
        <v>4.76</v>
      </c>
      <c r="L1605" s="3"/>
      <c r="M1605" s="3"/>
    </row>
    <row r="1606" ht="48.0" customHeight="1">
      <c r="A1606" s="3" t="str">
        <f>IFERROR(__xludf.DUMMYFUNCTION("""COMPUTED_VALUE"""),"SWPOE481")</f>
        <v>SWPOE481</v>
      </c>
      <c r="B1606" s="4" t="str">
        <f>IFERROR(__xludf.DUMMYFUNCTION("""COMPUTED_VALUE"""),"FUENTE SWITCHING 48 VOLT 1 A CON INYECTOR")</f>
        <v>FUENTE SWITCHING 48 VOLT 1 A CON INYECTOR</v>
      </c>
      <c r="C1606" s="4" t="str">
        <f>IFERROR(__xludf.DUMMYFUNCTION("""COMPUTED_VALUE"""),"Fuente switching 48 Volt 1 A con Inyector")</f>
        <v>Fuente switching 48 Volt 1 A con Inyector</v>
      </c>
      <c r="D1606" s="4" t="str">
        <f>IFERROR(__xludf.DUMMYFUNCTION("""COMPUTED_VALUE"""),"GENERICO")</f>
        <v>GENERICO</v>
      </c>
      <c r="E1606" s="4" t="str">
        <f>IFERROR(__xludf.DUMMYFUNCTION("""COMPUTED_VALUE"""),"SWPOE481")</f>
        <v>SWPOE481</v>
      </c>
      <c r="F1606" s="4" t="str">
        <f>IFERROR(__xludf.DUMMYFUNCTION("""COMPUTED_VALUE"""),"CONECTIVIDAD &gt; SWITCH")</f>
        <v>CONECTIVIDAD &gt; SWITCH</v>
      </c>
      <c r="G1606" s="5"/>
      <c r="H1606" s="6">
        <f>IFERROR(__xludf.DUMMYFUNCTION("""COMPUTED_VALUE"""),21.66)</f>
        <v>21.66</v>
      </c>
      <c r="I1606" s="7">
        <f>IFERROR(__xludf.DUMMYFUNCTION("""COMPUTED_VALUE"""),21.0)</f>
        <v>21</v>
      </c>
      <c r="J1606" s="6">
        <f>IFERROR(__xludf.DUMMYFUNCTION("""COMPUTED_VALUE"""),25.99)</f>
        <v>25.99</v>
      </c>
      <c r="K1606" s="6">
        <f>IFERROR(__xludf.DUMMYFUNCTION("""COMPUTED_VALUE"""),30.32)</f>
        <v>30.32</v>
      </c>
      <c r="L1606" s="3"/>
      <c r="M1606" s="3"/>
    </row>
    <row r="1607" ht="48.0" customHeight="1">
      <c r="A1607" s="3" t="str">
        <f>IFERROR(__xludf.DUMMYFUNCTION("""COMPUTED_VALUE"""),"ALSP100E")</f>
        <v>ALSP100E</v>
      </c>
      <c r="B1607" s="4" t="str">
        <f>IFERROR(__xludf.DUMMYFUNCTION("""COMPUTED_VALUE"""),"PROTECTOR DE DESCARGA ELECTRICA SOBRE LA CONEXIÓN DE INTERNET")</f>
        <v>PROTECTOR DE DESCARGA ELECTRICA SOBRE LA CONEXIÓN DE INTERNET</v>
      </c>
      <c r="C1607" s="4" t="str">
        <f>IFERROR(__xludf.DUMMYFUNCTION("""COMPUTED_VALUE"""),"Protector de descarga electrica sobre la conexión de internet")</f>
        <v>Protector de descarga electrica sobre la conexión de internet</v>
      </c>
      <c r="D1607" s="4" t="str">
        <f>IFERROR(__xludf.DUMMYFUNCTION("""COMPUTED_VALUE"""),"AIRLIVE")</f>
        <v>AIRLIVE</v>
      </c>
      <c r="E1607" s="4" t="str">
        <f>IFERROR(__xludf.DUMMYFUNCTION("""COMPUTED_VALUE"""),"ALSP100E")</f>
        <v>ALSP100E</v>
      </c>
      <c r="F1607" s="4" t="str">
        <f>IFERROR(__xludf.DUMMYFUNCTION("""COMPUTED_VALUE"""),"CONECTIVIDAD &gt; ACCESORIO PASIVO DE POE")</f>
        <v>CONECTIVIDAD &gt; ACCESORIO PASIVO DE POE</v>
      </c>
      <c r="G1607" s="5"/>
      <c r="H1607" s="6">
        <f>IFERROR(__xludf.DUMMYFUNCTION("""COMPUTED_VALUE"""),29.7)</f>
        <v>29.7</v>
      </c>
      <c r="I1607" s="7">
        <f>IFERROR(__xludf.DUMMYFUNCTION("""COMPUTED_VALUE"""),21.0)</f>
        <v>21</v>
      </c>
      <c r="J1607" s="6">
        <f>IFERROR(__xludf.DUMMYFUNCTION("""COMPUTED_VALUE"""),35.64)</f>
        <v>35.64</v>
      </c>
      <c r="K1607" s="6">
        <f>IFERROR(__xludf.DUMMYFUNCTION("""COMPUTED_VALUE"""),41.58)</f>
        <v>41.58</v>
      </c>
      <c r="L1607" s="3"/>
      <c r="M1607" s="3"/>
    </row>
    <row r="1608" ht="48.0" customHeight="1">
      <c r="A1608" s="3" t="str">
        <f>IFERROR(__xludf.DUMMYFUNCTION("""COMPUTED_VALUE"""),"HCPFT1300")</f>
        <v>HCPFT1300</v>
      </c>
      <c r="B1608" s="4" t="str">
        <f>IFERROR(__xludf.DUMMYFUNCTION("""COMPUTED_VALUE"""),"EXTENSOR DE POE EEE 802")</f>
        <v>EXTENSOR DE POE EEE 802</v>
      </c>
      <c r="C1608" s="4" t="str">
        <f>IFERROR(__xludf.DUMMYFUNCTION("""COMPUTED_VALUE"""),"Extensor de PoE EEE 802.3af/at. Compatible con el inyector de Hi-PoE PFT1200· Permite cascadas PoE de nivel 2· Se puede conectar a 3 cámaras IP (consumo ≤ 8W)· Distancia máxima de transmisión: 300 m· 1 entrada PoE RJ45 10/100M; 1 entrada RJ45 10/100M para"&amp;" 1 cámara IP;1 entrada RJ45 10/100M para el siguiente extensor· montaje riel DIN")</f>
        <v>Extensor de PoE EEE 802.3af/at. Compatible con el inyector de Hi-PoE PFT1200· Permite cascadas PoE de nivel 2· Se puede conectar a 3 cámaras IP (consumo ≤ 8W)· Distancia máxima de transmisión: 300 m· 1 entrada PoE RJ45 10/100M; 1 entrada RJ45 10/100M para 1 cámara IP;1 entrada RJ45 10/100M para el siguiente extensor· montaje riel DIN</v>
      </c>
      <c r="D1608" s="4" t="str">
        <f>IFERROR(__xludf.DUMMYFUNCTION("""COMPUTED_VALUE"""),"DAHUA")</f>
        <v>DAHUA</v>
      </c>
      <c r="E1608" s="4" t="str">
        <f>IFERROR(__xludf.DUMMYFUNCTION("""COMPUTED_VALUE"""),"HCPFT1300")</f>
        <v>HCPFT1300</v>
      </c>
      <c r="F1608" s="4" t="str">
        <f>IFERROR(__xludf.DUMMYFUNCTION("""COMPUTED_VALUE"""),"CONECTIVIDAD &gt; ACCESORIO PASIVO DE POE")</f>
        <v>CONECTIVIDAD &gt; ACCESORIO PASIVO DE POE</v>
      </c>
      <c r="G1608" s="5"/>
      <c r="H1608" s="6">
        <f>IFERROR(__xludf.DUMMYFUNCTION("""COMPUTED_VALUE"""),33.0)</f>
        <v>33</v>
      </c>
      <c r="I1608" s="7">
        <f>IFERROR(__xludf.DUMMYFUNCTION("""COMPUTED_VALUE"""),21.0)</f>
        <v>21</v>
      </c>
      <c r="J1608" s="6">
        <f>IFERROR(__xludf.DUMMYFUNCTION("""COMPUTED_VALUE"""),39.6)</f>
        <v>39.6</v>
      </c>
      <c r="K1608" s="6">
        <f>IFERROR(__xludf.DUMMYFUNCTION("""COMPUTED_VALUE"""),46.2)</f>
        <v>46.2</v>
      </c>
      <c r="L1608" s="3"/>
      <c r="M1608" s="3"/>
    </row>
    <row r="1609" ht="48.0" customHeight="1">
      <c r="A1609" s="3" t="str">
        <f>IFERROR(__xludf.DUMMYFUNCTION("""COMPUTED_VALUE"""),"HCPFT1200")</f>
        <v>HCPFT1200</v>
      </c>
      <c r="B1609" s="4" t="str">
        <f>IFERROR(__xludf.DUMMYFUNCTION("""COMPUTED_VALUE"""),"INYECTOR POE DISEÑADO PARA ALIMENTAR LOS DISPOSITIVOS QUE UTILIZAN")</f>
        <v>INYECTOR POE DISEÑADO PARA ALIMENTAR LOS DISPOSITIVOS QUE UTILIZAN</v>
      </c>
      <c r="C1609" s="4" t="str">
        <f>IFERROR(__xludf.DUMMYFUNCTION("""COMPUTED_VALUE"""),"Inyector POE diseñado para alimentar los dispositivos que utilizan la tecnología IEEE802.3AF, IEEE802.3AT y High PoE.")</f>
        <v>Inyector POE diseñado para alimentar los dispositivos que utilizan la tecnología IEEE802.3AF, IEEE802.3AT y High PoE.</v>
      </c>
      <c r="D1609" s="4" t="str">
        <f>IFERROR(__xludf.DUMMYFUNCTION("""COMPUTED_VALUE"""),"DAHUA")</f>
        <v>DAHUA</v>
      </c>
      <c r="E1609" s="4" t="str">
        <f>IFERROR(__xludf.DUMMYFUNCTION("""COMPUTED_VALUE"""),"HCPFT1200")</f>
        <v>HCPFT1200</v>
      </c>
      <c r="F1609" s="4" t="str">
        <f>IFERROR(__xludf.DUMMYFUNCTION("""COMPUTED_VALUE"""),"CONECTIVIDAD &gt; ACCESORIO PASIVO DE POE")</f>
        <v>CONECTIVIDAD &gt; ACCESORIO PASIVO DE POE</v>
      </c>
      <c r="G1609" s="5"/>
      <c r="H1609" s="6">
        <f>IFERROR(__xludf.DUMMYFUNCTION("""COMPUTED_VALUE"""),54.78)</f>
        <v>54.78</v>
      </c>
      <c r="I1609" s="7">
        <f>IFERROR(__xludf.DUMMYFUNCTION("""COMPUTED_VALUE"""),21.0)</f>
        <v>21</v>
      </c>
      <c r="J1609" s="6">
        <f>IFERROR(__xludf.DUMMYFUNCTION("""COMPUTED_VALUE"""),65.74)</f>
        <v>65.74</v>
      </c>
      <c r="K1609" s="6">
        <f>IFERROR(__xludf.DUMMYFUNCTION("""COMPUTED_VALUE"""),76.69)</f>
        <v>76.69</v>
      </c>
      <c r="L1609" s="3"/>
      <c r="M1609" s="3"/>
    </row>
    <row r="1610" ht="48.0" customHeight="1">
      <c r="A1610" s="3" t="str">
        <f>IFERROR(__xludf.DUMMYFUNCTION("""COMPUTED_VALUE"""),"OWN568")</f>
        <v>OWN568</v>
      </c>
      <c r="B1610" s="4" t="str">
        <f>IFERROR(__xludf.DUMMYFUNCTION("""COMPUTED_VALUE"""),"CRIMPING TOOL")</f>
        <v>CRIMPING TOOL</v>
      </c>
      <c r="C1610" s="4" t="str">
        <f>IFERROR(__xludf.DUMMYFUNCTION("""COMPUTED_VALUE"""),"Crimping Tool")</f>
        <v>Crimping Tool</v>
      </c>
      <c r="D1610" s="4" t="str">
        <f>IFERROR(__xludf.DUMMYFUNCTION("""COMPUTED_VALUE"""),"OWL")</f>
        <v>OWL</v>
      </c>
      <c r="E1610" s="4" t="str">
        <f>IFERROR(__xludf.DUMMYFUNCTION("""COMPUTED_VALUE"""),"OWN568")</f>
        <v>OWN568</v>
      </c>
      <c r="F1610" s="4" t="str">
        <f>IFERROR(__xludf.DUMMYFUNCTION("""COMPUTED_VALUE"""),"CONECTIVIDAD &gt; CABLEADO ESTRUCTURADO")</f>
        <v>CONECTIVIDAD &gt; CABLEADO ESTRUCTURADO</v>
      </c>
      <c r="G1610" s="5"/>
      <c r="H1610" s="6">
        <f>IFERROR(__xludf.DUMMYFUNCTION("""COMPUTED_VALUE"""),15.84)</f>
        <v>15.84</v>
      </c>
      <c r="I1610" s="7">
        <f>IFERROR(__xludf.DUMMYFUNCTION("""COMPUTED_VALUE"""),21.0)</f>
        <v>21</v>
      </c>
      <c r="J1610" s="6">
        <f>IFERROR(__xludf.DUMMYFUNCTION("""COMPUTED_VALUE"""),19.01)</f>
        <v>19.01</v>
      </c>
      <c r="K1610" s="6">
        <f>IFERROR(__xludf.DUMMYFUNCTION("""COMPUTED_VALUE"""),22.18)</f>
        <v>22.18</v>
      </c>
      <c r="L1610" s="3"/>
      <c r="M1610" s="3"/>
    </row>
    <row r="1611" ht="48.0" customHeight="1">
      <c r="A1611" s="3" t="str">
        <f>IFERROR(__xludf.DUMMYFUNCTION("""COMPUTED_VALUE"""),"OWT200")</f>
        <v>OWT200</v>
      </c>
      <c r="B1611" s="4" t="str">
        <f>IFERROR(__xludf.DUMMYFUNCTION("""COMPUTED_VALUE"""),"STRIPPER KNIFE")</f>
        <v>STRIPPER KNIFE</v>
      </c>
      <c r="C1611" s="4" t="str">
        <f>IFERROR(__xludf.DUMMYFUNCTION("""COMPUTED_VALUE"""),"Stripper Knife")</f>
        <v>Stripper Knife</v>
      </c>
      <c r="D1611" s="4" t="str">
        <f>IFERROR(__xludf.DUMMYFUNCTION("""COMPUTED_VALUE"""),"OWL")</f>
        <v>OWL</v>
      </c>
      <c r="E1611" s="4" t="str">
        <f>IFERROR(__xludf.DUMMYFUNCTION("""COMPUTED_VALUE"""),"OWT200")</f>
        <v>OWT200</v>
      </c>
      <c r="F1611" s="4" t="str">
        <f>IFERROR(__xludf.DUMMYFUNCTION("""COMPUTED_VALUE"""),"CONECTIVIDAD &gt; CABLEADO ESTRUCTURADO")</f>
        <v>CONECTIVIDAD &gt; CABLEADO ESTRUCTURADO</v>
      </c>
      <c r="G1611" s="5"/>
      <c r="H1611" s="6">
        <f>IFERROR(__xludf.DUMMYFUNCTION("""COMPUTED_VALUE"""),1.16)</f>
        <v>1.16</v>
      </c>
      <c r="I1611" s="7">
        <f>IFERROR(__xludf.DUMMYFUNCTION("""COMPUTED_VALUE"""),21.0)</f>
        <v>21</v>
      </c>
      <c r="J1611" s="6">
        <f>IFERROR(__xludf.DUMMYFUNCTION("""COMPUTED_VALUE"""),1.39)</f>
        <v>1.39</v>
      </c>
      <c r="K1611" s="6">
        <f>IFERROR(__xludf.DUMMYFUNCTION("""COMPUTED_VALUE"""),1.62)</f>
        <v>1.62</v>
      </c>
      <c r="L1611" s="3"/>
      <c r="M1611" s="3"/>
    </row>
    <row r="1612" ht="48.0" customHeight="1">
      <c r="A1612" s="3" t="str">
        <f>IFERROR(__xludf.DUMMYFUNCTION("""COMPUTED_VALUE"""),"OWT320")</f>
        <v>OWT320</v>
      </c>
      <c r="B1612" s="4" t="str">
        <f>IFERROR(__xludf.DUMMYFUNCTION("""COMPUTED_VALUE"""),"WIRE STRIPPER")</f>
        <v>WIRE STRIPPER</v>
      </c>
      <c r="C1612" s="4" t="str">
        <f>IFERROR(__xludf.DUMMYFUNCTION("""COMPUTED_VALUE"""),"Wire stripper")</f>
        <v>Wire stripper</v>
      </c>
      <c r="D1612" s="4" t="str">
        <f>IFERROR(__xludf.DUMMYFUNCTION("""COMPUTED_VALUE"""),"OWL")</f>
        <v>OWL</v>
      </c>
      <c r="E1612" s="4" t="str">
        <f>IFERROR(__xludf.DUMMYFUNCTION("""COMPUTED_VALUE"""),"OWT320")</f>
        <v>OWT320</v>
      </c>
      <c r="F1612" s="4" t="str">
        <f>IFERROR(__xludf.DUMMYFUNCTION("""COMPUTED_VALUE"""),"CONECTIVIDAD &gt; CABLEADO ESTRUCTURADO")</f>
        <v>CONECTIVIDAD &gt; CABLEADO ESTRUCTURADO</v>
      </c>
      <c r="G1612" s="5"/>
      <c r="H1612" s="6">
        <f>IFERROR(__xludf.DUMMYFUNCTION("""COMPUTED_VALUE"""),7.92)</f>
        <v>7.92</v>
      </c>
      <c r="I1612" s="7">
        <f>IFERROR(__xludf.DUMMYFUNCTION("""COMPUTED_VALUE"""),21.0)</f>
        <v>21</v>
      </c>
      <c r="J1612" s="6">
        <f>IFERROR(__xludf.DUMMYFUNCTION("""COMPUTED_VALUE"""),9.5)</f>
        <v>9.5</v>
      </c>
      <c r="K1612" s="6">
        <f>IFERROR(__xludf.DUMMYFUNCTION("""COMPUTED_VALUE"""),11.09)</f>
        <v>11.09</v>
      </c>
      <c r="L1612" s="3"/>
      <c r="M1612" s="3"/>
    </row>
    <row r="1613" ht="48.0" customHeight="1">
      <c r="A1613" s="3" t="str">
        <f>IFERROR(__xludf.DUMMYFUNCTION("""COMPUTED_VALUE"""),"OWC102")</f>
        <v>OWC102</v>
      </c>
      <c r="B1613" s="4" t="str">
        <f>IFERROR(__xludf.DUMMYFUNCTION("""COMPUTED_VALUE"""),"MULTI FUNCTION NETWORK/TELEPHONE CABLE TESTER")</f>
        <v>MULTI FUNCTION NETWORK/TELEPHONE CABLE TESTER</v>
      </c>
      <c r="C1613" s="4" t="str">
        <f>IFERROR(__xludf.DUMMYFUNCTION("""COMPUTED_VALUE"""),"Multi Function Network/telephone cable tester")</f>
        <v>Multi Function Network/telephone cable tester</v>
      </c>
      <c r="D1613" s="4" t="str">
        <f>IFERROR(__xludf.DUMMYFUNCTION("""COMPUTED_VALUE"""),"OWL")</f>
        <v>OWL</v>
      </c>
      <c r="E1613" s="4" t="str">
        <f>IFERROR(__xludf.DUMMYFUNCTION("""COMPUTED_VALUE"""),"OWC102")</f>
        <v>OWC102</v>
      </c>
      <c r="F1613" s="4" t="str">
        <f>IFERROR(__xludf.DUMMYFUNCTION("""COMPUTED_VALUE"""),"CONECTIVIDAD &gt; CABLEADO ESTRUCTURADO")</f>
        <v>CONECTIVIDAD &gt; CABLEADO ESTRUCTURADO</v>
      </c>
      <c r="G1613" s="5"/>
      <c r="H1613" s="6">
        <f>IFERROR(__xludf.DUMMYFUNCTION("""COMPUTED_VALUE"""),9.24)</f>
        <v>9.24</v>
      </c>
      <c r="I1613" s="7">
        <f>IFERROR(__xludf.DUMMYFUNCTION("""COMPUTED_VALUE"""),21.0)</f>
        <v>21</v>
      </c>
      <c r="J1613" s="6">
        <f>IFERROR(__xludf.DUMMYFUNCTION("""COMPUTED_VALUE"""),11.09)</f>
        <v>11.09</v>
      </c>
      <c r="K1613" s="6">
        <f>IFERROR(__xludf.DUMMYFUNCTION("""COMPUTED_VALUE"""),12.94)</f>
        <v>12.94</v>
      </c>
      <c r="L1613" s="3"/>
      <c r="M1613" s="3"/>
    </row>
    <row r="1614" ht="48.0" customHeight="1">
      <c r="A1614" s="3" t="str">
        <f>IFERROR(__xludf.DUMMYFUNCTION("""COMPUTED_VALUE"""),"RVCRIMPTOOL")</f>
        <v>RVCRIMPTOOL</v>
      </c>
      <c r="B1614" s="4" t="str">
        <f>IFERROR(__xludf.DUMMYFUNCTION("""COMPUTED_VALUE"""),"HERRAMIENTA CRIMPEADORA PARA CRIMPAR PLUG MODULAR 8P/6P/4P")</f>
        <v>HERRAMIENTA CRIMPEADORA PARA CRIMPAR PLUG MODULAR 8P/6P/4P</v>
      </c>
      <c r="C1614" s="4" t="str">
        <f>IFERROR(__xludf.DUMMYFUNCTION("""COMPUTED_VALUE"""),"Herramienta crimpeadora para crimpar plug modular 8P/6P/4P. Con corta cable / Con mango bicolor / Con trinquete.")</f>
        <v>Herramienta crimpeadora para crimpar plug modular 8P/6P/4P. Con corta cable / Con mango bicolor / Con trinquete.</v>
      </c>
      <c r="D1614" s="4" t="str">
        <f>IFERROR(__xludf.DUMMYFUNCTION("""COMPUTED_VALUE"""),"REGUVOLT")</f>
        <v>REGUVOLT</v>
      </c>
      <c r="E1614" s="4" t="str">
        <f>IFERROR(__xludf.DUMMYFUNCTION("""COMPUTED_VALUE"""),"RVCRIMPTOOL")</f>
        <v>RVCRIMPTOOL</v>
      </c>
      <c r="F1614" s="4" t="str">
        <f>IFERROR(__xludf.DUMMYFUNCTION("""COMPUTED_VALUE"""),"CONECTIVIDAD &gt; CABLEADO ESTRUCTURADO")</f>
        <v>CONECTIVIDAD &gt; CABLEADO ESTRUCTURADO</v>
      </c>
      <c r="G1614" s="5"/>
      <c r="H1614" s="6">
        <f>IFERROR(__xludf.DUMMYFUNCTION("""COMPUTED_VALUE"""),12.9)</f>
        <v>12.9</v>
      </c>
      <c r="I1614" s="7">
        <f>IFERROR(__xludf.DUMMYFUNCTION("""COMPUTED_VALUE"""),21.0)</f>
        <v>21</v>
      </c>
      <c r="J1614" s="6">
        <f>IFERROR(__xludf.DUMMYFUNCTION("""COMPUTED_VALUE"""),15.48)</f>
        <v>15.48</v>
      </c>
      <c r="K1614" s="6">
        <f>IFERROR(__xludf.DUMMYFUNCTION("""COMPUTED_VALUE"""),18.06)</f>
        <v>18.06</v>
      </c>
      <c r="L1614" s="3"/>
      <c r="M1614" s="3"/>
    </row>
    <row r="1615" ht="48.0" customHeight="1">
      <c r="A1615" s="3" t="str">
        <f>IFERROR(__xludf.DUMMYFUNCTION("""COMPUTED_VALUE"""),"RVCRIMPTOOL2")</f>
        <v>RVCRIMPTOOL2</v>
      </c>
      <c r="B1615" s="4" t="str">
        <f>IFERROR(__xludf.DUMMYFUNCTION("""COMPUTED_VALUE"""),"PINZA CRIMPEADORA PARA 8P/4P/ (DEC+6P PLUG MODULAR)")</f>
        <v>PINZA CRIMPEADORA PARA 8P/4P/ (DEC+6P PLUG MODULAR)</v>
      </c>
      <c r="C1615" s="4" t="str">
        <f>IFERROR(__xludf.DUMMYFUNCTION("""COMPUTED_VALUE"""),"Pinza crimpeadora para 8P/4P/ (DEC+6P plug modular). Con corta cable. Con trinquete.")</f>
        <v>Pinza crimpeadora para 8P/4P/ (DEC+6P plug modular). Con corta cable. Con trinquete.</v>
      </c>
      <c r="D1615" s="4" t="str">
        <f>IFERROR(__xludf.DUMMYFUNCTION("""COMPUTED_VALUE"""),"REGUVOLT")</f>
        <v>REGUVOLT</v>
      </c>
      <c r="E1615" s="4" t="str">
        <f>IFERROR(__xludf.DUMMYFUNCTION("""COMPUTED_VALUE"""),"RVCRIMPTOOL2")</f>
        <v>RVCRIMPTOOL2</v>
      </c>
      <c r="F1615" s="4" t="str">
        <f>IFERROR(__xludf.DUMMYFUNCTION("""COMPUTED_VALUE"""),"CONECTIVIDAD &gt; CABLEADO ESTRUCTURADO")</f>
        <v>CONECTIVIDAD &gt; CABLEADO ESTRUCTURADO</v>
      </c>
      <c r="G1615" s="5"/>
      <c r="H1615" s="6">
        <f>IFERROR(__xludf.DUMMYFUNCTION("""COMPUTED_VALUE"""),19.06)</f>
        <v>19.06</v>
      </c>
      <c r="I1615" s="7">
        <f>IFERROR(__xludf.DUMMYFUNCTION("""COMPUTED_VALUE"""),21.0)</f>
        <v>21</v>
      </c>
      <c r="J1615" s="6">
        <f>IFERROR(__xludf.DUMMYFUNCTION("""COMPUTED_VALUE"""),22.87)</f>
        <v>22.87</v>
      </c>
      <c r="K1615" s="6">
        <f>IFERROR(__xludf.DUMMYFUNCTION("""COMPUTED_VALUE"""),26.68)</f>
        <v>26.68</v>
      </c>
      <c r="L1615" s="3"/>
      <c r="M1615" s="3"/>
    </row>
    <row r="1616" ht="48.0" customHeight="1">
      <c r="A1616" s="3" t="str">
        <f>IFERROR(__xludf.DUMMYFUNCTION("""COMPUTED_VALUE"""),"RVCRIMPTOOL6")</f>
        <v>RVCRIMPTOOL6</v>
      </c>
      <c r="B1616" s="4" t="str">
        <f>IFERROR(__xludf.DUMMYFUNCTION("""COMPUTED_VALUE"""),"PINZA CRIMPEADORA CAT6 PARA 8P8C-AMP/8P8C/6P6C")</f>
        <v>PINZA CRIMPEADORA CAT6 PARA 8P8C-AMP/8P8C/6P6C</v>
      </c>
      <c r="C1616" s="4" t="str">
        <f>IFERROR(__xludf.DUMMYFUNCTION("""COMPUTED_VALUE"""),"Pinza crimpeadora CAT6 para 8P8C-AMP/8P8C/6P6C. Con trinquete.")</f>
        <v>Pinza crimpeadora CAT6 para 8P8C-AMP/8P8C/6P6C. Con trinquete.</v>
      </c>
      <c r="D1616" s="4" t="str">
        <f>IFERROR(__xludf.DUMMYFUNCTION("""COMPUTED_VALUE"""),"REGUVOLT")</f>
        <v>REGUVOLT</v>
      </c>
      <c r="E1616" s="4" t="str">
        <f>IFERROR(__xludf.DUMMYFUNCTION("""COMPUTED_VALUE"""),"RVCRIMPTOOL6")</f>
        <v>RVCRIMPTOOL6</v>
      </c>
      <c r="F1616" s="4" t="str">
        <f>IFERROR(__xludf.DUMMYFUNCTION("""COMPUTED_VALUE"""),"CONECTIVIDAD &gt; CABLEADO ESTRUCTURADO")</f>
        <v>CONECTIVIDAD &gt; CABLEADO ESTRUCTURADO</v>
      </c>
      <c r="G1616" s="5"/>
      <c r="H1616" s="6">
        <f>IFERROR(__xludf.DUMMYFUNCTION("""COMPUTED_VALUE"""),32.26)</f>
        <v>32.26</v>
      </c>
      <c r="I1616" s="7">
        <f>IFERROR(__xludf.DUMMYFUNCTION("""COMPUTED_VALUE"""),21.0)</f>
        <v>21</v>
      </c>
      <c r="J1616" s="6">
        <f>IFERROR(__xludf.DUMMYFUNCTION("""COMPUTED_VALUE"""),38.71)</f>
        <v>38.71</v>
      </c>
      <c r="K1616" s="6">
        <f>IFERROR(__xludf.DUMMYFUNCTION("""COMPUTED_VALUE"""),45.16)</f>
        <v>45.16</v>
      </c>
      <c r="L1616" s="3"/>
      <c r="M1616" s="3"/>
    </row>
    <row r="1617" ht="48.0" customHeight="1">
      <c r="A1617" s="3" t="str">
        <f>IFERROR(__xludf.DUMMYFUNCTION("""COMPUTED_VALUE"""),"RVIMPACT")</f>
        <v>RVIMPACT</v>
      </c>
      <c r="B1617" s="4" t="str">
        <f>IFERROR(__xludf.DUMMYFUNCTION("""COMPUTED_VALUE"""),"HERRAMIENTA IMPACTADORA PARA MODULOS KRONE")</f>
        <v>HERRAMIENTA IMPACTADORA PARA MODULOS KRONE</v>
      </c>
      <c r="C1617" s="4" t="str">
        <f>IFERROR(__xludf.DUMMYFUNCTION("""COMPUTED_VALUE"""),"Herramienta impactadora para modulos Krone. Con gancho.")</f>
        <v>Herramienta impactadora para modulos Krone. Con gancho.</v>
      </c>
      <c r="D1617" s="4" t="str">
        <f>IFERROR(__xludf.DUMMYFUNCTION("""COMPUTED_VALUE"""),"REGUVOLT")</f>
        <v>REGUVOLT</v>
      </c>
      <c r="E1617" s="4" t="str">
        <f>IFERROR(__xludf.DUMMYFUNCTION("""COMPUTED_VALUE"""),"RVIMPACT")</f>
        <v>RVIMPACT</v>
      </c>
      <c r="F1617" s="4" t="str">
        <f>IFERROR(__xludf.DUMMYFUNCTION("""COMPUTED_VALUE"""),"CONECTIVIDAD &gt; CABLEADO ESTRUCTURADO")</f>
        <v>CONECTIVIDAD &gt; CABLEADO ESTRUCTURADO</v>
      </c>
      <c r="G1617" s="5"/>
      <c r="H1617" s="6">
        <f>IFERROR(__xludf.DUMMYFUNCTION("""COMPUTED_VALUE"""),2.94)</f>
        <v>2.94</v>
      </c>
      <c r="I1617" s="7">
        <f>IFERROR(__xludf.DUMMYFUNCTION("""COMPUTED_VALUE"""),21.0)</f>
        <v>21</v>
      </c>
      <c r="J1617" s="6">
        <f>IFERROR(__xludf.DUMMYFUNCTION("""COMPUTED_VALUE"""),3.53)</f>
        <v>3.53</v>
      </c>
      <c r="K1617" s="6">
        <f>IFERROR(__xludf.DUMMYFUNCTION("""COMPUTED_VALUE"""),4.12)</f>
        <v>4.12</v>
      </c>
      <c r="L1617" s="3"/>
      <c r="M1617" s="3"/>
    </row>
    <row r="1618" ht="48.0" customHeight="1">
      <c r="A1618" s="3" t="str">
        <f>IFERROR(__xludf.DUMMYFUNCTION("""COMPUTED_VALUE"""),"RVTESTER")</f>
        <v>RVTESTER</v>
      </c>
      <c r="B1618" s="4" t="str">
        <f>IFERROR(__xludf.DUMMYFUNCTION("""COMPUTED_VALUE"""),"TESTER DE CABLES DE RED")</f>
        <v>TESTER DE CABLES DE RED</v>
      </c>
      <c r="C1618" s="4" t="str">
        <f>IFERROR(__xludf.DUMMYFUNCTION("""COMPUTED_VALUE"""),"Tester de cables de red. Testea cable RJ11/12/RJ45. Pruebas de circuito abierto, corto, cruzado y asignación de cables. LED individual para mostrar el núcleo detectado. Cada núcleo individual se escanea automáticamente. Velocidad de escaneo alta/baja ajus"&amp;"table.")</f>
        <v>Tester de cables de red. Testea cable RJ11/12/RJ45. Pruebas de circuito abierto, corto, cruzado y asignación de cables. LED individual para mostrar el núcleo detectado. Cada núcleo individual se escanea automáticamente. Velocidad de escaneo alta/baja ajustable.</v>
      </c>
      <c r="D1618" s="4" t="str">
        <f>IFERROR(__xludf.DUMMYFUNCTION("""COMPUTED_VALUE"""),"REGUVOLT")</f>
        <v>REGUVOLT</v>
      </c>
      <c r="E1618" s="4" t="str">
        <f>IFERROR(__xludf.DUMMYFUNCTION("""COMPUTED_VALUE"""),"RVTESTER")</f>
        <v>RVTESTER</v>
      </c>
      <c r="F1618" s="4" t="str">
        <f>IFERROR(__xludf.DUMMYFUNCTION("""COMPUTED_VALUE"""),"CONECTIVIDAD &gt; CABLEADO ESTRUCTURADO")</f>
        <v>CONECTIVIDAD &gt; CABLEADO ESTRUCTURADO</v>
      </c>
      <c r="G1618" s="5"/>
      <c r="H1618" s="6">
        <f>IFERROR(__xludf.DUMMYFUNCTION("""COMPUTED_VALUE"""),6.46)</f>
        <v>6.46</v>
      </c>
      <c r="I1618" s="7">
        <f>IFERROR(__xludf.DUMMYFUNCTION("""COMPUTED_VALUE"""),21.0)</f>
        <v>21</v>
      </c>
      <c r="J1618" s="6">
        <f>IFERROR(__xludf.DUMMYFUNCTION("""COMPUTED_VALUE"""),7.75)</f>
        <v>7.75</v>
      </c>
      <c r="K1618" s="6">
        <f>IFERROR(__xludf.DUMMYFUNCTION("""COMPUTED_VALUE"""),9.04)</f>
        <v>9.04</v>
      </c>
      <c r="L1618" s="3"/>
      <c r="M1618" s="3"/>
    </row>
    <row r="1619" ht="48.0" customHeight="1">
      <c r="A1619" s="3" t="str">
        <f>IFERROR(__xludf.DUMMYFUNCTION("""COMPUTED_VALUE"""),"DIPATCH060CAT5CCA")</f>
        <v>DIPATCH060CAT5CCA</v>
      </c>
      <c r="B1619" s="4" t="str">
        <f>IFERROR(__xludf.DUMMYFUNCTION("""COMPUTED_VALUE"""),"PATCH CORD 0,60 M CAT 5 CCA")</f>
        <v>PATCH CORD 0,60 M CAT 5 CCA</v>
      </c>
      <c r="C1619" s="4" t="str">
        <f>IFERROR(__xludf.DUMMYFUNCTION("""COMPUTED_VALUE"""),"Patch Cord 0,60 M CAT 5 CCA")</f>
        <v>Patch Cord 0,60 M CAT 5 CCA</v>
      </c>
      <c r="D1619" s="4" t="str">
        <f>IFERROR(__xludf.DUMMYFUNCTION("""COMPUTED_VALUE"""),"DIALSEC")</f>
        <v>DIALSEC</v>
      </c>
      <c r="E1619" s="4" t="str">
        <f>IFERROR(__xludf.DUMMYFUNCTION("""COMPUTED_VALUE"""),"DIPATCH060CAT5CCA")</f>
        <v>DIPATCH060CAT5CCA</v>
      </c>
      <c r="F1619" s="4" t="str">
        <f>IFERROR(__xludf.DUMMYFUNCTION("""COMPUTED_VALUE"""),"CONECTIVIDAD &gt; CABLEADO ESTRUCTURADO")</f>
        <v>CONECTIVIDAD &gt; CABLEADO ESTRUCTURADO</v>
      </c>
      <c r="G1619" s="5"/>
      <c r="H1619" s="6">
        <f>IFERROR(__xludf.DUMMYFUNCTION("""COMPUTED_VALUE"""),0.67)</f>
        <v>0.67</v>
      </c>
      <c r="I1619" s="7">
        <f>IFERROR(__xludf.DUMMYFUNCTION("""COMPUTED_VALUE"""),21.0)</f>
        <v>21</v>
      </c>
      <c r="J1619" s="6">
        <f>IFERROR(__xludf.DUMMYFUNCTION("""COMPUTED_VALUE"""),0.8)</f>
        <v>0.8</v>
      </c>
      <c r="K1619" s="6">
        <f>IFERROR(__xludf.DUMMYFUNCTION("""COMPUTED_VALUE"""),0.94)</f>
        <v>0.94</v>
      </c>
      <c r="L1619" s="3"/>
      <c r="M1619" s="3"/>
    </row>
    <row r="1620" ht="48.0" customHeight="1">
      <c r="A1620" s="3" t="str">
        <f>IFERROR(__xludf.DUMMYFUNCTION("""COMPUTED_VALUE"""),"DIPATCH150CAT5CCA")</f>
        <v>DIPATCH150CAT5CCA</v>
      </c>
      <c r="B1620" s="4" t="str">
        <f>IFERROR(__xludf.DUMMYFUNCTION("""COMPUTED_VALUE"""),"PATCH CORD 1")</f>
        <v>PATCH CORD 1</v>
      </c>
      <c r="C1620" s="4" t="str">
        <f>IFERROR(__xludf.DUMMYFUNCTION("""COMPUTED_VALUE"""),"Patch Cord 1.50 M CAT 5 CCA")</f>
        <v>Patch Cord 1.50 M CAT 5 CCA</v>
      </c>
      <c r="D1620" s="4" t="str">
        <f>IFERROR(__xludf.DUMMYFUNCTION("""COMPUTED_VALUE"""),"DIALSEC")</f>
        <v>DIALSEC</v>
      </c>
      <c r="E1620" s="4" t="str">
        <f>IFERROR(__xludf.DUMMYFUNCTION("""COMPUTED_VALUE"""),"DIPATCH150CAT5CCA")</f>
        <v>DIPATCH150CAT5CCA</v>
      </c>
      <c r="F1620" s="4" t="str">
        <f>IFERROR(__xludf.DUMMYFUNCTION("""COMPUTED_VALUE"""),"CONECTIVIDAD &gt; CABLEADO ESTRUCTURADO")</f>
        <v>CONECTIVIDAD &gt; CABLEADO ESTRUCTURADO</v>
      </c>
      <c r="G1620" s="5"/>
      <c r="H1620" s="6">
        <f>IFERROR(__xludf.DUMMYFUNCTION("""COMPUTED_VALUE"""),1.0)</f>
        <v>1</v>
      </c>
      <c r="I1620" s="7">
        <f>IFERROR(__xludf.DUMMYFUNCTION("""COMPUTED_VALUE"""),21.0)</f>
        <v>21</v>
      </c>
      <c r="J1620" s="6">
        <f>IFERROR(__xludf.DUMMYFUNCTION("""COMPUTED_VALUE"""),1.2)</f>
        <v>1.2</v>
      </c>
      <c r="K1620" s="6">
        <f>IFERROR(__xludf.DUMMYFUNCTION("""COMPUTED_VALUE"""),1.4)</f>
        <v>1.4</v>
      </c>
      <c r="L1620" s="3"/>
      <c r="M1620" s="3"/>
    </row>
    <row r="1621" ht="48.0" customHeight="1">
      <c r="A1621" s="3" t="str">
        <f>IFERROR(__xludf.DUMMYFUNCTION("""COMPUTED_VALUE"""),"DIPATCH150CAT5BC")</f>
        <v>DIPATCH150CAT5BC</v>
      </c>
      <c r="B1621" s="4" t="str">
        <f>IFERROR(__xludf.DUMMYFUNCTION("""COMPUTED_VALUE"""),"PATCH CORD 1")</f>
        <v>PATCH CORD 1</v>
      </c>
      <c r="C1621" s="4" t="str">
        <f>IFERROR(__xludf.DUMMYFUNCTION("""COMPUTED_VALUE"""),"Patch Cord 1.50 M CAT 5 BC")</f>
        <v>Patch Cord 1.50 M CAT 5 BC</v>
      </c>
      <c r="D1621" s="4" t="str">
        <f>IFERROR(__xludf.DUMMYFUNCTION("""COMPUTED_VALUE"""),"DIALSEC")</f>
        <v>DIALSEC</v>
      </c>
      <c r="E1621" s="4" t="str">
        <f>IFERROR(__xludf.DUMMYFUNCTION("""COMPUTED_VALUE"""),"DIPATCH150CAT5BC")</f>
        <v>DIPATCH150CAT5BC</v>
      </c>
      <c r="F1621" s="4" t="str">
        <f>IFERROR(__xludf.DUMMYFUNCTION("""COMPUTED_VALUE"""),"CONECTIVIDAD &gt; CABLEADO ESTRUCTURADO")</f>
        <v>CONECTIVIDAD &gt; CABLEADO ESTRUCTURADO</v>
      </c>
      <c r="G1621" s="5"/>
      <c r="H1621" s="6">
        <f>IFERROR(__xludf.DUMMYFUNCTION("""COMPUTED_VALUE"""),3.19)</f>
        <v>3.19</v>
      </c>
      <c r="I1621" s="7">
        <f>IFERROR(__xludf.DUMMYFUNCTION("""COMPUTED_VALUE"""),21.0)</f>
        <v>21</v>
      </c>
      <c r="J1621" s="6">
        <f>IFERROR(__xludf.DUMMYFUNCTION("""COMPUTED_VALUE"""),3.83)</f>
        <v>3.83</v>
      </c>
      <c r="K1621" s="6">
        <f>IFERROR(__xludf.DUMMYFUNCTION("""COMPUTED_VALUE"""),4.47)</f>
        <v>4.47</v>
      </c>
      <c r="L1621" s="3"/>
      <c r="M1621" s="3"/>
    </row>
    <row r="1622" ht="48.0" customHeight="1">
      <c r="A1622" s="3" t="str">
        <f>IFERROR(__xludf.DUMMYFUNCTION("""COMPUTED_VALUE"""),"DIPATCH060CAT6BC")</f>
        <v>DIPATCH060CAT6BC</v>
      </c>
      <c r="B1622" s="4" t="str">
        <f>IFERROR(__xludf.DUMMYFUNCTION("""COMPUTED_VALUE"""),"PATCH CORD 0,60 M CAT 6 BC")</f>
        <v>PATCH CORD 0,60 M CAT 6 BC</v>
      </c>
      <c r="C1622" s="4" t="str">
        <f>IFERROR(__xludf.DUMMYFUNCTION("""COMPUTED_VALUE"""),"Patch Cord 0,60 M CAT 6 BC")</f>
        <v>Patch Cord 0,60 M CAT 6 BC</v>
      </c>
      <c r="D1622" s="4" t="str">
        <f>IFERROR(__xludf.DUMMYFUNCTION("""COMPUTED_VALUE"""),"DIALSEC")</f>
        <v>DIALSEC</v>
      </c>
      <c r="E1622" s="4" t="str">
        <f>IFERROR(__xludf.DUMMYFUNCTION("""COMPUTED_VALUE"""),"DIPATCH060CAT6BC")</f>
        <v>DIPATCH060CAT6BC</v>
      </c>
      <c r="F1622" s="4" t="str">
        <f>IFERROR(__xludf.DUMMYFUNCTION("""COMPUTED_VALUE"""),"CONECTIVIDAD &gt; CABLEADO ESTRUCTURADO")</f>
        <v>CONECTIVIDAD &gt; CABLEADO ESTRUCTURADO</v>
      </c>
      <c r="G1622" s="5"/>
      <c r="H1622" s="6">
        <f>IFERROR(__xludf.DUMMYFUNCTION("""COMPUTED_VALUE"""),2.66)</f>
        <v>2.66</v>
      </c>
      <c r="I1622" s="7">
        <f>IFERROR(__xludf.DUMMYFUNCTION("""COMPUTED_VALUE"""),21.0)</f>
        <v>21</v>
      </c>
      <c r="J1622" s="6">
        <f>IFERROR(__xludf.DUMMYFUNCTION("""COMPUTED_VALUE"""),3.19)</f>
        <v>3.19</v>
      </c>
      <c r="K1622" s="6">
        <f>IFERROR(__xludf.DUMMYFUNCTION("""COMPUTED_VALUE"""),3.72)</f>
        <v>3.72</v>
      </c>
      <c r="L1622" s="3"/>
      <c r="M1622" s="3"/>
    </row>
    <row r="1623" ht="48.0" customHeight="1">
      <c r="A1623" s="3" t="str">
        <f>IFERROR(__xludf.DUMMYFUNCTION("""COMPUTED_VALUE"""),"DIPATCH150CAT6BC")</f>
        <v>DIPATCH150CAT6BC</v>
      </c>
      <c r="B1623" s="4" t="str">
        <f>IFERROR(__xludf.DUMMYFUNCTION("""COMPUTED_VALUE"""),"PATCH CORD 1,50 M CAT 6 BC")</f>
        <v>PATCH CORD 1,50 M CAT 6 BC</v>
      </c>
      <c r="C1623" s="4" t="str">
        <f>IFERROR(__xludf.DUMMYFUNCTION("""COMPUTED_VALUE"""),"Patch Cord 1,50 M CAT 6 BC")</f>
        <v>Patch Cord 1,50 M CAT 6 BC</v>
      </c>
      <c r="D1623" s="4" t="str">
        <f>IFERROR(__xludf.DUMMYFUNCTION("""COMPUTED_VALUE"""),"DIALSEC")</f>
        <v>DIALSEC</v>
      </c>
      <c r="E1623" s="4" t="str">
        <f>IFERROR(__xludf.DUMMYFUNCTION("""COMPUTED_VALUE"""),"DIPATCH150CAT6BC")</f>
        <v>DIPATCH150CAT6BC</v>
      </c>
      <c r="F1623" s="4" t="str">
        <f>IFERROR(__xludf.DUMMYFUNCTION("""COMPUTED_VALUE"""),"CONECTIVIDAD &gt; CABLEADO ESTRUCTURADO")</f>
        <v>CONECTIVIDAD &gt; CABLEADO ESTRUCTURADO</v>
      </c>
      <c r="G1623" s="5"/>
      <c r="H1623" s="6">
        <f>IFERROR(__xludf.DUMMYFUNCTION("""COMPUTED_VALUE"""),3.73)</f>
        <v>3.73</v>
      </c>
      <c r="I1623" s="7">
        <f>IFERROR(__xludf.DUMMYFUNCTION("""COMPUTED_VALUE"""),21.0)</f>
        <v>21</v>
      </c>
      <c r="J1623" s="6">
        <f>IFERROR(__xludf.DUMMYFUNCTION("""COMPUTED_VALUE"""),4.48)</f>
        <v>4.48</v>
      </c>
      <c r="K1623" s="6">
        <f>IFERROR(__xludf.DUMMYFUNCTION("""COMPUTED_VALUE"""),5.22)</f>
        <v>5.22</v>
      </c>
      <c r="L1623" s="3"/>
      <c r="M1623" s="3"/>
    </row>
    <row r="1624" ht="48.0" customHeight="1">
      <c r="A1624" s="3" t="str">
        <f>IFERROR(__xludf.DUMMYFUNCTION("""COMPUTED_VALUE"""),"FUPATCH0.5M5")</f>
        <v>FUPATCH0.5M5</v>
      </c>
      <c r="B1624" s="4" t="str">
        <f>IFERROR(__xludf.DUMMYFUNCTION("""COMPUTED_VALUE"""),"PATCH CORD CAT5E 0,5M NEGRO C/CAP CM")</f>
        <v>PATCH CORD CAT5E 0,5M NEGRO C/CAP CM</v>
      </c>
      <c r="C1624" s="4" t="str">
        <f>IFERROR(__xludf.DUMMYFUNCTION("""COMPUTED_VALUE"""),"Patch cord CAT5e 0,5M negro c/cap CM")</f>
        <v>Patch cord CAT5e 0,5M negro c/cap CM</v>
      </c>
      <c r="D1624" s="4" t="str">
        <f>IFERROR(__xludf.DUMMYFUNCTION("""COMPUTED_VALUE"""),"FURUKAWA")</f>
        <v>FURUKAWA</v>
      </c>
      <c r="E1624" s="4" t="str">
        <f>IFERROR(__xludf.DUMMYFUNCTION("""COMPUTED_VALUE"""),"FUPATCH0.5M5")</f>
        <v>FUPATCH0.5M5</v>
      </c>
      <c r="F1624" s="4" t="str">
        <f>IFERROR(__xludf.DUMMYFUNCTION("""COMPUTED_VALUE"""),"CONECTIVIDAD &gt; CABLEADO ESTRUCTURADO")</f>
        <v>CONECTIVIDAD &gt; CABLEADO ESTRUCTURADO</v>
      </c>
      <c r="G1624" s="5"/>
      <c r="H1624" s="6">
        <f>IFERROR(__xludf.DUMMYFUNCTION("""COMPUTED_VALUE"""),3.17)</f>
        <v>3.17</v>
      </c>
      <c r="I1624" s="7">
        <f>IFERROR(__xludf.DUMMYFUNCTION("""COMPUTED_VALUE"""),21.0)</f>
        <v>21</v>
      </c>
      <c r="J1624" s="6">
        <f>IFERROR(__xludf.DUMMYFUNCTION("""COMPUTED_VALUE"""),3.8)</f>
        <v>3.8</v>
      </c>
      <c r="K1624" s="6">
        <f>IFERROR(__xludf.DUMMYFUNCTION("""COMPUTED_VALUE"""),4.44)</f>
        <v>4.44</v>
      </c>
      <c r="L1624" s="3"/>
      <c r="M1624" s="3"/>
    </row>
    <row r="1625" ht="48.0" customHeight="1">
      <c r="A1625" s="3" t="str">
        <f>IFERROR(__xludf.DUMMYFUNCTION("""COMPUTED_VALUE"""),"FUPATCH0.5M5-R")</f>
        <v>FUPATCH0.5M5-R</v>
      </c>
      <c r="B1625" s="4" t="str">
        <f>IFERROR(__xludf.DUMMYFUNCTION("""COMPUTED_VALUE"""),"PATCH CORD CAT5E 0,5M ROJO C/CAP CM")</f>
        <v>PATCH CORD CAT5E 0,5M ROJO C/CAP CM</v>
      </c>
      <c r="C1625" s="4" t="str">
        <f>IFERROR(__xludf.DUMMYFUNCTION("""COMPUTED_VALUE"""),"Patch cord CAT5e 0,5M rojo c/cap CM")</f>
        <v>Patch cord CAT5e 0,5M rojo c/cap CM</v>
      </c>
      <c r="D1625" s="4" t="str">
        <f>IFERROR(__xludf.DUMMYFUNCTION("""COMPUTED_VALUE"""),"FURUKAWA")</f>
        <v>FURUKAWA</v>
      </c>
      <c r="E1625" s="4" t="str">
        <f>IFERROR(__xludf.DUMMYFUNCTION("""COMPUTED_VALUE"""),"FUPATCH0.5M5-R")</f>
        <v>FUPATCH0.5M5-R</v>
      </c>
      <c r="F1625" s="4" t="str">
        <f>IFERROR(__xludf.DUMMYFUNCTION("""COMPUTED_VALUE"""),"CONECTIVIDAD &gt; CABLEADO ESTRUCTURADO")</f>
        <v>CONECTIVIDAD &gt; CABLEADO ESTRUCTURADO</v>
      </c>
      <c r="G1625" s="5"/>
      <c r="H1625" s="6">
        <f>IFERROR(__xludf.DUMMYFUNCTION("""COMPUTED_VALUE"""),3.17)</f>
        <v>3.17</v>
      </c>
      <c r="I1625" s="7">
        <f>IFERROR(__xludf.DUMMYFUNCTION("""COMPUTED_VALUE"""),21.0)</f>
        <v>21</v>
      </c>
      <c r="J1625" s="6">
        <f>IFERROR(__xludf.DUMMYFUNCTION("""COMPUTED_VALUE"""),3.8)</f>
        <v>3.8</v>
      </c>
      <c r="K1625" s="6">
        <f>IFERROR(__xludf.DUMMYFUNCTION("""COMPUTED_VALUE"""),4.44)</f>
        <v>4.44</v>
      </c>
      <c r="L1625" s="3"/>
      <c r="M1625" s="3"/>
    </row>
    <row r="1626" ht="48.0" customHeight="1">
      <c r="A1626" s="3" t="str">
        <f>IFERROR(__xludf.DUMMYFUNCTION("""COMPUTED_VALUE"""),"FUPATCH0.5M5-A")</f>
        <v>FUPATCH0.5M5-A</v>
      </c>
      <c r="B1626" s="4" t="str">
        <f>IFERROR(__xludf.DUMMYFUNCTION("""COMPUTED_VALUE"""),"PATCH CORD CAT5E 0,5M AZUL C/CAP CM")</f>
        <v>PATCH CORD CAT5E 0,5M AZUL C/CAP CM</v>
      </c>
      <c r="C1626" s="4" t="str">
        <f>IFERROR(__xludf.DUMMYFUNCTION("""COMPUTED_VALUE"""),"Patch cord CAT5e 0,5M azul c/cap CM")</f>
        <v>Patch cord CAT5e 0,5M azul c/cap CM</v>
      </c>
      <c r="D1626" s="4" t="str">
        <f>IFERROR(__xludf.DUMMYFUNCTION("""COMPUTED_VALUE"""),"FURUKAWA")</f>
        <v>FURUKAWA</v>
      </c>
      <c r="E1626" s="4" t="str">
        <f>IFERROR(__xludf.DUMMYFUNCTION("""COMPUTED_VALUE"""),"FUPATCH0.5M5-A")</f>
        <v>FUPATCH0.5M5-A</v>
      </c>
      <c r="F1626" s="4" t="str">
        <f>IFERROR(__xludf.DUMMYFUNCTION("""COMPUTED_VALUE"""),"CONECTIVIDAD &gt; CABLEADO ESTRUCTURADO")</f>
        <v>CONECTIVIDAD &gt; CABLEADO ESTRUCTURADO</v>
      </c>
      <c r="G1626" s="5"/>
      <c r="H1626" s="6">
        <f>IFERROR(__xludf.DUMMYFUNCTION("""COMPUTED_VALUE"""),3.17)</f>
        <v>3.17</v>
      </c>
      <c r="I1626" s="7">
        <f>IFERROR(__xludf.DUMMYFUNCTION("""COMPUTED_VALUE"""),21.0)</f>
        <v>21</v>
      </c>
      <c r="J1626" s="6">
        <f>IFERROR(__xludf.DUMMYFUNCTION("""COMPUTED_VALUE"""),3.8)</f>
        <v>3.8</v>
      </c>
      <c r="K1626" s="6">
        <f>IFERROR(__xludf.DUMMYFUNCTION("""COMPUTED_VALUE"""),4.44)</f>
        <v>4.44</v>
      </c>
      <c r="L1626" s="3"/>
      <c r="M1626" s="3"/>
    </row>
    <row r="1627" ht="48.0" customHeight="1">
      <c r="A1627" s="3" t="str">
        <f>IFERROR(__xludf.DUMMYFUNCTION("""COMPUTED_VALUE"""),"FUPATCH0.5M6")</f>
        <v>FUPATCH0.5M6</v>
      </c>
      <c r="B1627" s="4" t="str">
        <f>IFERROR(__xludf.DUMMYFUNCTION("""COMPUTED_VALUE"""),"PATCH CORD CAT6 0,5M C/CAP CM NEGRO")</f>
        <v>PATCH CORD CAT6 0,5M C/CAP CM NEGRO</v>
      </c>
      <c r="C1627" s="4" t="str">
        <f>IFERROR(__xludf.DUMMYFUNCTION("""COMPUTED_VALUE"""),"Patch cord CAT6 0,5M c/cap CM Negro")</f>
        <v>Patch cord CAT6 0,5M c/cap CM Negro</v>
      </c>
      <c r="D1627" s="4" t="str">
        <f>IFERROR(__xludf.DUMMYFUNCTION("""COMPUTED_VALUE"""),"FURUKAWA")</f>
        <v>FURUKAWA</v>
      </c>
      <c r="E1627" s="4" t="str">
        <f>IFERROR(__xludf.DUMMYFUNCTION("""COMPUTED_VALUE"""),"FUPATCH0.5M6")</f>
        <v>FUPATCH0.5M6</v>
      </c>
      <c r="F1627" s="4" t="str">
        <f>IFERROR(__xludf.DUMMYFUNCTION("""COMPUTED_VALUE"""),"CONECTIVIDAD &gt; CABLEADO ESTRUCTURADO")</f>
        <v>CONECTIVIDAD &gt; CABLEADO ESTRUCTURADO</v>
      </c>
      <c r="G1627" s="5"/>
      <c r="H1627" s="6">
        <f>IFERROR(__xludf.DUMMYFUNCTION("""COMPUTED_VALUE"""),5.05)</f>
        <v>5.05</v>
      </c>
      <c r="I1627" s="7">
        <f>IFERROR(__xludf.DUMMYFUNCTION("""COMPUTED_VALUE"""),21.0)</f>
        <v>21</v>
      </c>
      <c r="J1627" s="6">
        <f>IFERROR(__xludf.DUMMYFUNCTION("""COMPUTED_VALUE"""),6.06)</f>
        <v>6.06</v>
      </c>
      <c r="K1627" s="6">
        <f>IFERROR(__xludf.DUMMYFUNCTION("""COMPUTED_VALUE"""),7.07)</f>
        <v>7.07</v>
      </c>
      <c r="L1627" s="3"/>
      <c r="M1627" s="3"/>
    </row>
    <row r="1628" ht="48.0" customHeight="1">
      <c r="A1628" s="3" t="str">
        <f>IFERROR(__xludf.DUMMYFUNCTION("""COMPUTED_VALUE"""),"FUPATCH1.5M6")</f>
        <v>FUPATCH1.5M6</v>
      </c>
      <c r="B1628" s="4" t="str">
        <f>IFERROR(__xludf.DUMMYFUNCTION("""COMPUTED_VALUE"""),"PATCH CORD CAT6 6 PIES 1,5M C/CAP CM NEGRO")</f>
        <v>PATCH CORD CAT6 6 PIES 1,5M C/CAP CM NEGRO</v>
      </c>
      <c r="C1628" s="4" t="str">
        <f>IFERROR(__xludf.DUMMYFUNCTION("""COMPUTED_VALUE"""),"Patch cord CAT6 6 pies 1,5M c/cap CM Negro")</f>
        <v>Patch cord CAT6 6 pies 1,5M c/cap CM Negro</v>
      </c>
      <c r="D1628" s="4" t="str">
        <f>IFERROR(__xludf.DUMMYFUNCTION("""COMPUTED_VALUE"""),"FURUKAWA")</f>
        <v>FURUKAWA</v>
      </c>
      <c r="E1628" s="4" t="str">
        <f>IFERROR(__xludf.DUMMYFUNCTION("""COMPUTED_VALUE"""),"FUPATCH1.5M6")</f>
        <v>FUPATCH1.5M6</v>
      </c>
      <c r="F1628" s="4" t="str">
        <f>IFERROR(__xludf.DUMMYFUNCTION("""COMPUTED_VALUE"""),"CONECTIVIDAD &gt; CABLEADO ESTRUCTURADO")</f>
        <v>CONECTIVIDAD &gt; CABLEADO ESTRUCTURADO</v>
      </c>
      <c r="G1628" s="5"/>
      <c r="H1628" s="6">
        <f>IFERROR(__xludf.DUMMYFUNCTION("""COMPUTED_VALUE"""),6.7)</f>
        <v>6.7</v>
      </c>
      <c r="I1628" s="7">
        <f>IFERROR(__xludf.DUMMYFUNCTION("""COMPUTED_VALUE"""),21.0)</f>
        <v>21</v>
      </c>
      <c r="J1628" s="6">
        <f>IFERROR(__xludf.DUMMYFUNCTION("""COMPUTED_VALUE"""),8.04)</f>
        <v>8.04</v>
      </c>
      <c r="K1628" s="6">
        <f>IFERROR(__xludf.DUMMYFUNCTION("""COMPUTED_VALUE"""),9.38)</f>
        <v>9.38</v>
      </c>
      <c r="L1628" s="3"/>
      <c r="M1628" s="3"/>
    </row>
    <row r="1629" ht="48.0" customHeight="1">
      <c r="A1629" s="3" t="str">
        <f>IFERROR(__xludf.DUMMYFUNCTION("""COMPUTED_VALUE"""),"FUPATCH1.5M6-R")</f>
        <v>FUPATCH1.5M6-R</v>
      </c>
      <c r="B1629" s="4" t="str">
        <f>IFERROR(__xludf.DUMMYFUNCTION("""COMPUTED_VALUE"""),"PATCH CORD CAT6 6 PIES 1,5M C/CAP CM ROJO")</f>
        <v>PATCH CORD CAT6 6 PIES 1,5M C/CAP CM ROJO</v>
      </c>
      <c r="C1629" s="4" t="str">
        <f>IFERROR(__xludf.DUMMYFUNCTION("""COMPUTED_VALUE"""),"Patch cord CAT6 6 pies 1,5M c/cap CM Rojo")</f>
        <v>Patch cord CAT6 6 pies 1,5M c/cap CM Rojo</v>
      </c>
      <c r="D1629" s="4" t="str">
        <f>IFERROR(__xludf.DUMMYFUNCTION("""COMPUTED_VALUE"""),"FURUKAWA")</f>
        <v>FURUKAWA</v>
      </c>
      <c r="E1629" s="4" t="str">
        <f>IFERROR(__xludf.DUMMYFUNCTION("""COMPUTED_VALUE"""),"FUPATCH1.5M6-R")</f>
        <v>FUPATCH1.5M6-R</v>
      </c>
      <c r="F1629" s="4" t="str">
        <f>IFERROR(__xludf.DUMMYFUNCTION("""COMPUTED_VALUE"""),"CONECTIVIDAD &gt; CABLEADO ESTRUCTURADO")</f>
        <v>CONECTIVIDAD &gt; CABLEADO ESTRUCTURADO</v>
      </c>
      <c r="G1629" s="5"/>
      <c r="H1629" s="6">
        <f>IFERROR(__xludf.DUMMYFUNCTION("""COMPUTED_VALUE"""),6.7)</f>
        <v>6.7</v>
      </c>
      <c r="I1629" s="7">
        <f>IFERROR(__xludf.DUMMYFUNCTION("""COMPUTED_VALUE"""),21.0)</f>
        <v>21</v>
      </c>
      <c r="J1629" s="6">
        <f>IFERROR(__xludf.DUMMYFUNCTION("""COMPUTED_VALUE"""),8.04)</f>
        <v>8.04</v>
      </c>
      <c r="K1629" s="6">
        <f>IFERROR(__xludf.DUMMYFUNCTION("""COMPUTED_VALUE"""),9.38)</f>
        <v>9.38</v>
      </c>
      <c r="L1629" s="3"/>
      <c r="M1629" s="3"/>
    </row>
    <row r="1630" ht="48.0" customHeight="1">
      <c r="A1630" s="3" t="str">
        <f>IFERROR(__xludf.DUMMYFUNCTION("""COMPUTED_VALUE"""),"FUPATCH2.56")</f>
        <v>FUPATCH2.56</v>
      </c>
      <c r="B1630" s="4" t="str">
        <f>IFERROR(__xludf.DUMMYFUNCTION("""COMPUTED_VALUE"""),"PATCH CORD CAT6 10 PIES 2")</f>
        <v>PATCH CORD CAT6 10 PIES 2</v>
      </c>
      <c r="C1630" s="4" t="str">
        <f>IFERROR(__xludf.DUMMYFUNCTION("""COMPUTED_VALUE"""),"Patch cord CAT6 10 pies 2.5M c/cap CM Rojo")</f>
        <v>Patch cord CAT6 10 pies 2.5M c/cap CM Rojo</v>
      </c>
      <c r="D1630" s="4" t="str">
        <f>IFERROR(__xludf.DUMMYFUNCTION("""COMPUTED_VALUE"""),"FURUKAWA")</f>
        <v>FURUKAWA</v>
      </c>
      <c r="E1630" s="4" t="str">
        <f>IFERROR(__xludf.DUMMYFUNCTION("""COMPUTED_VALUE"""),"FUPATCH2.56")</f>
        <v>FUPATCH2.56</v>
      </c>
      <c r="F1630" s="4" t="str">
        <f>IFERROR(__xludf.DUMMYFUNCTION("""COMPUTED_VALUE"""),"CONECTIVIDAD &gt; CABLEADO ESTRUCTURADO")</f>
        <v>CONECTIVIDAD &gt; CABLEADO ESTRUCTURADO</v>
      </c>
      <c r="G1630" s="5"/>
      <c r="H1630" s="6">
        <f>IFERROR(__xludf.DUMMYFUNCTION("""COMPUTED_VALUE"""),8.73)</f>
        <v>8.73</v>
      </c>
      <c r="I1630" s="7">
        <f>IFERROR(__xludf.DUMMYFUNCTION("""COMPUTED_VALUE"""),21.0)</f>
        <v>21</v>
      </c>
      <c r="J1630" s="6">
        <f>IFERROR(__xludf.DUMMYFUNCTION("""COMPUTED_VALUE"""),10.48)</f>
        <v>10.48</v>
      </c>
      <c r="K1630" s="6">
        <f>IFERROR(__xludf.DUMMYFUNCTION("""COMPUTED_VALUE"""),12.22)</f>
        <v>12.22</v>
      </c>
      <c r="L1630" s="3"/>
      <c r="M1630" s="3"/>
    </row>
    <row r="1631" ht="48.0" customHeight="1">
      <c r="A1631" s="3" t="str">
        <f>IFERROR(__xludf.DUMMYFUNCTION("""COMPUTED_VALUE"""),"RVPCORD5E050")</f>
        <v>RVPCORD5E050</v>
      </c>
      <c r="B1631" s="4" t="str">
        <f>IFERROR(__xludf.DUMMYFUNCTION("""COMPUTED_VALUE"""),"UTP CAT5E PATCH CORD, 24AWG, CU,PVC")</f>
        <v>UTP CAT5E PATCH CORD, 24AWG, CU,PVC</v>
      </c>
      <c r="C1631" s="4" t="str">
        <f>IFERROR(__xludf.DUMMYFUNCTION("""COMPUTED_VALUE"""),"UTP Cat5e Patch cord, 24AWG, CU,PVC - 0,50M, negro")</f>
        <v>UTP Cat5e Patch cord, 24AWG, CU,PVC - 0,50M, negro</v>
      </c>
      <c r="D1631" s="4" t="str">
        <f>IFERROR(__xludf.DUMMYFUNCTION("""COMPUTED_VALUE"""),"REGUVOLT")</f>
        <v>REGUVOLT</v>
      </c>
      <c r="E1631" s="4" t="str">
        <f>IFERROR(__xludf.DUMMYFUNCTION("""COMPUTED_VALUE"""),"RVPCORD5E050")</f>
        <v>RVPCORD5E050</v>
      </c>
      <c r="F1631" s="4" t="str">
        <f>IFERROR(__xludf.DUMMYFUNCTION("""COMPUTED_VALUE"""),"CONECTIVIDAD &gt; CABLEADO ESTRUCTURADO")</f>
        <v>CONECTIVIDAD &gt; CABLEADO ESTRUCTURADO</v>
      </c>
      <c r="G1631" s="5"/>
      <c r="H1631" s="6">
        <f>IFERROR(__xludf.DUMMYFUNCTION("""COMPUTED_VALUE"""),0.8)</f>
        <v>0.8</v>
      </c>
      <c r="I1631" s="7">
        <f>IFERROR(__xludf.DUMMYFUNCTION("""COMPUTED_VALUE"""),21.0)</f>
        <v>21</v>
      </c>
      <c r="J1631" s="6">
        <f>IFERROR(__xludf.DUMMYFUNCTION("""COMPUTED_VALUE"""),0.96)</f>
        <v>0.96</v>
      </c>
      <c r="K1631" s="6">
        <f>IFERROR(__xludf.DUMMYFUNCTION("""COMPUTED_VALUE"""),1.12)</f>
        <v>1.12</v>
      </c>
      <c r="L1631" s="3"/>
      <c r="M1631" s="3"/>
    </row>
    <row r="1632" ht="48.0" customHeight="1">
      <c r="A1632" s="3" t="str">
        <f>IFERROR(__xludf.DUMMYFUNCTION("""COMPUTED_VALUE"""),"RVPCORD5E1")</f>
        <v>RVPCORD5E1</v>
      </c>
      <c r="B1632" s="4" t="str">
        <f>IFERROR(__xludf.DUMMYFUNCTION("""COMPUTED_VALUE"""),"UTP CAT5E PATCH CORD, 24AWG, CU,PVC")</f>
        <v>UTP CAT5E PATCH CORD, 24AWG, CU,PVC</v>
      </c>
      <c r="C1632" s="4" t="str">
        <f>IFERROR(__xludf.DUMMYFUNCTION("""COMPUTED_VALUE"""),"UTP Cat5e Patch cord, 24AWG, CU,PVC - 1M, negro")</f>
        <v>UTP Cat5e Patch cord, 24AWG, CU,PVC - 1M, negro</v>
      </c>
      <c r="D1632" s="4" t="str">
        <f>IFERROR(__xludf.DUMMYFUNCTION("""COMPUTED_VALUE"""),"REGUVOLT")</f>
        <v>REGUVOLT</v>
      </c>
      <c r="E1632" s="4" t="str">
        <f>IFERROR(__xludf.DUMMYFUNCTION("""COMPUTED_VALUE"""),"RVPCORD5E1")</f>
        <v>RVPCORD5E1</v>
      </c>
      <c r="F1632" s="4" t="str">
        <f>IFERROR(__xludf.DUMMYFUNCTION("""COMPUTED_VALUE"""),"CONECTIVIDAD &gt; CABLEADO ESTRUCTURADO")</f>
        <v>CONECTIVIDAD &gt; CABLEADO ESTRUCTURADO</v>
      </c>
      <c r="G1632" s="5"/>
      <c r="H1632" s="6">
        <f>IFERROR(__xludf.DUMMYFUNCTION("""COMPUTED_VALUE"""),1.22)</f>
        <v>1.22</v>
      </c>
      <c r="I1632" s="7">
        <f>IFERROR(__xludf.DUMMYFUNCTION("""COMPUTED_VALUE"""),21.0)</f>
        <v>21</v>
      </c>
      <c r="J1632" s="6">
        <f>IFERROR(__xludf.DUMMYFUNCTION("""COMPUTED_VALUE"""),1.46)</f>
        <v>1.46</v>
      </c>
      <c r="K1632" s="6">
        <f>IFERROR(__xludf.DUMMYFUNCTION("""COMPUTED_VALUE"""),1.71)</f>
        <v>1.71</v>
      </c>
      <c r="L1632" s="3"/>
      <c r="M1632" s="3"/>
    </row>
    <row r="1633" ht="48.0" customHeight="1">
      <c r="A1633" s="3" t="str">
        <f>IFERROR(__xludf.DUMMYFUNCTION("""COMPUTED_VALUE"""),"RVPCORD5E150")</f>
        <v>RVPCORD5E150</v>
      </c>
      <c r="B1633" s="4" t="str">
        <f>IFERROR(__xludf.DUMMYFUNCTION("""COMPUTED_VALUE"""),"UTP CAT5E PATCH CORD, 24AWG, CU,PVC")</f>
        <v>UTP CAT5E PATCH CORD, 24AWG, CU,PVC</v>
      </c>
      <c r="C1633" s="4" t="str">
        <f>IFERROR(__xludf.DUMMYFUNCTION("""COMPUTED_VALUE"""),"UTP Cat5e Patch cord, 24AWG, CU,PVC - 1,50M, negro")</f>
        <v>UTP Cat5e Patch cord, 24AWG, CU,PVC - 1,50M, negro</v>
      </c>
      <c r="D1633" s="4" t="str">
        <f>IFERROR(__xludf.DUMMYFUNCTION("""COMPUTED_VALUE"""),"REGUVOLT")</f>
        <v>REGUVOLT</v>
      </c>
      <c r="E1633" s="4" t="str">
        <f>IFERROR(__xludf.DUMMYFUNCTION("""COMPUTED_VALUE"""),"RVPCORD5E150")</f>
        <v>RVPCORD5E150</v>
      </c>
      <c r="F1633" s="4" t="str">
        <f>IFERROR(__xludf.DUMMYFUNCTION("""COMPUTED_VALUE"""),"CONECTIVIDAD &gt; CABLEADO ESTRUCTURADO")</f>
        <v>CONECTIVIDAD &gt; CABLEADO ESTRUCTURADO</v>
      </c>
      <c r="G1633" s="5"/>
      <c r="H1633" s="6">
        <f>IFERROR(__xludf.DUMMYFUNCTION("""COMPUTED_VALUE"""),1.4)</f>
        <v>1.4</v>
      </c>
      <c r="I1633" s="7">
        <f>IFERROR(__xludf.DUMMYFUNCTION("""COMPUTED_VALUE"""),21.0)</f>
        <v>21</v>
      </c>
      <c r="J1633" s="6">
        <f>IFERROR(__xludf.DUMMYFUNCTION("""COMPUTED_VALUE"""),1.68)</f>
        <v>1.68</v>
      </c>
      <c r="K1633" s="6">
        <f>IFERROR(__xludf.DUMMYFUNCTION("""COMPUTED_VALUE"""),1.96)</f>
        <v>1.96</v>
      </c>
      <c r="L1633" s="3"/>
      <c r="M1633" s="3"/>
    </row>
    <row r="1634" ht="48.0" customHeight="1">
      <c r="A1634" s="3" t="str">
        <f>IFERROR(__xludf.DUMMYFUNCTION("""COMPUTED_VALUE"""),"RVPCORD5E2")</f>
        <v>RVPCORD5E2</v>
      </c>
      <c r="B1634" s="4" t="str">
        <f>IFERROR(__xludf.DUMMYFUNCTION("""COMPUTED_VALUE"""),"UTP CAT5E PATCH CORD,24AWG,CU,PVC, 2M, NEGRO")</f>
        <v>UTP CAT5E PATCH CORD,24AWG,CU,PVC, 2M, NEGRO</v>
      </c>
      <c r="C1634" s="4" t="str">
        <f>IFERROR(__xludf.DUMMYFUNCTION("""COMPUTED_VALUE"""),"UTP Cat5e Patch cord,24AWG,CU,PVC, 2M, negro")</f>
        <v>UTP Cat5e Patch cord,24AWG,CU,PVC, 2M, negro</v>
      </c>
      <c r="D1634" s="4" t="str">
        <f>IFERROR(__xludf.DUMMYFUNCTION("""COMPUTED_VALUE"""),"REGUVOLT")</f>
        <v>REGUVOLT</v>
      </c>
      <c r="E1634" s="4" t="str">
        <f>IFERROR(__xludf.DUMMYFUNCTION("""COMPUTED_VALUE"""),"RVPCORD5E2")</f>
        <v>RVPCORD5E2</v>
      </c>
      <c r="F1634" s="4" t="str">
        <f>IFERROR(__xludf.DUMMYFUNCTION("""COMPUTED_VALUE"""),"CONECTIVIDAD &gt; CABLEADO ESTRUCTURADO")</f>
        <v>CONECTIVIDAD &gt; CABLEADO ESTRUCTURADO</v>
      </c>
      <c r="G1634" s="5"/>
      <c r="H1634" s="6">
        <f>IFERROR(__xludf.DUMMYFUNCTION("""COMPUTED_VALUE"""),1.8)</f>
        <v>1.8</v>
      </c>
      <c r="I1634" s="7">
        <f>IFERROR(__xludf.DUMMYFUNCTION("""COMPUTED_VALUE"""),21.0)</f>
        <v>21</v>
      </c>
      <c r="J1634" s="6">
        <f>IFERROR(__xludf.DUMMYFUNCTION("""COMPUTED_VALUE"""),2.16)</f>
        <v>2.16</v>
      </c>
      <c r="K1634" s="6">
        <f>IFERROR(__xludf.DUMMYFUNCTION("""COMPUTED_VALUE"""),2.52)</f>
        <v>2.52</v>
      </c>
      <c r="L1634" s="3"/>
      <c r="M1634" s="3"/>
    </row>
    <row r="1635" ht="48.0" customHeight="1">
      <c r="A1635" s="3" t="str">
        <f>IFERROR(__xludf.DUMMYFUNCTION("""COMPUTED_VALUE"""),"RVPCORD6050")</f>
        <v>RVPCORD6050</v>
      </c>
      <c r="B1635" s="4" t="str">
        <f>IFERROR(__xludf.DUMMYFUNCTION("""COMPUTED_VALUE"""),"UTP CAT6 PATCH CORD, CU,PVC")</f>
        <v>UTP CAT6 PATCH CORD, CU,PVC</v>
      </c>
      <c r="C1635" s="4" t="str">
        <f>IFERROR(__xludf.DUMMYFUNCTION("""COMPUTED_VALUE"""),"UTP Cat6 Patch cord, CU,PVC - 0,50M, negro")</f>
        <v>UTP Cat6 Patch cord, CU,PVC - 0,50M, negro</v>
      </c>
      <c r="D1635" s="4" t="str">
        <f>IFERROR(__xludf.DUMMYFUNCTION("""COMPUTED_VALUE"""),"REGUVOLT")</f>
        <v>REGUVOLT</v>
      </c>
      <c r="E1635" s="4" t="str">
        <f>IFERROR(__xludf.DUMMYFUNCTION("""COMPUTED_VALUE"""),"RVPCORD6050")</f>
        <v>RVPCORD6050</v>
      </c>
      <c r="F1635" s="4" t="str">
        <f>IFERROR(__xludf.DUMMYFUNCTION("""COMPUTED_VALUE"""),"CONECTIVIDAD &gt; CABLEADO ESTRUCTURADO")</f>
        <v>CONECTIVIDAD &gt; CABLEADO ESTRUCTURADO</v>
      </c>
      <c r="G1635" s="5"/>
      <c r="H1635" s="6">
        <f>IFERROR(__xludf.DUMMYFUNCTION("""COMPUTED_VALUE"""),1.27)</f>
        <v>1.27</v>
      </c>
      <c r="I1635" s="7">
        <f>IFERROR(__xludf.DUMMYFUNCTION("""COMPUTED_VALUE"""),21.0)</f>
        <v>21</v>
      </c>
      <c r="J1635" s="6">
        <f>IFERROR(__xludf.DUMMYFUNCTION("""COMPUTED_VALUE"""),1.52)</f>
        <v>1.52</v>
      </c>
      <c r="K1635" s="6">
        <f>IFERROR(__xludf.DUMMYFUNCTION("""COMPUTED_VALUE"""),1.78)</f>
        <v>1.78</v>
      </c>
      <c r="L1635" s="3"/>
      <c r="M1635" s="3"/>
    </row>
    <row r="1636" ht="48.0" customHeight="1">
      <c r="A1636" s="3" t="str">
        <f>IFERROR(__xludf.DUMMYFUNCTION("""COMPUTED_VALUE"""),"RVPCORD61")</f>
        <v>RVPCORD61</v>
      </c>
      <c r="B1636" s="4" t="str">
        <f>IFERROR(__xludf.DUMMYFUNCTION("""COMPUTED_VALUE"""),"UTP CAT6 PATCH CORD,CU,PVC")</f>
        <v>UTP CAT6 PATCH CORD,CU,PVC</v>
      </c>
      <c r="C1636" s="4" t="str">
        <f>IFERROR(__xludf.DUMMYFUNCTION("""COMPUTED_VALUE"""),"UTP Cat6 Patch cord,CU,PVC - 1M, negro")</f>
        <v>UTP Cat6 Patch cord,CU,PVC - 1M, negro</v>
      </c>
      <c r="D1636" s="4" t="str">
        <f>IFERROR(__xludf.DUMMYFUNCTION("""COMPUTED_VALUE"""),"REGUVOLT")</f>
        <v>REGUVOLT</v>
      </c>
      <c r="E1636" s="4" t="str">
        <f>IFERROR(__xludf.DUMMYFUNCTION("""COMPUTED_VALUE"""),"RVPCORD61")</f>
        <v>RVPCORD61</v>
      </c>
      <c r="F1636" s="4" t="str">
        <f>IFERROR(__xludf.DUMMYFUNCTION("""COMPUTED_VALUE"""),"CONECTIVIDAD &gt; CABLEADO ESTRUCTURADO")</f>
        <v>CONECTIVIDAD &gt; CABLEADO ESTRUCTURADO</v>
      </c>
      <c r="G1636" s="5"/>
      <c r="H1636" s="6">
        <f>IFERROR(__xludf.DUMMYFUNCTION("""COMPUTED_VALUE"""),1.71)</f>
        <v>1.71</v>
      </c>
      <c r="I1636" s="7">
        <f>IFERROR(__xludf.DUMMYFUNCTION("""COMPUTED_VALUE"""),21.0)</f>
        <v>21</v>
      </c>
      <c r="J1636" s="6">
        <f>IFERROR(__xludf.DUMMYFUNCTION("""COMPUTED_VALUE"""),2.05)</f>
        <v>2.05</v>
      </c>
      <c r="K1636" s="6">
        <f>IFERROR(__xludf.DUMMYFUNCTION("""COMPUTED_VALUE"""),2.39)</f>
        <v>2.39</v>
      </c>
      <c r="L1636" s="3"/>
      <c r="M1636" s="3"/>
    </row>
    <row r="1637" ht="48.0" customHeight="1">
      <c r="A1637" s="3" t="str">
        <f>IFERROR(__xludf.DUMMYFUNCTION("""COMPUTED_VALUE"""),"RVPCORD6150")</f>
        <v>RVPCORD6150</v>
      </c>
      <c r="B1637" s="4" t="str">
        <f>IFERROR(__xludf.DUMMYFUNCTION("""COMPUTED_VALUE"""),"UTP CAT6 PATCH CORD,CU,PVC")</f>
        <v>UTP CAT6 PATCH CORD,CU,PVC</v>
      </c>
      <c r="C1637" s="4" t="str">
        <f>IFERROR(__xludf.DUMMYFUNCTION("""COMPUTED_VALUE"""),"UTP Cat6 Patch cord,CU,PVC - 1,50M, negro")</f>
        <v>UTP Cat6 Patch cord,CU,PVC - 1,50M, negro</v>
      </c>
      <c r="D1637" s="4" t="str">
        <f>IFERROR(__xludf.DUMMYFUNCTION("""COMPUTED_VALUE"""),"REGUVOLT")</f>
        <v>REGUVOLT</v>
      </c>
      <c r="E1637" s="4" t="str">
        <f>IFERROR(__xludf.DUMMYFUNCTION("""COMPUTED_VALUE"""),"RVPCORD6150")</f>
        <v>RVPCORD6150</v>
      </c>
      <c r="F1637" s="4" t="str">
        <f>IFERROR(__xludf.DUMMYFUNCTION("""COMPUTED_VALUE"""),"CONECTIVIDAD &gt; CABLEADO ESTRUCTURADO")</f>
        <v>CONECTIVIDAD &gt; CABLEADO ESTRUCTURADO</v>
      </c>
      <c r="G1637" s="5"/>
      <c r="H1637" s="6">
        <f>IFERROR(__xludf.DUMMYFUNCTION("""COMPUTED_VALUE"""),1.84)</f>
        <v>1.84</v>
      </c>
      <c r="I1637" s="7">
        <f>IFERROR(__xludf.DUMMYFUNCTION("""COMPUTED_VALUE"""),21.0)</f>
        <v>21</v>
      </c>
      <c r="J1637" s="6">
        <f>IFERROR(__xludf.DUMMYFUNCTION("""COMPUTED_VALUE"""),2.21)</f>
        <v>2.21</v>
      </c>
      <c r="K1637" s="6">
        <f>IFERROR(__xludf.DUMMYFUNCTION("""COMPUTED_VALUE"""),2.58)</f>
        <v>2.58</v>
      </c>
      <c r="L1637" s="3"/>
      <c r="M1637" s="3"/>
    </row>
    <row r="1638" ht="48.0" customHeight="1">
      <c r="A1638" s="3" t="str">
        <f>IFERROR(__xludf.DUMMYFUNCTION("""COMPUTED_VALUE"""),"RVPCORD62")</f>
        <v>RVPCORD62</v>
      </c>
      <c r="B1638" s="4" t="str">
        <f>IFERROR(__xludf.DUMMYFUNCTION("""COMPUTED_VALUE"""),"UTP CAT6 PATCH CORD,24AWG,CU,PVC, 2M, NEGRO")</f>
        <v>UTP CAT6 PATCH CORD,24AWG,CU,PVC, 2M, NEGRO</v>
      </c>
      <c r="C1638" s="4" t="str">
        <f>IFERROR(__xludf.DUMMYFUNCTION("""COMPUTED_VALUE"""),"UTP Cat6 Patch cord,24AWG,CU,PVC, 2M, negro")</f>
        <v>UTP Cat6 Patch cord,24AWG,CU,PVC, 2M, negro</v>
      </c>
      <c r="D1638" s="4" t="str">
        <f>IFERROR(__xludf.DUMMYFUNCTION("""COMPUTED_VALUE"""),"REGUVOLT")</f>
        <v>REGUVOLT</v>
      </c>
      <c r="E1638" s="4" t="str">
        <f>IFERROR(__xludf.DUMMYFUNCTION("""COMPUTED_VALUE"""),"RVPCORD62")</f>
        <v>RVPCORD62</v>
      </c>
      <c r="F1638" s="4" t="str">
        <f>IFERROR(__xludf.DUMMYFUNCTION("""COMPUTED_VALUE"""),"CONECTIVIDAD &gt; CABLEADO ESTRUCTURADO")</f>
        <v>CONECTIVIDAD &gt; CABLEADO ESTRUCTURADO</v>
      </c>
      <c r="G1638" s="5"/>
      <c r="H1638" s="6">
        <f>IFERROR(__xludf.DUMMYFUNCTION("""COMPUTED_VALUE"""),2.34)</f>
        <v>2.34</v>
      </c>
      <c r="I1638" s="7">
        <f>IFERROR(__xludf.DUMMYFUNCTION("""COMPUTED_VALUE"""),21.0)</f>
        <v>21</v>
      </c>
      <c r="J1638" s="6">
        <f>IFERROR(__xludf.DUMMYFUNCTION("""COMPUTED_VALUE"""),2.81)</f>
        <v>2.81</v>
      </c>
      <c r="K1638" s="6">
        <f>IFERROR(__xludf.DUMMYFUNCTION("""COMPUTED_VALUE"""),3.28)</f>
        <v>3.28</v>
      </c>
      <c r="L1638" s="3"/>
      <c r="M1638" s="3"/>
    </row>
    <row r="1639" ht="48.0" customHeight="1">
      <c r="A1639" s="3" t="str">
        <f>IFERROR(__xludf.DUMMYFUNCTION("""COMPUTED_VALUE"""),"RVPP524")</f>
        <v>RVPP524</v>
      </c>
      <c r="B1639" s="4" t="str">
        <f>IFERROR(__xludf.DUMMYFUNCTION("""COMPUTED_VALUE"""),"UTP CAT5E PATCH PANEL 24 PORTS")</f>
        <v>UTP CAT5E PATCH PANEL 24 PORTS</v>
      </c>
      <c r="C1639" s="4" t="str">
        <f>IFERROR(__xludf.DUMMYFUNCTION("""COMPUTED_VALUE"""),"UTP Cat5e patch panel 24 ports. / 24 x unshielded RJ45 jacks. / 6 ports as an unit. 1U 19"" krone&amp;110 dual IDC")</f>
        <v>UTP Cat5e patch panel 24 ports. / 24 x unshielded RJ45 jacks. / 6 ports as an unit. 1U 19" krone&amp;110 dual IDC</v>
      </c>
      <c r="D1639" s="4" t="str">
        <f>IFERROR(__xludf.DUMMYFUNCTION("""COMPUTED_VALUE"""),"REGUVOLT")</f>
        <v>REGUVOLT</v>
      </c>
      <c r="E1639" s="4" t="str">
        <f>IFERROR(__xludf.DUMMYFUNCTION("""COMPUTED_VALUE"""),"RVPP524")</f>
        <v>RVPP524</v>
      </c>
      <c r="F1639" s="4" t="str">
        <f>IFERROR(__xludf.DUMMYFUNCTION("""COMPUTED_VALUE"""),"CONECTIVIDAD &gt; CABLEADO ESTRUCTURADO")</f>
        <v>CONECTIVIDAD &gt; CABLEADO ESTRUCTURADO</v>
      </c>
      <c r="G1639" s="5"/>
      <c r="H1639" s="6">
        <f>IFERROR(__xludf.DUMMYFUNCTION("""COMPUTED_VALUE"""),22.14)</f>
        <v>22.14</v>
      </c>
      <c r="I1639" s="7">
        <f>IFERROR(__xludf.DUMMYFUNCTION("""COMPUTED_VALUE"""),21.0)</f>
        <v>21</v>
      </c>
      <c r="J1639" s="6">
        <f>IFERROR(__xludf.DUMMYFUNCTION("""COMPUTED_VALUE"""),26.57)</f>
        <v>26.57</v>
      </c>
      <c r="K1639" s="6">
        <f>IFERROR(__xludf.DUMMYFUNCTION("""COMPUTED_VALUE"""),31.0)</f>
        <v>31</v>
      </c>
      <c r="L1639" s="3"/>
      <c r="M1639" s="3"/>
    </row>
    <row r="1640" ht="48.0" customHeight="1">
      <c r="A1640" s="3" t="str">
        <f>IFERROR(__xludf.DUMMYFUNCTION("""COMPUTED_VALUE"""),"RVPPD246A")</f>
        <v>RVPPD246A</v>
      </c>
      <c r="B1640" s="4" t="str">
        <f>IFERROR(__xludf.DUMMYFUNCTION("""COMPUTED_VALUE"""),"PATCHERA DESCARGADA DE 24 PUERTOS CON ORGANIZADOR")</f>
        <v>PATCHERA DESCARGADA DE 24 PUERTOS CON ORGANIZADOR</v>
      </c>
      <c r="C1640" s="4" t="str">
        <f>IFERROR(__xludf.DUMMYFUNCTION("""COMPUTED_VALUE"""),"Patchera descargada de 24 puertos con organizador")</f>
        <v>Patchera descargada de 24 puertos con organizador</v>
      </c>
      <c r="D1640" s="4" t="str">
        <f>IFERROR(__xludf.DUMMYFUNCTION("""COMPUTED_VALUE"""),"REGUVOLT")</f>
        <v>REGUVOLT</v>
      </c>
      <c r="E1640" s="4" t="str">
        <f>IFERROR(__xludf.DUMMYFUNCTION("""COMPUTED_VALUE"""),"RVPPD246A")</f>
        <v>RVPPD246A</v>
      </c>
      <c r="F1640" s="4" t="str">
        <f>IFERROR(__xludf.DUMMYFUNCTION("""COMPUTED_VALUE"""),"CONECTIVIDAD &gt; CABLEADO ESTRUCTURADO")</f>
        <v>CONECTIVIDAD &gt; CABLEADO ESTRUCTURADO</v>
      </c>
      <c r="G1640" s="5"/>
      <c r="H1640" s="6">
        <f>IFERROR(__xludf.DUMMYFUNCTION("""COMPUTED_VALUE"""),29.34)</f>
        <v>29.34</v>
      </c>
      <c r="I1640" s="7">
        <f>IFERROR(__xludf.DUMMYFUNCTION("""COMPUTED_VALUE"""),21.0)</f>
        <v>21</v>
      </c>
      <c r="J1640" s="6">
        <f>IFERROR(__xludf.DUMMYFUNCTION("""COMPUTED_VALUE"""),35.21)</f>
        <v>35.21</v>
      </c>
      <c r="K1640" s="6">
        <f>IFERROR(__xludf.DUMMYFUNCTION("""COMPUTED_VALUE"""),41.08)</f>
        <v>41.08</v>
      </c>
      <c r="L1640" s="3"/>
      <c r="M1640" s="3"/>
    </row>
    <row r="1641" ht="48.0" customHeight="1">
      <c r="A1641" s="3" t="str">
        <f>IFERROR(__xludf.DUMMYFUNCTION("""COMPUTED_VALUE"""),"RVPP548")</f>
        <v>RVPP548</v>
      </c>
      <c r="B1641" s="4" t="str">
        <f>IFERROR(__xludf.DUMMYFUNCTION("""COMPUTED_VALUE"""),"UTP CAT5E PATCH PANEL 48 PORTS")</f>
        <v>UTP CAT5E PATCH PANEL 48 PORTS</v>
      </c>
      <c r="C1641" s="4" t="str">
        <f>IFERROR(__xludf.DUMMYFUNCTION("""COMPUTED_VALUE"""),"UTP Cat5e patch panel 48 ports. / 48 x unshielded RJ45 jacks. / 6 ports as an unit. / 2U 19"" krone&amp;110 dual IDC")</f>
        <v>UTP Cat5e patch panel 48 ports. / 48 x unshielded RJ45 jacks. / 6 ports as an unit. / 2U 19" krone&amp;110 dual IDC</v>
      </c>
      <c r="D1641" s="4" t="str">
        <f>IFERROR(__xludf.DUMMYFUNCTION("""COMPUTED_VALUE"""),"REGUVOLT")</f>
        <v>REGUVOLT</v>
      </c>
      <c r="E1641" s="4" t="str">
        <f>IFERROR(__xludf.DUMMYFUNCTION("""COMPUTED_VALUE"""),"RVPP548")</f>
        <v>RVPP548</v>
      </c>
      <c r="F1641" s="4" t="str">
        <f>IFERROR(__xludf.DUMMYFUNCTION("""COMPUTED_VALUE"""),"CONECTIVIDAD &gt; CABLEADO ESTRUCTURADO")</f>
        <v>CONECTIVIDAD &gt; CABLEADO ESTRUCTURADO</v>
      </c>
      <c r="G1641" s="5"/>
      <c r="H1641" s="6">
        <f>IFERROR(__xludf.DUMMYFUNCTION("""COMPUTED_VALUE"""),48.4)</f>
        <v>48.4</v>
      </c>
      <c r="I1641" s="7">
        <f>IFERROR(__xludf.DUMMYFUNCTION("""COMPUTED_VALUE"""),21.0)</f>
        <v>21</v>
      </c>
      <c r="J1641" s="6">
        <f>IFERROR(__xludf.DUMMYFUNCTION("""COMPUTED_VALUE"""),58.08)</f>
        <v>58.08</v>
      </c>
      <c r="K1641" s="6">
        <f>IFERROR(__xludf.DUMMYFUNCTION("""COMPUTED_VALUE"""),67.76)</f>
        <v>67.76</v>
      </c>
      <c r="L1641" s="3"/>
      <c r="M1641" s="3"/>
    </row>
    <row r="1642" ht="48.0" customHeight="1">
      <c r="A1642" s="3" t="str">
        <f>IFERROR(__xludf.DUMMYFUNCTION("""COMPUTED_VALUE"""),"RVPP624")</f>
        <v>RVPP624</v>
      </c>
      <c r="B1642" s="4" t="str">
        <f>IFERROR(__xludf.DUMMYFUNCTION("""COMPUTED_VALUE"""),"UTP CAT6 PATCH PANEL 24 PORTS")</f>
        <v>UTP CAT6 PATCH PANEL 24 PORTS</v>
      </c>
      <c r="C1642" s="4" t="str">
        <f>IFERROR(__xludf.DUMMYFUNCTION("""COMPUTED_VALUE"""),"UTP Cat6 patch panel 24 ports. / 24 x unshielded RJ45 jacks. / 6 ports as an unit. / 1U 19"" krone&amp;110 dual IDC")</f>
        <v>UTP Cat6 patch panel 24 ports. / 24 x unshielded RJ45 jacks. / 6 ports as an unit. / 1U 19" krone&amp;110 dual IDC</v>
      </c>
      <c r="D1642" s="4" t="str">
        <f>IFERROR(__xludf.DUMMYFUNCTION("""COMPUTED_VALUE"""),"REGUVOLT")</f>
        <v>REGUVOLT</v>
      </c>
      <c r="E1642" s="4" t="str">
        <f>IFERROR(__xludf.DUMMYFUNCTION("""COMPUTED_VALUE"""),"RVPP624")</f>
        <v>RVPP624</v>
      </c>
      <c r="F1642" s="4" t="str">
        <f>IFERROR(__xludf.DUMMYFUNCTION("""COMPUTED_VALUE"""),"CONECTIVIDAD &gt; CABLEADO ESTRUCTURADO")</f>
        <v>CONECTIVIDAD &gt; CABLEADO ESTRUCTURADO</v>
      </c>
      <c r="G1642" s="5"/>
      <c r="H1642" s="6">
        <f>IFERROR(__xludf.DUMMYFUNCTION("""COMPUTED_VALUE"""),42.98)</f>
        <v>42.98</v>
      </c>
      <c r="I1642" s="7">
        <f>IFERROR(__xludf.DUMMYFUNCTION("""COMPUTED_VALUE"""),21.0)</f>
        <v>21</v>
      </c>
      <c r="J1642" s="6">
        <f>IFERROR(__xludf.DUMMYFUNCTION("""COMPUTED_VALUE"""),51.58)</f>
        <v>51.58</v>
      </c>
      <c r="K1642" s="6">
        <f>IFERROR(__xludf.DUMMYFUNCTION("""COMPUTED_VALUE"""),60.17)</f>
        <v>60.17</v>
      </c>
      <c r="L1642" s="3"/>
      <c r="M1642" s="3"/>
    </row>
    <row r="1643" ht="48.0" customHeight="1">
      <c r="A1643" s="3" t="str">
        <f>IFERROR(__xludf.DUMMYFUNCTION("""COMPUTED_VALUE"""),"RVPP648")</f>
        <v>RVPP648</v>
      </c>
      <c r="B1643" s="4" t="str">
        <f>IFERROR(__xludf.DUMMYFUNCTION("""COMPUTED_VALUE"""),"UTP CAT6 PATCH PANEL 48 PORTS")</f>
        <v>UTP CAT6 PATCH PANEL 48 PORTS</v>
      </c>
      <c r="C1643" s="4" t="str">
        <f>IFERROR(__xludf.DUMMYFUNCTION("""COMPUTED_VALUE"""),"UTP Cat6 patch panel 48 ports. / 48 x unshielded RJ45 jacks. / 6 ports as an unit. / 2U 19"" krone&amp;110 dual IDC")</f>
        <v>UTP Cat6 patch panel 48 ports. / 48 x unshielded RJ45 jacks. / 6 ports as an unit. / 2U 19" krone&amp;110 dual IDC</v>
      </c>
      <c r="D1643" s="4" t="str">
        <f>IFERROR(__xludf.DUMMYFUNCTION("""COMPUTED_VALUE"""),"REGUVOLT")</f>
        <v>REGUVOLT</v>
      </c>
      <c r="E1643" s="4" t="str">
        <f>IFERROR(__xludf.DUMMYFUNCTION("""COMPUTED_VALUE"""),"RVPP648")</f>
        <v>RVPP648</v>
      </c>
      <c r="F1643" s="4" t="str">
        <f>IFERROR(__xludf.DUMMYFUNCTION("""COMPUTED_VALUE"""),"CONECTIVIDAD &gt; CABLEADO ESTRUCTURADO")</f>
        <v>CONECTIVIDAD &gt; CABLEADO ESTRUCTURADO</v>
      </c>
      <c r="G1643" s="5"/>
      <c r="H1643" s="6">
        <f>IFERROR(__xludf.DUMMYFUNCTION("""COMPUTED_VALUE"""),86.24)</f>
        <v>86.24</v>
      </c>
      <c r="I1643" s="7">
        <f>IFERROR(__xludf.DUMMYFUNCTION("""COMPUTED_VALUE"""),21.0)</f>
        <v>21</v>
      </c>
      <c r="J1643" s="6">
        <f>IFERROR(__xludf.DUMMYFUNCTION("""COMPUTED_VALUE"""),103.49)</f>
        <v>103.49</v>
      </c>
      <c r="K1643" s="6">
        <f>IFERROR(__xludf.DUMMYFUNCTION("""COMPUTED_VALUE"""),120.74)</f>
        <v>120.74</v>
      </c>
      <c r="L1643" s="3"/>
      <c r="M1643" s="3"/>
    </row>
    <row r="1644" ht="48.0" customHeight="1">
      <c r="A1644" s="3" t="str">
        <f>IFERROR(__xludf.DUMMYFUNCTION("""COMPUTED_VALUE"""),"UPPACH245")</f>
        <v>UPPACH245</v>
      </c>
      <c r="B1644" s="4" t="str">
        <f>IFERROR(__xludf.DUMMYFUNCTION("""COMPUTED_VALUE"""),"I-U5E PP 1924 PACHERA 24 PUERTOS CAT5E PARA MONTAJE EN RACK 1UR")</f>
        <v>I-U5E PP 1924 PACHERA 24 PUERTOS CAT5E PARA MONTAJE EN RACK 1UR</v>
      </c>
      <c r="C1644" s="4" t="str">
        <f>IFERROR(__xludf.DUMMYFUNCTION("""COMPUTED_VALUE"""),"I-U5e PP 1924 Pachera 24 puertos CAT5e para montaje en rack 1UR")</f>
        <v>I-U5e PP 1924 Pachera 24 puertos CAT5e para montaje en rack 1UR</v>
      </c>
      <c r="D1644" s="4" t="str">
        <f>IFERROR(__xludf.DUMMYFUNCTION("""COMPUTED_VALUE"""),"POLARIS")</f>
        <v>POLARIS</v>
      </c>
      <c r="E1644" s="4" t="str">
        <f>IFERROR(__xludf.DUMMYFUNCTION("""COMPUTED_VALUE"""),"UPPACH245")</f>
        <v>UPPACH245</v>
      </c>
      <c r="F1644" s="4" t="str">
        <f>IFERROR(__xludf.DUMMYFUNCTION("""COMPUTED_VALUE"""),"CONECTIVIDAD &gt; CABLEADO ESTRUCTURADO")</f>
        <v>CONECTIVIDAD &gt; CABLEADO ESTRUCTURADO</v>
      </c>
      <c r="G1644" s="5"/>
      <c r="H1644" s="6">
        <f>IFERROR(__xludf.DUMMYFUNCTION("""COMPUTED_VALUE"""),48.29)</f>
        <v>48.29</v>
      </c>
      <c r="I1644" s="7">
        <f>IFERROR(__xludf.DUMMYFUNCTION("""COMPUTED_VALUE"""),21.0)</f>
        <v>21</v>
      </c>
      <c r="J1644" s="6">
        <f>IFERROR(__xludf.DUMMYFUNCTION("""COMPUTED_VALUE"""),57.95)</f>
        <v>57.95</v>
      </c>
      <c r="K1644" s="6">
        <f>IFERROR(__xludf.DUMMYFUNCTION("""COMPUTED_VALUE"""),67.61)</f>
        <v>67.61</v>
      </c>
      <c r="L1644" s="3"/>
      <c r="M1644" s="3"/>
    </row>
    <row r="1645" ht="48.0" customHeight="1">
      <c r="A1645" s="3" t="str">
        <f>IFERROR(__xludf.DUMMYFUNCTION("""COMPUTED_VALUE"""),"UPPACH246")</f>
        <v>UPPACH246</v>
      </c>
      <c r="B1645" s="4" t="str">
        <f>IFERROR(__xludf.DUMMYFUNCTION("""COMPUTED_VALUE"""),"I-U6 PP 1924 PACHERA 24 PUERTOS CAT6 PARA MONTAJE EN RACK 1UR")</f>
        <v>I-U6 PP 1924 PACHERA 24 PUERTOS CAT6 PARA MONTAJE EN RACK 1UR</v>
      </c>
      <c r="C1645" s="4" t="str">
        <f>IFERROR(__xludf.DUMMYFUNCTION("""COMPUTED_VALUE"""),"I-U6 PP 1924 Pachera 24 puertos CAT6 para montaje en rack 1UR")</f>
        <v>I-U6 PP 1924 Pachera 24 puertos CAT6 para montaje en rack 1UR</v>
      </c>
      <c r="D1645" s="4" t="str">
        <f>IFERROR(__xludf.DUMMYFUNCTION("""COMPUTED_VALUE"""),"POLARIS")</f>
        <v>POLARIS</v>
      </c>
      <c r="E1645" s="4" t="str">
        <f>IFERROR(__xludf.DUMMYFUNCTION("""COMPUTED_VALUE"""),"UPPACH246")</f>
        <v>UPPACH246</v>
      </c>
      <c r="F1645" s="4" t="str">
        <f>IFERROR(__xludf.DUMMYFUNCTION("""COMPUTED_VALUE"""),"CONECTIVIDAD &gt; CABLEADO ESTRUCTURADO")</f>
        <v>CONECTIVIDAD &gt; CABLEADO ESTRUCTURADO</v>
      </c>
      <c r="G1645" s="5"/>
      <c r="H1645" s="6">
        <f>IFERROR(__xludf.DUMMYFUNCTION("""COMPUTED_VALUE"""),57.95)</f>
        <v>57.95</v>
      </c>
      <c r="I1645" s="7">
        <f>IFERROR(__xludf.DUMMYFUNCTION("""COMPUTED_VALUE"""),21.0)</f>
        <v>21</v>
      </c>
      <c r="J1645" s="6">
        <f>IFERROR(__xludf.DUMMYFUNCTION("""COMPUTED_VALUE"""),69.54)</f>
        <v>69.54</v>
      </c>
      <c r="K1645" s="6">
        <f>IFERROR(__xludf.DUMMYFUNCTION("""COMPUTED_VALUE"""),81.13)</f>
        <v>81.13</v>
      </c>
      <c r="L1645" s="3"/>
      <c r="M1645" s="3"/>
    </row>
    <row r="1646" ht="48.0" customHeight="1">
      <c r="A1646" s="3" t="str">
        <f>IFERROR(__xludf.DUMMYFUNCTION("""COMPUTED_VALUE"""),"FUPACH246")</f>
        <v>FUPACH246</v>
      </c>
      <c r="B1646" s="4" t="str">
        <f>IFERROR(__xludf.DUMMYFUNCTION("""COMPUTED_VALUE"""),"ACC")</f>
        <v>ACC</v>
      </c>
      <c r="C1646" s="4" t="str">
        <f>IFERROR(__xludf.DUMMYFUNCTION("""COMPUTED_VALUE"""),"ACC.FKW PATCHERA 24P CAT6 GIGALAN MODULAR")</f>
        <v>ACC.FKW PATCHERA 24P CAT6 GIGALAN MODULAR</v>
      </c>
      <c r="D1646" s="4" t="str">
        <f>IFERROR(__xludf.DUMMYFUNCTION("""COMPUTED_VALUE"""),"FURUKAWA")</f>
        <v>FURUKAWA</v>
      </c>
      <c r="E1646" s="4" t="str">
        <f>IFERROR(__xludf.DUMMYFUNCTION("""COMPUTED_VALUE"""),"FUPACH246")</f>
        <v>FUPACH246</v>
      </c>
      <c r="F1646" s="4" t="str">
        <f>IFERROR(__xludf.DUMMYFUNCTION("""COMPUTED_VALUE"""),"CONECTIVIDAD &gt; CABLEADO ESTRUCTURADO")</f>
        <v>CONECTIVIDAD &gt; CABLEADO ESTRUCTURADO</v>
      </c>
      <c r="G1646" s="5"/>
      <c r="H1646" s="6">
        <f>IFERROR(__xludf.DUMMYFUNCTION("""COMPUTED_VALUE"""),148.5)</f>
        <v>148.5</v>
      </c>
      <c r="I1646" s="7">
        <f>IFERROR(__xludf.DUMMYFUNCTION("""COMPUTED_VALUE"""),21.0)</f>
        <v>21</v>
      </c>
      <c r="J1646" s="6">
        <f>IFERROR(__xludf.DUMMYFUNCTION("""COMPUTED_VALUE"""),178.2)</f>
        <v>178.2</v>
      </c>
      <c r="K1646" s="6">
        <f>IFERROR(__xludf.DUMMYFUNCTION("""COMPUTED_VALUE"""),207.9)</f>
        <v>207.9</v>
      </c>
      <c r="L1646" s="3"/>
      <c r="M1646" s="3"/>
    </row>
    <row r="1647" ht="48.0" customHeight="1">
      <c r="A1647" s="3" t="str">
        <f>IFERROR(__xludf.DUMMYFUNCTION("""COMPUTED_VALUE"""),"NK6EPPG24Y")</f>
        <v>NK6EPPG24Y</v>
      </c>
      <c r="B1647" s="4" t="str">
        <f>IFERROR(__xludf.DUMMYFUNCTION("""COMPUTED_VALUE"""),"PATCH PANEL CAT6 ESTILO 110 DE 24 PUERTOS PARA MONTAJE EN RACK 1U")</f>
        <v>PATCH PANEL CAT6 ESTILO 110 DE 24 PUERTOS PARA MONTAJE EN RACK 1U</v>
      </c>
      <c r="C1647" s="4" t="str">
        <f>IFERROR(__xludf.DUMMYFUNCTION("""COMPUTED_VALUE"""),"Patch panel CAT6 estilo 110 de 24 puertos para montaje en rack 1U")</f>
        <v>Patch panel CAT6 estilo 110 de 24 puertos para montaje en rack 1U</v>
      </c>
      <c r="D1647" s="4" t="str">
        <f>IFERROR(__xludf.DUMMYFUNCTION("""COMPUTED_VALUE"""),"PANDUIT")</f>
        <v>PANDUIT</v>
      </c>
      <c r="E1647" s="4" t="str">
        <f>IFERROR(__xludf.DUMMYFUNCTION("""COMPUTED_VALUE"""),"NK6EPPG24Y")</f>
        <v>NK6EPPG24Y</v>
      </c>
      <c r="F1647" s="4" t="str">
        <f>IFERROR(__xludf.DUMMYFUNCTION("""COMPUTED_VALUE"""),"CONECTIVIDAD &gt; CABLEADO ESTRUCTURADO")</f>
        <v>CONECTIVIDAD &gt; CABLEADO ESTRUCTURADO</v>
      </c>
      <c r="G1647" s="5"/>
      <c r="H1647" s="6">
        <f>IFERROR(__xludf.DUMMYFUNCTION("""COMPUTED_VALUE"""),148.5)</f>
        <v>148.5</v>
      </c>
      <c r="I1647" s="7">
        <f>IFERROR(__xludf.DUMMYFUNCTION("""COMPUTED_VALUE"""),21.0)</f>
        <v>21</v>
      </c>
      <c r="J1647" s="6">
        <f>IFERROR(__xludf.DUMMYFUNCTION("""COMPUTED_VALUE"""),178.2)</f>
        <v>178.2</v>
      </c>
      <c r="K1647" s="6">
        <f>IFERROR(__xludf.DUMMYFUNCTION("""COMPUTED_VALUE"""),207.9)</f>
        <v>207.9</v>
      </c>
      <c r="L1647" s="3"/>
      <c r="M1647" s="3"/>
    </row>
    <row r="1648" ht="48.0" customHeight="1">
      <c r="A1648" s="3" t="str">
        <f>IFERROR(__xludf.DUMMYFUNCTION("""COMPUTED_VALUE"""),"NKP5E88MBL")</f>
        <v>NKP5E88MBL</v>
      </c>
      <c r="B1648" s="4" t="str">
        <f>IFERROR(__xludf.DUMMYFUNCTION("""COMPUTED_VALUE"""),"JACK NK CAT5E PUNCHDOWN COLOR NEGRO NETKEY ®")</f>
        <v>JACK NK CAT5E PUNCHDOWN COLOR NEGRO NETKEY ®</v>
      </c>
      <c r="C1648" s="4" t="str">
        <f>IFERROR(__xludf.DUMMYFUNCTION("""COMPUTED_VALUE"""),"Jack NK CAT5e punchdown color negro NetKey ®.")</f>
        <v>Jack NK CAT5e punchdown color negro NetKey ®.</v>
      </c>
      <c r="D1648" s="4" t="str">
        <f>IFERROR(__xludf.DUMMYFUNCTION("""COMPUTED_VALUE"""),"PANDUIT")</f>
        <v>PANDUIT</v>
      </c>
      <c r="E1648" s="4" t="str">
        <f>IFERROR(__xludf.DUMMYFUNCTION("""COMPUTED_VALUE"""),"NKP5E88MBL")</f>
        <v>NKP5E88MBL</v>
      </c>
      <c r="F1648" s="4" t="str">
        <f>IFERROR(__xludf.DUMMYFUNCTION("""COMPUTED_VALUE"""),"CONECTIVIDAD &gt; CABLEADO ESTRUCTURADO")</f>
        <v>CONECTIVIDAD &gt; CABLEADO ESTRUCTURADO</v>
      </c>
      <c r="G1648" s="5"/>
      <c r="H1648" s="6">
        <f>IFERROR(__xludf.DUMMYFUNCTION("""COMPUTED_VALUE"""),2.07)</f>
        <v>2.07</v>
      </c>
      <c r="I1648" s="7">
        <f>IFERROR(__xludf.DUMMYFUNCTION("""COMPUTED_VALUE"""),21.0)</f>
        <v>21</v>
      </c>
      <c r="J1648" s="6">
        <f>IFERROR(__xludf.DUMMYFUNCTION("""COMPUTED_VALUE"""),2.48)</f>
        <v>2.48</v>
      </c>
      <c r="K1648" s="6">
        <f>IFERROR(__xludf.DUMMYFUNCTION("""COMPUTED_VALUE"""),2.9)</f>
        <v>2.9</v>
      </c>
      <c r="L1648" s="3"/>
      <c r="M1648" s="3"/>
    </row>
    <row r="1649" ht="48.0" customHeight="1">
      <c r="A1649" s="3" t="str">
        <f>IFERROR(__xludf.DUMMYFUNCTION("""COMPUTED_VALUE"""),"NKCJ688TGBL")</f>
        <v>NKCJ688TGBL</v>
      </c>
      <c r="B1649" s="4" t="str">
        <f>IFERROR(__xludf.DUMMYFUNCTION("""COMPUTED_VALUE"""),"JACK MINI-COM CAT6 PUNCHDOWN COLOR NEGRO")</f>
        <v>JACK MINI-COM CAT6 PUNCHDOWN COLOR NEGRO</v>
      </c>
      <c r="C1649" s="4" t="str">
        <f>IFERROR(__xludf.DUMMYFUNCTION("""COMPUTED_VALUE"""),"Jack Mini-Com CAT6 punchdown color negro")</f>
        <v>Jack Mini-Com CAT6 punchdown color negro</v>
      </c>
      <c r="D1649" s="4" t="str">
        <f>IFERROR(__xludf.DUMMYFUNCTION("""COMPUTED_VALUE"""),"PANDUIT")</f>
        <v>PANDUIT</v>
      </c>
      <c r="E1649" s="4" t="str">
        <f>IFERROR(__xludf.DUMMYFUNCTION("""COMPUTED_VALUE"""),"NKCJ688TGBL")</f>
        <v>NKCJ688TGBL</v>
      </c>
      <c r="F1649" s="4" t="str">
        <f>IFERROR(__xludf.DUMMYFUNCTION("""COMPUTED_VALUE"""),"CONECTIVIDAD &gt; CABLEADO ESTRUCTURADO")</f>
        <v>CONECTIVIDAD &gt; CABLEADO ESTRUCTURADO</v>
      </c>
      <c r="G1649" s="5"/>
      <c r="H1649" s="6">
        <f>IFERROR(__xludf.DUMMYFUNCTION("""COMPUTED_VALUE"""),2.75)</f>
        <v>2.75</v>
      </c>
      <c r="I1649" s="7">
        <f>IFERROR(__xludf.DUMMYFUNCTION("""COMPUTED_VALUE"""),21.0)</f>
        <v>21</v>
      </c>
      <c r="J1649" s="6">
        <f>IFERROR(__xludf.DUMMYFUNCTION("""COMPUTED_VALUE"""),3.3)</f>
        <v>3.3</v>
      </c>
      <c r="K1649" s="6">
        <f>IFERROR(__xludf.DUMMYFUNCTION("""COMPUTED_VALUE"""),3.85)</f>
        <v>3.85</v>
      </c>
      <c r="L1649" s="3"/>
      <c r="M1649" s="3"/>
    </row>
    <row r="1650" ht="48.0" customHeight="1">
      <c r="A1650" s="3" t="str">
        <f>IFERROR(__xludf.DUMMYFUNCTION("""COMPUTED_VALUE"""),"NK2FNIW")</f>
        <v>NK2FNIW</v>
      </c>
      <c r="B1650" s="4" t="str">
        <f>IFERROR(__xludf.DUMMYFUNCTION("""COMPUTED_VALUE"""),"FACEPLATE 2 POSICIONES, MONTAJE EMPOTRADO FRONTAL VERTICAL")</f>
        <v>FACEPLATE 2 POSICIONES, MONTAJE EMPOTRADO FRONTAL VERTICAL</v>
      </c>
      <c r="C1650" s="4" t="str">
        <f>IFERROR(__xludf.DUMMYFUNCTION("""COMPUTED_VALUE"""),"Faceplate 2 posiciones, montaje empotrado frontal vertical. Acepta dos módulos NetKey ®.")</f>
        <v>Faceplate 2 posiciones, montaje empotrado frontal vertical. Acepta dos módulos NetKey ®.</v>
      </c>
      <c r="D1650" s="4" t="str">
        <f>IFERROR(__xludf.DUMMYFUNCTION("""COMPUTED_VALUE"""),"PANDUIT")</f>
        <v>PANDUIT</v>
      </c>
      <c r="E1650" s="4" t="str">
        <f>IFERROR(__xludf.DUMMYFUNCTION("""COMPUTED_VALUE"""),"NK2FNIW")</f>
        <v>NK2FNIW</v>
      </c>
      <c r="F1650" s="4" t="str">
        <f>IFERROR(__xludf.DUMMYFUNCTION("""COMPUTED_VALUE"""),"CONECTIVIDAD &gt; CABLEADO ESTRUCTURADO")</f>
        <v>CONECTIVIDAD &gt; CABLEADO ESTRUCTURADO</v>
      </c>
      <c r="G1650" s="5"/>
      <c r="H1650" s="6">
        <f>IFERROR(__xludf.DUMMYFUNCTION("""COMPUTED_VALUE"""),2.75)</f>
        <v>2.75</v>
      </c>
      <c r="I1650" s="7">
        <f>IFERROR(__xludf.DUMMYFUNCTION("""COMPUTED_VALUE"""),21.0)</f>
        <v>21</v>
      </c>
      <c r="J1650" s="6">
        <f>IFERROR(__xludf.DUMMYFUNCTION("""COMPUTED_VALUE"""),3.3)</f>
        <v>3.3</v>
      </c>
      <c r="K1650" s="6">
        <f>IFERROR(__xludf.DUMMYFUNCTION("""COMPUTED_VALUE"""),3.85)</f>
        <v>3.85</v>
      </c>
      <c r="L1650" s="3"/>
      <c r="M1650" s="3"/>
    </row>
    <row r="1651" ht="48.0" customHeight="1">
      <c r="A1651" s="3" t="str">
        <f>IFERROR(__xludf.DUMMYFUNCTION("""COMPUTED_VALUE"""),"NK4FNIW")</f>
        <v>NK4FNIW</v>
      </c>
      <c r="B1651" s="4" t="str">
        <f>IFERROR(__xludf.DUMMYFUNCTION("""COMPUTED_VALUE"""),"FACEPLATE 4 POSICIONES, MONTAJE EMPOTRADO FRONTAL VERTICAL")</f>
        <v>FACEPLATE 4 POSICIONES, MONTAJE EMPOTRADO FRONTAL VERTICAL</v>
      </c>
      <c r="C1651" s="4" t="str">
        <f>IFERROR(__xludf.DUMMYFUNCTION("""COMPUTED_VALUE"""),"Faceplate 4 posiciones, montaje empotrado frontal vertical. Acepta dos módulos NetKey ®.")</f>
        <v>Faceplate 4 posiciones, montaje empotrado frontal vertical. Acepta dos módulos NetKey ®.</v>
      </c>
      <c r="D1651" s="4" t="str">
        <f>IFERROR(__xludf.DUMMYFUNCTION("""COMPUTED_VALUE"""),"PANDUIT")</f>
        <v>PANDUIT</v>
      </c>
      <c r="E1651" s="4" t="str">
        <f>IFERROR(__xludf.DUMMYFUNCTION("""COMPUTED_VALUE"""),"NK4FNIW")</f>
        <v>NK4FNIW</v>
      </c>
      <c r="F1651" s="4" t="str">
        <f>IFERROR(__xludf.DUMMYFUNCTION("""COMPUTED_VALUE"""),"CONECTIVIDAD &gt; CABLEADO ESTRUCTURADO")</f>
        <v>CONECTIVIDAD &gt; CABLEADO ESTRUCTURADO</v>
      </c>
      <c r="G1651" s="5"/>
      <c r="H1651" s="6">
        <f>IFERROR(__xludf.DUMMYFUNCTION("""COMPUTED_VALUE"""),2.75)</f>
        <v>2.75</v>
      </c>
      <c r="I1651" s="7">
        <f>IFERROR(__xludf.DUMMYFUNCTION("""COMPUTED_VALUE"""),21.0)</f>
        <v>21</v>
      </c>
      <c r="J1651" s="6">
        <f>IFERROR(__xludf.DUMMYFUNCTION("""COMPUTED_VALUE"""),3.3)</f>
        <v>3.3</v>
      </c>
      <c r="K1651" s="6">
        <f>IFERROR(__xludf.DUMMYFUNCTION("""COMPUTED_VALUE"""),3.85)</f>
        <v>3.85</v>
      </c>
      <c r="L1651" s="3"/>
      <c r="M1651" s="3"/>
    </row>
    <row r="1652" ht="48.0" customHeight="1">
      <c r="A1652" s="3" t="str">
        <f>IFERROR(__xludf.DUMMYFUNCTION("""COMPUTED_VALUE"""),"NK6CFPE2IWY")</f>
        <v>NK6CFPE2IWY</v>
      </c>
      <c r="B1652" s="4" t="str">
        <f>IFERROR(__xludf.DUMMYFUNCTION("""COMPUTED_VALUE"""),"FACEPLATE 2 POSICIONES CAT6 COMPATIBLE CON DOS MÓDULOS MINI-COM")</f>
        <v>FACEPLATE 2 POSICIONES CAT6 COMPATIBLE CON DOS MÓDULOS MINI-COM</v>
      </c>
      <c r="C1652" s="4" t="str">
        <f>IFERROR(__xludf.DUMMYFUNCTION("""COMPUTED_VALUE"""),"Faceplate 2 posiciones CAT6 compatible con dos módulos Mini-Com CFPE2IWY")</f>
        <v>Faceplate 2 posiciones CAT6 compatible con dos módulos Mini-Com CFPE2IWY</v>
      </c>
      <c r="D1652" s="4" t="str">
        <f>IFERROR(__xludf.DUMMYFUNCTION("""COMPUTED_VALUE"""),"PANDUIT")</f>
        <v>PANDUIT</v>
      </c>
      <c r="E1652" s="4" t="str">
        <f>IFERROR(__xludf.DUMMYFUNCTION("""COMPUTED_VALUE"""),"NK6CFPE2IWY")</f>
        <v>NK6CFPE2IWY</v>
      </c>
      <c r="F1652" s="4" t="str">
        <f>IFERROR(__xludf.DUMMYFUNCTION("""COMPUTED_VALUE"""),"CONECTIVIDAD &gt; CABLEADO ESTRUCTURADO")</f>
        <v>CONECTIVIDAD &gt; CABLEADO ESTRUCTURADO</v>
      </c>
      <c r="G1652" s="5"/>
      <c r="H1652" s="6">
        <f>IFERROR(__xludf.DUMMYFUNCTION("""COMPUTED_VALUE"""),2.75)</f>
        <v>2.75</v>
      </c>
      <c r="I1652" s="7">
        <f>IFERROR(__xludf.DUMMYFUNCTION("""COMPUTED_VALUE"""),21.0)</f>
        <v>21</v>
      </c>
      <c r="J1652" s="6">
        <f>IFERROR(__xludf.DUMMYFUNCTION("""COMPUTED_VALUE"""),3.3)</f>
        <v>3.3</v>
      </c>
      <c r="K1652" s="6">
        <f>IFERROR(__xludf.DUMMYFUNCTION("""COMPUTED_VALUE"""),3.85)</f>
        <v>3.85</v>
      </c>
      <c r="L1652" s="3"/>
      <c r="M1652" s="3"/>
    </row>
    <row r="1653" ht="48.0" customHeight="1">
      <c r="A1653" s="3" t="str">
        <f>IFERROR(__xludf.DUMMYFUNCTION("""COMPUTED_VALUE"""),"NK6CFPE4IWY")</f>
        <v>NK6CFPE4IWY</v>
      </c>
      <c r="B1653" s="4" t="str">
        <f>IFERROR(__xludf.DUMMYFUNCTION("""COMPUTED_VALUE"""),"FACEPLATE 4 POSICIONES CAT6 COMPATIBLE CON 4 MÓDULOS MINI-COM")</f>
        <v>FACEPLATE 4 POSICIONES CAT6 COMPATIBLE CON 4 MÓDULOS MINI-COM</v>
      </c>
      <c r="C1653" s="4" t="str">
        <f>IFERROR(__xludf.DUMMYFUNCTION("""COMPUTED_VALUE"""),"Faceplate 4 posiciones CAT6 compatible con 4 módulos Mini-Com CFPE4IWY")</f>
        <v>Faceplate 4 posiciones CAT6 compatible con 4 módulos Mini-Com CFPE4IWY</v>
      </c>
      <c r="D1653" s="4" t="str">
        <f>IFERROR(__xludf.DUMMYFUNCTION("""COMPUTED_VALUE"""),"PANDUIT")</f>
        <v>PANDUIT</v>
      </c>
      <c r="E1653" s="4" t="str">
        <f>IFERROR(__xludf.DUMMYFUNCTION("""COMPUTED_VALUE"""),"NK6CFPE4IWY")</f>
        <v>NK6CFPE4IWY</v>
      </c>
      <c r="F1653" s="4" t="str">
        <f>IFERROR(__xludf.DUMMYFUNCTION("""COMPUTED_VALUE"""),"CONECTIVIDAD &gt; CABLEADO ESTRUCTURADO")</f>
        <v>CONECTIVIDAD &gt; CABLEADO ESTRUCTURADO</v>
      </c>
      <c r="G1653" s="5"/>
      <c r="H1653" s="6">
        <f>IFERROR(__xludf.DUMMYFUNCTION("""COMPUTED_VALUE"""),2.75)</f>
        <v>2.75</v>
      </c>
      <c r="I1653" s="7">
        <f>IFERROR(__xludf.DUMMYFUNCTION("""COMPUTED_VALUE"""),21.0)</f>
        <v>21</v>
      </c>
      <c r="J1653" s="6">
        <f>IFERROR(__xludf.DUMMYFUNCTION("""COMPUTED_VALUE"""),3.3)</f>
        <v>3.3</v>
      </c>
      <c r="K1653" s="6">
        <f>IFERROR(__xludf.DUMMYFUNCTION("""COMPUTED_VALUE"""),3.85)</f>
        <v>3.85</v>
      </c>
      <c r="L1653" s="3"/>
      <c r="M1653" s="3"/>
    </row>
    <row r="1654" ht="48.0" customHeight="1">
      <c r="A1654" s="3" t="str">
        <f>IFERROR(__xludf.DUMMYFUNCTION("""COMPUTED_VALUE"""),"FUJACKRJ45E")</f>
        <v>FUJACKRJ45E</v>
      </c>
      <c r="B1654" s="4" t="str">
        <f>IFERROR(__xludf.DUMMYFUNCTION("""COMPUTED_VALUE"""),"JACK RJ45 CAT5E BLANCO MULTILAN")</f>
        <v>JACK RJ45 CAT5E BLANCO MULTILAN</v>
      </c>
      <c r="C1654" s="4" t="str">
        <f>IFERROR(__xludf.DUMMYFUNCTION("""COMPUTED_VALUE"""),"Jack RJ45 CAT5e blanco Multilan")</f>
        <v>Jack RJ45 CAT5e blanco Multilan</v>
      </c>
      <c r="D1654" s="4" t="str">
        <f>IFERROR(__xludf.DUMMYFUNCTION("""COMPUTED_VALUE"""),"FURUKAWA")</f>
        <v>FURUKAWA</v>
      </c>
      <c r="E1654" s="4" t="str">
        <f>IFERROR(__xludf.DUMMYFUNCTION("""COMPUTED_VALUE"""),"FUJACKRJ45E")</f>
        <v>FUJACKRJ45E</v>
      </c>
      <c r="F1654" s="4" t="str">
        <f>IFERROR(__xludf.DUMMYFUNCTION("""COMPUTED_VALUE"""),"CONECTIVIDAD &gt; CABLEADO ESTRUCTURADO")</f>
        <v>CONECTIVIDAD &gt; CABLEADO ESTRUCTURADO</v>
      </c>
      <c r="G1654" s="5"/>
      <c r="H1654" s="6">
        <f>IFERROR(__xludf.DUMMYFUNCTION("""COMPUTED_VALUE"""),3.98)</f>
        <v>3.98</v>
      </c>
      <c r="I1654" s="7">
        <f>IFERROR(__xludf.DUMMYFUNCTION("""COMPUTED_VALUE"""),21.0)</f>
        <v>21</v>
      </c>
      <c r="J1654" s="6">
        <f>IFERROR(__xludf.DUMMYFUNCTION("""COMPUTED_VALUE"""),4.78)</f>
        <v>4.78</v>
      </c>
      <c r="K1654" s="6">
        <f>IFERROR(__xludf.DUMMYFUNCTION("""COMPUTED_VALUE"""),5.57)</f>
        <v>5.57</v>
      </c>
      <c r="L1654" s="3"/>
      <c r="M1654" s="3"/>
    </row>
    <row r="1655" ht="48.0" customHeight="1">
      <c r="A1655" s="3" t="str">
        <f>IFERROR(__xludf.DUMMYFUNCTION("""COMPUTED_VALUE"""),"FUFACE4")</f>
        <v>FUFACE4</v>
      </c>
      <c r="B1655" s="4" t="str">
        <f>IFERROR(__xludf.DUMMYFUNCTION("""COMPUTED_VALUE"""),"FACEPLATE 4 POSICIONES BLANCA")</f>
        <v>FACEPLATE 4 POSICIONES BLANCA</v>
      </c>
      <c r="C1655" s="4" t="str">
        <f>IFERROR(__xludf.DUMMYFUNCTION("""COMPUTED_VALUE"""),"Faceplate 4 posiciones blanca")</f>
        <v>Faceplate 4 posiciones blanca</v>
      </c>
      <c r="D1655" s="4" t="str">
        <f>IFERROR(__xludf.DUMMYFUNCTION("""COMPUTED_VALUE"""),"FURUKAWA")</f>
        <v>FURUKAWA</v>
      </c>
      <c r="E1655" s="4" t="str">
        <f>IFERROR(__xludf.DUMMYFUNCTION("""COMPUTED_VALUE"""),"FUFACE4")</f>
        <v>FUFACE4</v>
      </c>
      <c r="F1655" s="4" t="str">
        <f>IFERROR(__xludf.DUMMYFUNCTION("""COMPUTED_VALUE"""),"CONECTIVIDAD &gt; CABLEADO ESTRUCTURADO")</f>
        <v>CONECTIVIDAD &gt; CABLEADO ESTRUCTURADO</v>
      </c>
      <c r="G1655" s="5"/>
      <c r="H1655" s="6">
        <f>IFERROR(__xludf.DUMMYFUNCTION("""COMPUTED_VALUE"""),2.75)</f>
        <v>2.75</v>
      </c>
      <c r="I1655" s="7">
        <f>IFERROR(__xludf.DUMMYFUNCTION("""COMPUTED_VALUE"""),21.0)</f>
        <v>21</v>
      </c>
      <c r="J1655" s="6">
        <f>IFERROR(__xludf.DUMMYFUNCTION("""COMPUTED_VALUE"""),3.3)</f>
        <v>3.3</v>
      </c>
      <c r="K1655" s="6">
        <f>IFERROR(__xludf.DUMMYFUNCTION("""COMPUTED_VALUE"""),3.85)</f>
        <v>3.85</v>
      </c>
      <c r="L1655" s="3"/>
      <c r="M1655" s="3"/>
    </row>
    <row r="1656" ht="48.0" customHeight="1">
      <c r="A1656" s="3" t="str">
        <f>IFERROR(__xludf.DUMMYFUNCTION("""COMPUTED_VALUE"""),"UPCAT5JACK")</f>
        <v>UPCAT5JACK</v>
      </c>
      <c r="B1656" s="4" t="str">
        <f>IFERROR(__xludf.DUMMYFUNCTION("""COMPUTED_VALUE"""),"JACK RJ45 110 IDC,A/B, CAT5E CAT5")</f>
        <v>JACK RJ45 110 IDC,A/B, CAT5E CAT5</v>
      </c>
      <c r="C1656" s="4" t="str">
        <f>IFERROR(__xludf.DUMMYFUNCTION("""COMPUTED_VALUE"""),"JACK RJ45 110 IDC,A/B, CAT5e CAT5")</f>
        <v>JACK RJ45 110 IDC,A/B, CAT5e CAT5</v>
      </c>
      <c r="D1656" s="4" t="str">
        <f>IFERROR(__xludf.DUMMYFUNCTION("""COMPUTED_VALUE"""),"POLARIS")</f>
        <v>POLARIS</v>
      </c>
      <c r="E1656" s="4" t="str">
        <f>IFERROR(__xludf.DUMMYFUNCTION("""COMPUTED_VALUE"""),"UPCAT5JACK")</f>
        <v>UPCAT5JACK</v>
      </c>
      <c r="F1656" s="4" t="str">
        <f>IFERROR(__xludf.DUMMYFUNCTION("""COMPUTED_VALUE"""),"CONECTIVIDAD &gt; CABLEADO ESTRUCTURADO")</f>
        <v>CONECTIVIDAD &gt; CABLEADO ESTRUCTURADO</v>
      </c>
      <c r="G1656" s="5"/>
      <c r="H1656" s="6">
        <f>IFERROR(__xludf.DUMMYFUNCTION("""COMPUTED_VALUE"""),1.65)</f>
        <v>1.65</v>
      </c>
      <c r="I1656" s="7">
        <f>IFERROR(__xludf.DUMMYFUNCTION("""COMPUTED_VALUE"""),21.0)</f>
        <v>21</v>
      </c>
      <c r="J1656" s="6">
        <f>IFERROR(__xludf.DUMMYFUNCTION("""COMPUTED_VALUE"""),1.98)</f>
        <v>1.98</v>
      </c>
      <c r="K1656" s="6">
        <f>IFERROR(__xludf.DUMMYFUNCTION("""COMPUTED_VALUE"""),2.31)</f>
        <v>2.31</v>
      </c>
      <c r="L1656" s="3"/>
      <c r="M1656" s="3"/>
    </row>
    <row r="1657" ht="48.0" customHeight="1">
      <c r="A1657" s="3" t="str">
        <f>IFERROR(__xludf.DUMMYFUNCTION("""COMPUTED_VALUE"""),"UPFASE1")</f>
        <v>UPFASE1</v>
      </c>
      <c r="B1657" s="4" t="str">
        <f>IFERROR(__xludf.DUMMYFUNCTION("""COMPUTED_VALUE"""),"FACEPLATE 1 POSICIONES CAT5 Y CAT6")</f>
        <v>FACEPLATE 1 POSICIONES CAT5 Y CAT6</v>
      </c>
      <c r="C1657" s="4" t="str">
        <f>IFERROR(__xludf.DUMMYFUNCTION("""COMPUTED_VALUE"""),"Faceplate 1 posiciones CAT5 y CAT6")</f>
        <v>Faceplate 1 posiciones CAT5 y CAT6</v>
      </c>
      <c r="D1657" s="4" t="str">
        <f>IFERROR(__xludf.DUMMYFUNCTION("""COMPUTED_VALUE"""),"POLARIS")</f>
        <v>POLARIS</v>
      </c>
      <c r="E1657" s="4" t="str">
        <f>IFERROR(__xludf.DUMMYFUNCTION("""COMPUTED_VALUE"""),"UPFASE1")</f>
        <v>UPFASE1</v>
      </c>
      <c r="F1657" s="4" t="str">
        <f>IFERROR(__xludf.DUMMYFUNCTION("""COMPUTED_VALUE"""),"CONECTIVIDAD &gt; CABLEADO ESTRUCTURADO")</f>
        <v>CONECTIVIDAD &gt; CABLEADO ESTRUCTURADO</v>
      </c>
      <c r="G1657" s="5"/>
      <c r="H1657" s="6">
        <f>IFERROR(__xludf.DUMMYFUNCTION("""COMPUTED_VALUE"""),1.75)</f>
        <v>1.75</v>
      </c>
      <c r="I1657" s="7">
        <f>IFERROR(__xludf.DUMMYFUNCTION("""COMPUTED_VALUE"""),21.0)</f>
        <v>21</v>
      </c>
      <c r="J1657" s="6">
        <f>IFERROR(__xludf.DUMMYFUNCTION("""COMPUTED_VALUE"""),2.1)</f>
        <v>2.1</v>
      </c>
      <c r="K1657" s="6">
        <f>IFERROR(__xludf.DUMMYFUNCTION("""COMPUTED_VALUE"""),2.45)</f>
        <v>2.45</v>
      </c>
      <c r="L1657" s="3"/>
      <c r="M1657" s="3"/>
    </row>
    <row r="1658" ht="48.0" customHeight="1">
      <c r="A1658" s="3" t="str">
        <f>IFERROR(__xludf.DUMMYFUNCTION("""COMPUTED_VALUE"""),"UPFASE2")</f>
        <v>UPFASE2</v>
      </c>
      <c r="B1658" s="4" t="str">
        <f>IFERROR(__xludf.DUMMYFUNCTION("""COMPUTED_VALUE"""),"FACEPLATE 2 POSICIONES CAT5 Y CAT6")</f>
        <v>FACEPLATE 2 POSICIONES CAT5 Y CAT6</v>
      </c>
      <c r="C1658" s="4" t="str">
        <f>IFERROR(__xludf.DUMMYFUNCTION("""COMPUTED_VALUE"""),"Faceplate 2 posiciones CAT5 y CAT6")</f>
        <v>Faceplate 2 posiciones CAT5 y CAT6</v>
      </c>
      <c r="D1658" s="4" t="str">
        <f>IFERROR(__xludf.DUMMYFUNCTION("""COMPUTED_VALUE"""),"POLARIS")</f>
        <v>POLARIS</v>
      </c>
      <c r="E1658" s="4" t="str">
        <f>IFERROR(__xludf.DUMMYFUNCTION("""COMPUTED_VALUE"""),"UPFASE2")</f>
        <v>UPFASE2</v>
      </c>
      <c r="F1658" s="4" t="str">
        <f>IFERROR(__xludf.DUMMYFUNCTION("""COMPUTED_VALUE"""),"CONECTIVIDAD &gt; CABLEADO ESTRUCTURADO")</f>
        <v>CONECTIVIDAD &gt; CABLEADO ESTRUCTURADO</v>
      </c>
      <c r="G1658" s="5"/>
      <c r="H1658" s="6">
        <f>IFERROR(__xludf.DUMMYFUNCTION("""COMPUTED_VALUE"""),1.86)</f>
        <v>1.86</v>
      </c>
      <c r="I1658" s="7">
        <f>IFERROR(__xludf.DUMMYFUNCTION("""COMPUTED_VALUE"""),21.0)</f>
        <v>21</v>
      </c>
      <c r="J1658" s="6">
        <f>IFERROR(__xludf.DUMMYFUNCTION("""COMPUTED_VALUE"""),2.23)</f>
        <v>2.23</v>
      </c>
      <c r="K1658" s="6">
        <f>IFERROR(__xludf.DUMMYFUNCTION("""COMPUTED_VALUE"""),2.6)</f>
        <v>2.6</v>
      </c>
      <c r="L1658" s="3"/>
      <c r="M1658" s="3"/>
    </row>
    <row r="1659" ht="48.0" customHeight="1">
      <c r="A1659" s="3" t="str">
        <f>IFERROR(__xludf.DUMMYFUNCTION("""COMPUTED_VALUE"""),"UPFASE4")</f>
        <v>UPFASE4</v>
      </c>
      <c r="B1659" s="4" t="str">
        <f>IFERROR(__xludf.DUMMYFUNCTION("""COMPUTED_VALUE"""),"FACEPLATE 4 POSICIONES CAT5 Y CAT6")</f>
        <v>FACEPLATE 4 POSICIONES CAT5 Y CAT6</v>
      </c>
      <c r="C1659" s="4" t="str">
        <f>IFERROR(__xludf.DUMMYFUNCTION("""COMPUTED_VALUE"""),"Faceplate 4 posiciones CAT5 y CAT6")</f>
        <v>Faceplate 4 posiciones CAT5 y CAT6</v>
      </c>
      <c r="D1659" s="4" t="str">
        <f>IFERROR(__xludf.DUMMYFUNCTION("""COMPUTED_VALUE"""),"POLARIS")</f>
        <v>POLARIS</v>
      </c>
      <c r="E1659" s="4" t="str">
        <f>IFERROR(__xludf.DUMMYFUNCTION("""COMPUTED_VALUE"""),"UPFASE4")</f>
        <v>UPFASE4</v>
      </c>
      <c r="F1659" s="4" t="str">
        <f>IFERROR(__xludf.DUMMYFUNCTION("""COMPUTED_VALUE"""),"CONECTIVIDAD &gt; CABLEADO ESTRUCTURADO")</f>
        <v>CONECTIVIDAD &gt; CABLEADO ESTRUCTURADO</v>
      </c>
      <c r="G1659" s="5"/>
      <c r="H1659" s="6">
        <f>IFERROR(__xludf.DUMMYFUNCTION("""COMPUTED_VALUE"""),2.11)</f>
        <v>2.11</v>
      </c>
      <c r="I1659" s="7">
        <f>IFERROR(__xludf.DUMMYFUNCTION("""COMPUTED_VALUE"""),21.0)</f>
        <v>21</v>
      </c>
      <c r="J1659" s="6">
        <f>IFERROR(__xludf.DUMMYFUNCTION("""COMPUTED_VALUE"""),2.53)</f>
        <v>2.53</v>
      </c>
      <c r="K1659" s="6">
        <f>IFERROR(__xludf.DUMMYFUNCTION("""COMPUTED_VALUE"""),2.95)</f>
        <v>2.95</v>
      </c>
      <c r="L1659" s="3"/>
      <c r="M1659" s="3"/>
    </row>
    <row r="1660" ht="48.0" customHeight="1">
      <c r="A1660" s="3" t="str">
        <f>IFERROR(__xludf.DUMMYFUNCTION("""COMPUTED_VALUE"""),"RVJACK5E")</f>
        <v>RVJACK5E</v>
      </c>
      <c r="B1660" s="4" t="str">
        <f>IFERROR(__xludf.DUMMYFUNCTION("""COMPUTED_VALUE"""),"UTP CAT")</f>
        <v>UTP CAT</v>
      </c>
      <c r="C1660" s="4" t="str">
        <f>IFERROR(__xludf.DUMMYFUNCTION("""COMPUTED_VALUE"""),"UTP Cat.5e keystone jack. / 110 IDC type,90 Degree. / With dust cover")</f>
        <v>UTP Cat.5e keystone jack. / 110 IDC type,90 Degree. / With dust cover</v>
      </c>
      <c r="D1660" s="4" t="str">
        <f>IFERROR(__xludf.DUMMYFUNCTION("""COMPUTED_VALUE"""),"REGUVOLT")</f>
        <v>REGUVOLT</v>
      </c>
      <c r="E1660" s="4" t="str">
        <f>IFERROR(__xludf.DUMMYFUNCTION("""COMPUTED_VALUE"""),"RVJACK5E")</f>
        <v>RVJACK5E</v>
      </c>
      <c r="F1660" s="4" t="str">
        <f>IFERROR(__xludf.DUMMYFUNCTION("""COMPUTED_VALUE"""),"CONECTIVIDAD &gt; CABLEADO ESTRUCTURADO")</f>
        <v>CONECTIVIDAD &gt; CABLEADO ESTRUCTURADO</v>
      </c>
      <c r="G1660" s="5"/>
      <c r="H1660" s="6">
        <f>IFERROR(__xludf.DUMMYFUNCTION("""COMPUTED_VALUE"""),0.8)</f>
        <v>0.8</v>
      </c>
      <c r="I1660" s="7">
        <f>IFERROR(__xludf.DUMMYFUNCTION("""COMPUTED_VALUE"""),21.0)</f>
        <v>21</v>
      </c>
      <c r="J1660" s="6">
        <f>IFERROR(__xludf.DUMMYFUNCTION("""COMPUTED_VALUE"""),0.96)</f>
        <v>0.96</v>
      </c>
      <c r="K1660" s="6">
        <f>IFERROR(__xludf.DUMMYFUNCTION("""COMPUTED_VALUE"""),1.12)</f>
        <v>1.12</v>
      </c>
      <c r="L1660" s="3"/>
      <c r="M1660" s="3"/>
    </row>
    <row r="1661" ht="48.0" customHeight="1">
      <c r="A1661" s="3" t="str">
        <f>IFERROR(__xludf.DUMMYFUNCTION("""COMPUTED_VALUE"""),"RVJACKTL5E")</f>
        <v>RVJACKTL5E</v>
      </c>
      <c r="B1661" s="4" t="str">
        <f>IFERROR(__xludf.DUMMYFUNCTION("""COMPUTED_VALUE"""),"UTP CAT5E KEYSTONE JACK,TOOLLESS TYPE,180 DEGREE")</f>
        <v>UTP CAT5E KEYSTONE JACK,TOOLLESS TYPE,180 DEGREE</v>
      </c>
      <c r="C1661" s="4" t="str">
        <f>IFERROR(__xludf.DUMMYFUNCTION("""COMPUTED_VALUE"""),"UTP Cat5e keystone jack,toolless type,180 degree")</f>
        <v>UTP Cat5e keystone jack,toolless type,180 degree</v>
      </c>
      <c r="D1661" s="4" t="str">
        <f>IFERROR(__xludf.DUMMYFUNCTION("""COMPUTED_VALUE"""),"REGUVOLT")</f>
        <v>REGUVOLT</v>
      </c>
      <c r="E1661" s="4" t="str">
        <f>IFERROR(__xludf.DUMMYFUNCTION("""COMPUTED_VALUE"""),"RVJACKTL5E")</f>
        <v>RVJACKTL5E</v>
      </c>
      <c r="F1661" s="4" t="str">
        <f>IFERROR(__xludf.DUMMYFUNCTION("""COMPUTED_VALUE"""),"CONECTIVIDAD &gt; CABLEADO ESTRUCTURADO")</f>
        <v>CONECTIVIDAD &gt; CABLEADO ESTRUCTURADO</v>
      </c>
      <c r="G1661" s="5"/>
      <c r="H1661" s="6">
        <f>IFERROR(__xludf.DUMMYFUNCTION("""COMPUTED_VALUE"""),1.18)</f>
        <v>1.18</v>
      </c>
      <c r="I1661" s="7">
        <f>IFERROR(__xludf.DUMMYFUNCTION("""COMPUTED_VALUE"""),21.0)</f>
        <v>21</v>
      </c>
      <c r="J1661" s="6">
        <f>IFERROR(__xludf.DUMMYFUNCTION("""COMPUTED_VALUE"""),1.42)</f>
        <v>1.42</v>
      </c>
      <c r="K1661" s="6">
        <f>IFERROR(__xludf.DUMMYFUNCTION("""COMPUTED_VALUE"""),1.65)</f>
        <v>1.65</v>
      </c>
      <c r="L1661" s="3"/>
      <c r="M1661" s="3"/>
    </row>
    <row r="1662" ht="48.0" customHeight="1">
      <c r="A1662" s="3" t="str">
        <f>IFERROR(__xludf.DUMMYFUNCTION("""COMPUTED_VALUE"""),"RVROSETA1U5E")</f>
        <v>RVROSETA1U5E</v>
      </c>
      <c r="B1662" s="4" t="str">
        <f>IFERROR(__xludf.DUMMYFUNCTION("""COMPUTED_VALUE"""),"UTP CAT5E RJ45 SURFACE MOUT BOX,SINGLE PORT / CON EL JACK INCLUIDO")</f>
        <v>UTP CAT5E RJ45 SURFACE MOUT BOX,SINGLE PORT / CON EL JACK INCLUIDO</v>
      </c>
      <c r="C1662" s="4" t="str">
        <f>IFERROR(__xludf.DUMMYFUNCTION("""COMPUTED_VALUE"""),"UTP Cat5e RJ45 Surface mout box,Single Port / con el jack incluido")</f>
        <v>UTP Cat5e RJ45 Surface mout box,Single Port / con el jack incluido</v>
      </c>
      <c r="D1662" s="4" t="str">
        <f>IFERROR(__xludf.DUMMYFUNCTION("""COMPUTED_VALUE"""),"REGUVOLT")</f>
        <v>REGUVOLT</v>
      </c>
      <c r="E1662" s="4" t="str">
        <f>IFERROR(__xludf.DUMMYFUNCTION("""COMPUTED_VALUE"""),"RVROSETA1U5E")</f>
        <v>RVROSETA1U5E</v>
      </c>
      <c r="F1662" s="4" t="str">
        <f>IFERROR(__xludf.DUMMYFUNCTION("""COMPUTED_VALUE"""),"CONECTIVIDAD &gt; CABLEADO ESTRUCTURADO")</f>
        <v>CONECTIVIDAD &gt; CABLEADO ESTRUCTURADO</v>
      </c>
      <c r="G1662" s="5"/>
      <c r="H1662" s="6">
        <f>IFERROR(__xludf.DUMMYFUNCTION("""COMPUTED_VALUE"""),2.34)</f>
        <v>2.34</v>
      </c>
      <c r="I1662" s="7">
        <f>IFERROR(__xludf.DUMMYFUNCTION("""COMPUTED_VALUE"""),21.0)</f>
        <v>21</v>
      </c>
      <c r="J1662" s="6">
        <f>IFERROR(__xludf.DUMMYFUNCTION("""COMPUTED_VALUE"""),2.81)</f>
        <v>2.81</v>
      </c>
      <c r="K1662" s="6">
        <f>IFERROR(__xludf.DUMMYFUNCTION("""COMPUTED_VALUE"""),3.28)</f>
        <v>3.28</v>
      </c>
      <c r="L1662" s="3"/>
      <c r="M1662" s="3"/>
    </row>
    <row r="1663" ht="48.0" customHeight="1">
      <c r="A1663" s="3" t="str">
        <f>IFERROR(__xludf.DUMMYFUNCTION("""COMPUTED_VALUE"""),"RVROSETA2U5E")</f>
        <v>RVROSETA2U5E</v>
      </c>
      <c r="B1663" s="4" t="str">
        <f>IFERROR(__xludf.DUMMYFUNCTION("""COMPUTED_VALUE"""),"UTP CAT5E RJ45 SURFACE MOUT BOX,DUAL PORTS / CON LOS JACKS INCLUIDOS")</f>
        <v>UTP CAT5E RJ45 SURFACE MOUT BOX,DUAL PORTS / CON LOS JACKS INCLUIDOS</v>
      </c>
      <c r="C1663" s="4" t="str">
        <f>IFERROR(__xludf.DUMMYFUNCTION("""COMPUTED_VALUE"""),"UTP Cat5e RJ45 Surface mout box,Dual Ports / con los Jacks incluidos")</f>
        <v>UTP Cat5e RJ45 Surface mout box,Dual Ports / con los Jacks incluidos</v>
      </c>
      <c r="D1663" s="4" t="str">
        <f>IFERROR(__xludf.DUMMYFUNCTION("""COMPUTED_VALUE"""),"REGUVOLT")</f>
        <v>REGUVOLT</v>
      </c>
      <c r="E1663" s="4" t="str">
        <f>IFERROR(__xludf.DUMMYFUNCTION("""COMPUTED_VALUE"""),"RVROSETA2U5E")</f>
        <v>RVROSETA2U5E</v>
      </c>
      <c r="F1663" s="4" t="str">
        <f>IFERROR(__xludf.DUMMYFUNCTION("""COMPUTED_VALUE"""),"CONECTIVIDAD &gt; CABLEADO ESTRUCTURADO")</f>
        <v>CONECTIVIDAD &gt; CABLEADO ESTRUCTURADO</v>
      </c>
      <c r="G1663" s="5"/>
      <c r="H1663" s="6">
        <f>IFERROR(__xludf.DUMMYFUNCTION("""COMPUTED_VALUE"""),3.08)</f>
        <v>3.08</v>
      </c>
      <c r="I1663" s="7">
        <f>IFERROR(__xludf.DUMMYFUNCTION("""COMPUTED_VALUE"""),21.0)</f>
        <v>21</v>
      </c>
      <c r="J1663" s="6">
        <f>IFERROR(__xludf.DUMMYFUNCTION("""COMPUTED_VALUE"""),3.7)</f>
        <v>3.7</v>
      </c>
      <c r="K1663" s="6">
        <f>IFERROR(__xludf.DUMMYFUNCTION("""COMPUTED_VALUE"""),4.31)</f>
        <v>4.31</v>
      </c>
      <c r="L1663" s="3"/>
      <c r="M1663" s="3"/>
    </row>
    <row r="1664" ht="48.0" customHeight="1">
      <c r="A1664" s="3" t="str">
        <f>IFERROR(__xludf.DUMMYFUNCTION("""COMPUTED_VALUE"""),"RVJACK6")</f>
        <v>RVJACK6</v>
      </c>
      <c r="B1664" s="4" t="str">
        <f>IFERROR(__xludf.DUMMYFUNCTION("""COMPUTED_VALUE"""),"UTP CAT")</f>
        <v>UTP CAT</v>
      </c>
      <c r="C1664" s="4" t="str">
        <f>IFERROR(__xludf.DUMMYFUNCTION("""COMPUTED_VALUE"""),"UTP Cat.6 keystone jack / 110 IDC type,90 Degree / With dust cover")</f>
        <v>UTP Cat.6 keystone jack / 110 IDC type,90 Degree / With dust cover</v>
      </c>
      <c r="D1664" s="4" t="str">
        <f>IFERROR(__xludf.DUMMYFUNCTION("""COMPUTED_VALUE"""),"REGUVOLT")</f>
        <v>REGUVOLT</v>
      </c>
      <c r="E1664" s="4" t="str">
        <f>IFERROR(__xludf.DUMMYFUNCTION("""COMPUTED_VALUE"""),"RVJACK6")</f>
        <v>RVJACK6</v>
      </c>
      <c r="F1664" s="4" t="str">
        <f>IFERROR(__xludf.DUMMYFUNCTION("""COMPUTED_VALUE"""),"CONECTIVIDAD &gt; CABLEADO ESTRUCTURADO")</f>
        <v>CONECTIVIDAD &gt; CABLEADO ESTRUCTURADO</v>
      </c>
      <c r="G1664" s="5"/>
      <c r="H1664" s="6">
        <f>IFERROR(__xludf.DUMMYFUNCTION("""COMPUTED_VALUE"""),1.0)</f>
        <v>1</v>
      </c>
      <c r="I1664" s="7">
        <f>IFERROR(__xludf.DUMMYFUNCTION("""COMPUTED_VALUE"""),21.0)</f>
        <v>21</v>
      </c>
      <c r="J1664" s="6">
        <f>IFERROR(__xludf.DUMMYFUNCTION("""COMPUTED_VALUE"""),1.2)</f>
        <v>1.2</v>
      </c>
      <c r="K1664" s="6">
        <f>IFERROR(__xludf.DUMMYFUNCTION("""COMPUTED_VALUE"""),1.4)</f>
        <v>1.4</v>
      </c>
      <c r="L1664" s="3"/>
      <c r="M1664" s="3"/>
    </row>
    <row r="1665" ht="48.0" customHeight="1">
      <c r="A1665" s="3" t="str">
        <f>IFERROR(__xludf.DUMMYFUNCTION("""COMPUTED_VALUE"""),"RVJACKTL6")</f>
        <v>RVJACKTL6</v>
      </c>
      <c r="B1665" s="4" t="str">
        <f>IFERROR(__xludf.DUMMYFUNCTION("""COMPUTED_VALUE"""),"UTP CAT6 KEYSTONE JACK,TOOLLESS TYPE,180 DEGREE")</f>
        <v>UTP CAT6 KEYSTONE JACK,TOOLLESS TYPE,180 DEGREE</v>
      </c>
      <c r="C1665" s="4" t="str">
        <f>IFERROR(__xludf.DUMMYFUNCTION("""COMPUTED_VALUE"""),"UTP Cat6 keystone jack,toolless type,180 degree")</f>
        <v>UTP Cat6 keystone jack,toolless type,180 degree</v>
      </c>
      <c r="D1665" s="4" t="str">
        <f>IFERROR(__xludf.DUMMYFUNCTION("""COMPUTED_VALUE"""),"REGUVOLT")</f>
        <v>REGUVOLT</v>
      </c>
      <c r="E1665" s="4" t="str">
        <f>IFERROR(__xludf.DUMMYFUNCTION("""COMPUTED_VALUE"""),"RVJACKTL6")</f>
        <v>RVJACKTL6</v>
      </c>
      <c r="F1665" s="4" t="str">
        <f>IFERROR(__xludf.DUMMYFUNCTION("""COMPUTED_VALUE"""),"CONECTIVIDAD &gt; CABLEADO ESTRUCTURADO")</f>
        <v>CONECTIVIDAD &gt; CABLEADO ESTRUCTURADO</v>
      </c>
      <c r="G1665" s="5"/>
      <c r="H1665" s="6">
        <f>IFERROR(__xludf.DUMMYFUNCTION("""COMPUTED_VALUE"""),1.32)</f>
        <v>1.32</v>
      </c>
      <c r="I1665" s="7">
        <f>IFERROR(__xludf.DUMMYFUNCTION("""COMPUTED_VALUE"""),21.0)</f>
        <v>21</v>
      </c>
      <c r="J1665" s="6">
        <f>IFERROR(__xludf.DUMMYFUNCTION("""COMPUTED_VALUE"""),1.58)</f>
        <v>1.58</v>
      </c>
      <c r="K1665" s="6">
        <f>IFERROR(__xludf.DUMMYFUNCTION("""COMPUTED_VALUE"""),1.85)</f>
        <v>1.85</v>
      </c>
      <c r="L1665" s="3"/>
      <c r="M1665" s="3"/>
    </row>
    <row r="1666" ht="48.0" customHeight="1">
      <c r="A1666" s="3" t="str">
        <f>IFERROR(__xludf.DUMMYFUNCTION("""COMPUTED_VALUE"""),"RVROSETA1U6")</f>
        <v>RVROSETA1U6</v>
      </c>
      <c r="B1666" s="4" t="str">
        <f>IFERROR(__xludf.DUMMYFUNCTION("""COMPUTED_VALUE"""),"UTP CAT6 RJ45 SURFACE MOUT BOX, SINGLE PORT / CON EL JACK INCLUIDO")</f>
        <v>UTP CAT6 RJ45 SURFACE MOUT BOX, SINGLE PORT / CON EL JACK INCLUIDO</v>
      </c>
      <c r="C1666" s="4" t="str">
        <f>IFERROR(__xludf.DUMMYFUNCTION("""COMPUTED_VALUE"""),"UTP Cat6 RJ45 Surface mout box, Single Port / con el jack incluido")</f>
        <v>UTP Cat6 RJ45 Surface mout box, Single Port / con el jack incluido</v>
      </c>
      <c r="D1666" s="4" t="str">
        <f>IFERROR(__xludf.DUMMYFUNCTION("""COMPUTED_VALUE"""),"REGUVOLT")</f>
        <v>REGUVOLT</v>
      </c>
      <c r="E1666" s="4" t="str">
        <f>IFERROR(__xludf.DUMMYFUNCTION("""COMPUTED_VALUE"""),"RVROSETA1U6")</f>
        <v>RVROSETA1U6</v>
      </c>
      <c r="F1666" s="4" t="str">
        <f>IFERROR(__xludf.DUMMYFUNCTION("""COMPUTED_VALUE"""),"CONECTIVIDAD &gt; CABLEADO ESTRUCTURADO")</f>
        <v>CONECTIVIDAD &gt; CABLEADO ESTRUCTURADO</v>
      </c>
      <c r="G1666" s="5"/>
      <c r="H1666" s="6">
        <f>IFERROR(__xludf.DUMMYFUNCTION("""COMPUTED_VALUE"""),2.64)</f>
        <v>2.64</v>
      </c>
      <c r="I1666" s="7">
        <f>IFERROR(__xludf.DUMMYFUNCTION("""COMPUTED_VALUE"""),21.0)</f>
        <v>21</v>
      </c>
      <c r="J1666" s="6">
        <f>IFERROR(__xludf.DUMMYFUNCTION("""COMPUTED_VALUE"""),3.17)</f>
        <v>3.17</v>
      </c>
      <c r="K1666" s="6">
        <f>IFERROR(__xludf.DUMMYFUNCTION("""COMPUTED_VALUE"""),3.7)</f>
        <v>3.7</v>
      </c>
      <c r="L1666" s="3"/>
      <c r="M1666" s="3"/>
    </row>
    <row r="1667" ht="48.0" customHeight="1">
      <c r="A1667" s="3" t="str">
        <f>IFERROR(__xludf.DUMMYFUNCTION("""COMPUTED_VALUE"""),"RVROSETA2U6")</f>
        <v>RVROSETA2U6</v>
      </c>
      <c r="B1667" s="4" t="str">
        <f>IFERROR(__xludf.DUMMYFUNCTION("""COMPUTED_VALUE"""),"UTP CAT6 RJ45 SURFACE MOUT BOX, DUAL PORTS / CON LOS JACKS INCLUIDOS")</f>
        <v>UTP CAT6 RJ45 SURFACE MOUT BOX, DUAL PORTS / CON LOS JACKS INCLUIDOS</v>
      </c>
      <c r="C1667" s="4" t="str">
        <f>IFERROR(__xludf.DUMMYFUNCTION("""COMPUTED_VALUE"""),"UTP Cat6 RJ45 Surface mout box, Dual Ports / con los Jacks incluidos")</f>
        <v>UTP Cat6 RJ45 Surface mout box, Dual Ports / con los Jacks incluidos</v>
      </c>
      <c r="D1667" s="4" t="str">
        <f>IFERROR(__xludf.DUMMYFUNCTION("""COMPUTED_VALUE"""),"REGUVOLT")</f>
        <v>REGUVOLT</v>
      </c>
      <c r="E1667" s="4" t="str">
        <f>IFERROR(__xludf.DUMMYFUNCTION("""COMPUTED_VALUE"""),"RVROSETA2U6")</f>
        <v>RVROSETA2U6</v>
      </c>
      <c r="F1667" s="4" t="str">
        <f>IFERROR(__xludf.DUMMYFUNCTION("""COMPUTED_VALUE"""),"CONECTIVIDAD &gt; CABLEADO ESTRUCTURADO")</f>
        <v>CONECTIVIDAD &gt; CABLEADO ESTRUCTURADO</v>
      </c>
      <c r="G1667" s="5"/>
      <c r="H1667" s="6">
        <f>IFERROR(__xludf.DUMMYFUNCTION("""COMPUTED_VALUE"""),3.22)</f>
        <v>3.22</v>
      </c>
      <c r="I1667" s="7">
        <f>IFERROR(__xludf.DUMMYFUNCTION("""COMPUTED_VALUE"""),21.0)</f>
        <v>21</v>
      </c>
      <c r="J1667" s="6">
        <f>IFERROR(__xludf.DUMMYFUNCTION("""COMPUTED_VALUE"""),3.86)</f>
        <v>3.86</v>
      </c>
      <c r="K1667" s="6">
        <f>IFERROR(__xludf.DUMMYFUNCTION("""COMPUTED_VALUE"""),4.51)</f>
        <v>4.51</v>
      </c>
      <c r="L1667" s="3"/>
      <c r="M1667" s="3"/>
    </row>
    <row r="1668" ht="48.0" customHeight="1">
      <c r="A1668" s="3" t="str">
        <f>IFERROR(__xludf.DUMMYFUNCTION("""COMPUTED_VALUE"""),"RVFPLATE1U")</f>
        <v>RVFPLATE1U</v>
      </c>
      <c r="B1668" s="4" t="str">
        <f>IFERROR(__xludf.DUMMYFUNCTION("""COMPUTED_VALUE"""),"FACE PLATE SINGLE PORT / SIZE:70X115MM CAT5E/CAT6")</f>
        <v>FACE PLATE SINGLE PORT / SIZE:70X115MM CAT5E/CAT6</v>
      </c>
      <c r="C1668" s="4" t="str">
        <f>IFERROR(__xludf.DUMMYFUNCTION("""COMPUTED_VALUE"""),"Face plate Single port / Size:70X115mm CAT5E/CAT6")</f>
        <v>Face plate Single port / Size:70X115mm CAT5E/CAT6</v>
      </c>
      <c r="D1668" s="4" t="str">
        <f>IFERROR(__xludf.DUMMYFUNCTION("""COMPUTED_VALUE"""),"REGUVOLT")</f>
        <v>REGUVOLT</v>
      </c>
      <c r="E1668" s="4" t="str">
        <f>IFERROR(__xludf.DUMMYFUNCTION("""COMPUTED_VALUE"""),"RVFPLATE1U")</f>
        <v>RVFPLATE1U</v>
      </c>
      <c r="F1668" s="4" t="str">
        <f>IFERROR(__xludf.DUMMYFUNCTION("""COMPUTED_VALUE"""),"CONECTIVIDAD &gt; CABLEADO ESTRUCTURADO")</f>
        <v>CONECTIVIDAD &gt; CABLEADO ESTRUCTURADO</v>
      </c>
      <c r="G1668" s="5"/>
      <c r="H1668" s="6">
        <f>IFERROR(__xludf.DUMMYFUNCTION("""COMPUTED_VALUE"""),0.66)</f>
        <v>0.66</v>
      </c>
      <c r="I1668" s="7">
        <f>IFERROR(__xludf.DUMMYFUNCTION("""COMPUTED_VALUE"""),21.0)</f>
        <v>21</v>
      </c>
      <c r="J1668" s="6">
        <f>IFERROR(__xludf.DUMMYFUNCTION("""COMPUTED_VALUE"""),0.79)</f>
        <v>0.79</v>
      </c>
      <c r="K1668" s="6">
        <f>IFERROR(__xludf.DUMMYFUNCTION("""COMPUTED_VALUE"""),0.92)</f>
        <v>0.92</v>
      </c>
      <c r="L1668" s="3"/>
      <c r="M1668" s="3"/>
    </row>
    <row r="1669" ht="48.0" customHeight="1">
      <c r="A1669" s="3" t="str">
        <f>IFERROR(__xludf.DUMMYFUNCTION("""COMPUTED_VALUE"""),"RVFPLATE2U")</f>
        <v>RVFPLATE2U</v>
      </c>
      <c r="B1669" s="4" t="str">
        <f>IFERROR(__xludf.DUMMYFUNCTION("""COMPUTED_VALUE"""),"FACE PLATE 2 PORT / SIZE:70X115MM CAT5E/CAT6")</f>
        <v>FACE PLATE 2 PORT / SIZE:70X115MM CAT5E/CAT6</v>
      </c>
      <c r="C1669" s="4" t="str">
        <f>IFERROR(__xludf.DUMMYFUNCTION("""COMPUTED_VALUE"""),"Face plate 2 port / Size:70X115mm CAT5E/CAT6")</f>
        <v>Face plate 2 port / Size:70X115mm CAT5E/CAT6</v>
      </c>
      <c r="D1669" s="4" t="str">
        <f>IFERROR(__xludf.DUMMYFUNCTION("""COMPUTED_VALUE"""),"REGUVOLT")</f>
        <v>REGUVOLT</v>
      </c>
      <c r="E1669" s="4" t="str">
        <f>IFERROR(__xludf.DUMMYFUNCTION("""COMPUTED_VALUE"""),"RVFPLATE2U")</f>
        <v>RVFPLATE2U</v>
      </c>
      <c r="F1669" s="4" t="str">
        <f>IFERROR(__xludf.DUMMYFUNCTION("""COMPUTED_VALUE"""),"CONECTIVIDAD &gt; CABLEADO ESTRUCTURADO")</f>
        <v>CONECTIVIDAD &gt; CABLEADO ESTRUCTURADO</v>
      </c>
      <c r="G1669" s="5"/>
      <c r="H1669" s="6">
        <f>IFERROR(__xludf.DUMMYFUNCTION("""COMPUTED_VALUE"""),0.66)</f>
        <v>0.66</v>
      </c>
      <c r="I1669" s="7">
        <f>IFERROR(__xludf.DUMMYFUNCTION("""COMPUTED_VALUE"""),21.0)</f>
        <v>21</v>
      </c>
      <c r="J1669" s="6">
        <f>IFERROR(__xludf.DUMMYFUNCTION("""COMPUTED_VALUE"""),0.79)</f>
        <v>0.79</v>
      </c>
      <c r="K1669" s="6">
        <f>IFERROR(__xludf.DUMMYFUNCTION("""COMPUTED_VALUE"""),0.92)</f>
        <v>0.92</v>
      </c>
      <c r="L1669" s="3"/>
      <c r="M1669" s="3"/>
    </row>
    <row r="1670" ht="48.0" customHeight="1">
      <c r="A1670" s="3" t="str">
        <f>IFERROR(__xludf.DUMMYFUNCTION("""COMPUTED_VALUE"""),"RVFPLATE4U")</f>
        <v>RVFPLATE4U</v>
      </c>
      <c r="B1670" s="4" t="str">
        <f>IFERROR(__xludf.DUMMYFUNCTION("""COMPUTED_VALUE"""),"FACE PLATE 4 PORT / SIZE:70X115MM CAT5E/CAT6")</f>
        <v>FACE PLATE 4 PORT / SIZE:70X115MM CAT5E/CAT6</v>
      </c>
      <c r="C1670" s="4" t="str">
        <f>IFERROR(__xludf.DUMMYFUNCTION("""COMPUTED_VALUE"""),"Face plate 4 port / Size:70X115mm CAT5E/CAT6")</f>
        <v>Face plate 4 port / Size:70X115mm CAT5E/CAT6</v>
      </c>
      <c r="D1670" s="4" t="str">
        <f>IFERROR(__xludf.DUMMYFUNCTION("""COMPUTED_VALUE"""),"REGUVOLT")</f>
        <v>REGUVOLT</v>
      </c>
      <c r="E1670" s="4" t="str">
        <f>IFERROR(__xludf.DUMMYFUNCTION("""COMPUTED_VALUE"""),"RVFPLATE4U")</f>
        <v>RVFPLATE4U</v>
      </c>
      <c r="F1670" s="4" t="str">
        <f>IFERROR(__xludf.DUMMYFUNCTION("""COMPUTED_VALUE"""),"CONECTIVIDAD &gt; CABLEADO ESTRUCTURADO")</f>
        <v>CONECTIVIDAD &gt; CABLEADO ESTRUCTURADO</v>
      </c>
      <c r="G1670" s="5"/>
      <c r="H1670" s="6">
        <f>IFERROR(__xludf.DUMMYFUNCTION("""COMPUTED_VALUE"""),0.66)</f>
        <v>0.66</v>
      </c>
      <c r="I1670" s="7">
        <f>IFERROR(__xludf.DUMMYFUNCTION("""COMPUTED_VALUE"""),21.0)</f>
        <v>21</v>
      </c>
      <c r="J1670" s="6">
        <f>IFERROR(__xludf.DUMMYFUNCTION("""COMPUTED_VALUE"""),0.79)</f>
        <v>0.79</v>
      </c>
      <c r="K1670" s="6">
        <f>IFERROR(__xludf.DUMMYFUNCTION("""COMPUTED_VALUE"""),0.92)</f>
        <v>0.92</v>
      </c>
      <c r="L1670" s="3"/>
      <c r="M1670" s="3"/>
    </row>
    <row r="1671" ht="48.0" customHeight="1">
      <c r="A1671" s="3" t="str">
        <f>IFERROR(__xludf.DUMMYFUNCTION("""COMPUTED_VALUE"""),"FSCAT5PLUG")</f>
        <v>FSCAT5PLUG</v>
      </c>
      <c r="B1671" s="4" t="str">
        <f>IFERROR(__xludf.DUMMYFUNCTION("""COMPUTED_VALUE"""),"PLUG RJ45 MACHO CAT5")</f>
        <v>PLUG RJ45 MACHO CAT5</v>
      </c>
      <c r="C1671" s="4" t="str">
        <f>IFERROR(__xludf.DUMMYFUNCTION("""COMPUTED_VALUE"""),"Plug RJ45 macho CAT5")</f>
        <v>Plug RJ45 macho CAT5</v>
      </c>
      <c r="D1671" s="4" t="str">
        <f>IFERROR(__xludf.DUMMYFUNCTION("""COMPUTED_VALUE"""),"OWL")</f>
        <v>OWL</v>
      </c>
      <c r="E1671" s="4" t="str">
        <f>IFERROR(__xludf.DUMMYFUNCTION("""COMPUTED_VALUE"""),"FSCAT5PLUG")</f>
        <v>FSCAT5PLUG</v>
      </c>
      <c r="F1671" s="4" t="str">
        <f>IFERROR(__xludf.DUMMYFUNCTION("""COMPUTED_VALUE"""),"CONECTIVIDAD &gt; CABLEADO ESTRUCTURADO")</f>
        <v>CONECTIVIDAD &gt; CABLEADO ESTRUCTURADO</v>
      </c>
      <c r="G1671" s="5"/>
      <c r="H1671" s="6">
        <f>IFERROR(__xludf.DUMMYFUNCTION("""COMPUTED_VALUE"""),0.11)</f>
        <v>0.11</v>
      </c>
      <c r="I1671" s="7">
        <f>IFERROR(__xludf.DUMMYFUNCTION("""COMPUTED_VALUE"""),21.0)</f>
        <v>21</v>
      </c>
      <c r="J1671" s="6">
        <f>IFERROR(__xludf.DUMMYFUNCTION("""COMPUTED_VALUE"""),0.13)</f>
        <v>0.13</v>
      </c>
      <c r="K1671" s="6">
        <f>IFERROR(__xludf.DUMMYFUNCTION("""COMPUTED_VALUE"""),0.15)</f>
        <v>0.15</v>
      </c>
      <c r="L1671" s="3"/>
      <c r="M1671" s="3"/>
    </row>
    <row r="1672" ht="48.0" customHeight="1">
      <c r="A1672" s="3" t="str">
        <f>IFERROR(__xludf.DUMMYFUNCTION("""COMPUTED_VALUE"""),"FSCAT5PLUGX100")</f>
        <v>FSCAT5PLUGX100</v>
      </c>
      <c r="B1672" s="4" t="str">
        <f>IFERROR(__xludf.DUMMYFUNCTION("""COMPUTED_VALUE"""),"PLUG RJ45 MACHO CAT5 X 100 UNIDADES")</f>
        <v>PLUG RJ45 MACHO CAT5 X 100 UNIDADES</v>
      </c>
      <c r="C1672" s="4" t="str">
        <f>IFERROR(__xludf.DUMMYFUNCTION("""COMPUTED_VALUE"""),"Plug RJ45 macho CAT5 x 100 unidades")</f>
        <v>Plug RJ45 macho CAT5 x 100 unidades</v>
      </c>
      <c r="D1672" s="4" t="str">
        <f>IFERROR(__xludf.DUMMYFUNCTION("""COMPUTED_VALUE"""),"OWL")</f>
        <v>OWL</v>
      </c>
      <c r="E1672" s="4" t="str">
        <f>IFERROR(__xludf.DUMMYFUNCTION("""COMPUTED_VALUE"""),"FSCAT5PLUGX100")</f>
        <v>FSCAT5PLUGX100</v>
      </c>
      <c r="F1672" s="4" t="str">
        <f>IFERROR(__xludf.DUMMYFUNCTION("""COMPUTED_VALUE"""),"CONECTIVIDAD &gt; CABLEADO ESTRUCTURADO")</f>
        <v>CONECTIVIDAD &gt; CABLEADO ESTRUCTURADO</v>
      </c>
      <c r="G1672" s="5"/>
      <c r="H1672" s="6">
        <f>IFERROR(__xludf.DUMMYFUNCTION("""COMPUTED_VALUE"""),4.95)</f>
        <v>4.95</v>
      </c>
      <c r="I1672" s="7">
        <f>IFERROR(__xludf.DUMMYFUNCTION("""COMPUTED_VALUE"""),21.0)</f>
        <v>21</v>
      </c>
      <c r="J1672" s="6">
        <f>IFERROR(__xludf.DUMMYFUNCTION("""COMPUTED_VALUE"""),5.94)</f>
        <v>5.94</v>
      </c>
      <c r="K1672" s="6">
        <f>IFERROR(__xludf.DUMMYFUNCTION("""COMPUTED_VALUE"""),6.93)</f>
        <v>6.93</v>
      </c>
      <c r="L1672" s="3"/>
      <c r="M1672" s="3"/>
    </row>
    <row r="1673" ht="48.0" customHeight="1">
      <c r="A1673" s="3" t="str">
        <f>IFERROR(__xludf.DUMMYFUNCTION("""COMPUTED_VALUE"""),"UPCAT5PLUG")</f>
        <v>UPCAT5PLUG</v>
      </c>
      <c r="B1673" s="4" t="str">
        <f>IFERROR(__xludf.DUMMYFUNCTION("""COMPUTED_VALUE"""),"PLUG RJ45 MACHO CAT5")</f>
        <v>PLUG RJ45 MACHO CAT5</v>
      </c>
      <c r="C1673" s="4" t="str">
        <f>IFERROR(__xludf.DUMMYFUNCTION("""COMPUTED_VALUE"""),"Plug RJ45 macho CAT5")</f>
        <v>Plug RJ45 macho CAT5</v>
      </c>
      <c r="D1673" s="4" t="str">
        <f>IFERROR(__xludf.DUMMYFUNCTION("""COMPUTED_VALUE"""),"POLARIS")</f>
        <v>POLARIS</v>
      </c>
      <c r="E1673" s="4" t="str">
        <f>IFERROR(__xludf.DUMMYFUNCTION("""COMPUTED_VALUE"""),"UPCAT5PLUG")</f>
        <v>UPCAT5PLUG</v>
      </c>
      <c r="F1673" s="4" t="str">
        <f>IFERROR(__xludf.DUMMYFUNCTION("""COMPUTED_VALUE"""),"CONECTIVIDAD &gt; CABLEADO ESTRUCTURADO")</f>
        <v>CONECTIVIDAD &gt; CABLEADO ESTRUCTURADO</v>
      </c>
      <c r="G1673" s="5"/>
      <c r="H1673" s="6">
        <f>IFERROR(__xludf.DUMMYFUNCTION("""COMPUTED_VALUE"""),0.13)</f>
        <v>0.13</v>
      </c>
      <c r="I1673" s="7">
        <f>IFERROR(__xludf.DUMMYFUNCTION("""COMPUTED_VALUE"""),21.0)</f>
        <v>21</v>
      </c>
      <c r="J1673" s="6">
        <f>IFERROR(__xludf.DUMMYFUNCTION("""COMPUTED_VALUE"""),0.16)</f>
        <v>0.16</v>
      </c>
      <c r="K1673" s="6">
        <f>IFERROR(__xludf.DUMMYFUNCTION("""COMPUTED_VALUE"""),0.18)</f>
        <v>0.18</v>
      </c>
      <c r="L1673" s="3"/>
      <c r="M1673" s="3"/>
    </row>
    <row r="1674" ht="48.0" customHeight="1">
      <c r="A1674" s="3" t="str">
        <f>IFERROR(__xludf.DUMMYFUNCTION("""COMPUTED_VALUE"""),"UPCAT6PLUG")</f>
        <v>UPCAT6PLUG</v>
      </c>
      <c r="B1674" s="4" t="str">
        <f>IFERROR(__xludf.DUMMYFUNCTION("""COMPUTED_VALUE"""),"PLUG RJ45 MACHO CAT6")</f>
        <v>PLUG RJ45 MACHO CAT6</v>
      </c>
      <c r="C1674" s="4" t="str">
        <f>IFERROR(__xludf.DUMMYFUNCTION("""COMPUTED_VALUE"""),"Plug RJ45 macho CAT6")</f>
        <v>Plug RJ45 macho CAT6</v>
      </c>
      <c r="D1674" s="4" t="str">
        <f>IFERROR(__xludf.DUMMYFUNCTION("""COMPUTED_VALUE"""),"POLARIS")</f>
        <v>POLARIS</v>
      </c>
      <c r="E1674" s="4" t="str">
        <f>IFERROR(__xludf.DUMMYFUNCTION("""COMPUTED_VALUE"""),"UPCAT6PLUG")</f>
        <v>UPCAT6PLUG</v>
      </c>
      <c r="F1674" s="4" t="str">
        <f>IFERROR(__xludf.DUMMYFUNCTION("""COMPUTED_VALUE"""),"CONECTIVIDAD &gt; CABLEADO ESTRUCTURADO")</f>
        <v>CONECTIVIDAD &gt; CABLEADO ESTRUCTURADO</v>
      </c>
      <c r="G1674" s="5"/>
      <c r="H1674" s="6">
        <f>IFERROR(__xludf.DUMMYFUNCTION("""COMPUTED_VALUE"""),0.18)</f>
        <v>0.18</v>
      </c>
      <c r="I1674" s="7">
        <f>IFERROR(__xludf.DUMMYFUNCTION("""COMPUTED_VALUE"""),21.0)</f>
        <v>21</v>
      </c>
      <c r="J1674" s="6">
        <f>IFERROR(__xludf.DUMMYFUNCTION("""COMPUTED_VALUE"""),0.22)</f>
        <v>0.22</v>
      </c>
      <c r="K1674" s="6">
        <f>IFERROR(__xludf.DUMMYFUNCTION("""COMPUTED_VALUE"""),0.25)</f>
        <v>0.25</v>
      </c>
      <c r="L1674" s="3"/>
      <c r="M1674" s="3"/>
    </row>
    <row r="1675" ht="48.0" customHeight="1">
      <c r="A1675" s="3" t="str">
        <f>IFERROR(__xludf.DUMMYFUNCTION("""COMPUTED_VALUE"""),"FURJ456")</f>
        <v>FURJ456</v>
      </c>
      <c r="B1675" s="4" t="str">
        <f>IFERROR(__xludf.DUMMYFUNCTION("""COMPUTED_VALUE"""),"PLUG RJ45 MACHO CAT6")</f>
        <v>PLUG RJ45 MACHO CAT6</v>
      </c>
      <c r="C1675" s="4" t="str">
        <f>IFERROR(__xludf.DUMMYFUNCTION("""COMPUTED_VALUE"""),"Plug RJ45 macho CAT6")</f>
        <v>Plug RJ45 macho CAT6</v>
      </c>
      <c r="D1675" s="4" t="str">
        <f>IFERROR(__xludf.DUMMYFUNCTION("""COMPUTED_VALUE"""),"FURUKAWA")</f>
        <v>FURUKAWA</v>
      </c>
      <c r="E1675" s="4" t="str">
        <f>IFERROR(__xludf.DUMMYFUNCTION("""COMPUTED_VALUE"""),"FURJ456")</f>
        <v>FURJ456</v>
      </c>
      <c r="F1675" s="4" t="str">
        <f>IFERROR(__xludf.DUMMYFUNCTION("""COMPUTED_VALUE"""),"CONECTIVIDAD &gt; CABLEADO ESTRUCTURADO")</f>
        <v>CONECTIVIDAD &gt; CABLEADO ESTRUCTURADO</v>
      </c>
      <c r="G1675" s="5"/>
      <c r="H1675" s="6">
        <f>IFERROR(__xludf.DUMMYFUNCTION("""COMPUTED_VALUE"""),1.1)</f>
        <v>1.1</v>
      </c>
      <c r="I1675" s="7">
        <f>IFERROR(__xludf.DUMMYFUNCTION("""COMPUTED_VALUE"""),21.0)</f>
        <v>21</v>
      </c>
      <c r="J1675" s="6">
        <f>IFERROR(__xludf.DUMMYFUNCTION("""COMPUTED_VALUE"""),1.32)</f>
        <v>1.32</v>
      </c>
      <c r="K1675" s="6">
        <f>IFERROR(__xludf.DUMMYFUNCTION("""COMPUTED_VALUE"""),1.54)</f>
        <v>1.54</v>
      </c>
      <c r="L1675" s="3"/>
      <c r="M1675" s="3"/>
    </row>
    <row r="1676" ht="48.0" customHeight="1">
      <c r="A1676" s="3" t="str">
        <f>IFERROR(__xludf.DUMMYFUNCTION("""COMPUTED_VALUE"""),"RVPLUG5E")</f>
        <v>RVPLUG5E</v>
      </c>
      <c r="B1676" s="4" t="str">
        <f>IFERROR(__xludf.DUMMYFUNCTION("""COMPUTED_VALUE"""),"PLUG CAT5E RJ45")</f>
        <v>PLUG CAT5E RJ45</v>
      </c>
      <c r="C1676" s="4" t="str">
        <f>IFERROR(__xludf.DUMMYFUNCTION("""COMPUTED_VALUE"""),"PLUG Cat5e RJ45")</f>
        <v>PLUG Cat5e RJ45</v>
      </c>
      <c r="D1676" s="4" t="str">
        <f>IFERROR(__xludf.DUMMYFUNCTION("""COMPUTED_VALUE"""),"REGUVOLT")</f>
        <v>REGUVOLT</v>
      </c>
      <c r="E1676" s="4" t="str">
        <f>IFERROR(__xludf.DUMMYFUNCTION("""COMPUTED_VALUE"""),"RVPLUG5E")</f>
        <v>RVPLUG5E</v>
      </c>
      <c r="F1676" s="4" t="str">
        <f>IFERROR(__xludf.DUMMYFUNCTION("""COMPUTED_VALUE"""),"CONECTIVIDAD &gt; CABLEADO ESTRUCTURADO")</f>
        <v>CONECTIVIDAD &gt; CABLEADO ESTRUCTURADO</v>
      </c>
      <c r="G1676" s="5"/>
      <c r="H1676" s="6">
        <f>IFERROR(__xludf.DUMMYFUNCTION("""COMPUTED_VALUE"""),0.11)</f>
        <v>0.11</v>
      </c>
      <c r="I1676" s="7">
        <f>IFERROR(__xludf.DUMMYFUNCTION("""COMPUTED_VALUE"""),21.0)</f>
        <v>21</v>
      </c>
      <c r="J1676" s="6">
        <f>IFERROR(__xludf.DUMMYFUNCTION("""COMPUTED_VALUE"""),0.13)</f>
        <v>0.13</v>
      </c>
      <c r="K1676" s="6">
        <f>IFERROR(__xludf.DUMMYFUNCTION("""COMPUTED_VALUE"""),0.15)</f>
        <v>0.15</v>
      </c>
      <c r="L1676" s="3"/>
      <c r="M1676" s="3"/>
    </row>
    <row r="1677" ht="48.0" customHeight="1">
      <c r="A1677" s="3" t="str">
        <f>IFERROR(__xludf.DUMMYFUNCTION("""COMPUTED_VALUE"""),"RVPLUG5X100")</f>
        <v>RVPLUG5X100</v>
      </c>
      <c r="B1677" s="4" t="str">
        <f>IFERROR(__xludf.DUMMYFUNCTION("""COMPUTED_VALUE"""),"PLUG CAT5E RJ45 X 100 UNIDADES")</f>
        <v>PLUG CAT5E RJ45 X 100 UNIDADES</v>
      </c>
      <c r="C1677" s="4" t="str">
        <f>IFERROR(__xludf.DUMMYFUNCTION("""COMPUTED_VALUE"""),"PLUG Cat5e RJ45 x 100 unidades")</f>
        <v>PLUG Cat5e RJ45 x 100 unidades</v>
      </c>
      <c r="D1677" s="4" t="str">
        <f>IFERROR(__xludf.DUMMYFUNCTION("""COMPUTED_VALUE"""),"REGUVOLT")</f>
        <v>REGUVOLT</v>
      </c>
      <c r="E1677" s="4" t="str">
        <f>IFERROR(__xludf.DUMMYFUNCTION("""COMPUTED_VALUE"""),"RVPLUG5X100")</f>
        <v>RVPLUG5X100</v>
      </c>
      <c r="F1677" s="4" t="str">
        <f>IFERROR(__xludf.DUMMYFUNCTION("""COMPUTED_VALUE"""),"CONECTIVIDAD &gt; CABLEADO ESTRUCTURADO")</f>
        <v>CONECTIVIDAD &gt; CABLEADO ESTRUCTURADO</v>
      </c>
      <c r="G1677" s="5"/>
      <c r="H1677" s="6">
        <f>IFERROR(__xludf.DUMMYFUNCTION("""COMPUTED_VALUE"""),5.42)</f>
        <v>5.42</v>
      </c>
      <c r="I1677" s="7">
        <f>IFERROR(__xludf.DUMMYFUNCTION("""COMPUTED_VALUE"""),21.0)</f>
        <v>21</v>
      </c>
      <c r="J1677" s="6">
        <f>IFERROR(__xludf.DUMMYFUNCTION("""COMPUTED_VALUE"""),6.5)</f>
        <v>6.5</v>
      </c>
      <c r="K1677" s="6">
        <f>IFERROR(__xludf.DUMMYFUNCTION("""COMPUTED_VALUE"""),7.59)</f>
        <v>7.59</v>
      </c>
      <c r="L1677" s="3"/>
      <c r="M1677" s="3"/>
    </row>
    <row r="1678" ht="48.0" customHeight="1">
      <c r="A1678" s="3" t="str">
        <f>IFERROR(__xludf.DUMMYFUNCTION("""COMPUTED_VALUE"""),"RVPLUG6")</f>
        <v>RVPLUG6</v>
      </c>
      <c r="B1678" s="4" t="str">
        <f>IFERROR(__xludf.DUMMYFUNCTION("""COMPUTED_VALUE"""),"PLUG CAT6 RJ45")</f>
        <v>PLUG CAT6 RJ45</v>
      </c>
      <c r="C1678" s="4" t="str">
        <f>IFERROR(__xludf.DUMMYFUNCTION("""COMPUTED_VALUE"""),"PLUG Cat6 RJ45")</f>
        <v>PLUG Cat6 RJ45</v>
      </c>
      <c r="D1678" s="4" t="str">
        <f>IFERROR(__xludf.DUMMYFUNCTION("""COMPUTED_VALUE"""),"REGUVOLT")</f>
        <v>REGUVOLT</v>
      </c>
      <c r="E1678" s="4" t="str">
        <f>IFERROR(__xludf.DUMMYFUNCTION("""COMPUTED_VALUE"""),"RVPLUG6")</f>
        <v>RVPLUG6</v>
      </c>
      <c r="F1678" s="4" t="str">
        <f>IFERROR(__xludf.DUMMYFUNCTION("""COMPUTED_VALUE"""),"CONECTIVIDAD &gt; CABLEADO ESTRUCTURADO")</f>
        <v>CONECTIVIDAD &gt; CABLEADO ESTRUCTURADO</v>
      </c>
      <c r="G1678" s="5"/>
      <c r="H1678" s="6">
        <f>IFERROR(__xludf.DUMMYFUNCTION("""COMPUTED_VALUE"""),0.22)</f>
        <v>0.22</v>
      </c>
      <c r="I1678" s="7">
        <f>IFERROR(__xludf.DUMMYFUNCTION("""COMPUTED_VALUE"""),21.0)</f>
        <v>21</v>
      </c>
      <c r="J1678" s="6">
        <f>IFERROR(__xludf.DUMMYFUNCTION("""COMPUTED_VALUE"""),0.26)</f>
        <v>0.26</v>
      </c>
      <c r="K1678" s="6">
        <f>IFERROR(__xludf.DUMMYFUNCTION("""COMPUTED_VALUE"""),0.31)</f>
        <v>0.31</v>
      </c>
      <c r="L1678" s="3"/>
      <c r="M1678" s="3"/>
    </row>
    <row r="1679" ht="48.0" customHeight="1">
      <c r="A1679" s="3" t="str">
        <f>IFERROR(__xludf.DUMMYFUNCTION("""COMPUTED_VALUE"""),"RVPLUG6X100U")</f>
        <v>RVPLUG6X100U</v>
      </c>
      <c r="B1679" s="4" t="str">
        <f>IFERROR(__xludf.DUMMYFUNCTION("""COMPUTED_VALUE"""),"PLUG CAT6 RJ45 X 100 UNIDADES")</f>
        <v>PLUG CAT6 RJ45 X 100 UNIDADES</v>
      </c>
      <c r="C1679" s="4" t="str">
        <f>IFERROR(__xludf.DUMMYFUNCTION("""COMPUTED_VALUE"""),"PLUG Cat6 RJ45 x 100 unidades")</f>
        <v>PLUG Cat6 RJ45 x 100 unidades</v>
      </c>
      <c r="D1679" s="4" t="str">
        <f>IFERROR(__xludf.DUMMYFUNCTION("""COMPUTED_VALUE"""),"REGUVOLT")</f>
        <v>REGUVOLT</v>
      </c>
      <c r="E1679" s="4" t="str">
        <f>IFERROR(__xludf.DUMMYFUNCTION("""COMPUTED_VALUE"""),"RVPLUG6X100U")</f>
        <v>RVPLUG6X100U</v>
      </c>
      <c r="F1679" s="4" t="str">
        <f>IFERROR(__xludf.DUMMYFUNCTION("""COMPUTED_VALUE"""),"CONECTIVIDAD &gt; CABLEADO ESTRUCTURADO")</f>
        <v>CONECTIVIDAD &gt; CABLEADO ESTRUCTURADO</v>
      </c>
      <c r="G1679" s="5"/>
      <c r="H1679" s="6">
        <f>IFERROR(__xludf.DUMMYFUNCTION("""COMPUTED_VALUE"""),11.58)</f>
        <v>11.58</v>
      </c>
      <c r="I1679" s="7">
        <f>IFERROR(__xludf.DUMMYFUNCTION("""COMPUTED_VALUE"""),21.0)</f>
        <v>21</v>
      </c>
      <c r="J1679" s="6">
        <f>IFERROR(__xludf.DUMMYFUNCTION("""COMPUTED_VALUE"""),13.9)</f>
        <v>13.9</v>
      </c>
      <c r="K1679" s="6">
        <f>IFERROR(__xludf.DUMMYFUNCTION("""COMPUTED_VALUE"""),16.21)</f>
        <v>16.21</v>
      </c>
      <c r="L1679" s="3"/>
      <c r="M1679" s="3"/>
    </row>
    <row r="1680" ht="48.0" customHeight="1">
      <c r="A1680" s="3" t="str">
        <f>IFERROR(__xludf.DUMMYFUNCTION("""COMPUTED_VALUE"""),"RVCAPAM")</f>
        <v>RVCAPAM</v>
      </c>
      <c r="B1680" s="4" t="str">
        <f>IFERROR(__xludf.DUMMYFUNCTION("""COMPUTED_VALUE"""),"CAPUCHON RJ45 AMARILLO")</f>
        <v>CAPUCHON RJ45 AMARILLO</v>
      </c>
      <c r="C1680" s="4" t="str">
        <f>IFERROR(__xludf.DUMMYFUNCTION("""COMPUTED_VALUE"""),"Capuchon RJ45 AMARILLO")</f>
        <v>Capuchon RJ45 AMARILLO</v>
      </c>
      <c r="D1680" s="4" t="str">
        <f>IFERROR(__xludf.DUMMYFUNCTION("""COMPUTED_VALUE"""),"REGUVOLT")</f>
        <v>REGUVOLT</v>
      </c>
      <c r="E1680" s="4" t="str">
        <f>IFERROR(__xludf.DUMMYFUNCTION("""COMPUTED_VALUE"""),"RVCAPAM")</f>
        <v>RVCAPAM</v>
      </c>
      <c r="F1680" s="4" t="str">
        <f>IFERROR(__xludf.DUMMYFUNCTION("""COMPUTED_VALUE"""),"CONECTIVIDAD &gt; CABLEADO ESTRUCTURADO")</f>
        <v>CONECTIVIDAD &gt; CABLEADO ESTRUCTURADO</v>
      </c>
      <c r="G1680" s="5"/>
      <c r="H1680" s="6">
        <f>IFERROR(__xludf.DUMMYFUNCTION("""COMPUTED_VALUE"""),0.11)</f>
        <v>0.11</v>
      </c>
      <c r="I1680" s="7">
        <f>IFERROR(__xludf.DUMMYFUNCTION("""COMPUTED_VALUE"""),21.0)</f>
        <v>21</v>
      </c>
      <c r="J1680" s="6">
        <f>IFERROR(__xludf.DUMMYFUNCTION("""COMPUTED_VALUE"""),0.13)</f>
        <v>0.13</v>
      </c>
      <c r="K1680" s="6">
        <f>IFERROR(__xludf.DUMMYFUNCTION("""COMPUTED_VALUE"""),0.15)</f>
        <v>0.15</v>
      </c>
      <c r="L1680" s="3"/>
      <c r="M1680" s="3"/>
    </row>
    <row r="1681" ht="48.0" customHeight="1">
      <c r="A1681" s="3" t="str">
        <f>IFERROR(__xludf.DUMMYFUNCTION("""COMPUTED_VALUE"""),"RVCAPAZ")</f>
        <v>RVCAPAZ</v>
      </c>
      <c r="B1681" s="4" t="str">
        <f>IFERROR(__xludf.DUMMYFUNCTION("""COMPUTED_VALUE"""),"CAPUCHON RJ45 AZUL")</f>
        <v>CAPUCHON RJ45 AZUL</v>
      </c>
      <c r="C1681" s="4" t="str">
        <f>IFERROR(__xludf.DUMMYFUNCTION("""COMPUTED_VALUE"""),"Capuchon RJ45 AZUL")</f>
        <v>Capuchon RJ45 AZUL</v>
      </c>
      <c r="D1681" s="4" t="str">
        <f>IFERROR(__xludf.DUMMYFUNCTION("""COMPUTED_VALUE"""),"REGUVOLT")</f>
        <v>REGUVOLT</v>
      </c>
      <c r="E1681" s="4" t="str">
        <f>IFERROR(__xludf.DUMMYFUNCTION("""COMPUTED_VALUE"""),"RVCAPAZ")</f>
        <v>RVCAPAZ</v>
      </c>
      <c r="F1681" s="4" t="str">
        <f>IFERROR(__xludf.DUMMYFUNCTION("""COMPUTED_VALUE"""),"CONECTIVIDAD &gt; CABLEADO ESTRUCTURADO")</f>
        <v>CONECTIVIDAD &gt; CABLEADO ESTRUCTURADO</v>
      </c>
      <c r="G1681" s="5"/>
      <c r="H1681" s="6">
        <f>IFERROR(__xludf.DUMMYFUNCTION("""COMPUTED_VALUE"""),0.11)</f>
        <v>0.11</v>
      </c>
      <c r="I1681" s="7">
        <f>IFERROR(__xludf.DUMMYFUNCTION("""COMPUTED_VALUE"""),21.0)</f>
        <v>21</v>
      </c>
      <c r="J1681" s="6">
        <f>IFERROR(__xludf.DUMMYFUNCTION("""COMPUTED_VALUE"""),0.13)</f>
        <v>0.13</v>
      </c>
      <c r="K1681" s="6">
        <f>IFERROR(__xludf.DUMMYFUNCTION("""COMPUTED_VALUE"""),0.15)</f>
        <v>0.15</v>
      </c>
      <c r="L1681" s="3"/>
      <c r="M1681" s="3"/>
    </row>
    <row r="1682" ht="48.0" customHeight="1">
      <c r="A1682" s="3" t="str">
        <f>IFERROR(__xludf.DUMMYFUNCTION("""COMPUTED_VALUE"""),"RVCAPR")</f>
        <v>RVCAPR</v>
      </c>
      <c r="B1682" s="4" t="str">
        <f>IFERROR(__xludf.DUMMYFUNCTION("""COMPUTED_VALUE"""),"CAPUCHON RJ45 ROJO")</f>
        <v>CAPUCHON RJ45 ROJO</v>
      </c>
      <c r="C1682" s="4" t="str">
        <f>IFERROR(__xludf.DUMMYFUNCTION("""COMPUTED_VALUE"""),"Capuchon RJ45 ROJO")</f>
        <v>Capuchon RJ45 ROJO</v>
      </c>
      <c r="D1682" s="4" t="str">
        <f>IFERROR(__xludf.DUMMYFUNCTION("""COMPUTED_VALUE"""),"REGUVOLT")</f>
        <v>REGUVOLT</v>
      </c>
      <c r="E1682" s="4" t="str">
        <f>IFERROR(__xludf.DUMMYFUNCTION("""COMPUTED_VALUE"""),"RVCAPR")</f>
        <v>RVCAPR</v>
      </c>
      <c r="F1682" s="4" t="str">
        <f>IFERROR(__xludf.DUMMYFUNCTION("""COMPUTED_VALUE"""),"CONECTIVIDAD &gt; CABLEADO ESTRUCTURADO")</f>
        <v>CONECTIVIDAD &gt; CABLEADO ESTRUCTURADO</v>
      </c>
      <c r="G1682" s="5"/>
      <c r="H1682" s="6">
        <f>IFERROR(__xludf.DUMMYFUNCTION("""COMPUTED_VALUE"""),0.11)</f>
        <v>0.11</v>
      </c>
      <c r="I1682" s="7">
        <f>IFERROR(__xludf.DUMMYFUNCTION("""COMPUTED_VALUE"""),21.0)</f>
        <v>21</v>
      </c>
      <c r="J1682" s="6">
        <f>IFERROR(__xludf.DUMMYFUNCTION("""COMPUTED_VALUE"""),0.13)</f>
        <v>0.13</v>
      </c>
      <c r="K1682" s="6">
        <f>IFERROR(__xludf.DUMMYFUNCTION("""COMPUTED_VALUE"""),0.15)</f>
        <v>0.15</v>
      </c>
      <c r="L1682" s="3"/>
      <c r="M1682" s="3"/>
    </row>
    <row r="1683" ht="48.0" customHeight="1">
      <c r="A1683" s="3" t="str">
        <f>IFERROR(__xludf.DUMMYFUNCTION("""COMPUTED_VALUE"""),"RVCAPN")</f>
        <v>RVCAPN</v>
      </c>
      <c r="B1683" s="4" t="str">
        <f>IFERROR(__xludf.DUMMYFUNCTION("""COMPUTED_VALUE"""),"CAPUCHON RJ45 NEGRO")</f>
        <v>CAPUCHON RJ45 NEGRO</v>
      </c>
      <c r="C1683" s="4" t="str">
        <f>IFERROR(__xludf.DUMMYFUNCTION("""COMPUTED_VALUE"""),"Capuchon RJ45 NEGRO")</f>
        <v>Capuchon RJ45 NEGRO</v>
      </c>
      <c r="D1683" s="4" t="str">
        <f>IFERROR(__xludf.DUMMYFUNCTION("""COMPUTED_VALUE"""),"REGUVOLT")</f>
        <v>REGUVOLT</v>
      </c>
      <c r="E1683" s="4" t="str">
        <f>IFERROR(__xludf.DUMMYFUNCTION("""COMPUTED_VALUE"""),"RVCAPN")</f>
        <v>RVCAPN</v>
      </c>
      <c r="F1683" s="4" t="str">
        <f>IFERROR(__xludf.DUMMYFUNCTION("""COMPUTED_VALUE"""),"CONECTIVIDAD &gt; CABLEADO ESTRUCTURADO")</f>
        <v>CONECTIVIDAD &gt; CABLEADO ESTRUCTURADO</v>
      </c>
      <c r="G1683" s="5"/>
      <c r="H1683" s="6">
        <f>IFERROR(__xludf.DUMMYFUNCTION("""COMPUTED_VALUE"""),0.11)</f>
        <v>0.11</v>
      </c>
      <c r="I1683" s="7">
        <f>IFERROR(__xludf.DUMMYFUNCTION("""COMPUTED_VALUE"""),21.0)</f>
        <v>21</v>
      </c>
      <c r="J1683" s="6">
        <f>IFERROR(__xludf.DUMMYFUNCTION("""COMPUTED_VALUE"""),0.13)</f>
        <v>0.13</v>
      </c>
      <c r="K1683" s="6">
        <f>IFERROR(__xludf.DUMMYFUNCTION("""COMPUTED_VALUE"""),0.15)</f>
        <v>0.15</v>
      </c>
      <c r="L1683" s="3"/>
      <c r="M1683" s="3"/>
    </row>
    <row r="1684" ht="48.0" customHeight="1">
      <c r="A1684" s="3" t="str">
        <f>IFERROR(__xludf.DUMMYFUNCTION("""COMPUTED_VALUE"""),"RVCAPV")</f>
        <v>RVCAPV</v>
      </c>
      <c r="B1684" s="4" t="str">
        <f>IFERROR(__xludf.DUMMYFUNCTION("""COMPUTED_VALUE"""),"CAPUCHON RJ45 VERDE")</f>
        <v>CAPUCHON RJ45 VERDE</v>
      </c>
      <c r="C1684" s="4" t="str">
        <f>IFERROR(__xludf.DUMMYFUNCTION("""COMPUTED_VALUE"""),"Capuchon RJ45 VERDE")</f>
        <v>Capuchon RJ45 VERDE</v>
      </c>
      <c r="D1684" s="4" t="str">
        <f>IFERROR(__xludf.DUMMYFUNCTION("""COMPUTED_VALUE"""),"REGUVOLT")</f>
        <v>REGUVOLT</v>
      </c>
      <c r="E1684" s="4" t="str">
        <f>IFERROR(__xludf.DUMMYFUNCTION("""COMPUTED_VALUE"""),"RVCAPV")</f>
        <v>RVCAPV</v>
      </c>
      <c r="F1684" s="4" t="str">
        <f>IFERROR(__xludf.DUMMYFUNCTION("""COMPUTED_VALUE"""),"CONECTIVIDAD &gt; CABLEADO ESTRUCTURADO")</f>
        <v>CONECTIVIDAD &gt; CABLEADO ESTRUCTURADO</v>
      </c>
      <c r="G1684" s="5"/>
      <c r="H1684" s="6">
        <f>IFERROR(__xludf.DUMMYFUNCTION("""COMPUTED_VALUE"""),0.11)</f>
        <v>0.11</v>
      </c>
      <c r="I1684" s="7">
        <f>IFERROR(__xludf.DUMMYFUNCTION("""COMPUTED_VALUE"""),21.0)</f>
        <v>21</v>
      </c>
      <c r="J1684" s="6">
        <f>IFERROR(__xludf.DUMMYFUNCTION("""COMPUTED_VALUE"""),0.13)</f>
        <v>0.13</v>
      </c>
      <c r="K1684" s="6">
        <f>IFERROR(__xludf.DUMMYFUNCTION("""COMPUTED_VALUE"""),0.15)</f>
        <v>0.15</v>
      </c>
      <c r="L1684" s="3"/>
      <c r="M1684" s="3"/>
    </row>
    <row r="1685" ht="48.0" customHeight="1">
      <c r="A1685" s="3" t="str">
        <f>IFERROR(__xludf.DUMMYFUNCTION("""COMPUTED_VALUE"""),"RVCAPB")</f>
        <v>RVCAPB</v>
      </c>
      <c r="B1685" s="4" t="str">
        <f>IFERROR(__xludf.DUMMYFUNCTION("""COMPUTED_VALUE"""),"CAPUCHON RJ45 BLANCO")</f>
        <v>CAPUCHON RJ45 BLANCO</v>
      </c>
      <c r="C1685" s="4" t="str">
        <f>IFERROR(__xludf.DUMMYFUNCTION("""COMPUTED_VALUE"""),"Capuchon RJ45 BLANCO")</f>
        <v>Capuchon RJ45 BLANCO</v>
      </c>
      <c r="D1685" s="4" t="str">
        <f>IFERROR(__xludf.DUMMYFUNCTION("""COMPUTED_VALUE"""),"REGUVOLT")</f>
        <v>REGUVOLT</v>
      </c>
      <c r="E1685" s="4" t="str">
        <f>IFERROR(__xludf.DUMMYFUNCTION("""COMPUTED_VALUE"""),"RVCAPB")</f>
        <v>RVCAPB</v>
      </c>
      <c r="F1685" s="4" t="str">
        <f>IFERROR(__xludf.DUMMYFUNCTION("""COMPUTED_VALUE"""),"CONECTIVIDAD &gt; CABLEADO ESTRUCTURADO")</f>
        <v>CONECTIVIDAD &gt; CABLEADO ESTRUCTURADO</v>
      </c>
      <c r="G1685" s="5"/>
      <c r="H1685" s="6">
        <f>IFERROR(__xludf.DUMMYFUNCTION("""COMPUTED_VALUE"""),0.11)</f>
        <v>0.11</v>
      </c>
      <c r="I1685" s="7">
        <f>IFERROR(__xludf.DUMMYFUNCTION("""COMPUTED_VALUE"""),21.0)</f>
        <v>21</v>
      </c>
      <c r="J1685" s="6">
        <f>IFERROR(__xludf.DUMMYFUNCTION("""COMPUTED_VALUE"""),0.13)</f>
        <v>0.13</v>
      </c>
      <c r="K1685" s="6">
        <f>IFERROR(__xludf.DUMMYFUNCTION("""COMPUTED_VALUE"""),0.15)</f>
        <v>0.15</v>
      </c>
      <c r="L1685" s="3"/>
      <c r="M1685" s="3"/>
    </row>
    <row r="1686" ht="48.0" customHeight="1">
      <c r="A1686" s="3" t="str">
        <f>IFERROR(__xludf.DUMMYFUNCTION("""COMPUTED_VALUE"""),"NKBQJKS")</f>
        <v>NKBQJKS</v>
      </c>
      <c r="B1686" s="4" t="str">
        <f>IFERROR(__xludf.DUMMYFUNCTION("""COMPUTED_VALUE"""),"PSL-DCPL KIT DE 10 BLOQUEADORES PARA JACKS RJ-45 EL")</f>
        <v>PSL-DCPL KIT DE 10 BLOQUEADORES PARA JACKS RJ-45 EL</v>
      </c>
      <c r="C1686" s="4" t="str">
        <f>IFERROR(__xludf.DUMMYFUNCTION("""COMPUTED_VALUE"""),"PSL-DCPL Kit de 10 bloqueadores para Jacks RJ-45 El dispositivo de bloqueo asegura las conexiones del cordón de parcheo para evitar el acceso no autorizado o que se extraiga por accidente. Se usa el dispositivo superembutido cuando las fichas se instalan "&amp;"con más profundidad. La funda extendida protege el mecanismo de bloqueo. Incluye 10 dispositivos rojos y una herramienta de extracción.")</f>
        <v>PSL-DCPL Kit de 10 bloqueadores para Jacks RJ-45 El dispositivo de bloqueo asegura las conexiones del cordón de parcheo para evitar el acceso no autorizado o que se extraiga por accidente. Se usa el dispositivo superembutido cuando las fichas se instalan con más profundidad. La funda extendida protege el mecanismo de bloqueo. Incluye 10 dispositivos rojos y una herramienta de extracción.</v>
      </c>
      <c r="D1686" s="4" t="str">
        <f>IFERROR(__xludf.DUMMYFUNCTION("""COMPUTED_VALUE"""),"PANDUIT")</f>
        <v>PANDUIT</v>
      </c>
      <c r="E1686" s="4" t="str">
        <f>IFERROR(__xludf.DUMMYFUNCTION("""COMPUTED_VALUE"""),"NKBQJKS")</f>
        <v>NKBQJKS</v>
      </c>
      <c r="F1686" s="4" t="str">
        <f>IFERROR(__xludf.DUMMYFUNCTION("""COMPUTED_VALUE"""),"CONECTIVIDAD &gt; CABLEADO ESTRUCTURADO")</f>
        <v>CONECTIVIDAD &gt; CABLEADO ESTRUCTURADO</v>
      </c>
      <c r="G1686" s="5"/>
      <c r="H1686" s="6">
        <f>IFERROR(__xludf.DUMMYFUNCTION("""COMPUTED_VALUE"""),11.0)</f>
        <v>11</v>
      </c>
      <c r="I1686" s="7">
        <f>IFERROR(__xludf.DUMMYFUNCTION("""COMPUTED_VALUE"""),21.0)</f>
        <v>21</v>
      </c>
      <c r="J1686" s="6">
        <f>IFERROR(__xludf.DUMMYFUNCTION("""COMPUTED_VALUE"""),13.2)</f>
        <v>13.2</v>
      </c>
      <c r="K1686" s="6">
        <f>IFERROR(__xludf.DUMMYFUNCTION("""COMPUTED_VALUE"""),15.4)</f>
        <v>15.4</v>
      </c>
      <c r="L1686" s="3"/>
      <c r="M1686" s="3"/>
    </row>
    <row r="1687" ht="48.0" customHeight="1">
      <c r="A1687" s="3" t="str">
        <f>IFERROR(__xludf.DUMMYFUNCTION("""COMPUTED_VALUE"""),"NKBQPLUG")</f>
        <v>NKBQPLUG</v>
      </c>
      <c r="B1687" s="4" t="str">
        <f>IFERROR(__xludf.DUMMYFUNCTION("""COMPUTED_VALUE"""),"PSL-DCJB-YL-C KIT DE 10 BLOQUEADORES PARA PLUGS RJ-45 AMARILLO")</f>
        <v>PSL-DCJB-YL-C KIT DE 10 BLOQUEADORES PARA PLUGS RJ-45 AMARILLO</v>
      </c>
      <c r="C1687" s="4" t="str">
        <f>IFERROR(__xludf.DUMMYFUNCTION("""COMPUTED_VALUE"""),"PSL-DCJB-YL-C Kit de 10 bloqueadores para Plugs RJ-45 AMARILLO El dispositivo de bloqueo funciona con las aberturas de RJ45 más estándar para evitar accesos no autorizados y para brindar protección contra el polvo, la suciedad o los objetos extraños. El p"&amp;"aquete incluye 100 dispositivos amarillos y cinco herramientas de extracción.")</f>
        <v>PSL-DCJB-YL-C Kit de 10 bloqueadores para Plugs RJ-45 AMARILLO El dispositivo de bloqueo funciona con las aberturas de RJ45 más estándar para evitar accesos no autorizados y para brindar protección contra el polvo, la suciedad o los objetos extraños. El paquete incluye 100 dispositivos amarillos y cinco herramientas de extracción.</v>
      </c>
      <c r="D1687" s="4" t="str">
        <f>IFERROR(__xludf.DUMMYFUNCTION("""COMPUTED_VALUE"""),"PANDUIT")</f>
        <v>PANDUIT</v>
      </c>
      <c r="E1687" s="4" t="str">
        <f>IFERROR(__xludf.DUMMYFUNCTION("""COMPUTED_VALUE"""),"NKBQPLUG")</f>
        <v>NKBQPLUG</v>
      </c>
      <c r="F1687" s="4" t="str">
        <f>IFERROR(__xludf.DUMMYFUNCTION("""COMPUTED_VALUE"""),"CONECTIVIDAD &gt; CABLEADO ESTRUCTURADO")</f>
        <v>CONECTIVIDAD &gt; CABLEADO ESTRUCTURADO</v>
      </c>
      <c r="G1687" s="5"/>
      <c r="H1687" s="6">
        <f>IFERROR(__xludf.DUMMYFUNCTION("""COMPUTED_VALUE"""),11.0)</f>
        <v>11</v>
      </c>
      <c r="I1687" s="7">
        <f>IFERROR(__xludf.DUMMYFUNCTION("""COMPUTED_VALUE"""),21.0)</f>
        <v>21</v>
      </c>
      <c r="J1687" s="6">
        <f>IFERROR(__xludf.DUMMYFUNCTION("""COMPUTED_VALUE"""),13.2)</f>
        <v>13.2</v>
      </c>
      <c r="K1687" s="6">
        <f>IFERROR(__xludf.DUMMYFUNCTION("""COMPUTED_VALUE"""),15.4)</f>
        <v>15.4</v>
      </c>
      <c r="L1687" s="3"/>
      <c r="M1687" s="3"/>
    </row>
    <row r="1688" ht="48.0" customHeight="1">
      <c r="A1688" s="3" t="str">
        <f>IFERROR(__xludf.DUMMYFUNCTION("""COMPUTED_VALUE"""),"NKBQPLUG-R")</f>
        <v>NKBQPLUG-R</v>
      </c>
      <c r="B1688" s="4" t="str">
        <f>IFERROR(__xludf.DUMMYFUNCTION("""COMPUTED_VALUE"""),"PSL-DCJB KIT DE 10 BLOQUEADORES PARA PLUGS RJ-45 ROJO")</f>
        <v>PSL-DCJB KIT DE 10 BLOQUEADORES PARA PLUGS RJ-45 ROJO</v>
      </c>
      <c r="C1688" s="4" t="str">
        <f>IFERROR(__xludf.DUMMYFUNCTION("""COMPUTED_VALUE"""),"PSL-DCJB Kit de 10 bloqueadores para Plugs RJ-45 ROJO El dispositivo de bloqueo funciona con las aberturas de RJ45 más estándar para evitar accesos no autorizados y para brindar protección contra el polvo, la suciedad o los objetos extraños. El paquete in"&amp;"cluye 100 dispositivos amarillos y cinco herramientas de extracción.")</f>
        <v>PSL-DCJB Kit de 10 bloqueadores para Plugs RJ-45 ROJO El dispositivo de bloqueo funciona con las aberturas de RJ45 más estándar para evitar accesos no autorizados y para brindar protección contra el polvo, la suciedad o los objetos extraños. El paquete incluye 100 dispositivos amarillos y cinco herramientas de extracción.</v>
      </c>
      <c r="D1688" s="4" t="str">
        <f>IFERROR(__xludf.DUMMYFUNCTION("""COMPUTED_VALUE"""),"PANDUIT")</f>
        <v>PANDUIT</v>
      </c>
      <c r="E1688" s="4" t="str">
        <f>IFERROR(__xludf.DUMMYFUNCTION("""COMPUTED_VALUE"""),"NKBQPLUG-R")</f>
        <v>NKBQPLUG-R</v>
      </c>
      <c r="F1688" s="4" t="str">
        <f>IFERROR(__xludf.DUMMYFUNCTION("""COMPUTED_VALUE"""),"CONECTIVIDAD &gt; CABLEADO ESTRUCTURADO")</f>
        <v>CONECTIVIDAD &gt; CABLEADO ESTRUCTURADO</v>
      </c>
      <c r="G1688" s="5"/>
      <c r="H1688" s="6">
        <f>IFERROR(__xludf.DUMMYFUNCTION("""COMPUTED_VALUE"""),11.0)</f>
        <v>11</v>
      </c>
      <c r="I1688" s="7">
        <f>IFERROR(__xludf.DUMMYFUNCTION("""COMPUTED_VALUE"""),21.0)</f>
        <v>21</v>
      </c>
      <c r="J1688" s="6">
        <f>IFERROR(__xludf.DUMMYFUNCTION("""COMPUTED_VALUE"""),13.2)</f>
        <v>13.2</v>
      </c>
      <c r="K1688" s="6">
        <f>IFERROR(__xludf.DUMMYFUNCTION("""COMPUTED_VALUE"""),15.4)</f>
        <v>15.4</v>
      </c>
      <c r="L1688" s="3"/>
      <c r="M1688" s="3"/>
    </row>
    <row r="1689" ht="48.0" customHeight="1">
      <c r="A1689" s="3" t="str">
        <f>IFERROR(__xludf.DUMMYFUNCTION("""COMPUTED_VALUE"""),"NKBQUSB")</f>
        <v>NKBQUSB</v>
      </c>
      <c r="B1689" s="4" t="str">
        <f>IFERROR(__xludf.DUMMYFUNCTION("""COMPUTED_VALUE"""),"KIT DE 5 BLOQUEADORES PARA PUERTO USB EL DISPOSITIVO")</f>
        <v>KIT DE 5 BLOQUEADORES PARA PUERTO USB EL DISPOSITIVO</v>
      </c>
      <c r="C1689" s="4" t="str">
        <f>IFERROR(__xludf.DUMMYFUNCTION("""COMPUTED_VALUE"""),"Kit de 5 bloqueadores para puerto USB El dispositivo de bloqueo USB tipo A funciona con los puertos USB 2.0 y USB 3.0 tipo A para evitar el acceso no autorizado o los daños. El paquete incluye 5 dispositivos y una herramienta de extracción")</f>
        <v>Kit de 5 bloqueadores para puerto USB El dispositivo de bloqueo USB tipo A funciona con los puertos USB 2.0 y USB 3.0 tipo A para evitar el acceso no autorizado o los daños. El paquete incluye 5 dispositivos y una herramienta de extracción</v>
      </c>
      <c r="D1689" s="4" t="str">
        <f>IFERROR(__xludf.DUMMYFUNCTION("""COMPUTED_VALUE"""),"PANDUIT")</f>
        <v>PANDUIT</v>
      </c>
      <c r="E1689" s="4" t="str">
        <f>IFERROR(__xludf.DUMMYFUNCTION("""COMPUTED_VALUE"""),"NKBQUSB")</f>
        <v>NKBQUSB</v>
      </c>
      <c r="F1689" s="4" t="str">
        <f>IFERROR(__xludf.DUMMYFUNCTION("""COMPUTED_VALUE"""),"CONECTIVIDAD &gt; CABLEADO ESTRUCTURADO")</f>
        <v>CONECTIVIDAD &gt; CABLEADO ESTRUCTURADO</v>
      </c>
      <c r="G1689" s="5"/>
      <c r="H1689" s="6">
        <f>IFERROR(__xludf.DUMMYFUNCTION("""COMPUTED_VALUE"""),11.0)</f>
        <v>11</v>
      </c>
      <c r="I1689" s="7">
        <f>IFERROR(__xludf.DUMMYFUNCTION("""COMPUTED_VALUE"""),21.0)</f>
        <v>21</v>
      </c>
      <c r="J1689" s="6">
        <f>IFERROR(__xludf.DUMMYFUNCTION("""COMPUTED_VALUE"""),13.2)</f>
        <v>13.2</v>
      </c>
      <c r="K1689" s="6">
        <f>IFERROR(__xludf.DUMMYFUNCTION("""COMPUTED_VALUE"""),15.4)</f>
        <v>15.4</v>
      </c>
      <c r="L1689" s="3"/>
      <c r="M1689" s="3"/>
    </row>
    <row r="1690" ht="48.0" customHeight="1">
      <c r="A1690" s="3" t="str">
        <f>IFERROR(__xludf.DUMMYFUNCTION("""COMPUTED_VALUE"""),"FVR-1202USB-A")</f>
        <v>FVR-1202USB-A</v>
      </c>
      <c r="B1690" s="4" t="str">
        <f>IFERROR(__xludf.DUMMYFUNCTION("""COMPUTED_VALUE"""),"ESTABILIZADOR AUTOMÁTICO DE VOLTAJE 1200VA/600W, 6 IRAM, 2 USB-220V")</f>
        <v>ESTABILIZADOR AUTOMÁTICO DE VOLTAJE 1200VA/600W, 6 IRAM, 2 USB-220V</v>
      </c>
      <c r="C1690" s="4" t="str">
        <f>IFERROR(__xludf.DUMMYFUNCTION("""COMPUTED_VALUE"""),"Estabilizador automático de voltaje 1200VA/600W, 6 IRAM, 2 USB-220V")</f>
        <v>Estabilizador automático de voltaje 1200VA/600W, 6 IRAM, 2 USB-220V</v>
      </c>
      <c r="D1690" s="4" t="str">
        <f>IFERROR(__xludf.DUMMYFUNCTION("""COMPUTED_VALUE"""),"FORZA")</f>
        <v>FORZA</v>
      </c>
      <c r="E1690" s="4" t="str">
        <f>IFERROR(__xludf.DUMMYFUNCTION("""COMPUTED_VALUE"""),"FVR-1202USB-A")</f>
        <v>FVR-1202USB-A</v>
      </c>
      <c r="F1690" s="4" t="str">
        <f>IFERROR(__xludf.DUMMYFUNCTION("""COMPUTED_VALUE"""),"FUENTES / UPS / CABLEADO / ACCESORIOS &gt; UPS")</f>
        <v>FUENTES / UPS / CABLEADO / ACCESORIOS &gt; UPS</v>
      </c>
      <c r="G1690" s="5"/>
      <c r="H1690" s="6">
        <f>IFERROR(__xludf.DUMMYFUNCTION("""COMPUTED_VALUE"""),28.18)</f>
        <v>28.18</v>
      </c>
      <c r="I1690" s="7">
        <f>IFERROR(__xludf.DUMMYFUNCTION("""COMPUTED_VALUE"""),21.0)</f>
        <v>21</v>
      </c>
      <c r="J1690" s="6">
        <f>IFERROR(__xludf.DUMMYFUNCTION("""COMPUTED_VALUE"""),33.82)</f>
        <v>33.82</v>
      </c>
      <c r="K1690" s="6">
        <f>IFERROR(__xludf.DUMMYFUNCTION("""COMPUTED_VALUE"""),39.45)</f>
        <v>39.45</v>
      </c>
      <c r="L1690" s="3"/>
      <c r="M1690" s="3"/>
    </row>
    <row r="1691" ht="48.0" customHeight="1">
      <c r="A1691" s="3" t="str">
        <f>IFERROR(__xludf.DUMMYFUNCTION("""COMPUTED_VALUE"""),"FVR-902A")</f>
        <v>FVR-902A</v>
      </c>
      <c r="B1691" s="4" t="str">
        <f>IFERROR(__xludf.DUMMYFUNCTION("""COMPUTED_VALUE"""),"ESTABILIZADOR AUTOMATICO DE VOLTAJE 900VA/450W, 4 IRAM, RJ45-220V")</f>
        <v>ESTABILIZADOR AUTOMATICO DE VOLTAJE 900VA/450W, 4 IRAM, RJ45-220V</v>
      </c>
      <c r="C1691" s="4" t="str">
        <f>IFERROR(__xludf.DUMMYFUNCTION("""COMPUTED_VALUE"""),"Estabilizador Automatico de voltaje 900VA/450W, 4 IRAM, RJ45-220V")</f>
        <v>Estabilizador Automatico de voltaje 900VA/450W, 4 IRAM, RJ45-220V</v>
      </c>
      <c r="D1691" s="4" t="str">
        <f>IFERROR(__xludf.DUMMYFUNCTION("""COMPUTED_VALUE"""),"FORZA")</f>
        <v>FORZA</v>
      </c>
      <c r="E1691" s="4" t="str">
        <f>IFERROR(__xludf.DUMMYFUNCTION("""COMPUTED_VALUE"""),"FVR-902A")</f>
        <v>FVR-902A</v>
      </c>
      <c r="F1691" s="4" t="str">
        <f>IFERROR(__xludf.DUMMYFUNCTION("""COMPUTED_VALUE"""),"FUENTES / UPS / CABLEADO / ACCESORIOS &gt; UPS")</f>
        <v>FUENTES / UPS / CABLEADO / ACCESORIOS &gt; UPS</v>
      </c>
      <c r="G1691" s="5"/>
      <c r="H1691" s="6">
        <f>IFERROR(__xludf.DUMMYFUNCTION("""COMPUTED_VALUE"""),17.73)</f>
        <v>17.73</v>
      </c>
      <c r="I1691" s="7">
        <f>IFERROR(__xludf.DUMMYFUNCTION("""COMPUTED_VALUE"""),21.0)</f>
        <v>21</v>
      </c>
      <c r="J1691" s="6">
        <f>IFERROR(__xludf.DUMMYFUNCTION("""COMPUTED_VALUE"""),21.28)</f>
        <v>21.28</v>
      </c>
      <c r="K1691" s="6">
        <f>IFERROR(__xludf.DUMMYFUNCTION("""COMPUTED_VALUE"""),24.82)</f>
        <v>24.82</v>
      </c>
      <c r="L1691" s="3"/>
      <c r="M1691" s="3"/>
    </row>
    <row r="1692" ht="48.0" customHeight="1">
      <c r="A1692" s="3" t="str">
        <f>IFERROR(__xludf.DUMMYFUNCTION("""COMPUTED_VALUE"""),"RV600")</f>
        <v>RV600</v>
      </c>
      <c r="B1692" s="4" t="str">
        <f>IFERROR(__xludf.DUMMYFUNCTION("""COMPUTED_VALUE"""),"UPS INTERACTIVA POTENCIA NOMINAL DE 600VA/360W")</f>
        <v>UPS INTERACTIVA POTENCIA NOMINAL DE 600VA/360W</v>
      </c>
      <c r="C1692" s="4" t="str">
        <f>IFERROR(__xludf.DUMMYFUNCTION("""COMPUTED_VALUE"""),"UPS interactiva Potencia nominal de 600VA/360W; 220V/50Hz. 4 enchufes-IRAM. EA200Pro panel, LED display. 5 minutos de autonomía a plena carga. Con 1 baterÍa de 7Ah.")</f>
        <v>UPS interactiva Potencia nominal de 600VA/360W; 220V/50Hz. 4 enchufes-IRAM. EA200Pro panel, LED display. 5 minutos de autonomía a plena carga. Con 1 baterÍa de 7Ah.</v>
      </c>
      <c r="D1692" s="4" t="str">
        <f>IFERROR(__xludf.DUMMYFUNCTION("""COMPUTED_VALUE"""),"REGUVOLT")</f>
        <v>REGUVOLT</v>
      </c>
      <c r="E1692" s="4" t="str">
        <f>IFERROR(__xludf.DUMMYFUNCTION("""COMPUTED_VALUE"""),"RV600")</f>
        <v>RV600</v>
      </c>
      <c r="F1692" s="4" t="str">
        <f>IFERROR(__xludf.DUMMYFUNCTION("""COMPUTED_VALUE"""),"FUENTES / UPS / CABLEADO / ACCESORIOS &gt; UPS")</f>
        <v>FUENTES / UPS / CABLEADO / ACCESORIOS &gt; UPS</v>
      </c>
      <c r="G1692" s="5"/>
      <c r="H1692" s="6">
        <f>IFERROR(__xludf.DUMMYFUNCTION("""COMPUTED_VALUE"""),50.05)</f>
        <v>50.05</v>
      </c>
      <c r="I1692" s="7">
        <f>IFERROR(__xludf.DUMMYFUNCTION("""COMPUTED_VALUE"""),10.5)</f>
        <v>10.5</v>
      </c>
      <c r="J1692" s="6">
        <f>IFERROR(__xludf.DUMMYFUNCTION("""COMPUTED_VALUE"""),60.06)</f>
        <v>60.06</v>
      </c>
      <c r="K1692" s="6">
        <f>IFERROR(__xludf.DUMMYFUNCTION("""COMPUTED_VALUE"""),70.07)</f>
        <v>70.07</v>
      </c>
      <c r="L1692" s="3"/>
      <c r="M1692" s="3"/>
    </row>
    <row r="1693" ht="48.0" customHeight="1">
      <c r="A1693" s="3" t="str">
        <f>IFERROR(__xludf.DUMMYFUNCTION("""COMPUTED_VALUE"""),"UPXION600")</f>
        <v>UPXION600</v>
      </c>
      <c r="B1693" s="4" t="str">
        <f>IFERROR(__xludf.DUMMYFUNCTION("""COMPUTED_VALUE"""),"UPS INTERACTIVA 600 VA CON BATERIA REFORZADA 12V 9A")</f>
        <v>UPS INTERACTIVA 600 VA CON BATERIA REFORZADA 12V 9A</v>
      </c>
      <c r="C1693" s="4" t="str">
        <f>IFERROR(__xludf.DUMMYFUNCTION("""COMPUTED_VALUE"""),"UPS interactiva 600 va con bateria reforzada 12v 9a con estabilizador.")</f>
        <v>UPS interactiva 600 va con bateria reforzada 12v 9a con estabilizador.</v>
      </c>
      <c r="D1693" s="4" t="str">
        <f>IFERROR(__xludf.DUMMYFUNCTION("""COMPUTED_VALUE"""),"POLARIS")</f>
        <v>POLARIS</v>
      </c>
      <c r="E1693" s="4" t="str">
        <f>IFERROR(__xludf.DUMMYFUNCTION("""COMPUTED_VALUE"""),"UPXION600")</f>
        <v>UPXION600</v>
      </c>
      <c r="F1693" s="4" t="str">
        <f>IFERROR(__xludf.DUMMYFUNCTION("""COMPUTED_VALUE"""),"FUENTES / UPS / CABLEADO / ACCESORIOS &gt; UPS")</f>
        <v>FUENTES / UPS / CABLEADO / ACCESORIOS &gt; UPS</v>
      </c>
      <c r="G1693" s="5"/>
      <c r="H1693" s="6">
        <f>IFERROR(__xludf.DUMMYFUNCTION("""COMPUTED_VALUE"""),72.07)</f>
        <v>72.07</v>
      </c>
      <c r="I1693" s="7">
        <f>IFERROR(__xludf.DUMMYFUNCTION("""COMPUTED_VALUE"""),10.5)</f>
        <v>10.5</v>
      </c>
      <c r="J1693" s="6">
        <f>IFERROR(__xludf.DUMMYFUNCTION("""COMPUTED_VALUE"""),86.48)</f>
        <v>86.48</v>
      </c>
      <c r="K1693" s="6">
        <f>IFERROR(__xludf.DUMMYFUNCTION("""COMPUTED_VALUE"""),100.9)</f>
        <v>100.9</v>
      </c>
      <c r="L1693" s="3"/>
      <c r="M1693" s="3"/>
    </row>
    <row r="1694" ht="48.0" customHeight="1">
      <c r="A1694" s="3" t="str">
        <f>IFERROR(__xludf.DUMMYFUNCTION("""COMPUTED_VALUE"""),"RV800")</f>
        <v>RV800</v>
      </c>
      <c r="B1694" s="4" t="str">
        <f>IFERROR(__xludf.DUMMYFUNCTION("""COMPUTED_VALUE"""),"UPS INTERACTIVA POTENCIA NOMINAL DE 800VA/480W")</f>
        <v>UPS INTERACTIVA POTENCIA NOMINAL DE 800VA/480W</v>
      </c>
      <c r="C1694" s="4" t="str">
        <f>IFERROR(__xludf.DUMMYFUNCTION("""COMPUTED_VALUE"""),"UPS interactiva Potencia nominal de 800VA/480W; 220V/50Hz. 4 enchufes-IRAM. EA200Pro panel. 5 minutos de autonomía a plena carga. Con 1 baterÍa de 8Ah.")</f>
        <v>UPS interactiva Potencia nominal de 800VA/480W; 220V/50Hz. 4 enchufes-IRAM. EA200Pro panel. 5 minutos de autonomía a plena carga. Con 1 baterÍa de 8Ah.</v>
      </c>
      <c r="D1694" s="4" t="str">
        <f>IFERROR(__xludf.DUMMYFUNCTION("""COMPUTED_VALUE"""),"REGUVOLT")</f>
        <v>REGUVOLT</v>
      </c>
      <c r="E1694" s="4" t="str">
        <f>IFERROR(__xludf.DUMMYFUNCTION("""COMPUTED_VALUE"""),"RV800")</f>
        <v>RV800</v>
      </c>
      <c r="F1694" s="4" t="str">
        <f>IFERROR(__xludf.DUMMYFUNCTION("""COMPUTED_VALUE"""),"FUENTES / UPS / CABLEADO / ACCESORIOS &gt; UPS")</f>
        <v>FUENTES / UPS / CABLEADO / ACCESORIOS &gt; UPS</v>
      </c>
      <c r="G1694" s="5"/>
      <c r="H1694" s="6">
        <f>IFERROR(__xludf.DUMMYFUNCTION("""COMPUTED_VALUE"""),71.86)</f>
        <v>71.86</v>
      </c>
      <c r="I1694" s="7">
        <f>IFERROR(__xludf.DUMMYFUNCTION("""COMPUTED_VALUE"""),10.5)</f>
        <v>10.5</v>
      </c>
      <c r="J1694" s="6">
        <f>IFERROR(__xludf.DUMMYFUNCTION("""COMPUTED_VALUE"""),86.23)</f>
        <v>86.23</v>
      </c>
      <c r="K1694" s="6">
        <f>IFERROR(__xludf.DUMMYFUNCTION("""COMPUTED_VALUE"""),100.6)</f>
        <v>100.6</v>
      </c>
      <c r="L1694" s="3"/>
      <c r="M1694" s="3"/>
    </row>
    <row r="1695" ht="48.0" customHeight="1">
      <c r="A1695" s="3" t="str">
        <f>IFERROR(__xludf.DUMMYFUNCTION("""COMPUTED_VALUE"""),"RV1500")</f>
        <v>RV1500</v>
      </c>
      <c r="B1695" s="4" t="str">
        <f>IFERROR(__xludf.DUMMYFUNCTION("""COMPUTED_VALUE"""),"POTENCIA NOMINAL DE 1500VA/900W, 220V/50HZ, 4 ENCHUFES-IRAM")</f>
        <v>POTENCIA NOMINAL DE 1500VA/900W, 220V/50HZ, 4 ENCHUFES-IRAM</v>
      </c>
      <c r="C1695" s="4" t="str">
        <f>IFERROR(__xludf.DUMMYFUNCTION("""COMPUTED_VALUE"""),"Potencia nominal de 1500VA/900W, 220V/50Hz, 4 enchufes-IRAM. EA200Pro panel. 5 minutos de autonomía a plena carga. Con 2 baterÍas de 8Ah.")</f>
        <v>Potencia nominal de 1500VA/900W, 220V/50Hz, 4 enchufes-IRAM. EA200Pro panel. 5 minutos de autonomía a plena carga. Con 2 baterÍas de 8Ah.</v>
      </c>
      <c r="D1695" s="4" t="str">
        <f>IFERROR(__xludf.DUMMYFUNCTION("""COMPUTED_VALUE"""),"REGUVOLT")</f>
        <v>REGUVOLT</v>
      </c>
      <c r="E1695" s="4" t="str">
        <f>IFERROR(__xludf.DUMMYFUNCTION("""COMPUTED_VALUE"""),"RV1500")</f>
        <v>RV1500</v>
      </c>
      <c r="F1695" s="4" t="str">
        <f>IFERROR(__xludf.DUMMYFUNCTION("""COMPUTED_VALUE"""),"FUENTES / UPS / CABLEADO / ACCESORIOS &gt; UPS")</f>
        <v>FUENTES / UPS / CABLEADO / ACCESORIOS &gt; UPS</v>
      </c>
      <c r="G1695" s="5"/>
      <c r="H1695" s="6">
        <f>IFERROR(__xludf.DUMMYFUNCTION("""COMPUTED_VALUE"""),148.42)</f>
        <v>148.42</v>
      </c>
      <c r="I1695" s="7">
        <f>IFERROR(__xludf.DUMMYFUNCTION("""COMPUTED_VALUE"""),10.5)</f>
        <v>10.5</v>
      </c>
      <c r="J1695" s="6">
        <f>IFERROR(__xludf.DUMMYFUNCTION("""COMPUTED_VALUE"""),178.1)</f>
        <v>178.1</v>
      </c>
      <c r="K1695" s="6">
        <f>IFERROR(__xludf.DUMMYFUNCTION("""COMPUTED_VALUE"""),207.79)</f>
        <v>207.79</v>
      </c>
      <c r="L1695" s="3"/>
      <c r="M1695" s="3"/>
    </row>
    <row r="1696" ht="48.0" customHeight="1">
      <c r="A1696" s="3" t="str">
        <f>IFERROR(__xludf.DUMMYFUNCTION("""COMPUTED_VALUE"""),"DS-UPS1000R")</f>
        <v>DS-UPS1000R</v>
      </c>
      <c r="B1696" s="4" t="str">
        <f>IFERROR(__xludf.DUMMYFUNCTION("""COMPUTED_VALUE"""),"UPS INTERACTIVA 1000VA")</f>
        <v>UPS INTERACTIVA 1000VA</v>
      </c>
      <c r="C1696" s="4" t="str">
        <f>IFERROR(__xludf.DUMMYFUNCTION("""COMPUTED_VALUE"""),"UPS interactiva 1000VA")</f>
        <v>UPS interactiva 1000VA</v>
      </c>
      <c r="D1696" s="4" t="str">
        <f>IFERROR(__xludf.DUMMYFUNCTION("""COMPUTED_VALUE"""),"HIKVISION")</f>
        <v>HIKVISION</v>
      </c>
      <c r="E1696" s="4" t="str">
        <f>IFERROR(__xludf.DUMMYFUNCTION("""COMPUTED_VALUE"""),"DS-UPS1000R")</f>
        <v>DS-UPS1000R</v>
      </c>
      <c r="F1696" s="4" t="str">
        <f>IFERROR(__xludf.DUMMYFUNCTION("""COMPUTED_VALUE"""),"FUENTES / UPS / CABLEADO / ACCESORIOS &gt; UPS")</f>
        <v>FUENTES / UPS / CABLEADO / ACCESORIOS &gt; UPS</v>
      </c>
      <c r="G1696" s="5"/>
      <c r="H1696" s="6">
        <f>IFERROR(__xludf.DUMMYFUNCTION("""COMPUTED_VALUE"""),60.96)</f>
        <v>60.96</v>
      </c>
      <c r="I1696" s="7">
        <f>IFERROR(__xludf.DUMMYFUNCTION("""COMPUTED_VALUE"""),10.5)</f>
        <v>10.5</v>
      </c>
      <c r="J1696" s="6">
        <f>IFERROR(__xludf.DUMMYFUNCTION("""COMPUTED_VALUE"""),73.15)</f>
        <v>73.15</v>
      </c>
      <c r="K1696" s="6">
        <f>IFERROR(__xludf.DUMMYFUNCTION("""COMPUTED_VALUE"""),85.34)</f>
        <v>85.34</v>
      </c>
      <c r="L1696" s="3"/>
      <c r="M1696" s="3"/>
    </row>
    <row r="1697" ht="48.0" customHeight="1">
      <c r="A1697" s="3" t="str">
        <f>IFERROR(__xludf.DUMMYFUNCTION("""COMPUTED_VALUE"""),"DS-UPS2000")</f>
        <v>DS-UPS2000</v>
      </c>
      <c r="B1697" s="4" t="str">
        <f>IFERROR(__xludf.DUMMYFUNCTION("""COMPUTED_VALUE"""),"UPS INTERACTIVA 2000VA")</f>
        <v>UPS INTERACTIVA 2000VA</v>
      </c>
      <c r="C1697" s="4" t="str">
        <f>IFERROR(__xludf.DUMMYFUNCTION("""COMPUTED_VALUE"""),"UPS interactiva 2000VA")</f>
        <v>UPS interactiva 2000VA</v>
      </c>
      <c r="D1697" s="4" t="str">
        <f>IFERROR(__xludf.DUMMYFUNCTION("""COMPUTED_VALUE"""),"HIKVISION")</f>
        <v>HIKVISION</v>
      </c>
      <c r="E1697" s="4" t="str">
        <f>IFERROR(__xludf.DUMMYFUNCTION("""COMPUTED_VALUE"""),"DS-UPS2000")</f>
        <v>DS-UPS2000</v>
      </c>
      <c r="F1697" s="4" t="str">
        <f>IFERROR(__xludf.DUMMYFUNCTION("""COMPUTED_VALUE"""),"FUENTES / UPS / CABLEADO / ACCESORIOS &gt; UPS")</f>
        <v>FUENTES / UPS / CABLEADO / ACCESORIOS &gt; UPS</v>
      </c>
      <c r="G1697" s="5"/>
      <c r="H1697" s="6">
        <f>IFERROR(__xludf.DUMMYFUNCTION("""COMPUTED_VALUE"""),164.82)</f>
        <v>164.82</v>
      </c>
      <c r="I1697" s="7">
        <f>IFERROR(__xludf.DUMMYFUNCTION("""COMPUTED_VALUE"""),10.5)</f>
        <v>10.5</v>
      </c>
      <c r="J1697" s="6">
        <f>IFERROR(__xludf.DUMMYFUNCTION("""COMPUTED_VALUE"""),197.78)</f>
        <v>197.78</v>
      </c>
      <c r="K1697" s="6">
        <f>IFERROR(__xludf.DUMMYFUNCTION("""COMPUTED_VALUE"""),230.75)</f>
        <v>230.75</v>
      </c>
      <c r="L1697" s="3"/>
      <c r="M1697" s="3"/>
    </row>
    <row r="1698" ht="48.0" customHeight="1">
      <c r="A1698" s="3" t="str">
        <f>IFERROR(__xludf.DUMMYFUNCTION("""COMPUTED_VALUE"""),"UPXION800")</f>
        <v>UPXION800</v>
      </c>
      <c r="B1698" s="4" t="str">
        <f>IFERROR(__xludf.DUMMYFUNCTION("""COMPUTED_VALUE"""),"UPS INTERACTIVA 800 VA CON BATERIA REFORZADA 12V 9A")</f>
        <v>UPS INTERACTIVA 800 VA CON BATERIA REFORZADA 12V 9A</v>
      </c>
      <c r="C1698" s="4" t="str">
        <f>IFERROR(__xludf.DUMMYFUNCTION("""COMPUTED_VALUE"""),"UPS interactiva 800 va con bateria reforzada 12v 9a con estabilizador.")</f>
        <v>UPS interactiva 800 va con bateria reforzada 12v 9a con estabilizador.</v>
      </c>
      <c r="D1698" s="4" t="str">
        <f>IFERROR(__xludf.DUMMYFUNCTION("""COMPUTED_VALUE"""),"POLARIS")</f>
        <v>POLARIS</v>
      </c>
      <c r="E1698" s="4" t="str">
        <f>IFERROR(__xludf.DUMMYFUNCTION("""COMPUTED_VALUE"""),"UPXION800")</f>
        <v>UPXION800</v>
      </c>
      <c r="F1698" s="4" t="str">
        <f>IFERROR(__xludf.DUMMYFUNCTION("""COMPUTED_VALUE"""),"FUENTES / UPS / CABLEADO / ACCESORIOS &gt; UPS")</f>
        <v>FUENTES / UPS / CABLEADO / ACCESORIOS &gt; UPS</v>
      </c>
      <c r="G1698" s="5"/>
      <c r="H1698" s="6">
        <f>IFERROR(__xludf.DUMMYFUNCTION("""COMPUTED_VALUE"""),88.0)</f>
        <v>88</v>
      </c>
      <c r="I1698" s="7">
        <f>IFERROR(__xludf.DUMMYFUNCTION("""COMPUTED_VALUE"""),10.5)</f>
        <v>10.5</v>
      </c>
      <c r="J1698" s="6">
        <f>IFERROR(__xludf.DUMMYFUNCTION("""COMPUTED_VALUE"""),105.6)</f>
        <v>105.6</v>
      </c>
      <c r="K1698" s="6">
        <f>IFERROR(__xludf.DUMMYFUNCTION("""COMPUTED_VALUE"""),123.2)</f>
        <v>123.2</v>
      </c>
      <c r="L1698" s="3"/>
      <c r="M1698" s="3"/>
    </row>
    <row r="1699" ht="48.0" customHeight="1">
      <c r="A1699" s="3" t="str">
        <f>IFERROR(__xludf.DUMMYFUNCTION("""COMPUTED_VALUE"""),"UPXION2000")</f>
        <v>UPXION2000</v>
      </c>
      <c r="B1699" s="4" t="str">
        <f>IFERROR(__xludf.DUMMYFUNCTION("""COMPUTED_VALUE"""),"UPS INTERACTIVA 2 KVA CON 2 BATERIAS REFORZADAS 12V")</f>
        <v>UPS INTERACTIVA 2 KVA CON 2 BATERIAS REFORZADAS 12V</v>
      </c>
      <c r="C1699" s="4" t="str">
        <f>IFERROR(__xludf.DUMMYFUNCTION("""COMPUTED_VALUE"""),"UPS interactiva 2 kva con 2 baterias reforzadas 12v 9a con estabilizador")</f>
        <v>UPS interactiva 2 kva con 2 baterias reforzadas 12v 9a con estabilizador</v>
      </c>
      <c r="D1699" s="4" t="str">
        <f>IFERROR(__xludf.DUMMYFUNCTION("""COMPUTED_VALUE"""),"POLARIS")</f>
        <v>POLARIS</v>
      </c>
      <c r="E1699" s="4" t="str">
        <f>IFERROR(__xludf.DUMMYFUNCTION("""COMPUTED_VALUE"""),"UPXION2000")</f>
        <v>UPXION2000</v>
      </c>
      <c r="F1699" s="4" t="str">
        <f>IFERROR(__xludf.DUMMYFUNCTION("""COMPUTED_VALUE"""),"FUENTES / UPS / CABLEADO / ACCESORIOS &gt; UPS")</f>
        <v>FUENTES / UPS / CABLEADO / ACCESORIOS &gt; UPS</v>
      </c>
      <c r="G1699" s="5"/>
      <c r="H1699" s="6">
        <f>IFERROR(__xludf.DUMMYFUNCTION("""COMPUTED_VALUE"""),215.88)</f>
        <v>215.88</v>
      </c>
      <c r="I1699" s="7">
        <f>IFERROR(__xludf.DUMMYFUNCTION("""COMPUTED_VALUE"""),10.5)</f>
        <v>10.5</v>
      </c>
      <c r="J1699" s="6">
        <f>IFERROR(__xludf.DUMMYFUNCTION("""COMPUTED_VALUE"""),259.06)</f>
        <v>259.06</v>
      </c>
      <c r="K1699" s="6">
        <f>IFERROR(__xludf.DUMMYFUNCTION("""COMPUTED_VALUE"""),302.23)</f>
        <v>302.23</v>
      </c>
      <c r="L1699" s="3"/>
      <c r="M1699" s="3"/>
    </row>
    <row r="1700" ht="48.0" customHeight="1">
      <c r="A1700" s="3" t="str">
        <f>IFERROR(__xludf.DUMMYFUNCTION("""COMPUTED_VALUE"""),"UPTXA1000")</f>
        <v>UPTXA1000</v>
      </c>
      <c r="B1700" s="4" t="str">
        <f>IFERROR(__xludf.DUMMYFUNCTION("""COMPUTED_VALUE"""),"UPS ON-LINE 1 KVA, 1:1 TOWER, BANCO DE BATERIA")</f>
        <v>UPS ON-LINE 1 KVA, 1:1 TOWER, BANCO DE BATERIA</v>
      </c>
      <c r="C1700" s="4" t="str">
        <f>IFERROR(__xludf.DUMMYFUNCTION("""COMPUTED_VALUE"""),"UPS ON-LINE 1 kva, 1:1 tower, banco de bateria interno con baterias reforzadas y conector p / banco externo, proteccion linea telefonica y display lcd")</f>
        <v>UPS ON-LINE 1 kva, 1:1 tower, banco de bateria interno con baterias reforzadas y conector p / banco externo, proteccion linea telefonica y display lcd</v>
      </c>
      <c r="D1700" s="4" t="str">
        <f>IFERROR(__xludf.DUMMYFUNCTION("""COMPUTED_VALUE"""),"POLARIS")</f>
        <v>POLARIS</v>
      </c>
      <c r="E1700" s="4" t="str">
        <f>IFERROR(__xludf.DUMMYFUNCTION("""COMPUTED_VALUE"""),"UPTXA1000")</f>
        <v>UPTXA1000</v>
      </c>
      <c r="F1700" s="4" t="str">
        <f>IFERROR(__xludf.DUMMYFUNCTION("""COMPUTED_VALUE"""),"FUENTES / UPS / CABLEADO / ACCESORIOS &gt; UPS")</f>
        <v>FUENTES / UPS / CABLEADO / ACCESORIOS &gt; UPS</v>
      </c>
      <c r="G1700" s="5"/>
      <c r="H1700" s="6">
        <f>IFERROR(__xludf.DUMMYFUNCTION("""COMPUTED_VALUE"""),350.63)</f>
        <v>350.63</v>
      </c>
      <c r="I1700" s="7">
        <f>IFERROR(__xludf.DUMMYFUNCTION("""COMPUTED_VALUE"""),10.5)</f>
        <v>10.5</v>
      </c>
      <c r="J1700" s="6">
        <f>IFERROR(__xludf.DUMMYFUNCTION("""COMPUTED_VALUE"""),420.76)</f>
        <v>420.76</v>
      </c>
      <c r="K1700" s="6">
        <f>IFERROR(__xludf.DUMMYFUNCTION("""COMPUTED_VALUE"""),490.88)</f>
        <v>490.88</v>
      </c>
      <c r="L1700" s="3"/>
      <c r="M1700" s="3"/>
    </row>
    <row r="1701" ht="48.0" customHeight="1">
      <c r="A1701" s="3" t="str">
        <f>IFERROR(__xludf.DUMMYFUNCTION("""COMPUTED_VALUE"""),"UPTXA2000")</f>
        <v>UPTXA2000</v>
      </c>
      <c r="B1701" s="4" t="str">
        <f>IFERROR(__xludf.DUMMYFUNCTION("""COMPUTED_VALUE"""),"UPS ON-LINE 2 KVA, 1:1 TOWER, BANCO DE BATERIA")</f>
        <v>UPS ON-LINE 2 KVA, 1:1 TOWER, BANCO DE BATERIA</v>
      </c>
      <c r="C1701" s="4" t="str">
        <f>IFERROR(__xludf.DUMMYFUNCTION("""COMPUTED_VALUE"""),"UPS ON-LINE 2 kva, 1:1 tower, banco de bateria interno con baterias reforzadas y conector p / banco externo, proteccion linea telefonica y display lc")</f>
        <v>UPS ON-LINE 2 kva, 1:1 tower, banco de bateria interno con baterias reforzadas y conector p / banco externo, proteccion linea telefonica y display lc</v>
      </c>
      <c r="D1701" s="4" t="str">
        <f>IFERROR(__xludf.DUMMYFUNCTION("""COMPUTED_VALUE"""),"POLARIS")</f>
        <v>POLARIS</v>
      </c>
      <c r="E1701" s="4" t="str">
        <f>IFERROR(__xludf.DUMMYFUNCTION("""COMPUTED_VALUE"""),"UPTXA2000")</f>
        <v>UPTXA2000</v>
      </c>
      <c r="F1701" s="4" t="str">
        <f>IFERROR(__xludf.DUMMYFUNCTION("""COMPUTED_VALUE"""),"FUENTES / UPS / CABLEADO / ACCESORIOS &gt; UPS")</f>
        <v>FUENTES / UPS / CABLEADO / ACCESORIOS &gt; UPS</v>
      </c>
      <c r="G1701" s="5"/>
      <c r="H1701" s="6">
        <f>IFERROR(__xludf.DUMMYFUNCTION("""COMPUTED_VALUE"""),558.25)</f>
        <v>558.25</v>
      </c>
      <c r="I1701" s="7">
        <f>IFERROR(__xludf.DUMMYFUNCTION("""COMPUTED_VALUE"""),10.5)</f>
        <v>10.5</v>
      </c>
      <c r="J1701" s="6">
        <f>IFERROR(__xludf.DUMMYFUNCTION("""COMPUTED_VALUE"""),669.9)</f>
        <v>669.9</v>
      </c>
      <c r="K1701" s="6">
        <f>IFERROR(__xludf.DUMMYFUNCTION("""COMPUTED_VALUE"""),781.55)</f>
        <v>781.55</v>
      </c>
      <c r="L1701" s="3"/>
      <c r="M1701" s="3"/>
    </row>
    <row r="1702" ht="48.0" customHeight="1">
      <c r="A1702" s="3" t="str">
        <f>IFERROR(__xludf.DUMMYFUNCTION("""COMPUTED_VALUE"""),"UPTXA3000")</f>
        <v>UPTXA3000</v>
      </c>
      <c r="B1702" s="4" t="str">
        <f>IFERROR(__xludf.DUMMYFUNCTION("""COMPUTED_VALUE"""),"UPS ON-LINE 3 KVA, 1:1 TOWER, BANCO DE BATERIA")</f>
        <v>UPS ON-LINE 3 KVA, 1:1 TOWER, BANCO DE BATERIA</v>
      </c>
      <c r="C1702" s="4" t="str">
        <f>IFERROR(__xludf.DUMMYFUNCTION("""COMPUTED_VALUE"""),"UPS ON-LINE 3 kva, 1:1 tower, banco de bateria interno con baterias reforzadas 12v 9a y conector p / banco externo, proteccion linea telefonica y display lcd")</f>
        <v>UPS ON-LINE 3 kva, 1:1 tower, banco de bateria interno con baterias reforzadas 12v 9a y conector p / banco externo, proteccion linea telefonica y display lcd</v>
      </c>
      <c r="D1702" s="4" t="str">
        <f>IFERROR(__xludf.DUMMYFUNCTION("""COMPUTED_VALUE"""),"POLARIS")</f>
        <v>POLARIS</v>
      </c>
      <c r="E1702" s="4" t="str">
        <f>IFERROR(__xludf.DUMMYFUNCTION("""COMPUTED_VALUE"""),"UPTXA3000")</f>
        <v>UPTXA3000</v>
      </c>
      <c r="F1702" s="4" t="str">
        <f>IFERROR(__xludf.DUMMYFUNCTION("""COMPUTED_VALUE"""),"FUENTES / UPS / CABLEADO / ACCESORIOS &gt; UPS")</f>
        <v>FUENTES / UPS / CABLEADO / ACCESORIOS &gt; UPS</v>
      </c>
      <c r="G1702" s="5"/>
      <c r="H1702" s="6">
        <f>IFERROR(__xludf.DUMMYFUNCTION("""COMPUTED_VALUE"""),662.75)</f>
        <v>662.75</v>
      </c>
      <c r="I1702" s="7">
        <f>IFERROR(__xludf.DUMMYFUNCTION("""COMPUTED_VALUE"""),10.5)</f>
        <v>10.5</v>
      </c>
      <c r="J1702" s="6">
        <f>IFERROR(__xludf.DUMMYFUNCTION("""COMPUTED_VALUE"""),795.3)</f>
        <v>795.3</v>
      </c>
      <c r="K1702" s="6">
        <f>IFERROR(__xludf.DUMMYFUNCTION("""COMPUTED_VALUE"""),927.85)</f>
        <v>927.85</v>
      </c>
      <c r="L1702" s="3"/>
      <c r="M1702" s="3"/>
    </row>
    <row r="1703" ht="48.0" customHeight="1">
      <c r="A1703" s="3" t="str">
        <f>IFERROR(__xludf.DUMMYFUNCTION("""COMPUTED_VALUE"""),"UPBCOK12TXA3000")</f>
        <v>UPBCOK12TXA3000</v>
      </c>
      <c r="B1703" s="4" t="str">
        <f>IFERROR(__xludf.DUMMYFUNCTION("""COMPUTED_VALUE"""),"BANCO DE BATERIA EXTERNO CON CARGADOR PROPIO CON 12")</f>
        <v>BANCO DE BATERIA EXTERNO CON CARGADOR PROPIO CON 12</v>
      </c>
      <c r="C1703" s="4" t="str">
        <f>IFERROR(__xludf.DUMMYFUNCTION("""COMPUTED_VALUE"""),"BANCO DE BATERIA EXTERNO CON CARGADOR PROPIO CON 12 BATERIAS REFORZADAS DE 12V 9A POLARIS. PARA UPSK-TX-A3000")</f>
        <v>BANCO DE BATERIA EXTERNO CON CARGADOR PROPIO CON 12 BATERIAS REFORZADAS DE 12V 9A POLARIS. PARA UPSK-TX-A3000</v>
      </c>
      <c r="D1703" s="4" t="str">
        <f>IFERROR(__xludf.DUMMYFUNCTION("""COMPUTED_VALUE"""),"POLARIS")</f>
        <v>POLARIS</v>
      </c>
      <c r="E1703" s="4" t="str">
        <f>IFERROR(__xludf.DUMMYFUNCTION("""COMPUTED_VALUE"""),"UPBCOK12TXA3000")</f>
        <v>UPBCOK12TXA3000</v>
      </c>
      <c r="F1703" s="4" t="str">
        <f>IFERROR(__xludf.DUMMYFUNCTION("""COMPUTED_VALUE"""),"FUENTES / UPS / CABLEADO / ACCESORIOS &gt; UPS")</f>
        <v>FUENTES / UPS / CABLEADO / ACCESORIOS &gt; UPS</v>
      </c>
      <c r="G1703" s="5"/>
      <c r="H1703" s="6">
        <f>IFERROR(__xludf.DUMMYFUNCTION("""COMPUTED_VALUE"""),649.0)</f>
        <v>649</v>
      </c>
      <c r="I1703" s="7">
        <f>IFERROR(__xludf.DUMMYFUNCTION("""COMPUTED_VALUE"""),21.0)</f>
        <v>21</v>
      </c>
      <c r="J1703" s="6">
        <f>IFERROR(__xludf.DUMMYFUNCTION("""COMPUTED_VALUE"""),778.8)</f>
        <v>778.8</v>
      </c>
      <c r="K1703" s="6">
        <f>IFERROR(__xludf.DUMMYFUNCTION("""COMPUTED_VALUE"""),908.6)</f>
        <v>908.6</v>
      </c>
      <c r="L1703" s="3"/>
      <c r="M1703" s="3"/>
    </row>
    <row r="1704" ht="48.0" customHeight="1">
      <c r="A1704" s="3" t="str">
        <f>IFERROR(__xludf.DUMMYFUNCTION("""COMPUTED_VALUE"""),"UPGBCOK12TXA3000")</f>
        <v>UPGBCOK12TXA3000</v>
      </c>
      <c r="B1704" s="4" t="str">
        <f>IFERROR(__xludf.DUMMYFUNCTION("""COMPUTED_VALUE"""),"GABINETE PARA BANCO DE BATERIA EXTERNO CON CARGADOR PROPIO")</f>
        <v>GABINETE PARA BANCO DE BATERIA EXTERNO CON CARGADOR PROPIO</v>
      </c>
      <c r="C1704" s="4" t="str">
        <f>IFERROR(__xludf.DUMMYFUNCTION("""COMPUTED_VALUE"""),"GABINETE PARA BANCO DE BATERIA EXTERNO CON CARGADOR PROPIO PARA 12 BATERIAS REFORZADAS DE 12V 9A POLARIS. PARA UPSK-TX-A3000")</f>
        <v>GABINETE PARA BANCO DE BATERIA EXTERNO CON CARGADOR PROPIO PARA 12 BATERIAS REFORZADAS DE 12V 9A POLARIS. PARA UPSK-TX-A3000</v>
      </c>
      <c r="D1704" s="4" t="str">
        <f>IFERROR(__xludf.DUMMYFUNCTION("""COMPUTED_VALUE"""),"POLARIS")</f>
        <v>POLARIS</v>
      </c>
      <c r="E1704" s="4" t="str">
        <f>IFERROR(__xludf.DUMMYFUNCTION("""COMPUTED_VALUE"""),"UPGBCOK12TXA3000")</f>
        <v>UPGBCOK12TXA3000</v>
      </c>
      <c r="F1704" s="4" t="str">
        <f>IFERROR(__xludf.DUMMYFUNCTION("""COMPUTED_VALUE"""),"FUENTES / UPS / CABLEADO / ACCESORIOS &gt; UPS")</f>
        <v>FUENTES / UPS / CABLEADO / ACCESORIOS &gt; UPS</v>
      </c>
      <c r="G1704" s="5"/>
      <c r="H1704" s="6">
        <f>IFERROR(__xludf.DUMMYFUNCTION("""COMPUTED_VALUE"""),302.5)</f>
        <v>302.5</v>
      </c>
      <c r="I1704" s="7">
        <f>IFERROR(__xludf.DUMMYFUNCTION("""COMPUTED_VALUE"""),21.0)</f>
        <v>21</v>
      </c>
      <c r="J1704" s="6">
        <f>IFERROR(__xludf.DUMMYFUNCTION("""COMPUTED_VALUE"""),363.0)</f>
        <v>363</v>
      </c>
      <c r="K1704" s="6">
        <f>IFERROR(__xludf.DUMMYFUNCTION("""COMPUTED_VALUE"""),423.5)</f>
        <v>423.5</v>
      </c>
      <c r="L1704" s="3"/>
      <c r="M1704" s="3"/>
    </row>
    <row r="1705" ht="48.0" customHeight="1">
      <c r="A1705" s="3" t="str">
        <f>IFERROR(__xludf.DUMMYFUNCTION("""COMPUTED_VALUE"""),"UPRTA3000")</f>
        <v>UPRTA3000</v>
      </c>
      <c r="B1705" s="4" t="str">
        <f>IFERROR(__xludf.DUMMYFUNCTION("""COMPUTED_VALUE"""),"UPS ON-LINE 3KVA 1:1 RACK/TOWER, BANCO INTERNO CON 6")</f>
        <v>UPS ON-LINE 3KVA 1:1 RACK/TOWER, BANCO INTERNO CON 6</v>
      </c>
      <c r="C1705" s="4" t="str">
        <f>IFERROR(__xludf.DUMMYFUNCTION("""COMPUTED_VALUE"""),"UPS ON-LINE 3kva 1:1 rack/tower, banco interno con 6 baterias reforzadas 12v 9a polaris y display lcd.")</f>
        <v>UPS ON-LINE 3kva 1:1 rack/tower, banco interno con 6 baterias reforzadas 12v 9a polaris y display lcd.</v>
      </c>
      <c r="D1705" s="4" t="str">
        <f>IFERROR(__xludf.DUMMYFUNCTION("""COMPUTED_VALUE"""),"POLARIS")</f>
        <v>POLARIS</v>
      </c>
      <c r="E1705" s="4" t="str">
        <f>IFERROR(__xludf.DUMMYFUNCTION("""COMPUTED_VALUE"""),"UPRTA3000")</f>
        <v>UPRTA3000</v>
      </c>
      <c r="F1705" s="4" t="str">
        <f>IFERROR(__xludf.DUMMYFUNCTION("""COMPUTED_VALUE"""),"FUENTES / UPS / CABLEADO / ACCESORIOS &gt; UPS")</f>
        <v>FUENTES / UPS / CABLEADO / ACCESORIOS &gt; UPS</v>
      </c>
      <c r="G1705" s="5"/>
      <c r="H1705" s="6">
        <f>IFERROR(__xludf.DUMMYFUNCTION("""COMPUTED_VALUE"""),702.63)</f>
        <v>702.63</v>
      </c>
      <c r="I1705" s="7">
        <f>IFERROR(__xludf.DUMMYFUNCTION("""COMPUTED_VALUE"""),10.5)</f>
        <v>10.5</v>
      </c>
      <c r="J1705" s="6">
        <f>IFERROR(__xludf.DUMMYFUNCTION("""COMPUTED_VALUE"""),843.16)</f>
        <v>843.16</v>
      </c>
      <c r="K1705" s="6">
        <f>IFERROR(__xludf.DUMMYFUNCTION("""COMPUTED_VALUE"""),983.68)</f>
        <v>983.68</v>
      </c>
      <c r="L1705" s="3"/>
      <c r="M1705" s="3"/>
    </row>
    <row r="1706" ht="48.0" customHeight="1">
      <c r="A1706" s="3" t="str">
        <f>IFERROR(__xludf.DUMMYFUNCTION("""COMPUTED_VALUE"""),"UPBCOK12RTA3000")</f>
        <v>UPBCOK12RTA3000</v>
      </c>
      <c r="B1706" s="4" t="str">
        <f>IFERROR(__xludf.DUMMYFUNCTION("""COMPUTED_VALUE"""),"BANCO DE BATERIA EXTERNO CON 12 BATERIAS REFORZADAS DE")</f>
        <v>BANCO DE BATERIA EXTERNO CON 12 BATERIAS REFORZADAS DE</v>
      </c>
      <c r="C1706" s="4" t="str">
        <f>IFERROR(__xludf.DUMMYFUNCTION("""COMPUTED_VALUE"""),"BANCO DE BATERIA EXTERNO CON 12 BATERIAS REFORZADAS DE 12V 9A POLARIS. PARA UPSK-RT-A3000")</f>
        <v>BANCO DE BATERIA EXTERNO CON 12 BATERIAS REFORZADAS DE 12V 9A POLARIS. PARA UPSK-RT-A3000</v>
      </c>
      <c r="D1706" s="4" t="str">
        <f>IFERROR(__xludf.DUMMYFUNCTION("""COMPUTED_VALUE"""),"POLARIS")</f>
        <v>POLARIS</v>
      </c>
      <c r="E1706" s="4" t="str">
        <f>IFERROR(__xludf.DUMMYFUNCTION("""COMPUTED_VALUE"""),"UPBCOK12RTA3000")</f>
        <v>UPBCOK12RTA3000</v>
      </c>
      <c r="F1706" s="4" t="str">
        <f>IFERROR(__xludf.DUMMYFUNCTION("""COMPUTED_VALUE"""),"FUENTES / UPS / CABLEADO / ACCESORIOS &gt; UPS")</f>
        <v>FUENTES / UPS / CABLEADO / ACCESORIOS &gt; UPS</v>
      </c>
      <c r="G1706" s="5"/>
      <c r="H1706" s="6">
        <f>IFERROR(__xludf.DUMMYFUNCTION("""COMPUTED_VALUE"""),671.0)</f>
        <v>671</v>
      </c>
      <c r="I1706" s="7">
        <f>IFERROR(__xludf.DUMMYFUNCTION("""COMPUTED_VALUE"""),21.0)</f>
        <v>21</v>
      </c>
      <c r="J1706" s="6">
        <f>IFERROR(__xludf.DUMMYFUNCTION("""COMPUTED_VALUE"""),805.2)</f>
        <v>805.2</v>
      </c>
      <c r="K1706" s="6">
        <f>IFERROR(__xludf.DUMMYFUNCTION("""COMPUTED_VALUE"""),939.4)</f>
        <v>939.4</v>
      </c>
      <c r="L1706" s="3"/>
      <c r="M1706" s="3"/>
    </row>
    <row r="1707" ht="48.0" customHeight="1">
      <c r="A1707" s="3" t="str">
        <f>IFERROR(__xludf.DUMMYFUNCTION("""COMPUTED_VALUE"""),"UPSTXA6000")</f>
        <v>UPSTXA6000</v>
      </c>
      <c r="B1707" s="4" t="str">
        <f>IFERROR(__xludf.DUMMYFUNCTION("""COMPUTED_VALUE"""),"UPS ON-LINE 6 KVA, 1:1 TOWER, BANCO INTERNO CON")</f>
        <v>UPS ON-LINE 6 KVA, 1:1 TOWER, BANCO INTERNO CON</v>
      </c>
      <c r="C1707" s="4" t="str">
        <f>IFERROR(__xludf.DUMMYFUNCTION("""COMPUTED_VALUE"""),"UPS ON-LINE 6 KVA, 1:1 TOWER, BANCO INTERNO CON 20 BATERIAS REFORZADAS 12V 9A Y CONECTOR P/BANCO EXTERNO, DISPLAY LCD")</f>
        <v>UPS ON-LINE 6 KVA, 1:1 TOWER, BANCO INTERNO CON 20 BATERIAS REFORZADAS 12V 9A Y CONECTOR P/BANCO EXTERNO, DISPLAY LCD</v>
      </c>
      <c r="D1707" s="4" t="str">
        <f>IFERROR(__xludf.DUMMYFUNCTION("""COMPUTED_VALUE"""),"POLARIS")</f>
        <v>POLARIS</v>
      </c>
      <c r="E1707" s="4" t="str">
        <f>IFERROR(__xludf.DUMMYFUNCTION("""COMPUTED_VALUE"""),"UPSTXA6000")</f>
        <v>UPSTXA6000</v>
      </c>
      <c r="F1707" s="4" t="str">
        <f>IFERROR(__xludf.DUMMYFUNCTION("""COMPUTED_VALUE"""),"FUENTES / UPS / CABLEADO / ACCESORIOS &gt; UPS")</f>
        <v>FUENTES / UPS / CABLEADO / ACCESORIOS &gt; UPS</v>
      </c>
      <c r="G1707" s="5"/>
      <c r="H1707" s="6">
        <f>IFERROR(__xludf.DUMMYFUNCTION("""COMPUTED_VALUE"""),2052.88)</f>
        <v>2052.88</v>
      </c>
      <c r="I1707" s="7">
        <f>IFERROR(__xludf.DUMMYFUNCTION("""COMPUTED_VALUE"""),10.5)</f>
        <v>10.5</v>
      </c>
      <c r="J1707" s="6">
        <f>IFERROR(__xludf.DUMMYFUNCTION("""COMPUTED_VALUE"""),2463.46)</f>
        <v>2463.46</v>
      </c>
      <c r="K1707" s="6">
        <f>IFERROR(__xludf.DUMMYFUNCTION("""COMPUTED_VALUE"""),2874.03)</f>
        <v>2874.03</v>
      </c>
      <c r="L1707" s="3"/>
      <c r="M1707" s="3"/>
    </row>
    <row r="1708" ht="48.0" customHeight="1">
      <c r="A1708" s="3" t="str">
        <f>IFERROR(__xludf.DUMMYFUNCTION("""COMPUTED_VALUE"""),"UPSKRTA6000")</f>
        <v>UPSKRTA6000</v>
      </c>
      <c r="B1708" s="4" t="str">
        <f>IFERROR(__xludf.DUMMYFUNCTION("""COMPUTED_VALUE"""),"UPS 6KVA 1:1 RACK/TOWER CON CARGADOR DE 10A, BANCO")</f>
        <v>UPS 6KVA 1:1 RACK/TOWER CON CARGADOR DE 10A, BANCO</v>
      </c>
      <c r="C1708" s="4" t="str">
        <f>IFERROR(__xludf.DUMMYFUNCTION("""COMPUTED_VALUE"""),"UPS 6KVA 1:1 RACK/TOWER CON CARGADOR DE 10A, BANCO EXTERNO CON 20 BATERIAS REFORZADAS 12V 9A POLARIS Y DISPLAY LCD")</f>
        <v>UPS 6KVA 1:1 RACK/TOWER CON CARGADOR DE 10A, BANCO EXTERNO CON 20 BATERIAS REFORZADAS 12V 9A POLARIS Y DISPLAY LCD</v>
      </c>
      <c r="D1708" s="4" t="str">
        <f>IFERROR(__xludf.DUMMYFUNCTION("""COMPUTED_VALUE"""),"POLARIS")</f>
        <v>POLARIS</v>
      </c>
      <c r="E1708" s="4" t="str">
        <f>IFERROR(__xludf.DUMMYFUNCTION("""COMPUTED_VALUE"""),"UPSKRTA6000")</f>
        <v>UPSKRTA6000</v>
      </c>
      <c r="F1708" s="4" t="str">
        <f>IFERROR(__xludf.DUMMYFUNCTION("""COMPUTED_VALUE"""),"FUENTES / UPS / CABLEADO / ACCESORIOS &gt; UPS")</f>
        <v>FUENTES / UPS / CABLEADO / ACCESORIOS &gt; UPS</v>
      </c>
      <c r="G1708" s="5"/>
      <c r="H1708" s="6">
        <f>IFERROR(__xludf.DUMMYFUNCTION("""COMPUTED_VALUE"""),2187.63)</f>
        <v>2187.63</v>
      </c>
      <c r="I1708" s="7">
        <f>IFERROR(__xludf.DUMMYFUNCTION("""COMPUTED_VALUE"""),10.5)</f>
        <v>10.5</v>
      </c>
      <c r="J1708" s="6">
        <f>IFERROR(__xludf.DUMMYFUNCTION("""COMPUTED_VALUE"""),2625.16)</f>
        <v>2625.16</v>
      </c>
      <c r="K1708" s="6">
        <f>IFERROR(__xludf.DUMMYFUNCTION("""COMPUTED_VALUE"""),3062.68)</f>
        <v>3062.68</v>
      </c>
      <c r="L1708" s="3"/>
      <c r="M1708" s="3"/>
    </row>
    <row r="1709" ht="48.0" customHeight="1">
      <c r="A1709" s="3" t="str">
        <f>IFERROR(__xludf.DUMMYFUNCTION("""COMPUTED_VALUE"""),"UPRTA10000")</f>
        <v>UPRTA10000</v>
      </c>
      <c r="B1709" s="4" t="str">
        <f>IFERROR(__xludf.DUMMYFUNCTION("""COMPUTED_VALUE"""),"UPS ON-LINE 10KVA 1:1 RACK/TOWER CON CARGADOR DE 10A,")</f>
        <v>UPS ON-LINE 10KVA 1:1 RACK/TOWER CON CARGADOR DE 10A,</v>
      </c>
      <c r="C1709" s="4" t="str">
        <f>IFERROR(__xludf.DUMMYFUNCTION("""COMPUTED_VALUE"""),"UPS ON-LINE 10kva 1:1 rack/tower con cargador de 10a, banco externo con 20 baterias reforzadas 12v 9a polaris y display lcd.")</f>
        <v>UPS ON-LINE 10kva 1:1 rack/tower con cargador de 10a, banco externo con 20 baterias reforzadas 12v 9a polaris y display lcd.</v>
      </c>
      <c r="D1709" s="4" t="str">
        <f>IFERROR(__xludf.DUMMYFUNCTION("""COMPUTED_VALUE"""),"POLARIS")</f>
        <v>POLARIS</v>
      </c>
      <c r="E1709" s="4" t="str">
        <f>IFERROR(__xludf.DUMMYFUNCTION("""COMPUTED_VALUE"""),"UPRTA10000")</f>
        <v>UPRTA10000</v>
      </c>
      <c r="F1709" s="4" t="str">
        <f>IFERROR(__xludf.DUMMYFUNCTION("""COMPUTED_VALUE"""),"FUENTES / UPS / CABLEADO / ACCESORIOS &gt; UPS")</f>
        <v>FUENTES / UPS / CABLEADO / ACCESORIOS &gt; UPS</v>
      </c>
      <c r="G1709" s="5"/>
      <c r="H1709" s="6">
        <f>IFERROR(__xludf.DUMMYFUNCTION("""COMPUTED_VALUE"""),3069.0)</f>
        <v>3069</v>
      </c>
      <c r="I1709" s="7">
        <f>IFERROR(__xludf.DUMMYFUNCTION("""COMPUTED_VALUE"""),10.5)</f>
        <v>10.5</v>
      </c>
      <c r="J1709" s="6">
        <f>IFERROR(__xludf.DUMMYFUNCTION("""COMPUTED_VALUE"""),3682.8)</f>
        <v>3682.8</v>
      </c>
      <c r="K1709" s="6">
        <f>IFERROR(__xludf.DUMMYFUNCTION("""COMPUTED_VALUE"""),4296.6)</f>
        <v>4296.6</v>
      </c>
      <c r="L1709" s="3"/>
      <c r="M1709" s="3"/>
    </row>
    <row r="1710" ht="48.0" customHeight="1">
      <c r="A1710" s="3" t="str">
        <f>IFERROR(__xludf.DUMMYFUNCTION("""COMPUTED_VALUE"""),"UPBCOK20RTA610")</f>
        <v>UPBCOK20RTA610</v>
      </c>
      <c r="B1710" s="4" t="str">
        <f>IFERROR(__xludf.DUMMYFUNCTION("""COMPUTED_VALUE"""),"BANCO ADICIONAL DE BATERIA EXTERNO CON 20 BATERIAS REFORZADAS")</f>
        <v>BANCO ADICIONAL DE BATERIA EXTERNO CON 20 BATERIAS REFORZADAS</v>
      </c>
      <c r="C1710" s="4" t="str">
        <f>IFERROR(__xludf.DUMMYFUNCTION("""COMPUTED_VALUE"""),"BANCO ADICIONAL DE BATERIA EXTERNO CON 20 BATERIAS REFORZADAS DE 12V 9A POLARIS. PARA UPSKTXA6000, UPSK-TXA-10000, UPSK-RT-A6000, UPSK-RTA10000.")</f>
        <v>BANCO ADICIONAL DE BATERIA EXTERNO CON 20 BATERIAS REFORZADAS DE 12V 9A POLARIS. PARA UPSK_x0002_TXA6000, UPSK-TXA-10000, UPSK-RT-A6000, UPSK-RTA10000.</v>
      </c>
      <c r="D1710" s="4" t="str">
        <f>IFERROR(__xludf.DUMMYFUNCTION("""COMPUTED_VALUE"""),"POLARIS")</f>
        <v>POLARIS</v>
      </c>
      <c r="E1710" s="4" t="str">
        <f>IFERROR(__xludf.DUMMYFUNCTION("""COMPUTED_VALUE"""),"UPBCOK20RTA610")</f>
        <v>UPBCOK20RTA610</v>
      </c>
      <c r="F1710" s="4" t="str">
        <f>IFERROR(__xludf.DUMMYFUNCTION("""COMPUTED_VALUE"""),"FUENTES / UPS / CABLEADO / ACCESORIOS &gt; UPS")</f>
        <v>FUENTES / UPS / CABLEADO / ACCESORIOS &gt; UPS</v>
      </c>
      <c r="G1710" s="5"/>
      <c r="H1710" s="6">
        <f>IFERROR(__xludf.DUMMYFUNCTION("""COMPUTED_VALUE"""),1329.63)</f>
        <v>1329.63</v>
      </c>
      <c r="I1710" s="7">
        <f>IFERROR(__xludf.DUMMYFUNCTION("""COMPUTED_VALUE"""),21.0)</f>
        <v>21</v>
      </c>
      <c r="J1710" s="6">
        <f>IFERROR(__xludf.DUMMYFUNCTION("""COMPUTED_VALUE"""),1595.56)</f>
        <v>1595.56</v>
      </c>
      <c r="K1710" s="6">
        <f>IFERROR(__xludf.DUMMYFUNCTION("""COMPUTED_VALUE"""),1861.48)</f>
        <v>1861.48</v>
      </c>
      <c r="L1710" s="3"/>
      <c r="M1710" s="3"/>
    </row>
    <row r="1711" ht="48.0" customHeight="1">
      <c r="A1711" s="3" t="str">
        <f>IFERROR(__xludf.DUMMYFUNCTION("""COMPUTED_VALUE"""),"UPGBCOK20RTA610")</f>
        <v>UPGBCOK20RTA610</v>
      </c>
      <c r="B1711" s="4" t="str">
        <f>IFERROR(__xludf.DUMMYFUNCTION("""COMPUTED_VALUE"""),"GABINETE PARA BANCO ADICIONAL DE BATERIAS EXTERNO CON CAPACIDAD")</f>
        <v>GABINETE PARA BANCO ADICIONAL DE BATERIAS EXTERNO CON CAPACIDAD</v>
      </c>
      <c r="C1711" s="4" t="str">
        <f>IFERROR(__xludf.DUMMYFUNCTION("""COMPUTED_VALUE"""),"GABINETE PARA BANCO ADICIONAL DE BATERIAS EXTERNO CON CAPACIDAD PARA 20 BATERIAS DE 12V 9A. PARA UPSK-TXA6000, UPSK-TXA-10000, UPSK-RTA6000, UPSK-RT-A10000. (NO INCLUYE BATERIAS)")</f>
        <v>GABINETE PARA BANCO ADICIONAL DE BATERIAS EXTERNO CON CAPACIDAD PARA 20 BATERIAS DE 12V 9A. PARA UPSK-TXA6000, UPSK-TXA-10000, UPSK-RT_x0002_A6000, UPSK-RT-A10000. (NO INCLUYE BATERIAS)</v>
      </c>
      <c r="D1711" s="4" t="str">
        <f>IFERROR(__xludf.DUMMYFUNCTION("""COMPUTED_VALUE"""),"POLARIS")</f>
        <v>POLARIS</v>
      </c>
      <c r="E1711" s="4" t="str">
        <f>IFERROR(__xludf.DUMMYFUNCTION("""COMPUTED_VALUE"""),"UPGBCOK20RTA610")</f>
        <v>UPGBCOK20RTA610</v>
      </c>
      <c r="F1711" s="4" t="str">
        <f>IFERROR(__xludf.DUMMYFUNCTION("""COMPUTED_VALUE"""),"FUENTES / UPS / CABLEADO / ACCESORIOS &gt; UPS")</f>
        <v>FUENTES / UPS / CABLEADO / ACCESORIOS &gt; UPS</v>
      </c>
      <c r="G1711" s="5"/>
      <c r="H1711" s="6">
        <f>IFERROR(__xludf.DUMMYFUNCTION("""COMPUTED_VALUE"""),647.63)</f>
        <v>647.63</v>
      </c>
      <c r="I1711" s="7">
        <f>IFERROR(__xludf.DUMMYFUNCTION("""COMPUTED_VALUE"""),21.0)</f>
        <v>21</v>
      </c>
      <c r="J1711" s="6">
        <f>IFERROR(__xludf.DUMMYFUNCTION("""COMPUTED_VALUE"""),777.16)</f>
        <v>777.16</v>
      </c>
      <c r="K1711" s="6">
        <f>IFERROR(__xludf.DUMMYFUNCTION("""COMPUTED_VALUE"""),906.68)</f>
        <v>906.68</v>
      </c>
      <c r="L1711" s="3"/>
      <c r="M1711" s="3"/>
    </row>
    <row r="1712" ht="48.0" customHeight="1">
      <c r="A1712" s="3" t="str">
        <f>IFERROR(__xludf.DUMMYFUNCTION("""COMPUTED_VALUE"""),"RV10000RT")</f>
        <v>RV10000RT</v>
      </c>
      <c r="B1712" s="4" t="str">
        <f>IFERROR(__xludf.DUMMYFUNCTION("""COMPUTED_VALUE"""),"POTENCIA NOMINAL DE 10000VA/10000W, 220V/50HZ")</f>
        <v>POTENCIA NOMINAL DE 10000VA/10000W, 220V/50HZ</v>
      </c>
      <c r="C1712" s="4" t="str">
        <f>IFERROR(__xludf.DUMMYFUNCTION("""COMPUTED_VALUE"""),"Potencia Nominal de 10000VA/10000W, 220V/50Hz. Modelo Rack y Tower. 5 minutos de autonomía a plena carga. Cargador de 5A. Este modelo no tiene baterias incluidas. Es solo la electronica. Funciona con el banco de baterias RV-BATPACK-RT")</f>
        <v>Potencia Nominal de 10000VA/10000W, 220V/50Hz. Modelo Rack y Tower. 5 minutos de autonomía a plena carga. Cargador de 5A. Este modelo no tiene baterias incluidas. Es solo la electronica. Funciona con el banco de baterias RV-BATPACK-RT</v>
      </c>
      <c r="D1712" s="4" t="str">
        <f>IFERROR(__xludf.DUMMYFUNCTION("""COMPUTED_VALUE"""),"REGUVOLT")</f>
        <v>REGUVOLT</v>
      </c>
      <c r="E1712" s="4" t="str">
        <f>IFERROR(__xludf.DUMMYFUNCTION("""COMPUTED_VALUE"""),"RV10000RT")</f>
        <v>RV10000RT</v>
      </c>
      <c r="F1712" s="4" t="str">
        <f>IFERROR(__xludf.DUMMYFUNCTION("""COMPUTED_VALUE"""),"FUENTES / UPS / CABLEADO / ACCESORIOS &gt; UPS")</f>
        <v>FUENTES / UPS / CABLEADO / ACCESORIOS &gt; UPS</v>
      </c>
      <c r="G1712" s="5"/>
      <c r="H1712" s="6">
        <f>IFERROR(__xludf.DUMMYFUNCTION("""COMPUTED_VALUE"""),2271.14)</f>
        <v>2271.14</v>
      </c>
      <c r="I1712" s="7">
        <f>IFERROR(__xludf.DUMMYFUNCTION("""COMPUTED_VALUE"""),10.5)</f>
        <v>10.5</v>
      </c>
      <c r="J1712" s="6">
        <f>IFERROR(__xludf.DUMMYFUNCTION("""COMPUTED_VALUE"""),2725.37)</f>
        <v>2725.37</v>
      </c>
      <c r="K1712" s="6">
        <f>IFERROR(__xludf.DUMMYFUNCTION("""COMPUTED_VALUE"""),3179.6)</f>
        <v>3179.6</v>
      </c>
      <c r="L1712" s="3"/>
      <c r="M1712" s="3"/>
    </row>
    <row r="1713" ht="48.0" customHeight="1">
      <c r="A1713" s="3" t="str">
        <f>IFERROR(__xludf.DUMMYFUNCTION("""COMPUTED_VALUE"""),"RVBATPACKRT")</f>
        <v>RVBATPACKRT</v>
      </c>
      <c r="B1713" s="4" t="str">
        <f>IFERROR(__xludf.DUMMYFUNCTION("""COMPUTED_VALUE"""),"BANCO DE BATERÍAS LÍNEA RT (20X12V9AMP)")</f>
        <v>BANCO DE BATERÍAS LÍNEA RT (20X12V9AMP)</v>
      </c>
      <c r="C1713" s="4" t="str">
        <f>IFERROR(__xludf.DUMMYFUNCTION("""COMPUTED_VALUE"""),"Banco de baterías línea RT (20x12V9amp)")</f>
        <v>Banco de baterías línea RT (20x12V9amp)</v>
      </c>
      <c r="D1713" s="4" t="str">
        <f>IFERROR(__xludf.DUMMYFUNCTION("""COMPUTED_VALUE"""),"REGUVOLT")</f>
        <v>REGUVOLT</v>
      </c>
      <c r="E1713" s="4" t="str">
        <f>IFERROR(__xludf.DUMMYFUNCTION("""COMPUTED_VALUE"""),"RVBATPACKRT")</f>
        <v>RVBATPACKRT</v>
      </c>
      <c r="F1713" s="4" t="str">
        <f>IFERROR(__xludf.DUMMYFUNCTION("""COMPUTED_VALUE"""),"FUENTES / UPS / CABLEADO / ACCESORIOS &gt; UPS")</f>
        <v>FUENTES / UPS / CABLEADO / ACCESORIOS &gt; UPS</v>
      </c>
      <c r="G1713" s="5"/>
      <c r="H1713" s="6">
        <f>IFERROR(__xludf.DUMMYFUNCTION("""COMPUTED_VALUE"""),1426.48)</f>
        <v>1426.48</v>
      </c>
      <c r="I1713" s="7">
        <f>IFERROR(__xludf.DUMMYFUNCTION("""COMPUTED_VALUE"""),21.0)</f>
        <v>21</v>
      </c>
      <c r="J1713" s="6">
        <f>IFERROR(__xludf.DUMMYFUNCTION("""COMPUTED_VALUE"""),1711.78)</f>
        <v>1711.78</v>
      </c>
      <c r="K1713" s="6">
        <f>IFERROR(__xludf.DUMMYFUNCTION("""COMPUTED_VALUE"""),1997.07)</f>
        <v>1997.07</v>
      </c>
      <c r="L1713" s="3"/>
      <c r="M1713" s="3"/>
    </row>
    <row r="1714" ht="48.0" customHeight="1">
      <c r="A1714" s="3" t="str">
        <f>IFERROR(__xludf.DUMMYFUNCTION("""COMPUTED_VALUE"""),"UPSNMP")</f>
        <v>UPSNMP</v>
      </c>
      <c r="B1714" s="4" t="str">
        <f>IFERROR(__xludf.DUMMYFUNCTION("""COMPUTED_VALUE"""),"PLACA SNMP RTA-TXA 1000, 2000M Y 3000 VA")</f>
        <v>PLACA SNMP RTA-TXA 1000, 2000M Y 3000 VA</v>
      </c>
      <c r="C1714" s="4" t="str">
        <f>IFERROR(__xludf.DUMMYFUNCTION("""COMPUTED_VALUE"""),"PLACA SNMP RTA-TXA 1000, 2000M Y 3000 VA")</f>
        <v>PLACA SNMP RTA-TXA 1000, 2000M Y 3000 VA</v>
      </c>
      <c r="D1714" s="4" t="str">
        <f>IFERROR(__xludf.DUMMYFUNCTION("""COMPUTED_VALUE"""),"POLARIS")</f>
        <v>POLARIS</v>
      </c>
      <c r="E1714" s="4" t="str">
        <f>IFERROR(__xludf.DUMMYFUNCTION("""COMPUTED_VALUE"""),"UPSNMP")</f>
        <v>UPSNMP</v>
      </c>
      <c r="F1714" s="4" t="str">
        <f>IFERROR(__xludf.DUMMYFUNCTION("""COMPUTED_VALUE"""),"FUENTES / UPS / CABLEADO / ACCESORIOS &gt; UPS")</f>
        <v>FUENTES / UPS / CABLEADO / ACCESORIOS &gt; UPS</v>
      </c>
      <c r="G1714" s="5"/>
      <c r="H1714" s="6">
        <f>IFERROR(__xludf.DUMMYFUNCTION("""COMPUTED_VALUE"""),108.63)</f>
        <v>108.63</v>
      </c>
      <c r="I1714" s="7">
        <f>IFERROR(__xludf.DUMMYFUNCTION("""COMPUTED_VALUE"""),10.5)</f>
        <v>10.5</v>
      </c>
      <c r="J1714" s="6">
        <f>IFERROR(__xludf.DUMMYFUNCTION("""COMPUTED_VALUE"""),130.36)</f>
        <v>130.36</v>
      </c>
      <c r="K1714" s="6">
        <f>IFERROR(__xludf.DUMMYFUNCTION("""COMPUTED_VALUE"""),152.08)</f>
        <v>152.08</v>
      </c>
      <c r="L1714" s="3"/>
      <c r="M1714" s="3"/>
    </row>
    <row r="1715" ht="48.0" customHeight="1">
      <c r="A1715" s="3" t="str">
        <f>IFERROR(__xludf.DUMMYFUNCTION("""COMPUTED_VALUE"""),"UPSNMPRTA")</f>
        <v>UPSNMPRTA</v>
      </c>
      <c r="B1715" s="4" t="str">
        <f>IFERROR(__xludf.DUMMYFUNCTION("""COMPUTED_VALUE"""),"PLACA SNMP RTA-TXA 6000 Y 10000 VA, TXA 6 Y 10 3:3 Y 3:1")</f>
        <v>PLACA SNMP RTA-TXA 6000 Y 10000 VA, TXA 6 Y 10 3:3 Y 3:1</v>
      </c>
      <c r="C1715" s="4" t="str">
        <f>IFERROR(__xludf.DUMMYFUNCTION("""COMPUTED_VALUE"""),"PLACA SNMP RTA-TXA 6000 Y 10000 VA, TXA 6 Y 10 3:3 Y 3:1")</f>
        <v>PLACA SNMP RTA-TXA 6000 Y 10000 VA, TXA 6 Y 10 3:3 Y 3:1</v>
      </c>
      <c r="D1715" s="4" t="str">
        <f>IFERROR(__xludf.DUMMYFUNCTION("""COMPUTED_VALUE"""),"POLARIS")</f>
        <v>POLARIS</v>
      </c>
      <c r="E1715" s="4" t="str">
        <f>IFERROR(__xludf.DUMMYFUNCTION("""COMPUTED_VALUE"""),"UPSNMPRTA")</f>
        <v>UPSNMPRTA</v>
      </c>
      <c r="F1715" s="4" t="str">
        <f>IFERROR(__xludf.DUMMYFUNCTION("""COMPUTED_VALUE"""),"FUENTES / UPS / CABLEADO / ACCESORIOS &gt; UPS")</f>
        <v>FUENTES / UPS / CABLEADO / ACCESORIOS &gt; UPS</v>
      </c>
      <c r="G1715" s="5"/>
      <c r="H1715" s="6">
        <f>IFERROR(__xludf.DUMMYFUNCTION("""COMPUTED_VALUE"""),343.75)</f>
        <v>343.75</v>
      </c>
      <c r="I1715" s="7">
        <f>IFERROR(__xludf.DUMMYFUNCTION("""COMPUTED_VALUE"""),10.5)</f>
        <v>10.5</v>
      </c>
      <c r="J1715" s="6">
        <f>IFERROR(__xludf.DUMMYFUNCTION("""COMPUTED_VALUE"""),412.5)</f>
        <v>412.5</v>
      </c>
      <c r="K1715" s="6">
        <f>IFERROR(__xludf.DUMMYFUNCTION("""COMPUTED_VALUE"""),481.25)</f>
        <v>481.25</v>
      </c>
      <c r="L1715" s="3"/>
      <c r="M1715" s="3"/>
    </row>
    <row r="1716" ht="48.0" customHeight="1">
      <c r="A1716" s="3" t="str">
        <f>IFERROR(__xludf.DUMMYFUNCTION("""COMPUTED_VALUE"""),"UPKITRACK1")</f>
        <v>UPKITRACK1</v>
      </c>
      <c r="B1716" s="4" t="str">
        <f>IFERROR(__xludf.DUMMYFUNCTION("""COMPUTED_VALUE"""),"KIT DE MONTAJE PARA RTA3000 Y RTA6000")</f>
        <v>KIT DE MONTAJE PARA RTA3000 Y RTA6000</v>
      </c>
      <c r="C1716" s="4" t="str">
        <f>IFERROR(__xludf.DUMMYFUNCTION("""COMPUTED_VALUE"""),"KIT de montaje para RTA3000 y RTA6000")</f>
        <v>KIT de montaje para RTA3000 y RTA6000</v>
      </c>
      <c r="D1716" s="4" t="str">
        <f>IFERROR(__xludf.DUMMYFUNCTION("""COMPUTED_VALUE"""),"POLARIS")</f>
        <v>POLARIS</v>
      </c>
      <c r="E1716" s="4" t="str">
        <f>IFERROR(__xludf.DUMMYFUNCTION("""COMPUTED_VALUE"""),"UPKITRACK1")</f>
        <v>UPKITRACK1</v>
      </c>
      <c r="F1716" s="4" t="str">
        <f>IFERROR(__xludf.DUMMYFUNCTION("""COMPUTED_VALUE"""),"FUENTES / UPS / CABLEADO / ACCESORIOS &gt; UPS")</f>
        <v>FUENTES / UPS / CABLEADO / ACCESORIOS &gt; UPS</v>
      </c>
      <c r="G1716" s="5"/>
      <c r="H1716" s="6">
        <f>IFERROR(__xludf.DUMMYFUNCTION("""COMPUTED_VALUE"""),154.0)</f>
        <v>154</v>
      </c>
      <c r="I1716" s="7">
        <f>IFERROR(__xludf.DUMMYFUNCTION("""COMPUTED_VALUE"""),10.5)</f>
        <v>10.5</v>
      </c>
      <c r="J1716" s="6">
        <f>IFERROR(__xludf.DUMMYFUNCTION("""COMPUTED_VALUE"""),184.8)</f>
        <v>184.8</v>
      </c>
      <c r="K1716" s="6">
        <f>IFERROR(__xludf.DUMMYFUNCTION("""COMPUTED_VALUE"""),215.6)</f>
        <v>215.6</v>
      </c>
      <c r="L1716" s="3"/>
      <c r="M1716" s="3"/>
    </row>
    <row r="1717" ht="48.0" customHeight="1">
      <c r="A1717" s="3" t="str">
        <f>IFERROR(__xludf.DUMMYFUNCTION("""COMPUTED_VALUE"""),"DKCB121")</f>
        <v>DKCB121</v>
      </c>
      <c r="B1717" s="4" t="str">
        <f>IFERROR(__xludf.DUMMYFUNCTION("""COMPUTED_VALUE"""),"CARGADOR DE BATERIA 1 AMPER 12 VOLT INCLUYE PLACA")</f>
        <v>CARGADOR DE BATERIA 1 AMPER 12 VOLT INCLUYE PLACA</v>
      </c>
      <c r="C1717" s="4" t="str">
        <f>IFERROR(__xludf.DUMMYFUNCTION("""COMPUTED_VALUE"""),"Cargador de Bateria 1 Amper 12 Volt Incluye placa + trafo + gabinete plástico")</f>
        <v>Cargador de Bateria 1 Amper 12 Volt Incluye placa + trafo + gabinete plástico</v>
      </c>
      <c r="D1717" s="4" t="str">
        <f>IFERROR(__xludf.DUMMYFUNCTION("""COMPUTED_VALUE"""),"TEKSOR")</f>
        <v>TEKSOR</v>
      </c>
      <c r="E1717" s="4" t="str">
        <f>IFERROR(__xludf.DUMMYFUNCTION("""COMPUTED_VALUE"""),"DKCB121")</f>
        <v>DKCB121</v>
      </c>
      <c r="F1717" s="4" t="str">
        <f>IFERROR(__xludf.DUMMYFUNCTION("""COMPUTED_VALUE"""),"FUENTES / UPS / CABLEADO / ACCESORIOS &gt; UPS")</f>
        <v>FUENTES / UPS / CABLEADO / ACCESORIOS &gt; UPS</v>
      </c>
      <c r="G1717" s="5"/>
      <c r="H1717" s="6">
        <f>IFERROR(__xludf.DUMMYFUNCTION("""COMPUTED_VALUE"""),38.5)</f>
        <v>38.5</v>
      </c>
      <c r="I1717" s="7">
        <f>IFERROR(__xludf.DUMMYFUNCTION("""COMPUTED_VALUE"""),21.0)</f>
        <v>21</v>
      </c>
      <c r="J1717" s="6">
        <f>IFERROR(__xludf.DUMMYFUNCTION("""COMPUTED_VALUE"""),46.2)</f>
        <v>46.2</v>
      </c>
      <c r="K1717" s="6">
        <f>IFERROR(__xludf.DUMMYFUNCTION("""COMPUTED_VALUE"""),53.9)</f>
        <v>53.9</v>
      </c>
      <c r="L1717" s="3"/>
      <c r="M1717" s="3"/>
    </row>
    <row r="1718" ht="48.0" customHeight="1">
      <c r="A1718" s="3" t="str">
        <f>IFERROR(__xludf.DUMMYFUNCTION("""COMPUTED_VALUE"""),"DKCB123")</f>
        <v>DKCB123</v>
      </c>
      <c r="B1718" s="4" t="str">
        <f>IFERROR(__xludf.DUMMYFUNCTION("""COMPUTED_VALUE"""),"CARGADOR DE BATERIA 3 AMPER 12 VOLT INCLUYE PLACA")</f>
        <v>CARGADOR DE BATERIA 3 AMPER 12 VOLT INCLUYE PLACA</v>
      </c>
      <c r="C1718" s="4" t="str">
        <f>IFERROR(__xludf.DUMMYFUNCTION("""COMPUTED_VALUE"""),"Cargador de Bateria 3 Amper 12 Volt Incluye placa + trafo + gabinete plástico")</f>
        <v>Cargador de Bateria 3 Amper 12 Volt Incluye placa + trafo + gabinete plástico</v>
      </c>
      <c r="D1718" s="4" t="str">
        <f>IFERROR(__xludf.DUMMYFUNCTION("""COMPUTED_VALUE"""),"TEKSOR")</f>
        <v>TEKSOR</v>
      </c>
      <c r="E1718" s="4" t="str">
        <f>IFERROR(__xludf.DUMMYFUNCTION("""COMPUTED_VALUE"""),"DKCB123")</f>
        <v>DKCB123</v>
      </c>
      <c r="F1718" s="4" t="str">
        <f>IFERROR(__xludf.DUMMYFUNCTION("""COMPUTED_VALUE"""),"FUENTES / UPS / CABLEADO / ACCESORIOS &gt; UPS")</f>
        <v>FUENTES / UPS / CABLEADO / ACCESORIOS &gt; UPS</v>
      </c>
      <c r="G1718" s="5"/>
      <c r="H1718" s="6">
        <f>IFERROR(__xludf.DUMMYFUNCTION("""COMPUTED_VALUE"""),49.5)</f>
        <v>49.5</v>
      </c>
      <c r="I1718" s="7">
        <f>IFERROR(__xludf.DUMMYFUNCTION("""COMPUTED_VALUE"""),21.0)</f>
        <v>21</v>
      </c>
      <c r="J1718" s="6">
        <f>IFERROR(__xludf.DUMMYFUNCTION("""COMPUTED_VALUE"""),59.4)</f>
        <v>59.4</v>
      </c>
      <c r="K1718" s="6">
        <f>IFERROR(__xludf.DUMMYFUNCTION("""COMPUTED_VALUE"""),69.3)</f>
        <v>69.3</v>
      </c>
      <c r="L1718" s="3"/>
      <c r="M1718" s="3"/>
    </row>
    <row r="1719" ht="48.0" customHeight="1">
      <c r="A1719" s="3" t="str">
        <f>IFERROR(__xludf.DUMMYFUNCTION("""COMPUTED_VALUE"""),"DKCB061P")</f>
        <v>DKCB061P</v>
      </c>
      <c r="B1719" s="4" t="str">
        <f>IFERROR(__xludf.DUMMYFUNCTION("""COMPUTED_VALUE"""),"CARGADOR DE BATERIA 1 AMPER 6 VOLT INCLUYE PLACA")</f>
        <v>CARGADOR DE BATERIA 1 AMPER 6 VOLT INCLUYE PLACA</v>
      </c>
      <c r="C1719" s="4" t="str">
        <f>IFERROR(__xludf.DUMMYFUNCTION("""COMPUTED_VALUE"""),"Cargador de Bateria 1 Amper 6 Volt Incluye placa + trafo de 12V-1A (NO incluye gabinete plástico)")</f>
        <v>Cargador de Bateria 1 Amper 6 Volt Incluye placa + trafo de 12V-1A (NO incluye gabinete plástico)</v>
      </c>
      <c r="D1719" s="4" t="str">
        <f>IFERROR(__xludf.DUMMYFUNCTION("""COMPUTED_VALUE"""),"TEKSOR")</f>
        <v>TEKSOR</v>
      </c>
      <c r="E1719" s="4" t="str">
        <f>IFERROR(__xludf.DUMMYFUNCTION("""COMPUTED_VALUE"""),"DKCB061P")</f>
        <v>DKCB061P</v>
      </c>
      <c r="F1719" s="4" t="str">
        <f>IFERROR(__xludf.DUMMYFUNCTION("""COMPUTED_VALUE"""),"FUENTES / UPS / CABLEADO / ACCESORIOS &gt; UPS")</f>
        <v>FUENTES / UPS / CABLEADO / ACCESORIOS &gt; UPS</v>
      </c>
      <c r="G1719" s="5"/>
      <c r="H1719" s="6">
        <f>IFERROR(__xludf.DUMMYFUNCTION("""COMPUTED_VALUE"""),31.9)</f>
        <v>31.9</v>
      </c>
      <c r="I1719" s="7">
        <f>IFERROR(__xludf.DUMMYFUNCTION("""COMPUTED_VALUE"""),21.0)</f>
        <v>21</v>
      </c>
      <c r="J1719" s="6">
        <f>IFERROR(__xludf.DUMMYFUNCTION("""COMPUTED_VALUE"""),38.28)</f>
        <v>38.28</v>
      </c>
      <c r="K1719" s="6">
        <f>IFERROR(__xludf.DUMMYFUNCTION("""COMPUTED_VALUE"""),44.66)</f>
        <v>44.66</v>
      </c>
      <c r="L1719" s="3"/>
      <c r="M1719" s="3"/>
    </row>
    <row r="1720" ht="48.0" customHeight="1">
      <c r="A1720" s="3" t="str">
        <f>IFERROR(__xludf.DUMMYFUNCTION("""COMPUTED_VALUE"""),"DKCB121P")</f>
        <v>DKCB121P</v>
      </c>
      <c r="B1720" s="4" t="str">
        <f>IFERROR(__xludf.DUMMYFUNCTION("""COMPUTED_VALUE"""),"CARGADOR DE BATERIA 1 AMPER 12 VOLT INCLUYE PLACA")</f>
        <v>CARGADOR DE BATERIA 1 AMPER 12 VOLT INCLUYE PLACA</v>
      </c>
      <c r="C1720" s="4" t="str">
        <f>IFERROR(__xludf.DUMMYFUNCTION("""COMPUTED_VALUE"""),"Cargador de Bateria 1 Amper 12 Volt Incluye placa + trafo 16V-1A (NO incluye gabinete plástico)")</f>
        <v>Cargador de Bateria 1 Amper 12 Volt Incluye placa + trafo 16V-1A (NO incluye gabinete plástico)</v>
      </c>
      <c r="D1720" s="4" t="str">
        <f>IFERROR(__xludf.DUMMYFUNCTION("""COMPUTED_VALUE"""),"TEKSOR")</f>
        <v>TEKSOR</v>
      </c>
      <c r="E1720" s="4" t="str">
        <f>IFERROR(__xludf.DUMMYFUNCTION("""COMPUTED_VALUE"""),"DKCB121P")</f>
        <v>DKCB121P</v>
      </c>
      <c r="F1720" s="4" t="str">
        <f>IFERROR(__xludf.DUMMYFUNCTION("""COMPUTED_VALUE"""),"FUENTES / UPS / CABLEADO / ACCESORIOS &gt; UPS")</f>
        <v>FUENTES / UPS / CABLEADO / ACCESORIOS &gt; UPS</v>
      </c>
      <c r="G1720" s="5"/>
      <c r="H1720" s="6">
        <f>IFERROR(__xludf.DUMMYFUNCTION("""COMPUTED_VALUE"""),31.9)</f>
        <v>31.9</v>
      </c>
      <c r="I1720" s="7">
        <f>IFERROR(__xludf.DUMMYFUNCTION("""COMPUTED_VALUE"""),21.0)</f>
        <v>21</v>
      </c>
      <c r="J1720" s="6">
        <f>IFERROR(__xludf.DUMMYFUNCTION("""COMPUTED_VALUE"""),38.28)</f>
        <v>38.28</v>
      </c>
      <c r="K1720" s="6">
        <f>IFERROR(__xludf.DUMMYFUNCTION("""COMPUTED_VALUE"""),44.66)</f>
        <v>44.66</v>
      </c>
      <c r="L1720" s="3"/>
      <c r="M1720" s="3"/>
    </row>
    <row r="1721" ht="48.0" customHeight="1">
      <c r="A1721" s="3" t="str">
        <f>IFERROR(__xludf.DUMMYFUNCTION("""COMPUTED_VALUE"""),"DKCB123P")</f>
        <v>DKCB123P</v>
      </c>
      <c r="B1721" s="4" t="str">
        <f>IFERROR(__xludf.DUMMYFUNCTION("""COMPUTED_VALUE"""),"CARGADOR DE BATERIA 3 AMPER 12 VOLT INCLUYE PLACA")</f>
        <v>CARGADOR DE BATERIA 3 AMPER 12 VOLT INCLUYE PLACA</v>
      </c>
      <c r="C1721" s="4" t="str">
        <f>IFERROR(__xludf.DUMMYFUNCTION("""COMPUTED_VALUE"""),"Cargador de Bateria 3 Amper 12 Volt Incluye placa + trafo de 16V-3A (NO incluye gabinete plástico)")</f>
        <v>Cargador de Bateria 3 Amper 12 Volt Incluye placa + trafo de 16V-3A (NO incluye gabinete plástico)</v>
      </c>
      <c r="D1721" s="4" t="str">
        <f>IFERROR(__xludf.DUMMYFUNCTION("""COMPUTED_VALUE"""),"TEKSOR")</f>
        <v>TEKSOR</v>
      </c>
      <c r="E1721" s="4" t="str">
        <f>IFERROR(__xludf.DUMMYFUNCTION("""COMPUTED_VALUE"""),"DKCB123P")</f>
        <v>DKCB123P</v>
      </c>
      <c r="F1721" s="4" t="str">
        <f>IFERROR(__xludf.DUMMYFUNCTION("""COMPUTED_VALUE"""),"FUENTES / UPS / CABLEADO / ACCESORIOS &gt; UPS")</f>
        <v>FUENTES / UPS / CABLEADO / ACCESORIOS &gt; UPS</v>
      </c>
      <c r="G1721" s="5"/>
      <c r="H1721" s="6">
        <f>IFERROR(__xludf.DUMMYFUNCTION("""COMPUTED_VALUE"""),42.9)</f>
        <v>42.9</v>
      </c>
      <c r="I1721" s="7">
        <f>IFERROR(__xludf.DUMMYFUNCTION("""COMPUTED_VALUE"""),21.0)</f>
        <v>21</v>
      </c>
      <c r="J1721" s="6">
        <f>IFERROR(__xludf.DUMMYFUNCTION("""COMPUTED_VALUE"""),51.48)</f>
        <v>51.48</v>
      </c>
      <c r="K1721" s="6">
        <f>IFERROR(__xludf.DUMMYFUNCTION("""COMPUTED_VALUE"""),60.06)</f>
        <v>60.06</v>
      </c>
      <c r="L1721" s="3"/>
      <c r="M1721" s="3"/>
    </row>
    <row r="1722" ht="48.0" customHeight="1">
      <c r="A1722" s="3" t="str">
        <f>IFERROR(__xludf.DUMMYFUNCTION("""COMPUTED_VALUE"""),"DKCB241")</f>
        <v>DKCB241</v>
      </c>
      <c r="B1722" s="4" t="str">
        <f>IFERROR(__xludf.DUMMYFUNCTION("""COMPUTED_VALUE"""),"CARGADOR DE BATERIA 1 AMPER / 24 VOLT GABINETE PLÁSTICO")</f>
        <v>CARGADOR DE BATERIA 1 AMPER / 24 VOLT GABINETE PLÁSTICO</v>
      </c>
      <c r="C1722" s="4" t="str">
        <f>IFERROR(__xludf.DUMMYFUNCTION("""COMPUTED_VALUE"""),"Cargador de Bateria 1 Amper / 24 Volt Gabinete plástico")</f>
        <v>Cargador de Bateria 1 Amper / 24 Volt Gabinete plástico</v>
      </c>
      <c r="D1722" s="4" t="str">
        <f>IFERROR(__xludf.DUMMYFUNCTION("""COMPUTED_VALUE"""),"TEKSOR")</f>
        <v>TEKSOR</v>
      </c>
      <c r="E1722" s="4" t="str">
        <f>IFERROR(__xludf.DUMMYFUNCTION("""COMPUTED_VALUE"""),"DKCB241")</f>
        <v>DKCB241</v>
      </c>
      <c r="F1722" s="4" t="str">
        <f>IFERROR(__xludf.DUMMYFUNCTION("""COMPUTED_VALUE"""),"FUENTES / UPS / CABLEADO / ACCESORIOS &gt; UPS")</f>
        <v>FUENTES / UPS / CABLEADO / ACCESORIOS &gt; UPS</v>
      </c>
      <c r="G1722" s="5"/>
      <c r="H1722" s="6">
        <f>IFERROR(__xludf.DUMMYFUNCTION("""COMPUTED_VALUE"""),46.2)</f>
        <v>46.2</v>
      </c>
      <c r="I1722" s="7">
        <f>IFERROR(__xludf.DUMMYFUNCTION("""COMPUTED_VALUE"""),21.0)</f>
        <v>21</v>
      </c>
      <c r="J1722" s="6">
        <f>IFERROR(__xludf.DUMMYFUNCTION("""COMPUTED_VALUE"""),55.44)</f>
        <v>55.44</v>
      </c>
      <c r="K1722" s="6">
        <f>IFERROR(__xludf.DUMMYFUNCTION("""COMPUTED_VALUE"""),64.68)</f>
        <v>64.68</v>
      </c>
      <c r="L1722" s="3"/>
      <c r="M1722" s="3"/>
    </row>
    <row r="1723" ht="48.0" customHeight="1">
      <c r="A1723" s="3" t="str">
        <f>IFERROR(__xludf.DUMMYFUNCTION("""COMPUTED_VALUE"""),"DKCB243")</f>
        <v>DKCB243</v>
      </c>
      <c r="B1723" s="4" t="str">
        <f>IFERROR(__xludf.DUMMYFUNCTION("""COMPUTED_VALUE"""),"CARGADOR DE BATERIA 3 AMPER / 24 VOLT GABINETE METÁLICO")</f>
        <v>CARGADOR DE BATERIA 3 AMPER / 24 VOLT GABINETE METÁLICO</v>
      </c>
      <c r="C1723" s="4" t="str">
        <f>IFERROR(__xludf.DUMMYFUNCTION("""COMPUTED_VALUE"""),"Cargador de Bateria 3 Amper / 24 Volt Gabinete metálico")</f>
        <v>Cargador de Bateria 3 Amper / 24 Volt Gabinete metálico</v>
      </c>
      <c r="D1723" s="4" t="str">
        <f>IFERROR(__xludf.DUMMYFUNCTION("""COMPUTED_VALUE"""),"TEKSOR")</f>
        <v>TEKSOR</v>
      </c>
      <c r="E1723" s="4" t="str">
        <f>IFERROR(__xludf.DUMMYFUNCTION("""COMPUTED_VALUE"""),"DKCB243")</f>
        <v>DKCB243</v>
      </c>
      <c r="F1723" s="4" t="str">
        <f>IFERROR(__xludf.DUMMYFUNCTION("""COMPUTED_VALUE"""),"FUENTES / UPS / CABLEADO / ACCESORIOS &gt; UPS")</f>
        <v>FUENTES / UPS / CABLEADO / ACCESORIOS &gt; UPS</v>
      </c>
      <c r="G1723" s="5"/>
      <c r="H1723" s="6">
        <f>IFERROR(__xludf.DUMMYFUNCTION("""COMPUTED_VALUE"""),71.5)</f>
        <v>71.5</v>
      </c>
      <c r="I1723" s="7">
        <f>IFERROR(__xludf.DUMMYFUNCTION("""COMPUTED_VALUE"""),21.0)</f>
        <v>21</v>
      </c>
      <c r="J1723" s="6">
        <f>IFERROR(__xludf.DUMMYFUNCTION("""COMPUTED_VALUE"""),85.8)</f>
        <v>85.8</v>
      </c>
      <c r="K1723" s="6">
        <f>IFERROR(__xludf.DUMMYFUNCTION("""COMPUTED_VALUE"""),100.1)</f>
        <v>100.1</v>
      </c>
      <c r="L1723" s="3"/>
      <c r="M1723" s="3"/>
    </row>
    <row r="1724" ht="48.0" customHeight="1">
      <c r="A1724" s="3" t="str">
        <f>IFERROR(__xludf.DUMMYFUNCTION("""COMPUTED_VALUE"""),"KITFUENTEACCEOS4-P")</f>
        <v>KITFUENTEACCEOS4-P</v>
      </c>
      <c r="B1724" s="4" t="str">
        <f>IFERROR(__xludf.DUMMYFUNCTION("""COMPUTED_VALUE"""),"KIT COMPUESTO POR GABINETE PLÁSTICO GABCENP Y FUENTE DE")</f>
        <v>KIT COMPUESTO POR GABINETE PLÁSTICO GABCENP Y FUENTE DE</v>
      </c>
      <c r="C1724" s="4" t="str">
        <f>IFERROR(__xludf.DUMMYFUNCTION("""COMPUTED_VALUE"""),"Kit compuesto por gabinete plástico GABCENP y fuente de alimentación SWUPS124 con cargador de batería 4,5A, incluye batería 12V 7A")</f>
        <v>Kit compuesto por gabinete plástico GABCENP y fuente de alimentación SWUPS124 con cargador de batería 4,5A, incluye batería 12V 7A</v>
      </c>
      <c r="D1724" s="4" t="str">
        <f>IFERROR(__xludf.DUMMYFUNCTION("""COMPUTED_VALUE"""),"GENERICO")</f>
        <v>GENERICO</v>
      </c>
      <c r="E1724" s="4" t="str">
        <f>IFERROR(__xludf.DUMMYFUNCTION("""COMPUTED_VALUE"""),"KITFUENTEACCEOS4-P")</f>
        <v>KITFUENTEACCEOS4-P</v>
      </c>
      <c r="F1724" s="4" t="str">
        <f>IFERROR(__xludf.DUMMYFUNCTION("""COMPUTED_VALUE"""),"FUENTES / UPS / CABLEADO / ACCESORIOS &gt; UPS")</f>
        <v>FUENTES / UPS / CABLEADO / ACCESORIOS &gt; UPS</v>
      </c>
      <c r="G1724" s="5"/>
      <c r="H1724" s="6">
        <f>IFERROR(__xludf.DUMMYFUNCTION("""COMPUTED_VALUE"""),49.92)</f>
        <v>49.92</v>
      </c>
      <c r="I1724" s="7">
        <f>IFERROR(__xludf.DUMMYFUNCTION("""COMPUTED_VALUE"""),21.0)</f>
        <v>21</v>
      </c>
      <c r="J1724" s="6">
        <f>IFERROR(__xludf.DUMMYFUNCTION("""COMPUTED_VALUE"""),59.9)</f>
        <v>59.9</v>
      </c>
      <c r="K1724" s="6">
        <f>IFERROR(__xludf.DUMMYFUNCTION("""COMPUTED_VALUE"""),69.89)</f>
        <v>69.89</v>
      </c>
      <c r="L1724" s="3"/>
      <c r="M1724" s="3"/>
    </row>
    <row r="1725" ht="48.0" customHeight="1">
      <c r="A1725" s="3" t="str">
        <f>IFERROR(__xludf.DUMMYFUNCTION("""COMPUTED_VALUE"""),"KITFUENTEACCEOS4")</f>
        <v>KITFUENTEACCEOS4</v>
      </c>
      <c r="B1725" s="4" t="str">
        <f>IFERROR(__xludf.DUMMYFUNCTION("""COMPUTED_VALUE"""),"KIT COMPUESTO POR GABINETE METALICO GABCENM Y FUENTE DE")</f>
        <v>KIT COMPUESTO POR GABINETE METALICO GABCENM Y FUENTE DE</v>
      </c>
      <c r="C1725" s="4" t="str">
        <f>IFERROR(__xludf.DUMMYFUNCTION("""COMPUTED_VALUE"""),"Kit compuesto por gabinete metalico GABCENM y fuente de alimentación SWUPS124 con cargador de batería 4,5A, incluye batería 12V 7A")</f>
        <v>Kit compuesto por gabinete metalico GABCENM y fuente de alimentación SWUPS124 con cargador de batería 4,5A, incluye batería 12V 7A</v>
      </c>
      <c r="D1725" s="4" t="str">
        <f>IFERROR(__xludf.DUMMYFUNCTION("""COMPUTED_VALUE"""),"GENERICO")</f>
        <v>GENERICO</v>
      </c>
      <c r="E1725" s="4" t="str">
        <f>IFERROR(__xludf.DUMMYFUNCTION("""COMPUTED_VALUE"""),"KITFUENTEACCEOS4")</f>
        <v>KITFUENTEACCEOS4</v>
      </c>
      <c r="F1725" s="4" t="str">
        <f>IFERROR(__xludf.DUMMYFUNCTION("""COMPUTED_VALUE"""),"FUENTES / UPS / CABLEADO / ACCESORIOS &gt; UPS")</f>
        <v>FUENTES / UPS / CABLEADO / ACCESORIOS &gt; UPS</v>
      </c>
      <c r="G1725" s="5"/>
      <c r="H1725" s="6">
        <f>IFERROR(__xludf.DUMMYFUNCTION("""COMPUTED_VALUE"""),67.02)</f>
        <v>67.02</v>
      </c>
      <c r="I1725" s="7">
        <f>IFERROR(__xludf.DUMMYFUNCTION("""COMPUTED_VALUE"""),21.0)</f>
        <v>21</v>
      </c>
      <c r="J1725" s="6">
        <f>IFERROR(__xludf.DUMMYFUNCTION("""COMPUTED_VALUE"""),80.42)</f>
        <v>80.42</v>
      </c>
      <c r="K1725" s="6">
        <f>IFERROR(__xludf.DUMMYFUNCTION("""COMPUTED_VALUE"""),93.83)</f>
        <v>93.83</v>
      </c>
      <c r="L1725" s="3"/>
      <c r="M1725" s="3"/>
    </row>
    <row r="1726" ht="48.0" customHeight="1">
      <c r="A1726" s="3" t="str">
        <f>IFERROR(__xludf.DUMMYFUNCTION("""COMPUTED_VALUE"""),"KITFUENTEACCEOS8-P")</f>
        <v>KITFUENTEACCEOS8-P</v>
      </c>
      <c r="B1726" s="4" t="str">
        <f>IFERROR(__xludf.DUMMYFUNCTION("""COMPUTED_VALUE"""),"KIT COMPUESTO POR GABINETE PLÁSTICO GABCENP Y FUENTE DE")</f>
        <v>KIT COMPUESTO POR GABINETE PLÁSTICO GABCENP Y FUENTE DE</v>
      </c>
      <c r="C1726" s="4" t="str">
        <f>IFERROR(__xludf.DUMMYFUNCTION("""COMPUTED_VALUE"""),"Kit compuesto por gabinete plástico GABCENP y fuente de alimentación SWUPS128 con cargador de batería 8A incluye batería 12V 7A")</f>
        <v>Kit compuesto por gabinete plástico GABCENP y fuente de alimentación SWUPS128 con cargador de batería 8A incluye batería 12V 7A</v>
      </c>
      <c r="D1726" s="4" t="str">
        <f>IFERROR(__xludf.DUMMYFUNCTION("""COMPUTED_VALUE"""),"GENERICO")</f>
        <v>GENERICO</v>
      </c>
      <c r="E1726" s="4" t="str">
        <f>IFERROR(__xludf.DUMMYFUNCTION("""COMPUTED_VALUE"""),"KITFUENTEACCEOS8-P")</f>
        <v>KITFUENTEACCEOS8-P</v>
      </c>
      <c r="F1726" s="4" t="str">
        <f>IFERROR(__xludf.DUMMYFUNCTION("""COMPUTED_VALUE"""),"FUENTES / UPS / CABLEADO / ACCESORIOS &gt; UPS")</f>
        <v>FUENTES / UPS / CABLEADO / ACCESORIOS &gt; UPS</v>
      </c>
      <c r="G1726" s="5"/>
      <c r="H1726" s="6">
        <f>IFERROR(__xludf.DUMMYFUNCTION("""COMPUTED_VALUE"""),65.33)</f>
        <v>65.33</v>
      </c>
      <c r="I1726" s="7">
        <f>IFERROR(__xludf.DUMMYFUNCTION("""COMPUTED_VALUE"""),21.0)</f>
        <v>21</v>
      </c>
      <c r="J1726" s="6">
        <f>IFERROR(__xludf.DUMMYFUNCTION("""COMPUTED_VALUE"""),78.4)</f>
        <v>78.4</v>
      </c>
      <c r="K1726" s="6">
        <f>IFERROR(__xludf.DUMMYFUNCTION("""COMPUTED_VALUE"""),91.46)</f>
        <v>91.46</v>
      </c>
      <c r="L1726" s="3"/>
      <c r="M1726" s="3"/>
    </row>
    <row r="1727" ht="48.0" customHeight="1">
      <c r="A1727" s="3" t="str">
        <f>IFERROR(__xludf.DUMMYFUNCTION("""COMPUTED_VALUE"""),"KITFUENTEACCEOS8-DUP1")</f>
        <v>KITFUENTEACCEOS8-DUP1</v>
      </c>
      <c r="B1727" s="4" t="str">
        <f>IFERROR(__xludf.DUMMYFUNCTION("""COMPUTED_VALUE"""),"KIT COMPUESTO POR GABINETE METALICO GABCENM Y FUENTE DE")</f>
        <v>KIT COMPUESTO POR GABINETE METALICO GABCENM Y FUENTE DE</v>
      </c>
      <c r="C1727" s="4" t="str">
        <f>IFERROR(__xludf.DUMMYFUNCTION("""COMPUTED_VALUE"""),"Kit compuesto por gabinete metalico GABCENM y fuente de alimentación SWUPS128 con cargador de batería 8A incluye batería 12V 7A")</f>
        <v>Kit compuesto por gabinete metalico GABCENM y fuente de alimentación SWUPS128 con cargador de batería 8A incluye batería 12V 7A</v>
      </c>
      <c r="D1727" s="4" t="str">
        <f>IFERROR(__xludf.DUMMYFUNCTION("""COMPUTED_VALUE"""),"GENERICO")</f>
        <v>GENERICO</v>
      </c>
      <c r="E1727" s="4" t="str">
        <f>IFERROR(__xludf.DUMMYFUNCTION("""COMPUTED_VALUE"""),"KITFUENTEACCEOS8")</f>
        <v>KITFUENTEACCEOS8</v>
      </c>
      <c r="F1727" s="4" t="str">
        <f>IFERROR(__xludf.DUMMYFUNCTION("""COMPUTED_VALUE"""),"FUENTES / UPS / CABLEADO / ACCESORIOS &gt; UPS")</f>
        <v>FUENTES / UPS / CABLEADO / ACCESORIOS &gt; UPS</v>
      </c>
      <c r="G1727" s="5"/>
      <c r="H1727" s="6">
        <f>IFERROR(__xludf.DUMMYFUNCTION("""COMPUTED_VALUE"""),82.43)</f>
        <v>82.43</v>
      </c>
      <c r="I1727" s="7">
        <f>IFERROR(__xludf.DUMMYFUNCTION("""COMPUTED_VALUE"""),21.0)</f>
        <v>21</v>
      </c>
      <c r="J1727" s="6">
        <f>IFERROR(__xludf.DUMMYFUNCTION("""COMPUTED_VALUE"""),98.92)</f>
        <v>98.92</v>
      </c>
      <c r="K1727" s="6">
        <f>IFERROR(__xludf.DUMMYFUNCTION("""COMPUTED_VALUE"""),115.4)</f>
        <v>115.4</v>
      </c>
      <c r="L1727" s="3"/>
      <c r="M1727" s="3"/>
    </row>
    <row r="1728" ht="48.0" customHeight="1">
      <c r="A1728" s="3" t="str">
        <f>IFERROR(__xludf.DUMMYFUNCTION("""COMPUTED_VALUE"""),"GABCENP")</f>
        <v>GABCENP</v>
      </c>
      <c r="B1728" s="4" t="str">
        <f>IFERROR(__xludf.DUMMYFUNCTION("""COMPUTED_VALUE"""),"GABINETE PLÁSTICO PARA ALARMA/CARGADOR DE BATERÍA")</f>
        <v>GABINETE PLÁSTICO PARA ALARMA/CARGADOR DE BATERÍA</v>
      </c>
      <c r="C1728" s="4" t="str">
        <f>IFERROR(__xludf.DUMMYFUNCTION("""COMPUTED_VALUE"""),"Gabinete plástico para alarma/Cargador de Batería. Medias: ancho 29 cm alto 26 cm y profundidad 7 cm")</f>
        <v>Gabinete plástico para alarma/Cargador de Batería. Medias: ancho 29 cm alto 26 cm y profundidad 7 cm</v>
      </c>
      <c r="D1728" s="4" t="str">
        <f>IFERROR(__xludf.DUMMYFUNCTION("""COMPUTED_VALUE"""),"GENERICO")</f>
        <v>GENERICO</v>
      </c>
      <c r="E1728" s="4" t="str">
        <f>IFERROR(__xludf.DUMMYFUNCTION("""COMPUTED_VALUE"""),"GABCENP")</f>
        <v>GABCENP</v>
      </c>
      <c r="F1728" s="4" t="str">
        <f>IFERROR(__xludf.DUMMYFUNCTION("""COMPUTED_VALUE"""),"FUENTES / UPS / CABLEADO / ACCESORIOS &gt; UPS")</f>
        <v>FUENTES / UPS / CABLEADO / ACCESORIOS &gt; UPS</v>
      </c>
      <c r="G1728" s="5"/>
      <c r="H1728" s="6">
        <f>IFERROR(__xludf.DUMMYFUNCTION("""COMPUTED_VALUE"""),9.3)</f>
        <v>9.3</v>
      </c>
      <c r="I1728" s="7">
        <f>IFERROR(__xludf.DUMMYFUNCTION("""COMPUTED_VALUE"""),21.0)</f>
        <v>21</v>
      </c>
      <c r="J1728" s="6">
        <f>IFERROR(__xludf.DUMMYFUNCTION("""COMPUTED_VALUE"""),11.16)</f>
        <v>11.16</v>
      </c>
      <c r="K1728" s="6">
        <f>IFERROR(__xludf.DUMMYFUNCTION("""COMPUTED_VALUE"""),13.02)</f>
        <v>13.02</v>
      </c>
      <c r="L1728" s="3"/>
      <c r="M1728" s="3"/>
    </row>
    <row r="1729" ht="48.0" customHeight="1">
      <c r="A1729" s="3" t="str">
        <f>IFERROR(__xludf.DUMMYFUNCTION("""COMPUTED_VALUE"""),"GABCENM")</f>
        <v>GABCENM</v>
      </c>
      <c r="B1729" s="4" t="str">
        <f>IFERROR(__xludf.DUMMYFUNCTION("""COMPUTED_VALUE"""),"GABINETE METÁLICO PARA ALARMA/CARGADOR DE BATERÍA")</f>
        <v>GABINETE METÁLICO PARA ALARMA/CARGADOR DE BATERÍA</v>
      </c>
      <c r="C1729" s="4" t="str">
        <f>IFERROR(__xludf.DUMMYFUNCTION("""COMPUTED_VALUE"""),"Gabinete metálico para alarma/Cargador de Batería. Medias: ancho 28 cm alto 29 cm y profundidad 8 cm")</f>
        <v>Gabinete metálico para alarma/Cargador de Batería. Medias: ancho 28 cm alto 29 cm y profundidad 8 cm</v>
      </c>
      <c r="D1729" s="4" t="str">
        <f>IFERROR(__xludf.DUMMYFUNCTION("""COMPUTED_VALUE"""),"GENERICO")</f>
        <v>GENERICO</v>
      </c>
      <c r="E1729" s="4" t="str">
        <f>IFERROR(__xludf.DUMMYFUNCTION("""COMPUTED_VALUE"""),"GABCENM")</f>
        <v>GABCENM</v>
      </c>
      <c r="F1729" s="4" t="str">
        <f>IFERROR(__xludf.DUMMYFUNCTION("""COMPUTED_VALUE"""),"FUENTES / UPS / CABLEADO / ACCESORIOS &gt; UPS")</f>
        <v>FUENTES / UPS / CABLEADO / ACCESORIOS &gt; UPS</v>
      </c>
      <c r="G1729" s="5"/>
      <c r="H1729" s="6">
        <f>IFERROR(__xludf.DUMMYFUNCTION("""COMPUTED_VALUE"""),26.4)</f>
        <v>26.4</v>
      </c>
      <c r="I1729" s="7">
        <f>IFERROR(__xludf.DUMMYFUNCTION("""COMPUTED_VALUE"""),21.0)</f>
        <v>21</v>
      </c>
      <c r="J1729" s="6">
        <f>IFERROR(__xludf.DUMMYFUNCTION("""COMPUTED_VALUE"""),31.68)</f>
        <v>31.68</v>
      </c>
      <c r="K1729" s="6">
        <f>IFERROR(__xludf.DUMMYFUNCTION("""COMPUTED_VALUE"""),36.96)</f>
        <v>36.96</v>
      </c>
      <c r="L1729" s="3"/>
      <c r="M1729" s="3"/>
    </row>
    <row r="1730" ht="48.0" customHeight="1">
      <c r="A1730" s="3" t="str">
        <f>IFERROR(__xludf.DUMMYFUNCTION("""COMPUTED_VALUE"""),"DK2412")</f>
        <v>DK2412</v>
      </c>
      <c r="B1730" s="4" t="str">
        <f>IFERROR(__xludf.DUMMYFUNCTION("""COMPUTED_VALUE"""),"CONVERSOR DE 24VAC DE ENTRADA DE ALTERNA A 12VCC")</f>
        <v>CONVERSOR DE 24VAC DE ENTRADA DE ALTERNA A 12VCC</v>
      </c>
      <c r="C1730" s="4" t="str">
        <f>IFERROR(__xludf.DUMMYFUNCTION("""COMPUTED_VALUE"""),"Conversor de 24VAC de entrada de alterna a 12VCC de continua de salida")</f>
        <v>Conversor de 24VAC de entrada de alterna a 12VCC de continua de salida</v>
      </c>
      <c r="D1730" s="4" t="str">
        <f>IFERROR(__xludf.DUMMYFUNCTION("""COMPUTED_VALUE"""),"TEKSOR")</f>
        <v>TEKSOR</v>
      </c>
      <c r="E1730" s="4" t="str">
        <f>IFERROR(__xludf.DUMMYFUNCTION("""COMPUTED_VALUE"""),"DK2412")</f>
        <v>DK2412</v>
      </c>
      <c r="F1730" s="4" t="str">
        <f>IFERROR(__xludf.DUMMYFUNCTION("""COMPUTED_VALUE"""),"FUENTES / UPS / CABLEADO / ACCESORIOS &gt; FUENTES")</f>
        <v>FUENTES / UPS / CABLEADO / ACCESORIOS &gt; FUENTES</v>
      </c>
      <c r="G1730" s="5"/>
      <c r="H1730" s="6">
        <f>IFERROR(__xludf.DUMMYFUNCTION("""COMPUTED_VALUE"""),24.6)</f>
        <v>24.6</v>
      </c>
      <c r="I1730" s="7">
        <f>IFERROR(__xludf.DUMMYFUNCTION("""COMPUTED_VALUE"""),21.0)</f>
        <v>21</v>
      </c>
      <c r="J1730" s="6">
        <f>IFERROR(__xludf.DUMMYFUNCTION("""COMPUTED_VALUE"""),29.52)</f>
        <v>29.52</v>
      </c>
      <c r="K1730" s="6">
        <f>IFERROR(__xludf.DUMMYFUNCTION("""COMPUTED_VALUE"""),34.44)</f>
        <v>34.44</v>
      </c>
      <c r="L1730" s="3"/>
      <c r="M1730" s="3"/>
    </row>
    <row r="1731" ht="48.0" customHeight="1">
      <c r="A1731" s="3" t="str">
        <f>IFERROR(__xludf.DUMMYFUNCTION("""COMPUTED_VALUE"""),"DK1224")</f>
        <v>DK1224</v>
      </c>
      <c r="B1731" s="4" t="str">
        <f>IFERROR(__xludf.DUMMYFUNCTION("""COMPUTED_VALUE"""),"CONVERSOR DE 12VCC DE CONTINUA DE ENTRADA A 24VCC")</f>
        <v>CONVERSOR DE 12VCC DE CONTINUA DE ENTRADA A 24VCC</v>
      </c>
      <c r="C1731" s="4" t="str">
        <f>IFERROR(__xludf.DUMMYFUNCTION("""COMPUTED_VALUE"""),"Conversor de 12VCC de continua de entrada a 24VCC de continua de salida")</f>
        <v>Conversor de 12VCC de continua de entrada a 24VCC de continua de salida</v>
      </c>
      <c r="D1731" s="4" t="str">
        <f>IFERROR(__xludf.DUMMYFUNCTION("""COMPUTED_VALUE"""),"TEKSOR")</f>
        <v>TEKSOR</v>
      </c>
      <c r="E1731" s="4" t="str">
        <f>IFERROR(__xludf.DUMMYFUNCTION("""COMPUTED_VALUE"""),"DK1224")</f>
        <v>DK1224</v>
      </c>
      <c r="F1731" s="4" t="str">
        <f>IFERROR(__xludf.DUMMYFUNCTION("""COMPUTED_VALUE"""),"FUENTES / UPS / CABLEADO / ACCESORIOS &gt; FUENTES")</f>
        <v>FUENTES / UPS / CABLEADO / ACCESORIOS &gt; FUENTES</v>
      </c>
      <c r="G1731" s="5"/>
      <c r="H1731" s="6">
        <f>IFERROR(__xludf.DUMMYFUNCTION("""COMPUTED_VALUE"""),17.46)</f>
        <v>17.46</v>
      </c>
      <c r="I1731" s="7">
        <f>IFERROR(__xludf.DUMMYFUNCTION("""COMPUTED_VALUE"""),21.0)</f>
        <v>21</v>
      </c>
      <c r="J1731" s="6">
        <f>IFERROR(__xludf.DUMMYFUNCTION("""COMPUTED_VALUE"""),20.95)</f>
        <v>20.95</v>
      </c>
      <c r="K1731" s="6">
        <f>IFERROR(__xludf.DUMMYFUNCTION("""COMPUTED_VALUE"""),24.44)</f>
        <v>24.44</v>
      </c>
      <c r="L1731" s="3"/>
      <c r="M1731" s="3"/>
    </row>
    <row r="1732" ht="48.0" customHeight="1">
      <c r="A1732" s="3" t="str">
        <f>IFERROR(__xludf.DUMMYFUNCTION("""COMPUTED_VALUE"""),"SW51")</f>
        <v>SW51</v>
      </c>
      <c r="B1732" s="4" t="str">
        <f>IFERROR(__xludf.DUMMYFUNCTION("""COMPUTED_VALUE"""),"FUENTE SWITCHING 5 VOLT 1,5 A CON CONECTOR PLUG 2")</f>
        <v>FUENTE SWITCHING 5 VOLT 1,5 A CON CONECTOR PLUG 2</v>
      </c>
      <c r="C1732" s="4" t="str">
        <f>IFERROR(__xludf.DUMMYFUNCTION("""COMPUTED_VALUE"""),"Fuente switching 5 Volt 1,5 A con conector plug 2.1")</f>
        <v>Fuente switching 5 Volt 1,5 A con conector plug 2.1</v>
      </c>
      <c r="D1732" s="4" t="str">
        <f>IFERROR(__xludf.DUMMYFUNCTION("""COMPUTED_VALUE"""),"GENERICO")</f>
        <v>GENERICO</v>
      </c>
      <c r="E1732" s="4" t="str">
        <f>IFERROR(__xludf.DUMMYFUNCTION("""COMPUTED_VALUE"""),"SW51")</f>
        <v>SW51</v>
      </c>
      <c r="F1732" s="4" t="str">
        <f>IFERROR(__xludf.DUMMYFUNCTION("""COMPUTED_VALUE"""),"CONECTIVIDAD &gt; SWITCH")</f>
        <v>CONECTIVIDAD &gt; SWITCH</v>
      </c>
      <c r="G1732" s="5"/>
      <c r="H1732" s="6">
        <f>IFERROR(__xludf.DUMMYFUNCTION("""COMPUTED_VALUE"""),4.29)</f>
        <v>4.29</v>
      </c>
      <c r="I1732" s="7">
        <f>IFERROR(__xludf.DUMMYFUNCTION("""COMPUTED_VALUE"""),21.0)</f>
        <v>21</v>
      </c>
      <c r="J1732" s="6">
        <f>IFERROR(__xludf.DUMMYFUNCTION("""COMPUTED_VALUE"""),5.15)</f>
        <v>5.15</v>
      </c>
      <c r="K1732" s="6">
        <f>IFERROR(__xludf.DUMMYFUNCTION("""COMPUTED_VALUE"""),6.01)</f>
        <v>6.01</v>
      </c>
      <c r="L1732" s="3"/>
      <c r="M1732" s="3"/>
    </row>
    <row r="1733" ht="48.0" customHeight="1">
      <c r="A1733" s="3" t="str">
        <f>IFERROR(__xludf.DUMMYFUNCTION("""COMPUTED_VALUE"""),"SW52")</f>
        <v>SW52</v>
      </c>
      <c r="B1733" s="4" t="str">
        <f>IFERROR(__xludf.DUMMYFUNCTION("""COMPUTED_VALUE"""),"FUENTE SWITCHING 5 VOLT 2,5 A CON CONECTOR PLUG 2")</f>
        <v>FUENTE SWITCHING 5 VOLT 2,5 A CON CONECTOR PLUG 2</v>
      </c>
      <c r="C1733" s="4" t="str">
        <f>IFERROR(__xludf.DUMMYFUNCTION("""COMPUTED_VALUE"""),"Fuente switching 5 Volt 2,5 A con conector plug 2.1")</f>
        <v>Fuente switching 5 Volt 2,5 A con conector plug 2.1</v>
      </c>
      <c r="D1733" s="4" t="str">
        <f>IFERROR(__xludf.DUMMYFUNCTION("""COMPUTED_VALUE"""),"GENERICO")</f>
        <v>GENERICO</v>
      </c>
      <c r="E1733" s="4" t="str">
        <f>IFERROR(__xludf.DUMMYFUNCTION("""COMPUTED_VALUE"""),"SW52")</f>
        <v>SW52</v>
      </c>
      <c r="F1733" s="4" t="str">
        <f>IFERROR(__xludf.DUMMYFUNCTION("""COMPUTED_VALUE"""),"CONECTIVIDAD &gt; SWITCH")</f>
        <v>CONECTIVIDAD &gt; SWITCH</v>
      </c>
      <c r="G1733" s="5"/>
      <c r="H1733" s="6">
        <f>IFERROR(__xludf.DUMMYFUNCTION("""COMPUTED_VALUE"""),5.83)</f>
        <v>5.83</v>
      </c>
      <c r="I1733" s="7">
        <f>IFERROR(__xludf.DUMMYFUNCTION("""COMPUTED_VALUE"""),21.0)</f>
        <v>21</v>
      </c>
      <c r="J1733" s="6">
        <f>IFERROR(__xludf.DUMMYFUNCTION("""COMPUTED_VALUE"""),7.0)</f>
        <v>7</v>
      </c>
      <c r="K1733" s="6">
        <f>IFERROR(__xludf.DUMMYFUNCTION("""COMPUTED_VALUE"""),8.16)</f>
        <v>8.16</v>
      </c>
      <c r="L1733" s="3"/>
      <c r="M1733" s="3"/>
    </row>
    <row r="1734" ht="48.0" customHeight="1">
      <c r="A1734" s="3" t="str">
        <f>IFERROR(__xludf.DUMMYFUNCTION("""COMPUTED_VALUE"""),"SWUSB51")</f>
        <v>SWUSB51</v>
      </c>
      <c r="B1734" s="4" t="str">
        <f>IFERROR(__xludf.DUMMYFUNCTION("""COMPUTED_VALUE"""),"FUENTE 5V 1,5A CON CABLE USB-MICRO USB")</f>
        <v>FUENTE 5V 1,5A CON CABLE USB-MICRO USB</v>
      </c>
      <c r="C1734" s="4" t="str">
        <f>IFERROR(__xludf.DUMMYFUNCTION("""COMPUTED_VALUE"""),"Fuente 5V 1,5A con cable USB-micro USB")</f>
        <v>Fuente 5V 1,5A con cable USB-micro USB</v>
      </c>
      <c r="D1734" s="4" t="str">
        <f>IFERROR(__xludf.DUMMYFUNCTION("""COMPUTED_VALUE"""),"GENERICO")</f>
        <v>GENERICO</v>
      </c>
      <c r="E1734" s="4" t="str">
        <f>IFERROR(__xludf.DUMMYFUNCTION("""COMPUTED_VALUE"""),"SWUSB51")</f>
        <v>SWUSB51</v>
      </c>
      <c r="F1734" s="4" t="str">
        <f>IFERROR(__xludf.DUMMYFUNCTION("""COMPUTED_VALUE"""),"FUENTES / UPS / CABLEADO / ACCESORIOS &gt; FUENTES")</f>
        <v>FUENTES / UPS / CABLEADO / ACCESORIOS &gt; FUENTES</v>
      </c>
      <c r="G1734" s="5"/>
      <c r="H1734" s="6">
        <f>IFERROR(__xludf.DUMMYFUNCTION("""COMPUTED_VALUE"""),4.43)</f>
        <v>4.43</v>
      </c>
      <c r="I1734" s="7">
        <f>IFERROR(__xludf.DUMMYFUNCTION("""COMPUTED_VALUE"""),21.0)</f>
        <v>21</v>
      </c>
      <c r="J1734" s="6">
        <f>IFERROR(__xludf.DUMMYFUNCTION("""COMPUTED_VALUE"""),5.32)</f>
        <v>5.32</v>
      </c>
      <c r="K1734" s="6">
        <f>IFERROR(__xludf.DUMMYFUNCTION("""COMPUTED_VALUE"""),6.2)</f>
        <v>6.2</v>
      </c>
      <c r="L1734" s="3"/>
      <c r="M1734" s="3"/>
    </row>
    <row r="1735" ht="48.0" customHeight="1">
      <c r="A1735" s="3" t="str">
        <f>IFERROR(__xludf.DUMMYFUNCTION("""COMPUTED_VALUE"""),"SWUSB52")</f>
        <v>SWUSB52</v>
      </c>
      <c r="B1735" s="4" t="str">
        <f>IFERROR(__xludf.DUMMYFUNCTION("""COMPUTED_VALUE"""),"FUENTE 5V 2")</f>
        <v>FUENTE 5V 2</v>
      </c>
      <c r="C1735" s="4" t="str">
        <f>IFERROR(__xludf.DUMMYFUNCTION("""COMPUTED_VALUE"""),"Fuente 5V 2.5A USB con cable USB-micro USB")</f>
        <v>Fuente 5V 2.5A USB con cable USB-micro USB</v>
      </c>
      <c r="D1735" s="4" t="str">
        <f>IFERROR(__xludf.DUMMYFUNCTION("""COMPUTED_VALUE"""),"GENERICO")</f>
        <v>GENERICO</v>
      </c>
      <c r="E1735" s="4" t="str">
        <f>IFERROR(__xludf.DUMMYFUNCTION("""COMPUTED_VALUE"""),"SWUSB52")</f>
        <v>SWUSB52</v>
      </c>
      <c r="F1735" s="4" t="str">
        <f>IFERROR(__xludf.DUMMYFUNCTION("""COMPUTED_VALUE"""),"FUENTES / UPS / CABLEADO / ACCESORIOS &gt; FUENTES")</f>
        <v>FUENTES / UPS / CABLEADO / ACCESORIOS &gt; FUENTES</v>
      </c>
      <c r="G1735" s="5"/>
      <c r="H1735" s="6">
        <f>IFERROR(__xludf.DUMMYFUNCTION("""COMPUTED_VALUE"""),5.54)</f>
        <v>5.54</v>
      </c>
      <c r="I1735" s="7">
        <f>IFERROR(__xludf.DUMMYFUNCTION("""COMPUTED_VALUE"""),21.0)</f>
        <v>21</v>
      </c>
      <c r="J1735" s="6">
        <f>IFERROR(__xludf.DUMMYFUNCTION("""COMPUTED_VALUE"""),6.65)</f>
        <v>6.65</v>
      </c>
      <c r="K1735" s="6">
        <f>IFERROR(__xludf.DUMMYFUNCTION("""COMPUTED_VALUE"""),7.76)</f>
        <v>7.76</v>
      </c>
      <c r="L1735" s="3"/>
      <c r="M1735" s="3"/>
    </row>
    <row r="1736" ht="48.0" customHeight="1">
      <c r="A1736" s="3" t="str">
        <f>IFERROR(__xludf.DUMMYFUNCTION("""COMPUTED_VALUE"""),"USBCABLE")</f>
        <v>USBCABLE</v>
      </c>
      <c r="B1736" s="4" t="str">
        <f>IFERROR(__xludf.DUMMYFUNCTION("""COMPUTED_VALUE"""),"CABLE USB A MICRO USB 1 METRO")</f>
        <v>CABLE USB A MICRO USB 1 METRO</v>
      </c>
      <c r="C1736" s="4" t="str">
        <f>IFERROR(__xludf.DUMMYFUNCTION("""COMPUTED_VALUE"""),"Cable USB a Micro USB 1 metro")</f>
        <v>Cable USB a Micro USB 1 metro</v>
      </c>
      <c r="D1736" s="4" t="str">
        <f>IFERROR(__xludf.DUMMYFUNCTION("""COMPUTED_VALUE"""),"GENERICO")</f>
        <v>GENERICO</v>
      </c>
      <c r="E1736" s="4" t="str">
        <f>IFERROR(__xludf.DUMMYFUNCTION("""COMPUTED_VALUE"""),"USBCABLE")</f>
        <v>USBCABLE</v>
      </c>
      <c r="F1736" s="4" t="str">
        <f>IFERROR(__xludf.DUMMYFUNCTION("""COMPUTED_VALUE"""),"FUENTES / UPS / CABLEADO / ACCESORIOS &gt; FUENTES")</f>
        <v>FUENTES / UPS / CABLEADO / ACCESORIOS &gt; FUENTES</v>
      </c>
      <c r="G1736" s="5"/>
      <c r="H1736" s="6">
        <f>IFERROR(__xludf.DUMMYFUNCTION("""COMPUTED_VALUE"""),3.63)</f>
        <v>3.63</v>
      </c>
      <c r="I1736" s="7">
        <f>IFERROR(__xludf.DUMMYFUNCTION("""COMPUTED_VALUE"""),21.0)</f>
        <v>21</v>
      </c>
      <c r="J1736" s="6">
        <f>IFERROR(__xludf.DUMMYFUNCTION("""COMPUTED_VALUE"""),4.36)</f>
        <v>4.36</v>
      </c>
      <c r="K1736" s="6">
        <f>IFERROR(__xludf.DUMMYFUNCTION("""COMPUTED_VALUE"""),5.08)</f>
        <v>5.08</v>
      </c>
      <c r="L1736" s="3"/>
      <c r="M1736" s="3"/>
    </row>
    <row r="1737" ht="48.0" customHeight="1">
      <c r="A1737" s="3" t="str">
        <f>IFERROR(__xludf.DUMMYFUNCTION("""COMPUTED_VALUE"""),"SW121")</f>
        <v>SW121</v>
      </c>
      <c r="B1737" s="4" t="str">
        <f>IFERROR(__xludf.DUMMYFUNCTION("""COMPUTED_VALUE"""),"FUENTE SWITCHING 12 VOLT 1 A")</f>
        <v>FUENTE SWITCHING 12 VOLT 1 A</v>
      </c>
      <c r="C1737" s="4" t="str">
        <f>IFERROR(__xludf.DUMMYFUNCTION("""COMPUTED_VALUE"""),"Fuente switching 12 Volt 1 A")</f>
        <v>Fuente switching 12 Volt 1 A</v>
      </c>
      <c r="D1737" s="4" t="str">
        <f>IFERROR(__xludf.DUMMYFUNCTION("""COMPUTED_VALUE"""),"GENERICO")</f>
        <v>GENERICO</v>
      </c>
      <c r="E1737" s="4" t="str">
        <f>IFERROR(__xludf.DUMMYFUNCTION("""COMPUTED_VALUE"""),"SW121")</f>
        <v>SW121</v>
      </c>
      <c r="F1737" s="4" t="str">
        <f>IFERROR(__xludf.DUMMYFUNCTION("""COMPUTED_VALUE"""),"CONECTIVIDAD &gt; SWITCH")</f>
        <v>CONECTIVIDAD &gt; SWITCH</v>
      </c>
      <c r="G1737" s="5"/>
      <c r="H1737" s="6">
        <f>IFERROR(__xludf.DUMMYFUNCTION("""COMPUTED_VALUE"""),4.53)</f>
        <v>4.53</v>
      </c>
      <c r="I1737" s="7">
        <f>IFERROR(__xludf.DUMMYFUNCTION("""COMPUTED_VALUE"""),21.0)</f>
        <v>21</v>
      </c>
      <c r="J1737" s="6">
        <f>IFERROR(__xludf.DUMMYFUNCTION("""COMPUTED_VALUE"""),5.44)</f>
        <v>5.44</v>
      </c>
      <c r="K1737" s="6">
        <f>IFERROR(__xludf.DUMMYFUNCTION("""COMPUTED_VALUE"""),6.34)</f>
        <v>6.34</v>
      </c>
      <c r="L1737" s="3"/>
      <c r="M1737" s="3"/>
    </row>
    <row r="1738" ht="48.0" customHeight="1">
      <c r="A1738" s="3" t="str">
        <f>IFERROR(__xludf.DUMMYFUNCTION("""COMPUTED_VALUE"""),"SW122-ECO")</f>
        <v>SW122-ECO</v>
      </c>
      <c r="B1738" s="4" t="str">
        <f>IFERROR(__xludf.DUMMYFUNCTION("""COMPUTED_VALUE"""),"FUENTE ECO SWITCHING 12 VOLT 2 A")</f>
        <v>FUENTE ECO SWITCHING 12 VOLT 2 A</v>
      </c>
      <c r="C1738" s="4" t="str">
        <f>IFERROR(__xludf.DUMMYFUNCTION("""COMPUTED_VALUE"""),"Fuente ECO switching 12 Volt 2 A")</f>
        <v>Fuente ECO switching 12 Volt 2 A</v>
      </c>
      <c r="D1738" s="4" t="str">
        <f>IFERROR(__xludf.DUMMYFUNCTION("""COMPUTED_VALUE"""),"GENERICO")</f>
        <v>GENERICO</v>
      </c>
      <c r="E1738" s="4" t="str">
        <f>IFERROR(__xludf.DUMMYFUNCTION("""COMPUTED_VALUE"""),"SW122-ECO")</f>
        <v>SW122-ECO</v>
      </c>
      <c r="F1738" s="4" t="str">
        <f>IFERROR(__xludf.DUMMYFUNCTION("""COMPUTED_VALUE"""),"CONECTIVIDAD &gt; SWITCH")</f>
        <v>CONECTIVIDAD &gt; SWITCH</v>
      </c>
      <c r="G1738" s="5"/>
      <c r="H1738" s="6">
        <f>IFERROR(__xludf.DUMMYFUNCTION("""COMPUTED_VALUE"""),2.2)</f>
        <v>2.2</v>
      </c>
      <c r="I1738" s="7">
        <f>IFERROR(__xludf.DUMMYFUNCTION("""COMPUTED_VALUE"""),21.0)</f>
        <v>21</v>
      </c>
      <c r="J1738" s="6">
        <f>IFERROR(__xludf.DUMMYFUNCTION("""COMPUTED_VALUE"""),2.64)</f>
        <v>2.64</v>
      </c>
      <c r="K1738" s="6">
        <f>IFERROR(__xludf.DUMMYFUNCTION("""COMPUTED_VALUE"""),3.08)</f>
        <v>3.08</v>
      </c>
      <c r="L1738" s="3"/>
      <c r="M1738" s="3"/>
    </row>
    <row r="1739" ht="48.0" customHeight="1">
      <c r="A1739" s="3" t="str">
        <f>IFERROR(__xludf.DUMMYFUNCTION("""COMPUTED_VALUE"""),"SW122")</f>
        <v>SW122</v>
      </c>
      <c r="B1739" s="4" t="str">
        <f>IFERROR(__xludf.DUMMYFUNCTION("""COMPUTED_VALUE"""),"FUENTE SWITCHING 12 VOLT 2 A")</f>
        <v>FUENTE SWITCHING 12 VOLT 2 A</v>
      </c>
      <c r="C1739" s="4" t="str">
        <f>IFERROR(__xludf.DUMMYFUNCTION("""COMPUTED_VALUE"""),"Fuente switching 12 Volt 2 A")</f>
        <v>Fuente switching 12 Volt 2 A</v>
      </c>
      <c r="D1739" s="4" t="str">
        <f>IFERROR(__xludf.DUMMYFUNCTION("""COMPUTED_VALUE"""),"GENERICO")</f>
        <v>GENERICO</v>
      </c>
      <c r="E1739" s="4" t="str">
        <f>IFERROR(__xludf.DUMMYFUNCTION("""COMPUTED_VALUE"""),"SW122")</f>
        <v>SW122</v>
      </c>
      <c r="F1739" s="4" t="str">
        <f>IFERROR(__xludf.DUMMYFUNCTION("""COMPUTED_VALUE"""),"CONECTIVIDAD &gt; SWITCH")</f>
        <v>CONECTIVIDAD &gt; SWITCH</v>
      </c>
      <c r="G1739" s="5"/>
      <c r="H1739" s="6">
        <f>IFERROR(__xludf.DUMMYFUNCTION("""COMPUTED_VALUE"""),6.51)</f>
        <v>6.51</v>
      </c>
      <c r="I1739" s="7">
        <f>IFERROR(__xludf.DUMMYFUNCTION("""COMPUTED_VALUE"""),21.0)</f>
        <v>21</v>
      </c>
      <c r="J1739" s="6">
        <f>IFERROR(__xludf.DUMMYFUNCTION("""COMPUTED_VALUE"""),7.81)</f>
        <v>7.81</v>
      </c>
      <c r="K1739" s="6">
        <f>IFERROR(__xludf.DUMMYFUNCTION("""COMPUTED_VALUE"""),9.11)</f>
        <v>9.11</v>
      </c>
      <c r="L1739" s="3"/>
      <c r="M1739" s="3"/>
    </row>
    <row r="1740" ht="48.0" customHeight="1">
      <c r="A1740" s="3" t="str">
        <f>IFERROR(__xludf.DUMMYFUNCTION("""COMPUTED_VALUE"""),"SW123")</f>
        <v>SW123</v>
      </c>
      <c r="B1740" s="4" t="str">
        <f>IFERROR(__xludf.DUMMYFUNCTION("""COMPUTED_VALUE"""),"FUENTE SWITCHING 12 VOLT 3 A")</f>
        <v>FUENTE SWITCHING 12 VOLT 3 A</v>
      </c>
      <c r="C1740" s="4" t="str">
        <f>IFERROR(__xludf.DUMMYFUNCTION("""COMPUTED_VALUE"""),"Fuente switching 12 Volt 3 A")</f>
        <v>Fuente switching 12 Volt 3 A</v>
      </c>
      <c r="D1740" s="4" t="str">
        <f>IFERROR(__xludf.DUMMYFUNCTION("""COMPUTED_VALUE"""),"GENERICO")</f>
        <v>GENERICO</v>
      </c>
      <c r="E1740" s="4" t="str">
        <f>IFERROR(__xludf.DUMMYFUNCTION("""COMPUTED_VALUE"""),"SW123")</f>
        <v>SW123</v>
      </c>
      <c r="F1740" s="4" t="str">
        <f>IFERROR(__xludf.DUMMYFUNCTION("""COMPUTED_VALUE"""),"CONECTIVIDAD &gt; SWITCH")</f>
        <v>CONECTIVIDAD &gt; SWITCH</v>
      </c>
      <c r="G1740" s="5"/>
      <c r="H1740" s="6">
        <f>IFERROR(__xludf.DUMMYFUNCTION("""COMPUTED_VALUE"""),7.59)</f>
        <v>7.59</v>
      </c>
      <c r="I1740" s="7">
        <f>IFERROR(__xludf.DUMMYFUNCTION("""COMPUTED_VALUE"""),21.0)</f>
        <v>21</v>
      </c>
      <c r="J1740" s="6">
        <f>IFERROR(__xludf.DUMMYFUNCTION("""COMPUTED_VALUE"""),9.11)</f>
        <v>9.11</v>
      </c>
      <c r="K1740" s="6">
        <f>IFERROR(__xludf.DUMMYFUNCTION("""COMPUTED_VALUE"""),10.63)</f>
        <v>10.63</v>
      </c>
      <c r="L1740" s="3"/>
      <c r="M1740" s="3"/>
    </row>
    <row r="1741" ht="48.0" customHeight="1">
      <c r="A1741" s="3" t="str">
        <f>IFERROR(__xludf.DUMMYFUNCTION("""COMPUTED_VALUE"""),"SW125")</f>
        <v>SW125</v>
      </c>
      <c r="B1741" s="4" t="str">
        <f>IFERROR(__xludf.DUMMYFUNCTION("""COMPUTED_VALUE"""),"FUENTE SWITCHING 12 VOLT 5 A")</f>
        <v>FUENTE SWITCHING 12 VOLT 5 A</v>
      </c>
      <c r="C1741" s="4" t="str">
        <f>IFERROR(__xludf.DUMMYFUNCTION("""COMPUTED_VALUE"""),"Fuente switching 12 Volt 5 A")</f>
        <v>Fuente switching 12 Volt 5 A</v>
      </c>
      <c r="D1741" s="4" t="str">
        <f>IFERROR(__xludf.DUMMYFUNCTION("""COMPUTED_VALUE"""),"GENERICO")</f>
        <v>GENERICO</v>
      </c>
      <c r="E1741" s="4" t="str">
        <f>IFERROR(__xludf.DUMMYFUNCTION("""COMPUTED_VALUE"""),"SW125")</f>
        <v>SW125</v>
      </c>
      <c r="F1741" s="4" t="str">
        <f>IFERROR(__xludf.DUMMYFUNCTION("""COMPUTED_VALUE"""),"CONECTIVIDAD &gt; SWITCH")</f>
        <v>CONECTIVIDAD &gt; SWITCH</v>
      </c>
      <c r="G1741" s="5"/>
      <c r="H1741" s="6">
        <f>IFERROR(__xludf.DUMMYFUNCTION("""COMPUTED_VALUE"""),12.65)</f>
        <v>12.65</v>
      </c>
      <c r="I1741" s="7">
        <f>IFERROR(__xludf.DUMMYFUNCTION("""COMPUTED_VALUE"""),21.0)</f>
        <v>21</v>
      </c>
      <c r="J1741" s="6">
        <f>IFERROR(__xludf.DUMMYFUNCTION("""COMPUTED_VALUE"""),15.18)</f>
        <v>15.18</v>
      </c>
      <c r="K1741" s="6">
        <f>IFERROR(__xludf.DUMMYFUNCTION("""COMPUTED_VALUE"""),17.71)</f>
        <v>17.71</v>
      </c>
      <c r="L1741" s="3"/>
      <c r="M1741" s="3"/>
    </row>
    <row r="1742" ht="48.0" customHeight="1">
      <c r="A1742" s="3" t="str">
        <f>IFERROR(__xludf.DUMMYFUNCTION("""COMPUTED_VALUE"""),"SW126")</f>
        <v>SW126</v>
      </c>
      <c r="B1742" s="4" t="str">
        <f>IFERROR(__xludf.DUMMYFUNCTION("""COMPUTED_VALUE"""),"FUENTE SWITCHING 12 VOLT 6A")</f>
        <v>FUENTE SWITCHING 12 VOLT 6A</v>
      </c>
      <c r="C1742" s="4" t="str">
        <f>IFERROR(__xludf.DUMMYFUNCTION("""COMPUTED_VALUE"""),"Fuente switching 12 Volt 6A")</f>
        <v>Fuente switching 12 Volt 6A</v>
      </c>
      <c r="D1742" s="4" t="str">
        <f>IFERROR(__xludf.DUMMYFUNCTION("""COMPUTED_VALUE"""),"GENERICO")</f>
        <v>GENERICO</v>
      </c>
      <c r="E1742" s="4" t="str">
        <f>IFERROR(__xludf.DUMMYFUNCTION("""COMPUTED_VALUE"""),"SW126")</f>
        <v>SW126</v>
      </c>
      <c r="F1742" s="4" t="str">
        <f>IFERROR(__xludf.DUMMYFUNCTION("""COMPUTED_VALUE"""),"CONECTIVIDAD &gt; SWITCH")</f>
        <v>CONECTIVIDAD &gt; SWITCH</v>
      </c>
      <c r="G1742" s="5"/>
      <c r="H1742" s="6">
        <f>IFERROR(__xludf.DUMMYFUNCTION("""COMPUTED_VALUE"""),14.85)</f>
        <v>14.85</v>
      </c>
      <c r="I1742" s="7">
        <f>IFERROR(__xludf.DUMMYFUNCTION("""COMPUTED_VALUE"""),21.0)</f>
        <v>21</v>
      </c>
      <c r="J1742" s="6">
        <f>IFERROR(__xludf.DUMMYFUNCTION("""COMPUTED_VALUE"""),17.82)</f>
        <v>17.82</v>
      </c>
      <c r="K1742" s="6">
        <f>IFERROR(__xludf.DUMMYFUNCTION("""COMPUTED_VALUE"""),20.79)</f>
        <v>20.79</v>
      </c>
      <c r="L1742" s="3"/>
      <c r="M1742" s="3"/>
    </row>
    <row r="1743" ht="48.0" customHeight="1">
      <c r="A1743" s="3" t="str">
        <f>IFERROR(__xludf.DUMMYFUNCTION("""COMPUTED_VALUE"""),"SW-METALICA125M")</f>
        <v>SW-METALICA125M</v>
      </c>
      <c r="B1743" s="4" t="str">
        <f>IFERROR(__xludf.DUMMYFUNCTION("""COMPUTED_VALUE"""),"FUENTE SWITCHING METÁLICA 12 VOLT 5 A")</f>
        <v>FUENTE SWITCHING METÁLICA 12 VOLT 5 A</v>
      </c>
      <c r="C1743" s="4" t="str">
        <f>IFERROR(__xludf.DUMMYFUNCTION("""COMPUTED_VALUE"""),"Fuente switching metálica 12 Volt 5 A")</f>
        <v>Fuente switching metálica 12 Volt 5 A</v>
      </c>
      <c r="D1743" s="4" t="str">
        <f>IFERROR(__xludf.DUMMYFUNCTION("""COMPUTED_VALUE"""),"GENERICO")</f>
        <v>GENERICO</v>
      </c>
      <c r="E1743" s="4" t="str">
        <f>IFERROR(__xludf.DUMMYFUNCTION("""COMPUTED_VALUE"""),"SW-METALICA125M")</f>
        <v>SW-METALICA125M</v>
      </c>
      <c r="F1743" s="4" t="str">
        <f>IFERROR(__xludf.DUMMYFUNCTION("""COMPUTED_VALUE"""),"CONECTIVIDAD &gt; SWITCH")</f>
        <v>CONECTIVIDAD &gt; SWITCH</v>
      </c>
      <c r="G1743" s="5"/>
      <c r="H1743" s="6">
        <f>IFERROR(__xludf.DUMMYFUNCTION("""COMPUTED_VALUE"""),13.98)</f>
        <v>13.98</v>
      </c>
      <c r="I1743" s="7">
        <f>IFERROR(__xludf.DUMMYFUNCTION("""COMPUTED_VALUE"""),21.0)</f>
        <v>21</v>
      </c>
      <c r="J1743" s="6">
        <f>IFERROR(__xludf.DUMMYFUNCTION("""COMPUTED_VALUE"""),16.78)</f>
        <v>16.78</v>
      </c>
      <c r="K1743" s="6">
        <f>IFERROR(__xludf.DUMMYFUNCTION("""COMPUTED_VALUE"""),19.57)</f>
        <v>19.57</v>
      </c>
      <c r="L1743" s="3"/>
      <c r="M1743" s="3"/>
    </row>
    <row r="1744" ht="48.0" customHeight="1">
      <c r="A1744" s="3" t="str">
        <f>IFERROR(__xludf.DUMMYFUNCTION("""COMPUTED_VALUE"""),"SW-METALICA1210M")</f>
        <v>SW-METALICA1210M</v>
      </c>
      <c r="B1744" s="4" t="str">
        <f>IFERROR(__xludf.DUMMYFUNCTION("""COMPUTED_VALUE"""),"FUENTE SWITCHING METÁLICA 12 VOLT 10 A")</f>
        <v>FUENTE SWITCHING METÁLICA 12 VOLT 10 A</v>
      </c>
      <c r="C1744" s="4" t="str">
        <f>IFERROR(__xludf.DUMMYFUNCTION("""COMPUTED_VALUE"""),"Fuente switching metálica 12 Volt 10 A")</f>
        <v>Fuente switching metálica 12 Volt 10 A</v>
      </c>
      <c r="D1744" s="4" t="str">
        <f>IFERROR(__xludf.DUMMYFUNCTION("""COMPUTED_VALUE"""),"GENERICO")</f>
        <v>GENERICO</v>
      </c>
      <c r="E1744" s="4" t="str">
        <f>IFERROR(__xludf.DUMMYFUNCTION("""COMPUTED_VALUE"""),"SW-METALICA1210M")</f>
        <v>SW-METALICA1210M</v>
      </c>
      <c r="F1744" s="4" t="str">
        <f>IFERROR(__xludf.DUMMYFUNCTION("""COMPUTED_VALUE"""),"CONECTIVIDAD &gt; SWITCH")</f>
        <v>CONECTIVIDAD &gt; SWITCH</v>
      </c>
      <c r="G1744" s="5"/>
      <c r="H1744" s="6">
        <f>IFERROR(__xludf.DUMMYFUNCTION("""COMPUTED_VALUE"""),18.96)</f>
        <v>18.96</v>
      </c>
      <c r="I1744" s="7">
        <f>IFERROR(__xludf.DUMMYFUNCTION("""COMPUTED_VALUE"""),21.0)</f>
        <v>21</v>
      </c>
      <c r="J1744" s="6">
        <f>IFERROR(__xludf.DUMMYFUNCTION("""COMPUTED_VALUE"""),22.75)</f>
        <v>22.75</v>
      </c>
      <c r="K1744" s="6">
        <f>IFERROR(__xludf.DUMMYFUNCTION("""COMPUTED_VALUE"""),26.54)</f>
        <v>26.54</v>
      </c>
      <c r="L1744" s="3"/>
      <c r="M1744" s="3"/>
    </row>
    <row r="1745" ht="48.0" customHeight="1">
      <c r="A1745" s="3" t="str">
        <f>IFERROR(__xludf.DUMMYFUNCTION("""COMPUTED_VALUE"""),"SW-METALICA1220M")</f>
        <v>SW-METALICA1220M</v>
      </c>
      <c r="B1745" s="4" t="str">
        <f>IFERROR(__xludf.DUMMYFUNCTION("""COMPUTED_VALUE"""),"FUENTE SWITCHING METÁLICA 12 VOLT 20 A")</f>
        <v>FUENTE SWITCHING METÁLICA 12 VOLT 20 A</v>
      </c>
      <c r="C1745" s="4" t="str">
        <f>IFERROR(__xludf.DUMMYFUNCTION("""COMPUTED_VALUE"""),"Fuente switching metálica 12 Volt 20 A")</f>
        <v>Fuente switching metálica 12 Volt 20 A</v>
      </c>
      <c r="D1745" s="4" t="str">
        <f>IFERROR(__xludf.DUMMYFUNCTION("""COMPUTED_VALUE"""),"GENERICO")</f>
        <v>GENERICO</v>
      </c>
      <c r="E1745" s="4" t="str">
        <f>IFERROR(__xludf.DUMMYFUNCTION("""COMPUTED_VALUE"""),"SW-METALICA1220M")</f>
        <v>SW-METALICA1220M</v>
      </c>
      <c r="F1745" s="4" t="str">
        <f>IFERROR(__xludf.DUMMYFUNCTION("""COMPUTED_VALUE"""),"CONECTIVIDAD &gt; SWITCH")</f>
        <v>CONECTIVIDAD &gt; SWITCH</v>
      </c>
      <c r="G1745" s="5"/>
      <c r="H1745" s="6">
        <f>IFERROR(__xludf.DUMMYFUNCTION("""COMPUTED_VALUE"""),29.85)</f>
        <v>29.85</v>
      </c>
      <c r="I1745" s="7">
        <f>IFERROR(__xludf.DUMMYFUNCTION("""COMPUTED_VALUE"""),21.0)</f>
        <v>21</v>
      </c>
      <c r="J1745" s="6">
        <f>IFERROR(__xludf.DUMMYFUNCTION("""COMPUTED_VALUE"""),35.82)</f>
        <v>35.82</v>
      </c>
      <c r="K1745" s="6">
        <f>IFERROR(__xludf.DUMMYFUNCTION("""COMPUTED_VALUE"""),41.79)</f>
        <v>41.79</v>
      </c>
      <c r="L1745" s="3"/>
      <c r="M1745" s="3"/>
    </row>
    <row r="1746" ht="48.0" customHeight="1">
      <c r="A1746" s="3" t="str">
        <f>IFERROR(__xludf.DUMMYFUNCTION("""COMPUTED_VALUE"""),"SWUPS124")</f>
        <v>SWUPS124</v>
      </c>
      <c r="B1746" s="4" t="str">
        <f>IFERROR(__xludf.DUMMYFUNCTION("""COMPUTED_VALUE"""),"FUENTE SWITCHING METÁLICA CON UPS 12 VOLT 4 A")</f>
        <v>FUENTE SWITCHING METÁLICA CON UPS 12 VOLT 4 A</v>
      </c>
      <c r="C1746" s="4" t="str">
        <f>IFERROR(__xludf.DUMMYFUNCTION("""COMPUTED_VALUE"""),"Fuente switching metálica con UPS 12 Volt 4 A")</f>
        <v>Fuente switching metálica con UPS 12 Volt 4 A</v>
      </c>
      <c r="D1746" s="4" t="str">
        <f>IFERROR(__xludf.DUMMYFUNCTION("""COMPUTED_VALUE"""),"GENERICO")</f>
        <v>GENERICO</v>
      </c>
      <c r="E1746" s="4" t="str">
        <f>IFERROR(__xludf.DUMMYFUNCTION("""COMPUTED_VALUE"""),"SWUPS124")</f>
        <v>SWUPS124</v>
      </c>
      <c r="F1746" s="4" t="str">
        <f>IFERROR(__xludf.DUMMYFUNCTION("""COMPUTED_VALUE"""),"CONECTIVIDAD &gt; SWITCH")</f>
        <v>CONECTIVIDAD &gt; SWITCH</v>
      </c>
      <c r="G1746" s="5"/>
      <c r="H1746" s="6">
        <f>IFERROR(__xludf.DUMMYFUNCTION("""COMPUTED_VALUE"""),30.83)</f>
        <v>30.83</v>
      </c>
      <c r="I1746" s="7">
        <f>IFERROR(__xludf.DUMMYFUNCTION("""COMPUTED_VALUE"""),21.0)</f>
        <v>21</v>
      </c>
      <c r="J1746" s="6">
        <f>IFERROR(__xludf.DUMMYFUNCTION("""COMPUTED_VALUE"""),37.0)</f>
        <v>37</v>
      </c>
      <c r="K1746" s="6">
        <f>IFERROR(__xludf.DUMMYFUNCTION("""COMPUTED_VALUE"""),43.16)</f>
        <v>43.16</v>
      </c>
      <c r="L1746" s="3"/>
      <c r="M1746" s="3"/>
    </row>
    <row r="1747" ht="48.0" customHeight="1">
      <c r="A1747" s="3" t="str">
        <f>IFERROR(__xludf.DUMMYFUNCTION("""COMPUTED_VALUE"""),"SWUPS128")</f>
        <v>SWUPS128</v>
      </c>
      <c r="B1747" s="4" t="str">
        <f>IFERROR(__xludf.DUMMYFUNCTION("""COMPUTED_VALUE"""),"FUENTE SWITCHING METÁLICA CON UPS 12 VOLT 8 A")</f>
        <v>FUENTE SWITCHING METÁLICA CON UPS 12 VOLT 8 A</v>
      </c>
      <c r="C1747" s="4" t="str">
        <f>IFERROR(__xludf.DUMMYFUNCTION("""COMPUTED_VALUE"""),"Fuente switching metálica con UPS 12 Volt 8 A")</f>
        <v>Fuente switching metálica con UPS 12 Volt 8 A</v>
      </c>
      <c r="D1747" s="4" t="str">
        <f>IFERROR(__xludf.DUMMYFUNCTION("""COMPUTED_VALUE"""),"GENERICO")</f>
        <v>GENERICO</v>
      </c>
      <c r="E1747" s="4" t="str">
        <f>IFERROR(__xludf.DUMMYFUNCTION("""COMPUTED_VALUE"""),"SWUPS128")</f>
        <v>SWUPS128</v>
      </c>
      <c r="F1747" s="4" t="str">
        <f>IFERROR(__xludf.DUMMYFUNCTION("""COMPUTED_VALUE"""),"CONECTIVIDAD &gt; SWITCH")</f>
        <v>CONECTIVIDAD &gt; SWITCH</v>
      </c>
      <c r="G1747" s="5"/>
      <c r="H1747" s="6">
        <f>IFERROR(__xludf.DUMMYFUNCTION("""COMPUTED_VALUE"""),46.24)</f>
        <v>46.24</v>
      </c>
      <c r="I1747" s="7">
        <f>IFERROR(__xludf.DUMMYFUNCTION("""COMPUTED_VALUE"""),21.0)</f>
        <v>21</v>
      </c>
      <c r="J1747" s="6">
        <f>IFERROR(__xludf.DUMMYFUNCTION("""COMPUTED_VALUE"""),55.49)</f>
        <v>55.49</v>
      </c>
      <c r="K1747" s="6">
        <f>IFERROR(__xludf.DUMMYFUNCTION("""COMPUTED_VALUE"""),64.74)</f>
        <v>64.74</v>
      </c>
      <c r="L1747" s="3"/>
      <c r="M1747" s="3"/>
    </row>
    <row r="1748" ht="48.0" customHeight="1">
      <c r="A1748" s="3" t="str">
        <f>IFERROR(__xludf.DUMMYFUNCTION("""COMPUTED_VALUE"""),"SW241")</f>
        <v>SW241</v>
      </c>
      <c r="B1748" s="4" t="str">
        <f>IFERROR(__xludf.DUMMYFUNCTION("""COMPUTED_VALUE"""),"FUENTE SWITCHING 24 VOLT 1 A")</f>
        <v>FUENTE SWITCHING 24 VOLT 1 A</v>
      </c>
      <c r="C1748" s="4" t="str">
        <f>IFERROR(__xludf.DUMMYFUNCTION("""COMPUTED_VALUE"""),"Fuente switching 24 Volt 1 A")</f>
        <v>Fuente switching 24 Volt 1 A</v>
      </c>
      <c r="D1748" s="4" t="str">
        <f>IFERROR(__xludf.DUMMYFUNCTION("""COMPUTED_VALUE"""),"GENERICO")</f>
        <v>GENERICO</v>
      </c>
      <c r="E1748" s="4" t="str">
        <f>IFERROR(__xludf.DUMMYFUNCTION("""COMPUTED_VALUE"""),"SW241")</f>
        <v>SW241</v>
      </c>
      <c r="F1748" s="4" t="str">
        <f>IFERROR(__xludf.DUMMYFUNCTION("""COMPUTED_VALUE"""),"CONECTIVIDAD &gt; SWITCH")</f>
        <v>CONECTIVIDAD &gt; SWITCH</v>
      </c>
      <c r="G1748" s="5"/>
      <c r="H1748" s="6">
        <f>IFERROR(__xludf.DUMMYFUNCTION("""COMPUTED_VALUE"""),9.48)</f>
        <v>9.48</v>
      </c>
      <c r="I1748" s="7">
        <f>IFERROR(__xludf.DUMMYFUNCTION("""COMPUTED_VALUE"""),21.0)</f>
        <v>21</v>
      </c>
      <c r="J1748" s="6">
        <f>IFERROR(__xludf.DUMMYFUNCTION("""COMPUTED_VALUE"""),11.38)</f>
        <v>11.38</v>
      </c>
      <c r="K1748" s="6">
        <f>IFERROR(__xludf.DUMMYFUNCTION("""COMPUTED_VALUE"""),13.27)</f>
        <v>13.27</v>
      </c>
      <c r="L1748" s="3"/>
      <c r="M1748" s="3"/>
    </row>
    <row r="1749" ht="48.0" customHeight="1">
      <c r="A1749" s="3" t="str">
        <f>IFERROR(__xludf.DUMMYFUNCTION("""COMPUTED_VALUE"""),"SW-METALICA244M")</f>
        <v>SW-METALICA244M</v>
      </c>
      <c r="B1749" s="4" t="str">
        <f>IFERROR(__xludf.DUMMYFUNCTION("""COMPUTED_VALUE"""),"FUENTE SWITCHING CARCAZA METÁLICA 24 VOLT 4,5 A")</f>
        <v>FUENTE SWITCHING CARCAZA METÁLICA 24 VOLT 4,5 A</v>
      </c>
      <c r="C1749" s="4" t="str">
        <f>IFERROR(__xludf.DUMMYFUNCTION("""COMPUTED_VALUE"""),"Fuente switching carcaza metálica 24 Volt 4,5 A")</f>
        <v>Fuente switching carcaza metálica 24 Volt 4,5 A</v>
      </c>
      <c r="D1749" s="4" t="str">
        <f>IFERROR(__xludf.DUMMYFUNCTION("""COMPUTED_VALUE"""),"GENERICO")</f>
        <v>GENERICO</v>
      </c>
      <c r="E1749" s="4" t="str">
        <f>IFERROR(__xludf.DUMMYFUNCTION("""COMPUTED_VALUE"""),"SW-METALICA244M")</f>
        <v>SW-METALICA244M</v>
      </c>
      <c r="F1749" s="4" t="str">
        <f>IFERROR(__xludf.DUMMYFUNCTION("""COMPUTED_VALUE"""),"CONECTIVIDAD &gt; SWITCH")</f>
        <v>CONECTIVIDAD &gt; SWITCH</v>
      </c>
      <c r="G1749" s="5"/>
      <c r="H1749" s="6">
        <f>IFERROR(__xludf.DUMMYFUNCTION("""COMPUTED_VALUE"""),15.02)</f>
        <v>15.02</v>
      </c>
      <c r="I1749" s="7">
        <f>IFERROR(__xludf.DUMMYFUNCTION("""COMPUTED_VALUE"""),21.0)</f>
        <v>21</v>
      </c>
      <c r="J1749" s="6">
        <f>IFERROR(__xludf.DUMMYFUNCTION("""COMPUTED_VALUE"""),18.02)</f>
        <v>18.02</v>
      </c>
      <c r="K1749" s="6">
        <f>IFERROR(__xludf.DUMMYFUNCTION("""COMPUTED_VALUE"""),21.03)</f>
        <v>21.03</v>
      </c>
      <c r="L1749" s="3"/>
      <c r="M1749" s="3"/>
    </row>
    <row r="1750" ht="48.0" customHeight="1">
      <c r="A1750" s="3" t="str">
        <f>IFERROR(__xludf.DUMMYFUNCTION("""COMPUTED_VALUE"""),"SWUPS247")</f>
        <v>SWUPS247</v>
      </c>
      <c r="B1750" s="4" t="str">
        <f>IFERROR(__xludf.DUMMYFUNCTION("""COMPUTED_VALUE"""),"FUENTE SWITCHING CARCAZA METÁLICA CON UPS 24 VOLT 6,5 A")</f>
        <v>FUENTE SWITCHING CARCAZA METÁLICA CON UPS 24 VOLT 6,5 A</v>
      </c>
      <c r="C1750" s="4" t="str">
        <f>IFERROR(__xludf.DUMMYFUNCTION("""COMPUTED_VALUE"""),"Fuente switching carcaza metálica con UPS 24 Volt 6,5 A")</f>
        <v>Fuente switching carcaza metálica con UPS 24 Volt 6,5 A</v>
      </c>
      <c r="D1750" s="4" t="str">
        <f>IFERROR(__xludf.DUMMYFUNCTION("""COMPUTED_VALUE"""),"GENERICO")</f>
        <v>GENERICO</v>
      </c>
      <c r="E1750" s="4" t="str">
        <f>IFERROR(__xludf.DUMMYFUNCTION("""COMPUTED_VALUE"""),"SWUPS247")</f>
        <v>SWUPS247</v>
      </c>
      <c r="F1750" s="4" t="str">
        <f>IFERROR(__xludf.DUMMYFUNCTION("""COMPUTED_VALUE"""),"CONECTIVIDAD &gt; SWITCH")</f>
        <v>CONECTIVIDAD &gt; SWITCH</v>
      </c>
      <c r="G1750" s="5"/>
      <c r="H1750" s="6">
        <f>IFERROR(__xludf.DUMMYFUNCTION("""COMPUTED_VALUE"""),91.38)</f>
        <v>91.38</v>
      </c>
      <c r="I1750" s="7">
        <f>IFERROR(__xludf.DUMMYFUNCTION("""COMPUTED_VALUE"""),21.0)</f>
        <v>21</v>
      </c>
      <c r="J1750" s="6">
        <f>IFERROR(__xludf.DUMMYFUNCTION("""COMPUTED_VALUE"""),109.66)</f>
        <v>109.66</v>
      </c>
      <c r="K1750" s="6">
        <f>IFERROR(__xludf.DUMMYFUNCTION("""COMPUTED_VALUE"""),127.93)</f>
        <v>127.93</v>
      </c>
      <c r="L1750" s="3"/>
      <c r="M1750" s="3"/>
    </row>
    <row r="1751" ht="48.0" customHeight="1">
      <c r="A1751" s="3" t="str">
        <f>IFERROR(__xludf.DUMMYFUNCTION("""COMPUTED_VALUE"""),"SW482")</f>
        <v>SW482</v>
      </c>
      <c r="B1751" s="4" t="str">
        <f>IFERROR(__xludf.DUMMYFUNCTION("""COMPUTED_VALUE"""),"FUENTE SWITCHING 48 VOLT 2 A")</f>
        <v>FUENTE SWITCHING 48 VOLT 2 A</v>
      </c>
      <c r="C1751" s="4" t="str">
        <f>IFERROR(__xludf.DUMMYFUNCTION("""COMPUTED_VALUE"""),"Fuente switching 48 Volt 2 A")</f>
        <v>Fuente switching 48 Volt 2 A</v>
      </c>
      <c r="D1751" s="4" t="str">
        <f>IFERROR(__xludf.DUMMYFUNCTION("""COMPUTED_VALUE"""),"GENERICO")</f>
        <v>GENERICO</v>
      </c>
      <c r="E1751" s="4" t="str">
        <f>IFERROR(__xludf.DUMMYFUNCTION("""COMPUTED_VALUE"""),"SW482")</f>
        <v>SW482</v>
      </c>
      <c r="F1751" s="4" t="str">
        <f>IFERROR(__xludf.DUMMYFUNCTION("""COMPUTED_VALUE"""),"CONECTIVIDAD &gt; SWITCH")</f>
        <v>CONECTIVIDAD &gt; SWITCH</v>
      </c>
      <c r="G1751" s="5"/>
      <c r="H1751" s="6">
        <f>IFERROR(__xludf.DUMMYFUNCTION("""COMPUTED_VALUE"""),36.04)</f>
        <v>36.04</v>
      </c>
      <c r="I1751" s="7">
        <f>IFERROR(__xludf.DUMMYFUNCTION("""COMPUTED_VALUE"""),21.0)</f>
        <v>21</v>
      </c>
      <c r="J1751" s="6">
        <f>IFERROR(__xludf.DUMMYFUNCTION("""COMPUTED_VALUE"""),43.25)</f>
        <v>43.25</v>
      </c>
      <c r="K1751" s="6">
        <f>IFERROR(__xludf.DUMMYFUNCTION("""COMPUTED_VALUE"""),50.46)</f>
        <v>50.46</v>
      </c>
      <c r="L1751" s="3"/>
      <c r="M1751" s="3"/>
    </row>
    <row r="1752" ht="48.0" customHeight="1">
      <c r="A1752" s="3" t="str">
        <f>IFERROR(__xludf.DUMMYFUNCTION("""COMPUTED_VALUE"""),"SWPOE481-DUP1")</f>
        <v>SWPOE481-DUP1</v>
      </c>
      <c r="B1752" s="4" t="str">
        <f>IFERROR(__xludf.DUMMYFUNCTION("""COMPUTED_VALUE"""),"FUENTE SWITCHING 48 VOLT 0")</f>
        <v>FUENTE SWITCHING 48 VOLT 0</v>
      </c>
      <c r="C1752" s="4" t="str">
        <f>IFERROR(__xludf.DUMMYFUNCTION("""COMPUTED_VALUE"""),"Fuente switching 48 Volt 0.5 A con Inyector")</f>
        <v>Fuente switching 48 Volt 0.5 A con Inyector</v>
      </c>
      <c r="D1752" s="4" t="str">
        <f>IFERROR(__xludf.DUMMYFUNCTION("""COMPUTED_VALUE"""),"GENERICO")</f>
        <v>GENERICO</v>
      </c>
      <c r="E1752" s="4" t="str">
        <f>IFERROR(__xludf.DUMMYFUNCTION("""COMPUTED_VALUE"""),"SWPOE481")</f>
        <v>SWPOE481</v>
      </c>
      <c r="F1752" s="4" t="str">
        <f>IFERROR(__xludf.DUMMYFUNCTION("""COMPUTED_VALUE"""),"CONECTIVIDAD &gt; SWITCH")</f>
        <v>CONECTIVIDAD &gt; SWITCH</v>
      </c>
      <c r="G1752" s="5"/>
      <c r="H1752" s="6">
        <f>IFERROR(__xludf.DUMMYFUNCTION("""COMPUTED_VALUE"""),22.53)</f>
        <v>22.53</v>
      </c>
      <c r="I1752" s="7">
        <f>IFERROR(__xludf.DUMMYFUNCTION("""COMPUTED_VALUE"""),21.0)</f>
        <v>21</v>
      </c>
      <c r="J1752" s="6">
        <f>IFERROR(__xludf.DUMMYFUNCTION("""COMPUTED_VALUE"""),27.04)</f>
        <v>27.04</v>
      </c>
      <c r="K1752" s="6">
        <f>IFERROR(__xludf.DUMMYFUNCTION("""COMPUTED_VALUE"""),31.54)</f>
        <v>31.54</v>
      </c>
      <c r="L1752" s="3"/>
      <c r="M1752" s="3"/>
    </row>
    <row r="1753" ht="48.0" customHeight="1">
      <c r="A1753" s="3" t="str">
        <f>IFERROR(__xludf.DUMMYFUNCTION("""COMPUTED_VALUE"""),"SWPOE483")</f>
        <v>SWPOE483</v>
      </c>
      <c r="B1753" s="4" t="str">
        <f>IFERROR(__xludf.DUMMYFUNCTION("""COMPUTED_VALUE"""),"FUENTE SWITCHING 48 VOLT 1,8 A CON INYECTOR POE CON 3 SALIDAS")</f>
        <v>FUENTE SWITCHING 48 VOLT 1,8 A CON INYECTOR POE CON 3 SALIDAS</v>
      </c>
      <c r="C1753" s="4" t="str">
        <f>IFERROR(__xludf.DUMMYFUNCTION("""COMPUTED_VALUE"""),"Fuente switching 48 Volt 1,8 A con Inyector POE con 3 salidas")</f>
        <v>Fuente switching 48 Volt 1,8 A con Inyector POE con 3 salidas</v>
      </c>
      <c r="D1753" s="4" t="str">
        <f>IFERROR(__xludf.DUMMYFUNCTION("""COMPUTED_VALUE"""),"GENERICO")</f>
        <v>GENERICO</v>
      </c>
      <c r="E1753" s="4" t="str">
        <f>IFERROR(__xludf.DUMMYFUNCTION("""COMPUTED_VALUE"""),"SWPOE483")</f>
        <v>SWPOE483</v>
      </c>
      <c r="F1753" s="4" t="str">
        <f>IFERROR(__xludf.DUMMYFUNCTION("""COMPUTED_VALUE"""),"CONECTIVIDAD &gt; SWITCH POE")</f>
        <v>CONECTIVIDAD &gt; SWITCH POE</v>
      </c>
      <c r="G1753" s="5"/>
      <c r="H1753" s="6">
        <f>IFERROR(__xludf.DUMMYFUNCTION("""COMPUTED_VALUE"""),79.44)</f>
        <v>79.44</v>
      </c>
      <c r="I1753" s="7">
        <f>IFERROR(__xludf.DUMMYFUNCTION("""COMPUTED_VALUE"""),21.0)</f>
        <v>21</v>
      </c>
      <c r="J1753" s="6">
        <f>IFERROR(__xludf.DUMMYFUNCTION("""COMPUTED_VALUE"""),95.33)</f>
        <v>95.33</v>
      </c>
      <c r="K1753" s="6">
        <f>IFERROR(__xludf.DUMMYFUNCTION("""COMPUTED_VALUE"""),111.22)</f>
        <v>111.22</v>
      </c>
      <c r="L1753" s="3"/>
      <c r="M1753" s="3"/>
    </row>
    <row r="1754" ht="48.0" customHeight="1">
      <c r="A1754" s="3" t="str">
        <f>IFERROR(__xludf.DUMMYFUNCTION("""COMPUTED_VALUE"""),"TRAFO161")</f>
        <v>TRAFO161</v>
      </c>
      <c r="B1754" s="4" t="str">
        <f>IFERROR(__xludf.DUMMYFUNCTION("""COMPUTED_VALUE"""),"TRANSFORMADORDE 16,5V 1,5A")</f>
        <v>TRANSFORMADORDE 16,5V 1,5A</v>
      </c>
      <c r="C1754" s="4" t="str">
        <f>IFERROR(__xludf.DUMMYFUNCTION("""COMPUTED_VALUE"""),"Transformadorde 16,5V 1,5A")</f>
        <v>Transformadorde 16,5V 1,5A</v>
      </c>
      <c r="D1754" s="4" t="str">
        <f>IFERROR(__xludf.DUMMYFUNCTION("""COMPUTED_VALUE"""),"GENERICO")</f>
        <v>GENERICO</v>
      </c>
      <c r="E1754" s="4" t="str">
        <f>IFERROR(__xludf.DUMMYFUNCTION("""COMPUTED_VALUE"""),"TRAFO161")</f>
        <v>TRAFO161</v>
      </c>
      <c r="F1754" s="4" t="str">
        <f>IFERROR(__xludf.DUMMYFUNCTION("""COMPUTED_VALUE"""),"FUENTES / UPS / CABLEADO / ACCESORIOS &gt; FUENTES")</f>
        <v>FUENTES / UPS / CABLEADO / ACCESORIOS &gt; FUENTES</v>
      </c>
      <c r="G1754" s="5"/>
      <c r="H1754" s="6">
        <f>IFERROR(__xludf.DUMMYFUNCTION("""COMPUTED_VALUE"""),11.01)</f>
        <v>11.01</v>
      </c>
      <c r="I1754" s="7">
        <f>IFERROR(__xludf.DUMMYFUNCTION("""COMPUTED_VALUE"""),21.0)</f>
        <v>21</v>
      </c>
      <c r="J1754" s="6">
        <f>IFERROR(__xludf.DUMMYFUNCTION("""COMPUTED_VALUE"""),13.21)</f>
        <v>13.21</v>
      </c>
      <c r="K1754" s="6">
        <f>IFERROR(__xludf.DUMMYFUNCTION("""COMPUTED_VALUE"""),15.41)</f>
        <v>15.41</v>
      </c>
      <c r="L1754" s="3"/>
      <c r="M1754" s="3"/>
    </row>
    <row r="1755" ht="48.0" customHeight="1">
      <c r="A1755" s="3" t="str">
        <f>IFERROR(__xludf.DUMMYFUNCTION("""COMPUTED_VALUE"""),"TRAFO163")</f>
        <v>TRAFO163</v>
      </c>
      <c r="B1755" s="4" t="str">
        <f>IFERROR(__xludf.DUMMYFUNCTION("""COMPUTED_VALUE"""),"TRANSFORMADOR DE 16,5V 3A")</f>
        <v>TRANSFORMADOR DE 16,5V 3A</v>
      </c>
      <c r="C1755" s="4" t="str">
        <f>IFERROR(__xludf.DUMMYFUNCTION("""COMPUTED_VALUE"""),"Transformador de 16,5V 3A")</f>
        <v>Transformador de 16,5V 3A</v>
      </c>
      <c r="D1755" s="4" t="str">
        <f>IFERROR(__xludf.DUMMYFUNCTION("""COMPUTED_VALUE"""),"GENERICO")</f>
        <v>GENERICO</v>
      </c>
      <c r="E1755" s="4" t="str">
        <f>IFERROR(__xludf.DUMMYFUNCTION("""COMPUTED_VALUE"""),"TRAFO163")</f>
        <v>TRAFO163</v>
      </c>
      <c r="F1755" s="4" t="str">
        <f>IFERROR(__xludf.DUMMYFUNCTION("""COMPUTED_VALUE"""),"FUENTES / UPS / CABLEADO / ACCESORIOS &gt; FUENTES")</f>
        <v>FUENTES / UPS / CABLEADO / ACCESORIOS &gt; FUENTES</v>
      </c>
      <c r="G1755" s="5"/>
      <c r="H1755" s="6">
        <f>IFERROR(__xludf.DUMMYFUNCTION("""COMPUTED_VALUE"""),16.45)</f>
        <v>16.45</v>
      </c>
      <c r="I1755" s="7">
        <f>IFERROR(__xludf.DUMMYFUNCTION("""COMPUTED_VALUE"""),21.0)</f>
        <v>21</v>
      </c>
      <c r="J1755" s="6">
        <f>IFERROR(__xludf.DUMMYFUNCTION("""COMPUTED_VALUE"""),19.74)</f>
        <v>19.74</v>
      </c>
      <c r="K1755" s="6">
        <f>IFERROR(__xludf.DUMMYFUNCTION("""COMPUTED_VALUE"""),23.03)</f>
        <v>23.03</v>
      </c>
      <c r="L1755" s="3"/>
      <c r="M1755" s="3"/>
    </row>
    <row r="1756" ht="48.0" customHeight="1">
      <c r="A1756" s="3" t="str">
        <f>IFERROR(__xludf.DUMMYFUNCTION("""COMPUTED_VALUE"""),"TRAFO121")</f>
        <v>TRAFO121</v>
      </c>
      <c r="B1756" s="4" t="str">
        <f>IFERROR(__xludf.DUMMYFUNCTION("""COMPUTED_VALUE"""),"TRANSFORMADOR DE 12V 1A")</f>
        <v>TRANSFORMADOR DE 12V 1A</v>
      </c>
      <c r="C1756" s="4" t="str">
        <f>IFERROR(__xludf.DUMMYFUNCTION("""COMPUTED_VALUE"""),"Transformador de 12V 1A")</f>
        <v>Transformador de 12V 1A</v>
      </c>
      <c r="D1756" s="4" t="str">
        <f>IFERROR(__xludf.DUMMYFUNCTION("""COMPUTED_VALUE"""),"GENERICO")</f>
        <v>GENERICO</v>
      </c>
      <c r="E1756" s="4" t="str">
        <f>IFERROR(__xludf.DUMMYFUNCTION("""COMPUTED_VALUE"""),"TRAFO121")</f>
        <v>TRAFO121</v>
      </c>
      <c r="F1756" s="4" t="str">
        <f>IFERROR(__xludf.DUMMYFUNCTION("""COMPUTED_VALUE"""),"FUENTES / UPS / CABLEADO / ACCESORIOS &gt; FUENTES")</f>
        <v>FUENTES / UPS / CABLEADO / ACCESORIOS &gt; FUENTES</v>
      </c>
      <c r="G1756" s="5"/>
      <c r="H1756" s="6">
        <f>IFERROR(__xludf.DUMMYFUNCTION("""COMPUTED_VALUE"""),17.6)</f>
        <v>17.6</v>
      </c>
      <c r="I1756" s="7">
        <f>IFERROR(__xludf.DUMMYFUNCTION("""COMPUTED_VALUE"""),21.0)</f>
        <v>21</v>
      </c>
      <c r="J1756" s="6">
        <f>IFERROR(__xludf.DUMMYFUNCTION("""COMPUTED_VALUE"""),21.12)</f>
        <v>21.12</v>
      </c>
      <c r="K1756" s="6">
        <f>IFERROR(__xludf.DUMMYFUNCTION("""COMPUTED_VALUE"""),24.64)</f>
        <v>24.64</v>
      </c>
      <c r="L1756" s="3"/>
      <c r="M1756" s="3"/>
    </row>
    <row r="1757" ht="48.0" customHeight="1">
      <c r="A1757" s="3" t="str">
        <f>IFERROR(__xludf.DUMMYFUNCTION("""COMPUTED_VALUE"""),"TRAFO123")</f>
        <v>TRAFO123</v>
      </c>
      <c r="B1757" s="4" t="str">
        <f>IFERROR(__xludf.DUMMYFUNCTION("""COMPUTED_VALUE"""),"TRANSFORMADOR DE 12V 3A")</f>
        <v>TRANSFORMADOR DE 12V 3A</v>
      </c>
      <c r="C1757" s="4" t="str">
        <f>IFERROR(__xludf.DUMMYFUNCTION("""COMPUTED_VALUE"""),"Transformador de 12V 3A")</f>
        <v>Transformador de 12V 3A</v>
      </c>
      <c r="D1757" s="4" t="str">
        <f>IFERROR(__xludf.DUMMYFUNCTION("""COMPUTED_VALUE"""),"GENERICO")</f>
        <v>GENERICO</v>
      </c>
      <c r="E1757" s="4" t="str">
        <f>IFERROR(__xludf.DUMMYFUNCTION("""COMPUTED_VALUE"""),"TRAFO123")</f>
        <v>TRAFO123</v>
      </c>
      <c r="F1757" s="4" t="str">
        <f>IFERROR(__xludf.DUMMYFUNCTION("""COMPUTED_VALUE"""),"FUENTES / UPS / CABLEADO / ACCESORIOS &gt; FUENTES")</f>
        <v>FUENTES / UPS / CABLEADO / ACCESORIOS &gt; FUENTES</v>
      </c>
      <c r="G1757" s="5"/>
      <c r="H1757" s="6">
        <f>IFERROR(__xludf.DUMMYFUNCTION("""COMPUTED_VALUE"""),15.73)</f>
        <v>15.73</v>
      </c>
      <c r="I1757" s="7">
        <f>IFERROR(__xludf.DUMMYFUNCTION("""COMPUTED_VALUE"""),21.0)</f>
        <v>21</v>
      </c>
      <c r="J1757" s="6">
        <f>IFERROR(__xludf.DUMMYFUNCTION("""COMPUTED_VALUE"""),18.88)</f>
        <v>18.88</v>
      </c>
      <c r="K1757" s="6">
        <f>IFERROR(__xludf.DUMMYFUNCTION("""COMPUTED_VALUE"""),22.02)</f>
        <v>22.02</v>
      </c>
      <c r="L1757" s="3"/>
      <c r="M1757" s="3"/>
    </row>
    <row r="1758" ht="48.0" customHeight="1">
      <c r="A1758" s="3" t="str">
        <f>IFERROR(__xludf.DUMMYFUNCTION("""COMPUTED_VALUE"""),"TRAFO241")</f>
        <v>TRAFO241</v>
      </c>
      <c r="B1758" s="4" t="str">
        <f>IFERROR(__xludf.DUMMYFUNCTION("""COMPUTED_VALUE"""),"TRANSFORMADOR DE 24V 1A")</f>
        <v>TRANSFORMADOR DE 24V 1A</v>
      </c>
      <c r="C1758" s="4" t="str">
        <f>IFERROR(__xludf.DUMMYFUNCTION("""COMPUTED_VALUE"""),"Transformador de 24V 1A")</f>
        <v>Transformador de 24V 1A</v>
      </c>
      <c r="D1758" s="4" t="str">
        <f>IFERROR(__xludf.DUMMYFUNCTION("""COMPUTED_VALUE"""),"GENERICO")</f>
        <v>GENERICO</v>
      </c>
      <c r="E1758" s="4" t="str">
        <f>IFERROR(__xludf.DUMMYFUNCTION("""COMPUTED_VALUE"""),"TRAFO241")</f>
        <v>TRAFO241</v>
      </c>
      <c r="F1758" s="4" t="str">
        <f>IFERROR(__xludf.DUMMYFUNCTION("""COMPUTED_VALUE"""),"FUENTES / UPS / CABLEADO / ACCESORIOS &gt; FUENTES")</f>
        <v>FUENTES / UPS / CABLEADO / ACCESORIOS &gt; FUENTES</v>
      </c>
      <c r="G1758" s="5"/>
      <c r="H1758" s="6">
        <f>IFERROR(__xludf.DUMMYFUNCTION("""COMPUTED_VALUE"""),18.3)</f>
        <v>18.3</v>
      </c>
      <c r="I1758" s="7">
        <f>IFERROR(__xludf.DUMMYFUNCTION("""COMPUTED_VALUE"""),21.0)</f>
        <v>21</v>
      </c>
      <c r="J1758" s="6">
        <f>IFERROR(__xludf.DUMMYFUNCTION("""COMPUTED_VALUE"""),21.96)</f>
        <v>21.96</v>
      </c>
      <c r="K1758" s="6">
        <f>IFERROR(__xludf.DUMMYFUNCTION("""COMPUTED_VALUE"""),25.62)</f>
        <v>25.62</v>
      </c>
      <c r="L1758" s="3"/>
      <c r="M1758" s="3"/>
    </row>
    <row r="1759" ht="48.0" customHeight="1">
      <c r="A1759" s="3" t="str">
        <f>IFERROR(__xludf.DUMMYFUNCTION("""COMPUTED_VALUE"""),"TRAFO243")</f>
        <v>TRAFO243</v>
      </c>
      <c r="B1759" s="4" t="str">
        <f>IFERROR(__xludf.DUMMYFUNCTION("""COMPUTED_VALUE"""),"TRANSFORMADOR DE 24V 3A")</f>
        <v>TRANSFORMADOR DE 24V 3A</v>
      </c>
      <c r="C1759" s="4" t="str">
        <f>IFERROR(__xludf.DUMMYFUNCTION("""COMPUTED_VALUE"""),"Transformador de 24V 3A")</f>
        <v>Transformador de 24V 3A</v>
      </c>
      <c r="D1759" s="4" t="str">
        <f>IFERROR(__xludf.DUMMYFUNCTION("""COMPUTED_VALUE"""),"GENERICO")</f>
        <v>GENERICO</v>
      </c>
      <c r="E1759" s="4" t="str">
        <f>IFERROR(__xludf.DUMMYFUNCTION("""COMPUTED_VALUE"""),"TRAFO243")</f>
        <v>TRAFO243</v>
      </c>
      <c r="F1759" s="4" t="str">
        <f>IFERROR(__xludf.DUMMYFUNCTION("""COMPUTED_VALUE"""),"FUENTES / UPS / CABLEADO / ACCESORIOS &gt; FUENTES")</f>
        <v>FUENTES / UPS / CABLEADO / ACCESORIOS &gt; FUENTES</v>
      </c>
      <c r="G1759" s="5"/>
      <c r="H1759" s="6">
        <f>IFERROR(__xludf.DUMMYFUNCTION("""COMPUTED_VALUE"""),22.88)</f>
        <v>22.88</v>
      </c>
      <c r="I1759" s="7">
        <f>IFERROR(__xludf.DUMMYFUNCTION("""COMPUTED_VALUE"""),21.0)</f>
        <v>21</v>
      </c>
      <c r="J1759" s="6">
        <f>IFERROR(__xludf.DUMMYFUNCTION("""COMPUTED_VALUE"""),27.46)</f>
        <v>27.46</v>
      </c>
      <c r="K1759" s="6">
        <f>IFERROR(__xludf.DUMMYFUNCTION("""COMPUTED_VALUE"""),32.03)</f>
        <v>32.03</v>
      </c>
      <c r="L1759" s="3"/>
      <c r="M1759" s="3"/>
    </row>
    <row r="1760" ht="48.0" customHeight="1">
      <c r="A1760" s="3" t="str">
        <f>IFERROR(__xludf.DUMMYFUNCTION("""COMPUTED_VALUE"""),"BR127")</f>
        <v>BR127</v>
      </c>
      <c r="B1760" s="4" t="str">
        <f>IFERROR(__xludf.DUMMYFUNCTION("""COMPUTED_VALUE"""),"BATERÍA DE GEL 12V / 7 A")</f>
        <v>BATERÍA DE GEL 12V / 7 A</v>
      </c>
      <c r="C1760" s="4" t="str">
        <f>IFERROR(__xludf.DUMMYFUNCTION("""COMPUTED_VALUE"""),"Batería de Gel 12V / 7 A.")</f>
        <v>Batería de Gel 12V / 7 A.</v>
      </c>
      <c r="D1760" s="4" t="str">
        <f>IFERROR(__xludf.DUMMYFUNCTION("""COMPUTED_VALUE"""),"ULTRACELL")</f>
        <v>ULTRACELL</v>
      </c>
      <c r="E1760" s="4" t="str">
        <f>IFERROR(__xludf.DUMMYFUNCTION("""COMPUTED_VALUE"""),"BR127")</f>
        <v>BR127</v>
      </c>
      <c r="F1760" s="4" t="str">
        <f>IFERROR(__xludf.DUMMYFUNCTION("""COMPUTED_VALUE"""),"FUENTES / UPS / CABLEADO / ACCESORIOS &gt; BATERIA")</f>
        <v>FUENTES / UPS / CABLEADO / ACCESORIOS &gt; BATERIA</v>
      </c>
      <c r="G1760" s="5"/>
      <c r="H1760" s="6">
        <f>IFERROR(__xludf.DUMMYFUNCTION("""COMPUTED_VALUE"""),17.49)</f>
        <v>17.49</v>
      </c>
      <c r="I1760" s="7">
        <f>IFERROR(__xludf.DUMMYFUNCTION("""COMPUTED_VALUE"""),21.0)</f>
        <v>21</v>
      </c>
      <c r="J1760" s="6">
        <f>IFERROR(__xludf.DUMMYFUNCTION("""COMPUTED_VALUE"""),20.99)</f>
        <v>20.99</v>
      </c>
      <c r="K1760" s="6">
        <f>IFERROR(__xludf.DUMMYFUNCTION("""COMPUTED_VALUE"""),24.49)</f>
        <v>24.49</v>
      </c>
      <c r="L1760" s="3"/>
      <c r="M1760" s="3"/>
    </row>
    <row r="1761" ht="48.0" customHeight="1">
      <c r="A1761" s="3" t="str">
        <f>IFERROR(__xludf.DUMMYFUNCTION("""COMPUTED_VALUE"""),"BR127ULE")</f>
        <v>BR127ULE</v>
      </c>
      <c r="B1761" s="4" t="str">
        <f>IFERROR(__xludf.DUMMYFUNCTION("""COMPUTED_VALUE"""),"BR127ULE BATERÍA DE GEL 12V / 7 AE")</f>
        <v>BR127ULE BATERÍA DE GEL 12V / 7 AE</v>
      </c>
      <c r="C1761" s="4" t="str">
        <f>IFERROR(__xludf.DUMMYFUNCTION("""COMPUTED_VALUE"""),"BR127ULE Batería de Gel 12V / 7 AE.")</f>
        <v>BR127ULE Batería de Gel 12V / 7 AE.</v>
      </c>
      <c r="D1761" s="4" t="str">
        <f>IFERROR(__xludf.DUMMYFUNCTION("""COMPUTED_VALUE"""),"ULTRACELL")</f>
        <v>ULTRACELL</v>
      </c>
      <c r="E1761" s="4" t="str">
        <f>IFERROR(__xludf.DUMMYFUNCTION("""COMPUTED_VALUE"""),"BR127ULE")</f>
        <v>BR127ULE</v>
      </c>
      <c r="F1761" s="4" t="str">
        <f>IFERROR(__xludf.DUMMYFUNCTION("""COMPUTED_VALUE"""),"FUENTES / UPS / CABLEADO / ACCESORIOS &gt; BATERIA")</f>
        <v>FUENTES / UPS / CABLEADO / ACCESORIOS &gt; BATERIA</v>
      </c>
      <c r="G1761" s="5"/>
      <c r="H1761" s="6">
        <f>IFERROR(__xludf.DUMMYFUNCTION("""COMPUTED_VALUE"""),13.09)</f>
        <v>13.09</v>
      </c>
      <c r="I1761" s="7">
        <f>IFERROR(__xludf.DUMMYFUNCTION("""COMPUTED_VALUE"""),21.0)</f>
        <v>21</v>
      </c>
      <c r="J1761" s="6">
        <f>IFERROR(__xludf.DUMMYFUNCTION("""COMPUTED_VALUE"""),15.71)</f>
        <v>15.71</v>
      </c>
      <c r="K1761" s="6">
        <f>IFERROR(__xludf.DUMMYFUNCTION("""COMPUTED_VALUE"""),18.33)</f>
        <v>18.33</v>
      </c>
      <c r="L1761" s="3"/>
      <c r="M1761" s="3"/>
    </row>
    <row r="1762" ht="48.0" customHeight="1">
      <c r="A1762" s="3" t="str">
        <f>IFERROR(__xludf.DUMMYFUNCTION("""COMPUTED_VALUE"""),"DIALBR127")</f>
        <v>DIALBR127</v>
      </c>
      <c r="B1762" s="4" t="str">
        <f>IFERROR(__xludf.DUMMYFUNCTION("""COMPUTED_VALUE"""),"BATERÍA DE GEL 12V / 7 A")</f>
        <v>BATERÍA DE GEL 12V / 7 A</v>
      </c>
      <c r="C1762" s="4" t="str">
        <f>IFERROR(__xludf.DUMMYFUNCTION("""COMPUTED_VALUE"""),"Batería de Gel 12V / 7 A.")</f>
        <v>Batería de Gel 12V / 7 A.</v>
      </c>
      <c r="D1762" s="4" t="str">
        <f>IFERROR(__xludf.DUMMYFUNCTION("""COMPUTED_VALUE"""),"XERY")</f>
        <v>XERY</v>
      </c>
      <c r="E1762" s="4" t="str">
        <f>IFERROR(__xludf.DUMMYFUNCTION("""COMPUTED_VALUE"""),"DIALBR127")</f>
        <v>DIALBR127</v>
      </c>
      <c r="F1762" s="4" t="str">
        <f>IFERROR(__xludf.DUMMYFUNCTION("""COMPUTED_VALUE"""),"FUENTES / UPS / CABLEADO / ACCESORIOS &gt; BATERIA")</f>
        <v>FUENTES / UPS / CABLEADO / ACCESORIOS &gt; BATERIA</v>
      </c>
      <c r="G1762" s="5"/>
      <c r="H1762" s="6">
        <f>IFERROR(__xludf.DUMMYFUNCTION("""COMPUTED_VALUE"""),11.55)</f>
        <v>11.55</v>
      </c>
      <c r="I1762" s="7">
        <f>IFERROR(__xludf.DUMMYFUNCTION("""COMPUTED_VALUE"""),21.0)</f>
        <v>21</v>
      </c>
      <c r="J1762" s="6">
        <f>IFERROR(__xludf.DUMMYFUNCTION("""COMPUTED_VALUE"""),13.86)</f>
        <v>13.86</v>
      </c>
      <c r="K1762" s="6">
        <f>IFERROR(__xludf.DUMMYFUNCTION("""COMPUTED_VALUE"""),16.17)</f>
        <v>16.17</v>
      </c>
      <c r="L1762" s="3"/>
      <c r="M1762" s="3"/>
    </row>
    <row r="1763" ht="48.0" customHeight="1">
      <c r="A1763" s="3" t="str">
        <f>IFERROR(__xludf.DUMMYFUNCTION("""COMPUTED_VALUE"""),"DIALBR127X50")</f>
        <v>DIALBR127X50</v>
      </c>
      <c r="B1763" s="4" t="str">
        <f>IFERROR(__xludf.DUMMYFUNCTION("""COMPUTED_VALUE"""),"BATERÍA DE GEL 12V / 7 A X 50 UNIDADES")</f>
        <v>BATERÍA DE GEL 12V / 7 A X 50 UNIDADES</v>
      </c>
      <c r="C1763" s="4" t="str">
        <f>IFERROR(__xludf.DUMMYFUNCTION("""COMPUTED_VALUE"""),"Batería de Gel 12V / 7 A x 50 unidades")</f>
        <v>Batería de Gel 12V / 7 A x 50 unidades</v>
      </c>
      <c r="D1763" s="4" t="str">
        <f>IFERROR(__xludf.DUMMYFUNCTION("""COMPUTED_VALUE"""),"XERY")</f>
        <v>XERY</v>
      </c>
      <c r="E1763" s="4" t="str">
        <f>IFERROR(__xludf.DUMMYFUNCTION("""COMPUTED_VALUE"""),"DIALBR127X50")</f>
        <v>DIALBR127X50</v>
      </c>
      <c r="F1763" s="4" t="str">
        <f>IFERROR(__xludf.DUMMYFUNCTION("""COMPUTED_VALUE"""),"FUENTES / UPS / CABLEADO / ACCESORIOS &gt; BATERIA")</f>
        <v>FUENTES / UPS / CABLEADO / ACCESORIOS &gt; BATERIA</v>
      </c>
      <c r="G1763" s="5"/>
      <c r="H1763" s="6">
        <f>IFERROR(__xludf.DUMMYFUNCTION("""COMPUTED_VALUE"""),10.45)</f>
        <v>10.45</v>
      </c>
      <c r="I1763" s="7">
        <f>IFERROR(__xludf.DUMMYFUNCTION("""COMPUTED_VALUE"""),21.0)</f>
        <v>21</v>
      </c>
      <c r="J1763" s="6">
        <f>IFERROR(__xludf.DUMMYFUNCTION("""COMPUTED_VALUE"""),12.54)</f>
        <v>12.54</v>
      </c>
      <c r="K1763" s="6">
        <f>IFERROR(__xludf.DUMMYFUNCTION("""COMPUTED_VALUE"""),14.63)</f>
        <v>14.63</v>
      </c>
      <c r="L1763" s="3"/>
      <c r="M1763" s="3"/>
    </row>
    <row r="1764" ht="48.0" customHeight="1">
      <c r="A1764" s="3" t="str">
        <f>IFERROR(__xludf.DUMMYFUNCTION("""COMPUTED_VALUE"""),"DIALBR127X200")</f>
        <v>DIALBR127X200</v>
      </c>
      <c r="B1764" s="4" t="str">
        <f>IFERROR(__xludf.DUMMYFUNCTION("""COMPUTED_VALUE"""),"BATERÍA DE GEL 12V / 7 A MAS DE 200 UNIDADES")</f>
        <v>BATERÍA DE GEL 12V / 7 A MAS DE 200 UNIDADES</v>
      </c>
      <c r="C1764" s="4" t="str">
        <f>IFERROR(__xludf.DUMMYFUNCTION("""COMPUTED_VALUE"""),"Batería de Gel 12V / 7 A mas de 200 unidades")</f>
        <v>Batería de Gel 12V / 7 A mas de 200 unidades</v>
      </c>
      <c r="D1764" s="4" t="str">
        <f>IFERROR(__xludf.DUMMYFUNCTION("""COMPUTED_VALUE"""),"XERY")</f>
        <v>XERY</v>
      </c>
      <c r="E1764" s="4" t="str">
        <f>IFERROR(__xludf.DUMMYFUNCTION("""COMPUTED_VALUE"""),"DIALBR127X200")</f>
        <v>DIALBR127X200</v>
      </c>
      <c r="F1764" s="4" t="str">
        <f>IFERROR(__xludf.DUMMYFUNCTION("""COMPUTED_VALUE"""),"FUENTES / UPS / CABLEADO / ACCESORIOS &gt; BATERIA")</f>
        <v>FUENTES / UPS / CABLEADO / ACCESORIOS &gt; BATERIA</v>
      </c>
      <c r="G1764" s="5"/>
      <c r="H1764" s="6">
        <f>IFERROR(__xludf.DUMMYFUNCTION("""COMPUTED_VALUE"""),9.79)</f>
        <v>9.79</v>
      </c>
      <c r="I1764" s="7">
        <f>IFERROR(__xludf.DUMMYFUNCTION("""COMPUTED_VALUE"""),21.0)</f>
        <v>21</v>
      </c>
      <c r="J1764" s="6">
        <f>IFERROR(__xludf.DUMMYFUNCTION("""COMPUTED_VALUE"""),11.75)</f>
        <v>11.75</v>
      </c>
      <c r="K1764" s="6">
        <f>IFERROR(__xludf.DUMMYFUNCTION("""COMPUTED_VALUE"""),13.71)</f>
        <v>13.71</v>
      </c>
      <c r="L1764" s="3"/>
      <c r="M1764" s="3"/>
    </row>
    <row r="1765" ht="48.0" customHeight="1">
      <c r="A1765" s="3" t="str">
        <f>IFERROR(__xludf.DUMMYFUNCTION("""COMPUTED_VALUE"""),"DIALBR12-4.5A")</f>
        <v>DIALBR12-4.5A</v>
      </c>
      <c r="B1765" s="4" t="str">
        <f>IFERROR(__xludf.DUMMYFUNCTION("""COMPUTED_VALUE"""),"BATERÍA DE GEL 12V / 4")</f>
        <v>BATERÍA DE GEL 12V / 4</v>
      </c>
      <c r="C1765" s="4" t="str">
        <f>IFERROR(__xludf.DUMMYFUNCTION("""COMPUTED_VALUE"""),"Batería de Gel 12V / 4.5 A.")</f>
        <v>Batería de Gel 12V / 4.5 A.</v>
      </c>
      <c r="D1765" s="4" t="str">
        <f>IFERROR(__xludf.DUMMYFUNCTION("""COMPUTED_VALUE"""),"XERY")</f>
        <v>XERY</v>
      </c>
      <c r="E1765" s="4" t="str">
        <f>IFERROR(__xludf.DUMMYFUNCTION("""COMPUTED_VALUE"""),"DIALBR12-4.5A")</f>
        <v>DIALBR12-4.5A</v>
      </c>
      <c r="F1765" s="4" t="str">
        <f>IFERROR(__xludf.DUMMYFUNCTION("""COMPUTED_VALUE"""),"FUENTES / UPS / CABLEADO / ACCESORIOS &gt; BATERIA")</f>
        <v>FUENTES / UPS / CABLEADO / ACCESORIOS &gt; BATERIA</v>
      </c>
      <c r="G1765" s="5"/>
      <c r="H1765" s="6">
        <f>IFERROR(__xludf.DUMMYFUNCTION("""COMPUTED_VALUE"""),10.11)</f>
        <v>10.11</v>
      </c>
      <c r="I1765" s="7">
        <f>IFERROR(__xludf.DUMMYFUNCTION("""COMPUTED_VALUE"""),21.0)</f>
        <v>21</v>
      </c>
      <c r="J1765" s="6">
        <f>IFERROR(__xludf.DUMMYFUNCTION("""COMPUTED_VALUE"""),12.13)</f>
        <v>12.13</v>
      </c>
      <c r="K1765" s="6">
        <f>IFERROR(__xludf.DUMMYFUNCTION("""COMPUTED_VALUE"""),14.15)</f>
        <v>14.15</v>
      </c>
      <c r="L1765" s="3"/>
      <c r="M1765" s="3"/>
    </row>
    <row r="1766" ht="48.0" customHeight="1">
      <c r="A1766" s="3" t="str">
        <f>IFERROR(__xludf.DUMMYFUNCTION("""COMPUTED_VALUE"""),"DIALBR129")</f>
        <v>DIALBR129</v>
      </c>
      <c r="B1766" s="4" t="str">
        <f>IFERROR(__xludf.DUMMYFUNCTION("""COMPUTED_VALUE"""),"BATERÍA DE GEL 12V / 9 A")</f>
        <v>BATERÍA DE GEL 12V / 9 A</v>
      </c>
      <c r="C1766" s="4" t="str">
        <f>IFERROR(__xludf.DUMMYFUNCTION("""COMPUTED_VALUE"""),"Batería de Gel 12V / 9 A.")</f>
        <v>Batería de Gel 12V / 9 A.</v>
      </c>
      <c r="D1766" s="4" t="str">
        <f>IFERROR(__xludf.DUMMYFUNCTION("""COMPUTED_VALUE"""),"XERY")</f>
        <v>XERY</v>
      </c>
      <c r="E1766" s="4" t="str">
        <f>IFERROR(__xludf.DUMMYFUNCTION("""COMPUTED_VALUE"""),"DIALBR129")</f>
        <v>DIALBR129</v>
      </c>
      <c r="F1766" s="4" t="str">
        <f>IFERROR(__xludf.DUMMYFUNCTION("""COMPUTED_VALUE"""),"FUENTES / UPS / CABLEADO / ACCESORIOS &gt; BATERIA")</f>
        <v>FUENTES / UPS / CABLEADO / ACCESORIOS &gt; BATERIA</v>
      </c>
      <c r="G1766" s="5"/>
      <c r="H1766" s="6">
        <f>IFERROR(__xludf.DUMMYFUNCTION("""COMPUTED_VALUE"""),24.62)</f>
        <v>24.62</v>
      </c>
      <c r="I1766" s="7">
        <f>IFERROR(__xludf.DUMMYFUNCTION("""COMPUTED_VALUE"""),21.0)</f>
        <v>21</v>
      </c>
      <c r="J1766" s="6">
        <f>IFERROR(__xludf.DUMMYFUNCTION("""COMPUTED_VALUE"""),29.54)</f>
        <v>29.54</v>
      </c>
      <c r="K1766" s="6">
        <f>IFERROR(__xludf.DUMMYFUNCTION("""COMPUTED_VALUE"""),34.47)</f>
        <v>34.47</v>
      </c>
      <c r="L1766" s="3"/>
      <c r="M1766" s="3"/>
    </row>
    <row r="1767" ht="48.0" customHeight="1">
      <c r="A1767" s="3" t="str">
        <f>IFERROR(__xludf.DUMMYFUNCTION("""COMPUTED_VALUE"""),"PILA-CR123A")</f>
        <v>PILA-CR123A</v>
      </c>
      <c r="B1767" s="4" t="str">
        <f>IFERROR(__xludf.DUMMYFUNCTION("""COMPUTED_VALUE"""),"PILA CR123A DE LITIO DE 3V")</f>
        <v>PILA CR123A DE LITIO DE 3V</v>
      </c>
      <c r="C1767" s="4" t="str">
        <f>IFERROR(__xludf.DUMMYFUNCTION("""COMPUTED_VALUE"""),"Pila CR123A de Litio de 3V.")</f>
        <v>Pila CR123A de Litio de 3V.</v>
      </c>
      <c r="D1767" s="4" t="str">
        <f>IFERROR(__xludf.DUMMYFUNCTION("""COMPUTED_VALUE"""),"GENERICO")</f>
        <v>GENERICO</v>
      </c>
      <c r="E1767" s="4" t="str">
        <f>IFERROR(__xludf.DUMMYFUNCTION("""COMPUTED_VALUE"""),"PILA-CR123A")</f>
        <v>PILA-CR123A</v>
      </c>
      <c r="F1767" s="4" t="str">
        <f>IFERROR(__xludf.DUMMYFUNCTION("""COMPUTED_VALUE"""),"FUENTES / UPS / CABLEADO / ACCESORIOS &gt; BATERIA")</f>
        <v>FUENTES / UPS / CABLEADO / ACCESORIOS &gt; BATERIA</v>
      </c>
      <c r="G1767" s="5"/>
      <c r="H1767" s="6">
        <f>IFERROR(__xludf.DUMMYFUNCTION("""COMPUTED_VALUE"""),2.75)</f>
        <v>2.75</v>
      </c>
      <c r="I1767" s="7">
        <f>IFERROR(__xludf.DUMMYFUNCTION("""COMPUTED_VALUE"""),21.0)</f>
        <v>21</v>
      </c>
      <c r="J1767" s="6">
        <f>IFERROR(__xludf.DUMMYFUNCTION("""COMPUTED_VALUE"""),3.3)</f>
        <v>3.3</v>
      </c>
      <c r="K1767" s="6">
        <f>IFERROR(__xludf.DUMMYFUNCTION("""COMPUTED_VALUE"""),3.85)</f>
        <v>3.85</v>
      </c>
      <c r="L1767" s="3"/>
      <c r="M1767" s="3"/>
    </row>
    <row r="1768" ht="48.0" customHeight="1">
      <c r="A1768" s="3" t="str">
        <f>IFERROR(__xludf.DUMMYFUNCTION("""COMPUTED_VALUE"""),"PILAS")</f>
        <v>PILAS</v>
      </c>
      <c r="B1768" s="4" t="str">
        <f>IFERROR(__xludf.DUMMYFUNCTION("""COMPUTED_VALUE"""),"PILAS PARA CONTROL REMOTO")</f>
        <v>PILAS PARA CONTROL REMOTO</v>
      </c>
      <c r="C1768" s="4" t="str">
        <f>IFERROR(__xludf.DUMMYFUNCTION("""COMPUTED_VALUE"""),"PILAS PARA CONTROL REMOTO")</f>
        <v>PILAS PARA CONTROL REMOTO</v>
      </c>
      <c r="D1768" s="4" t="str">
        <f>IFERROR(__xludf.DUMMYFUNCTION("""COMPUTED_VALUE"""),"GENERICO")</f>
        <v>GENERICO</v>
      </c>
      <c r="E1768" s="4" t="str">
        <f>IFERROR(__xludf.DUMMYFUNCTION("""COMPUTED_VALUE"""),"PILAS")</f>
        <v>PILAS</v>
      </c>
      <c r="F1768" s="4" t="str">
        <f>IFERROR(__xludf.DUMMYFUNCTION("""COMPUTED_VALUE"""),"FUENTES / UPS / CABLEADO / ACCESORIOS &gt; BATERIA")</f>
        <v>FUENTES / UPS / CABLEADO / ACCESORIOS &gt; BATERIA</v>
      </c>
      <c r="G1768" s="5"/>
      <c r="H1768" s="6">
        <f>IFERROR(__xludf.DUMMYFUNCTION("""COMPUTED_VALUE"""),0.0)</f>
        <v>0</v>
      </c>
      <c r="I1768" s="7">
        <f>IFERROR(__xludf.DUMMYFUNCTION("""COMPUTED_VALUE"""),21.0)</f>
        <v>21</v>
      </c>
      <c r="J1768" s="6">
        <f>IFERROR(__xludf.DUMMYFUNCTION("""COMPUTED_VALUE"""),0.0)</f>
        <v>0</v>
      </c>
      <c r="K1768" s="6">
        <f>IFERROR(__xludf.DUMMYFUNCTION("""COMPUTED_VALUE"""),0.0)</f>
        <v>0</v>
      </c>
      <c r="L1768" s="3"/>
      <c r="M1768" s="3"/>
    </row>
    <row r="1769" ht="48.0" customHeight="1">
      <c r="A1769" s="3" t="str">
        <f>IFERROR(__xludf.DUMMYFUNCTION("""COMPUTED_VALUE"""),"DI2PALARMCCACM")</f>
        <v>DI2PALARMCCACM</v>
      </c>
      <c r="B1769" s="4" t="str">
        <f>IFERROR(__xludf.DUMMYFUNCTION("""COMPUTED_VALUE"""),"CABLE PARA ALARMAS 2 PARES 0,45 CCA CON MALLA X 200 METROS")</f>
        <v>CABLE PARA ALARMAS 2 PARES 0,45 CCA CON MALLA X 200 METROS</v>
      </c>
      <c r="C1769" s="4" t="str">
        <f>IFERROR(__xludf.DUMMYFUNCTION("""COMPUTED_VALUE"""),"Cable para alarmas 2 pares 0,45 CCA con malla x 200 metros")</f>
        <v>Cable para alarmas 2 pares 0,45 CCA con malla x 200 metros</v>
      </c>
      <c r="D1769" s="4" t="str">
        <f>IFERROR(__xludf.DUMMYFUNCTION("""COMPUTED_VALUE"""),"DIALSEC")</f>
        <v>DIALSEC</v>
      </c>
      <c r="E1769" s="4" t="str">
        <f>IFERROR(__xludf.DUMMYFUNCTION("""COMPUTED_VALUE"""),"DI2PALARMCCACM")</f>
        <v>DI2PALARMCCACM</v>
      </c>
      <c r="F1769" s="4" t="str">
        <f>IFERROR(__xludf.DUMMYFUNCTION("""COMPUTED_VALUE"""),"FUENTES / UPS / CABLEADO / ACCESORIOS &gt; CABLES PORTERO TELEFONICO")</f>
        <v>FUENTES / UPS / CABLEADO / ACCESORIOS &gt; CABLES PORTERO TELEFONICO</v>
      </c>
      <c r="G1769" s="5"/>
      <c r="H1769" s="6">
        <f>IFERROR(__xludf.DUMMYFUNCTION("""COMPUTED_VALUE"""),38.5)</f>
        <v>38.5</v>
      </c>
      <c r="I1769" s="7">
        <f>IFERROR(__xludf.DUMMYFUNCTION("""COMPUTED_VALUE"""),21.0)</f>
        <v>21</v>
      </c>
      <c r="J1769" s="6">
        <f>IFERROR(__xludf.DUMMYFUNCTION("""COMPUTED_VALUE"""),46.2)</f>
        <v>46.2</v>
      </c>
      <c r="K1769" s="6">
        <f>IFERROR(__xludf.DUMMYFUNCTION("""COMPUTED_VALUE"""),53.9)</f>
        <v>53.9</v>
      </c>
      <c r="L1769" s="3"/>
      <c r="M1769" s="3"/>
    </row>
    <row r="1770" ht="48.0" customHeight="1">
      <c r="A1770" s="3" t="str">
        <f>IFERROR(__xludf.DUMMYFUNCTION("""COMPUTED_VALUE"""),"DC2")</f>
        <v>DC2</v>
      </c>
      <c r="B1770" s="4" t="str">
        <f>IFERROR(__xludf.DUMMYFUNCTION("""COMPUTED_VALUE"""),"CABLE PORTERO 2 PARES X 200 METROS")</f>
        <v>CABLE PORTERO 2 PARES X 200 METROS</v>
      </c>
      <c r="C1770" s="4" t="str">
        <f>IFERROR(__xludf.DUMMYFUNCTION("""COMPUTED_VALUE"""),"Cable Portero 2 pares x 200 metros.")</f>
        <v>Cable Portero 2 pares x 200 metros.</v>
      </c>
      <c r="D1770" s="4" t="str">
        <f>IFERROR(__xludf.DUMMYFUNCTION("""COMPUTED_VALUE"""),"GENERICO")</f>
        <v>GENERICO</v>
      </c>
      <c r="E1770" s="4" t="str">
        <f>IFERROR(__xludf.DUMMYFUNCTION("""COMPUTED_VALUE"""),"DC2")</f>
        <v>DC2</v>
      </c>
      <c r="F1770" s="4" t="str">
        <f>IFERROR(__xludf.DUMMYFUNCTION("""COMPUTED_VALUE"""),"FUENTES / UPS / CABLEADO / ACCESORIOS &gt; CABLES PORTERO TELEFONICO")</f>
        <v>FUENTES / UPS / CABLEADO / ACCESORIOS &gt; CABLES PORTERO TELEFONICO</v>
      </c>
      <c r="G1770" s="5"/>
      <c r="H1770" s="6">
        <f>IFERROR(__xludf.DUMMYFUNCTION("""COMPUTED_VALUE"""),37.41)</f>
        <v>37.41</v>
      </c>
      <c r="I1770" s="7">
        <f>IFERROR(__xludf.DUMMYFUNCTION("""COMPUTED_VALUE"""),21.0)</f>
        <v>21</v>
      </c>
      <c r="J1770" s="6">
        <f>IFERROR(__xludf.DUMMYFUNCTION("""COMPUTED_VALUE"""),44.89)</f>
        <v>44.89</v>
      </c>
      <c r="K1770" s="6">
        <f>IFERROR(__xludf.DUMMYFUNCTION("""COMPUTED_VALUE"""),52.37)</f>
        <v>52.37</v>
      </c>
      <c r="L1770" s="3"/>
      <c r="M1770" s="3"/>
    </row>
    <row r="1771" ht="48.0" customHeight="1">
      <c r="A1771" s="3" t="str">
        <f>IFERROR(__xludf.DUMMYFUNCTION("""COMPUTED_VALUE"""),"DC3")</f>
        <v>DC3</v>
      </c>
      <c r="B1771" s="4" t="str">
        <f>IFERROR(__xludf.DUMMYFUNCTION("""COMPUTED_VALUE"""),"CABLE PORTERO 3 PARES X 200 METROS")</f>
        <v>CABLE PORTERO 3 PARES X 200 METROS</v>
      </c>
      <c r="C1771" s="4" t="str">
        <f>IFERROR(__xludf.DUMMYFUNCTION("""COMPUTED_VALUE"""),"Cable Portero 3 pares x 200 metros.")</f>
        <v>Cable Portero 3 pares x 200 metros.</v>
      </c>
      <c r="D1771" s="4" t="str">
        <f>IFERROR(__xludf.DUMMYFUNCTION("""COMPUTED_VALUE"""),"GENERICO")</f>
        <v>GENERICO</v>
      </c>
      <c r="E1771" s="4" t="str">
        <f>IFERROR(__xludf.DUMMYFUNCTION("""COMPUTED_VALUE"""),"DC3")</f>
        <v>DC3</v>
      </c>
      <c r="F1771" s="4" t="str">
        <f>IFERROR(__xludf.DUMMYFUNCTION("""COMPUTED_VALUE"""),"FUENTES / UPS / CABLEADO / ACCESORIOS &gt; CABLES PORTERO TELEFONICO")</f>
        <v>FUENTES / UPS / CABLEADO / ACCESORIOS &gt; CABLES PORTERO TELEFONICO</v>
      </c>
      <c r="G1771" s="5"/>
      <c r="H1771" s="6">
        <f>IFERROR(__xludf.DUMMYFUNCTION("""COMPUTED_VALUE"""),52.68)</f>
        <v>52.68</v>
      </c>
      <c r="I1771" s="7">
        <f>IFERROR(__xludf.DUMMYFUNCTION("""COMPUTED_VALUE"""),21.0)</f>
        <v>21</v>
      </c>
      <c r="J1771" s="6">
        <f>IFERROR(__xludf.DUMMYFUNCTION("""COMPUTED_VALUE"""),63.22)</f>
        <v>63.22</v>
      </c>
      <c r="K1771" s="6">
        <f>IFERROR(__xludf.DUMMYFUNCTION("""COMPUTED_VALUE"""),73.75)</f>
        <v>73.75</v>
      </c>
      <c r="L1771" s="3"/>
      <c r="M1771" s="3"/>
    </row>
    <row r="1772" ht="48.0" customHeight="1">
      <c r="A1772" s="3" t="str">
        <f>IFERROR(__xludf.DUMMYFUNCTION("""COMPUTED_VALUE"""),"DC4")</f>
        <v>DC4</v>
      </c>
      <c r="B1772" s="4" t="str">
        <f>IFERROR(__xludf.DUMMYFUNCTION("""COMPUTED_VALUE"""),"CABLE PORTERO 4 PARES X 200 METROS")</f>
        <v>CABLE PORTERO 4 PARES X 200 METROS</v>
      </c>
      <c r="C1772" s="4" t="str">
        <f>IFERROR(__xludf.DUMMYFUNCTION("""COMPUTED_VALUE"""),"Cable Portero 4 pares x 200 metros.")</f>
        <v>Cable Portero 4 pares x 200 metros.</v>
      </c>
      <c r="D1772" s="4" t="str">
        <f>IFERROR(__xludf.DUMMYFUNCTION("""COMPUTED_VALUE"""),"GENERICO")</f>
        <v>GENERICO</v>
      </c>
      <c r="E1772" s="4" t="str">
        <f>IFERROR(__xludf.DUMMYFUNCTION("""COMPUTED_VALUE"""),"DC4")</f>
        <v>DC4</v>
      </c>
      <c r="F1772" s="4" t="str">
        <f>IFERROR(__xludf.DUMMYFUNCTION("""COMPUTED_VALUE"""),"FUENTES / UPS / CABLEADO / ACCESORIOS &gt; CABLES PORTERO TELEFONICO")</f>
        <v>FUENTES / UPS / CABLEADO / ACCESORIOS &gt; CABLES PORTERO TELEFONICO</v>
      </c>
      <c r="G1772" s="5"/>
      <c r="H1772" s="6">
        <f>IFERROR(__xludf.DUMMYFUNCTION("""COMPUTED_VALUE"""),64.17)</f>
        <v>64.17</v>
      </c>
      <c r="I1772" s="7">
        <f>IFERROR(__xludf.DUMMYFUNCTION("""COMPUTED_VALUE"""),21.0)</f>
        <v>21</v>
      </c>
      <c r="J1772" s="6">
        <f>IFERROR(__xludf.DUMMYFUNCTION("""COMPUTED_VALUE"""),77.0)</f>
        <v>77</v>
      </c>
      <c r="K1772" s="6">
        <f>IFERROR(__xludf.DUMMYFUNCTION("""COMPUTED_VALUE"""),89.84)</f>
        <v>89.84</v>
      </c>
      <c r="L1772" s="3"/>
      <c r="M1772" s="3"/>
    </row>
    <row r="1773" ht="48.0" customHeight="1">
      <c r="A1773" s="3" t="str">
        <f>IFERROR(__xludf.DUMMYFUNCTION("""COMPUTED_VALUE"""),"DC6")</f>
        <v>DC6</v>
      </c>
      <c r="B1773" s="4" t="str">
        <f>IFERROR(__xludf.DUMMYFUNCTION("""COMPUTED_VALUE"""),"CABLE PORTERO 6 PARES X 200 METROS")</f>
        <v>CABLE PORTERO 6 PARES X 200 METROS</v>
      </c>
      <c r="C1773" s="4" t="str">
        <f>IFERROR(__xludf.DUMMYFUNCTION("""COMPUTED_VALUE"""),"Cable Portero 6 pares x 200 metros.")</f>
        <v>Cable Portero 6 pares x 200 metros.</v>
      </c>
      <c r="D1773" s="4" t="str">
        <f>IFERROR(__xludf.DUMMYFUNCTION("""COMPUTED_VALUE"""),"GENERICO")</f>
        <v>GENERICO</v>
      </c>
      <c r="E1773" s="4" t="str">
        <f>IFERROR(__xludf.DUMMYFUNCTION("""COMPUTED_VALUE"""),"DC6")</f>
        <v>DC6</v>
      </c>
      <c r="F1773" s="4" t="str">
        <f>IFERROR(__xludf.DUMMYFUNCTION("""COMPUTED_VALUE"""),"FUENTES / UPS / CABLEADO / ACCESORIOS &gt; CABLES PORTERO TELEFONICO")</f>
        <v>FUENTES / UPS / CABLEADO / ACCESORIOS &gt; CABLES PORTERO TELEFONICO</v>
      </c>
      <c r="G1773" s="5"/>
      <c r="H1773" s="6">
        <f>IFERROR(__xludf.DUMMYFUNCTION("""COMPUTED_VALUE"""),104.92)</f>
        <v>104.92</v>
      </c>
      <c r="I1773" s="7">
        <f>IFERROR(__xludf.DUMMYFUNCTION("""COMPUTED_VALUE"""),21.0)</f>
        <v>21</v>
      </c>
      <c r="J1773" s="6">
        <f>IFERROR(__xludf.DUMMYFUNCTION("""COMPUTED_VALUE"""),125.9)</f>
        <v>125.9</v>
      </c>
      <c r="K1773" s="6">
        <f>IFERROR(__xludf.DUMMYFUNCTION("""COMPUTED_VALUE"""),146.89)</f>
        <v>146.89</v>
      </c>
      <c r="L1773" s="3"/>
      <c r="M1773" s="3"/>
    </row>
    <row r="1774" ht="48.0" customHeight="1">
      <c r="A1774" s="3" t="str">
        <f>IFERROR(__xludf.DUMMYFUNCTION("""COMPUTED_VALUE"""),"DC8")</f>
        <v>DC8</v>
      </c>
      <c r="B1774" s="4" t="str">
        <f>IFERROR(__xludf.DUMMYFUNCTION("""COMPUTED_VALUE"""),"CABLE PORTERO 8 PARES X 200 METROS")</f>
        <v>CABLE PORTERO 8 PARES X 200 METROS</v>
      </c>
      <c r="C1774" s="4" t="str">
        <f>IFERROR(__xludf.DUMMYFUNCTION("""COMPUTED_VALUE"""),"Cable Portero 8 pares x 200 metros.")</f>
        <v>Cable Portero 8 pares x 200 metros.</v>
      </c>
      <c r="D1774" s="4" t="str">
        <f>IFERROR(__xludf.DUMMYFUNCTION("""COMPUTED_VALUE"""),"GENERICO")</f>
        <v>GENERICO</v>
      </c>
      <c r="E1774" s="4" t="str">
        <f>IFERROR(__xludf.DUMMYFUNCTION("""COMPUTED_VALUE"""),"DC8")</f>
        <v>DC8</v>
      </c>
      <c r="F1774" s="4" t="str">
        <f>IFERROR(__xludf.DUMMYFUNCTION("""COMPUTED_VALUE"""),"FUENTES / UPS / CABLEADO / ACCESORIOS &gt; CABLES PORTERO TELEFONICO")</f>
        <v>FUENTES / UPS / CABLEADO / ACCESORIOS &gt; CABLES PORTERO TELEFONICO</v>
      </c>
      <c r="G1774" s="5"/>
      <c r="H1774" s="6">
        <f>IFERROR(__xludf.DUMMYFUNCTION("""COMPUTED_VALUE"""),129.15)</f>
        <v>129.15</v>
      </c>
      <c r="I1774" s="7">
        <f>IFERROR(__xludf.DUMMYFUNCTION("""COMPUTED_VALUE"""),21.0)</f>
        <v>21</v>
      </c>
      <c r="J1774" s="6">
        <f>IFERROR(__xludf.DUMMYFUNCTION("""COMPUTED_VALUE"""),154.98)</f>
        <v>154.98</v>
      </c>
      <c r="K1774" s="6">
        <f>IFERROR(__xludf.DUMMYFUNCTION("""COMPUTED_VALUE"""),180.81)</f>
        <v>180.81</v>
      </c>
      <c r="L1774" s="3"/>
      <c r="M1774" s="3"/>
    </row>
    <row r="1775" ht="48.0" customHeight="1">
      <c r="A1775" s="3" t="str">
        <f>IFERROR(__xludf.DUMMYFUNCTION("""COMPUTED_VALUE"""),"DT2")</f>
        <v>DT2</v>
      </c>
      <c r="B1775" s="4" t="str">
        <f>IFERROR(__xludf.DUMMYFUNCTION("""COMPUTED_VALUE"""),"CABLE TELEFÓNICO 2 PARES X 200 METROS")</f>
        <v>CABLE TELEFÓNICO 2 PARES X 200 METROS</v>
      </c>
      <c r="C1775" s="4" t="str">
        <f>IFERROR(__xludf.DUMMYFUNCTION("""COMPUTED_VALUE"""),"Cable telefónico 2 pares x 200 metros")</f>
        <v>Cable telefónico 2 pares x 200 metros</v>
      </c>
      <c r="D1775" s="4" t="str">
        <f>IFERROR(__xludf.DUMMYFUNCTION("""COMPUTED_VALUE"""),"GENERICO")</f>
        <v>GENERICO</v>
      </c>
      <c r="E1775" s="4" t="str">
        <f>IFERROR(__xludf.DUMMYFUNCTION("""COMPUTED_VALUE"""),"DT2")</f>
        <v>DT2</v>
      </c>
      <c r="F1775" s="4" t="str">
        <f>IFERROR(__xludf.DUMMYFUNCTION("""COMPUTED_VALUE"""),"FUENTES / UPS / CABLEADO / ACCESORIOS &gt; CABLES PORTERO TELEFONICO")</f>
        <v>FUENTES / UPS / CABLEADO / ACCESORIOS &gt; CABLES PORTERO TELEFONICO</v>
      </c>
      <c r="G1775" s="5"/>
      <c r="H1775" s="6">
        <f>IFERROR(__xludf.DUMMYFUNCTION("""COMPUTED_VALUE"""),69.52)</f>
        <v>69.52</v>
      </c>
      <c r="I1775" s="7">
        <f>IFERROR(__xludf.DUMMYFUNCTION("""COMPUTED_VALUE"""),21.0)</f>
        <v>21</v>
      </c>
      <c r="J1775" s="6">
        <f>IFERROR(__xludf.DUMMYFUNCTION("""COMPUTED_VALUE"""),83.42)</f>
        <v>83.42</v>
      </c>
      <c r="K1775" s="6">
        <f>IFERROR(__xludf.DUMMYFUNCTION("""COMPUTED_VALUE"""),97.33)</f>
        <v>97.33</v>
      </c>
      <c r="L1775" s="3"/>
      <c r="M1775" s="3"/>
    </row>
    <row r="1776" ht="48.0" customHeight="1">
      <c r="A1776" s="3" t="str">
        <f>IFERROR(__xludf.DUMMYFUNCTION("""COMPUTED_VALUE"""),"DT3")</f>
        <v>DT3</v>
      </c>
      <c r="B1776" s="4" t="str">
        <f>IFERROR(__xludf.DUMMYFUNCTION("""COMPUTED_VALUE"""),"CABLE TELEFÓNICO 3 PARES X 200 METROS")</f>
        <v>CABLE TELEFÓNICO 3 PARES X 200 METROS</v>
      </c>
      <c r="C1776" s="4" t="str">
        <f>IFERROR(__xludf.DUMMYFUNCTION("""COMPUTED_VALUE"""),"Cable telefónico 3 pares x 200 metros")</f>
        <v>Cable telefónico 3 pares x 200 metros</v>
      </c>
      <c r="D1776" s="4" t="str">
        <f>IFERROR(__xludf.DUMMYFUNCTION("""COMPUTED_VALUE"""),"GENERICO")</f>
        <v>GENERICO</v>
      </c>
      <c r="E1776" s="4" t="str">
        <f>IFERROR(__xludf.DUMMYFUNCTION("""COMPUTED_VALUE"""),"DT3")</f>
        <v>DT3</v>
      </c>
      <c r="F1776" s="4" t="str">
        <f>IFERROR(__xludf.DUMMYFUNCTION("""COMPUTED_VALUE"""),"FUENTES / UPS / CABLEADO / ACCESORIOS &gt; CABLES PORTERO TELEFONICO")</f>
        <v>FUENTES / UPS / CABLEADO / ACCESORIOS &gt; CABLES PORTERO TELEFONICO</v>
      </c>
      <c r="G1776" s="5"/>
      <c r="H1776" s="6">
        <f>IFERROR(__xludf.DUMMYFUNCTION("""COMPUTED_VALUE"""),93.28)</f>
        <v>93.28</v>
      </c>
      <c r="I1776" s="7">
        <f>IFERROR(__xludf.DUMMYFUNCTION("""COMPUTED_VALUE"""),21.0)</f>
        <v>21</v>
      </c>
      <c r="J1776" s="6">
        <f>IFERROR(__xludf.DUMMYFUNCTION("""COMPUTED_VALUE"""),111.94)</f>
        <v>111.94</v>
      </c>
      <c r="K1776" s="6">
        <f>IFERROR(__xludf.DUMMYFUNCTION("""COMPUTED_VALUE"""),130.59)</f>
        <v>130.59</v>
      </c>
      <c r="L1776" s="3"/>
      <c r="M1776" s="3"/>
    </row>
    <row r="1777" ht="48.0" customHeight="1">
      <c r="A1777" s="3" t="str">
        <f>IFERROR(__xludf.DUMMYFUNCTION("""COMPUTED_VALUE"""),"DT4")</f>
        <v>DT4</v>
      </c>
      <c r="B1777" s="4" t="str">
        <f>IFERROR(__xludf.DUMMYFUNCTION("""COMPUTED_VALUE"""),"CABLE TELEFÓNICO 4 PARES X 200 METROS")</f>
        <v>CABLE TELEFÓNICO 4 PARES X 200 METROS</v>
      </c>
      <c r="C1777" s="4" t="str">
        <f>IFERROR(__xludf.DUMMYFUNCTION("""COMPUTED_VALUE"""),"Cable telefónico 4 pares x 200 metros")</f>
        <v>Cable telefónico 4 pares x 200 metros</v>
      </c>
      <c r="D1777" s="4" t="str">
        <f>IFERROR(__xludf.DUMMYFUNCTION("""COMPUTED_VALUE"""),"GENERICO")</f>
        <v>GENERICO</v>
      </c>
      <c r="E1777" s="4" t="str">
        <f>IFERROR(__xludf.DUMMYFUNCTION("""COMPUTED_VALUE"""),"DT4")</f>
        <v>DT4</v>
      </c>
      <c r="F1777" s="4" t="str">
        <f>IFERROR(__xludf.DUMMYFUNCTION("""COMPUTED_VALUE"""),"FUENTES / UPS / CABLEADO / ACCESORIOS &gt; CABLES PORTERO TELEFONICO")</f>
        <v>FUENTES / UPS / CABLEADO / ACCESORIOS &gt; CABLES PORTERO TELEFONICO</v>
      </c>
      <c r="G1777" s="5"/>
      <c r="H1777" s="6">
        <f>IFERROR(__xludf.DUMMYFUNCTION("""COMPUTED_VALUE"""),114.13)</f>
        <v>114.13</v>
      </c>
      <c r="I1777" s="7">
        <f>IFERROR(__xludf.DUMMYFUNCTION("""COMPUTED_VALUE"""),21.0)</f>
        <v>21</v>
      </c>
      <c r="J1777" s="6">
        <f>IFERROR(__xludf.DUMMYFUNCTION("""COMPUTED_VALUE"""),136.96)</f>
        <v>136.96</v>
      </c>
      <c r="K1777" s="6">
        <f>IFERROR(__xludf.DUMMYFUNCTION("""COMPUTED_VALUE"""),159.78)</f>
        <v>159.78</v>
      </c>
      <c r="L1777" s="3"/>
      <c r="M1777" s="3"/>
    </row>
    <row r="1778" ht="48.0" customHeight="1">
      <c r="A1778" s="3" t="str">
        <f>IFERROR(__xludf.DUMMYFUNCTION("""COMPUTED_VALUE"""),"DT6")</f>
        <v>DT6</v>
      </c>
      <c r="B1778" s="4" t="str">
        <f>IFERROR(__xludf.DUMMYFUNCTION("""COMPUTED_VALUE"""),"CABLE TELEFÓNICO 6 PARES X 200 METROS")</f>
        <v>CABLE TELEFÓNICO 6 PARES X 200 METROS</v>
      </c>
      <c r="C1778" s="4" t="str">
        <f>IFERROR(__xludf.DUMMYFUNCTION("""COMPUTED_VALUE"""),"Cable telefónico 6 pares x 200 metros")</f>
        <v>Cable telefónico 6 pares x 200 metros</v>
      </c>
      <c r="D1778" s="4" t="str">
        <f>IFERROR(__xludf.DUMMYFUNCTION("""COMPUTED_VALUE"""),"GENERICO")</f>
        <v>GENERICO</v>
      </c>
      <c r="E1778" s="4" t="str">
        <f>IFERROR(__xludf.DUMMYFUNCTION("""COMPUTED_VALUE"""),"DT6")</f>
        <v>DT6</v>
      </c>
      <c r="F1778" s="4" t="str">
        <f>IFERROR(__xludf.DUMMYFUNCTION("""COMPUTED_VALUE"""),"FUENTES / UPS / CABLEADO / ACCESORIOS &gt; CABLES PORTERO TELEFONICO")</f>
        <v>FUENTES / UPS / CABLEADO / ACCESORIOS &gt; CABLES PORTERO TELEFONICO</v>
      </c>
      <c r="G1778" s="5"/>
      <c r="H1778" s="6">
        <f>IFERROR(__xludf.DUMMYFUNCTION("""COMPUTED_VALUE"""),159.5)</f>
        <v>159.5</v>
      </c>
      <c r="I1778" s="7">
        <f>IFERROR(__xludf.DUMMYFUNCTION("""COMPUTED_VALUE"""),21.0)</f>
        <v>21</v>
      </c>
      <c r="J1778" s="6">
        <f>IFERROR(__xludf.DUMMYFUNCTION("""COMPUTED_VALUE"""),191.4)</f>
        <v>191.4</v>
      </c>
      <c r="K1778" s="6">
        <f>IFERROR(__xludf.DUMMYFUNCTION("""COMPUTED_VALUE"""),223.3)</f>
        <v>223.3</v>
      </c>
      <c r="L1778" s="3"/>
      <c r="M1778" s="3"/>
    </row>
    <row r="1779" ht="48.0" customHeight="1">
      <c r="A1779" s="3" t="str">
        <f>IFERROR(__xludf.DUMMYFUNCTION("""COMPUTED_VALUE"""),"DT8")</f>
        <v>DT8</v>
      </c>
      <c r="B1779" s="4" t="str">
        <f>IFERROR(__xludf.DUMMYFUNCTION("""COMPUTED_VALUE"""),"CABLE TELEFÓNICO 8 PARES X 200 METROS")</f>
        <v>CABLE TELEFÓNICO 8 PARES X 200 METROS</v>
      </c>
      <c r="C1779" s="4" t="str">
        <f>IFERROR(__xludf.DUMMYFUNCTION("""COMPUTED_VALUE"""),"Cable telefónico 8 pares x 200 metros")</f>
        <v>Cable telefónico 8 pares x 200 metros</v>
      </c>
      <c r="D1779" s="4" t="str">
        <f>IFERROR(__xludf.DUMMYFUNCTION("""COMPUTED_VALUE"""),"GENERICO")</f>
        <v>GENERICO</v>
      </c>
      <c r="E1779" s="4" t="str">
        <f>IFERROR(__xludf.DUMMYFUNCTION("""COMPUTED_VALUE"""),"DT8")</f>
        <v>DT8</v>
      </c>
      <c r="F1779" s="4" t="str">
        <f>IFERROR(__xludf.DUMMYFUNCTION("""COMPUTED_VALUE"""),"FUENTES / UPS / CABLEADO / ACCESORIOS &gt; CABLES PORTERO TELEFONICO")</f>
        <v>FUENTES / UPS / CABLEADO / ACCESORIOS &gt; CABLES PORTERO TELEFONICO</v>
      </c>
      <c r="G1779" s="5"/>
      <c r="H1779" s="6">
        <f>IFERROR(__xludf.DUMMYFUNCTION("""COMPUTED_VALUE"""),210.38)</f>
        <v>210.38</v>
      </c>
      <c r="I1779" s="7">
        <f>IFERROR(__xludf.DUMMYFUNCTION("""COMPUTED_VALUE"""),21.0)</f>
        <v>21</v>
      </c>
      <c r="J1779" s="6">
        <f>IFERROR(__xludf.DUMMYFUNCTION("""COMPUTED_VALUE"""),252.46)</f>
        <v>252.46</v>
      </c>
      <c r="K1779" s="6">
        <f>IFERROR(__xludf.DUMMYFUNCTION("""COMPUTED_VALUE"""),294.53)</f>
        <v>294.53</v>
      </c>
      <c r="L1779" s="3"/>
      <c r="M1779" s="3"/>
    </row>
    <row r="1780" ht="48.0" customHeight="1">
      <c r="A1780" s="3" t="str">
        <f>IFERROR(__xludf.DUMMYFUNCTION("""COMPUTED_VALUE"""),"CABLEBIPOLAR")</f>
        <v>CABLEBIPOLAR</v>
      </c>
      <c r="B1780" s="4" t="str">
        <f>IFERROR(__xludf.DUMMYFUNCTION("""COMPUTED_VALUE"""),"CABLE BIPOLAR 2 X 0")</f>
        <v>CABLE BIPOLAR 2 X 0</v>
      </c>
      <c r="C1780" s="4" t="str">
        <f>IFERROR(__xludf.DUMMYFUNCTION("""COMPUTED_VALUE"""),"Cable Bipolar 2 x 0.50 x 100 metros")</f>
        <v>Cable Bipolar 2 x 0.50 x 100 metros</v>
      </c>
      <c r="D1780" s="4" t="str">
        <f>IFERROR(__xludf.DUMMYFUNCTION("""COMPUTED_VALUE"""),"GENERICO")</f>
        <v>GENERICO</v>
      </c>
      <c r="E1780" s="4" t="str">
        <f>IFERROR(__xludf.DUMMYFUNCTION("""COMPUTED_VALUE"""),"CABLEBIPOLAR")</f>
        <v>CABLEBIPOLAR</v>
      </c>
      <c r="F1780" s="4" t="str">
        <f>IFERROR(__xludf.DUMMYFUNCTION("""COMPUTED_VALUE"""),"FUENTES / UPS / CABLEADO / ACCESORIOS &gt; CABLES PORTERO TELEFONICO")</f>
        <v>FUENTES / UPS / CABLEADO / ACCESORIOS &gt; CABLES PORTERO TELEFONICO</v>
      </c>
      <c r="G1780" s="5"/>
      <c r="H1780" s="6">
        <f>IFERROR(__xludf.DUMMYFUNCTION("""COMPUTED_VALUE"""),48.95)</f>
        <v>48.95</v>
      </c>
      <c r="I1780" s="7">
        <f>IFERROR(__xludf.DUMMYFUNCTION("""COMPUTED_VALUE"""),21.0)</f>
        <v>21</v>
      </c>
      <c r="J1780" s="6">
        <f>IFERROR(__xludf.DUMMYFUNCTION("""COMPUTED_VALUE"""),58.74)</f>
        <v>58.74</v>
      </c>
      <c r="K1780" s="6">
        <f>IFERROR(__xludf.DUMMYFUNCTION("""COMPUTED_VALUE"""),68.53)</f>
        <v>68.53</v>
      </c>
      <c r="L1780" s="3"/>
      <c r="M1780" s="3"/>
    </row>
    <row r="1781" ht="48.0" customHeight="1">
      <c r="A1781" s="3" t="str">
        <f>IFERROR(__xludf.DUMMYFUNCTION("""COMPUTED_VALUE"""),"CABLETT")</f>
        <v>CABLETT</v>
      </c>
      <c r="B1781" s="4" t="str">
        <f>IFERROR(__xludf.DUMMYFUNCTION("""COMPUTED_VALUE"""),"CABLE TIPO TALLER 2X 0,75 X 100 METROS")</f>
        <v>CABLE TIPO TALLER 2X 0,75 X 100 METROS</v>
      </c>
      <c r="C1781" s="4" t="str">
        <f>IFERROR(__xludf.DUMMYFUNCTION("""COMPUTED_VALUE"""),"Cable Tipo taller 2x 0,75 x 100 metros")</f>
        <v>Cable Tipo taller 2x 0,75 x 100 metros</v>
      </c>
      <c r="D1781" s="4" t="str">
        <f>IFERROR(__xludf.DUMMYFUNCTION("""COMPUTED_VALUE"""),"GENERICO")</f>
        <v>GENERICO</v>
      </c>
      <c r="E1781" s="4" t="str">
        <f>IFERROR(__xludf.DUMMYFUNCTION("""COMPUTED_VALUE"""),"CABLETT")</f>
        <v>CABLETT</v>
      </c>
      <c r="F1781" s="4" t="str">
        <f>IFERROR(__xludf.DUMMYFUNCTION("""COMPUTED_VALUE"""),"FUENTES / UPS / CABLEADO / ACCESORIOS &gt; CABLES PORTERO TELEFONICO")</f>
        <v>FUENTES / UPS / CABLEADO / ACCESORIOS &gt; CABLES PORTERO TELEFONICO</v>
      </c>
      <c r="G1781" s="5"/>
      <c r="H1781" s="6">
        <f>IFERROR(__xludf.DUMMYFUNCTION("""COMPUTED_VALUE"""),56.93)</f>
        <v>56.93</v>
      </c>
      <c r="I1781" s="7">
        <f>IFERROR(__xludf.DUMMYFUNCTION("""COMPUTED_VALUE"""),21.0)</f>
        <v>21</v>
      </c>
      <c r="J1781" s="6">
        <f>IFERROR(__xludf.DUMMYFUNCTION("""COMPUTED_VALUE"""),68.32)</f>
        <v>68.32</v>
      </c>
      <c r="K1781" s="6">
        <f>IFERROR(__xludf.DUMMYFUNCTION("""COMPUTED_VALUE"""),79.7)</f>
        <v>79.7</v>
      </c>
      <c r="L1781" s="3"/>
      <c r="M1781" s="3"/>
    </row>
    <row r="1782" ht="48.0" customHeight="1">
      <c r="A1782" s="3" t="str">
        <f>IFERROR(__xludf.DUMMYFUNCTION("""COMPUTED_VALUE"""),"RG59U")</f>
        <v>RG59U</v>
      </c>
      <c r="B1782" s="4" t="str">
        <f>IFERROR(__xludf.DUMMYFUNCTION("""COMPUTED_VALUE"""),"CABLE COAXIL 75 OHMS")</f>
        <v>CABLE COAXIL 75 OHMS</v>
      </c>
      <c r="C1782" s="4" t="str">
        <f>IFERROR(__xludf.DUMMYFUNCTION("""COMPUTED_VALUE"""),"Cable Coaxil 75 ohms")</f>
        <v>Cable Coaxil 75 ohms</v>
      </c>
      <c r="D1782" s="4" t="str">
        <f>IFERROR(__xludf.DUMMYFUNCTION("""COMPUTED_VALUE"""),"GENERICO")</f>
        <v>GENERICO</v>
      </c>
      <c r="E1782" s="4" t="str">
        <f>IFERROR(__xludf.DUMMYFUNCTION("""COMPUTED_VALUE"""),"RG59U")</f>
        <v>RG59U</v>
      </c>
      <c r="F1782" s="4" t="str">
        <f>IFERROR(__xludf.DUMMYFUNCTION("""COMPUTED_VALUE"""),"FUENTES / UPS / CABLEADO / ACCESORIOS &gt; CABLES COAXIL Y UTP")</f>
        <v>FUENTES / UPS / CABLEADO / ACCESORIOS &gt; CABLES COAXIL Y UTP</v>
      </c>
      <c r="G1782" s="5"/>
      <c r="H1782" s="6">
        <f>IFERROR(__xludf.DUMMYFUNCTION("""COMPUTED_VALUE"""),0.7)</f>
        <v>0.7</v>
      </c>
      <c r="I1782" s="7">
        <f>IFERROR(__xludf.DUMMYFUNCTION("""COMPUTED_VALUE"""),21.0)</f>
        <v>21</v>
      </c>
      <c r="J1782" s="6">
        <f>IFERROR(__xludf.DUMMYFUNCTION("""COMPUTED_VALUE"""),0.84)</f>
        <v>0.84</v>
      </c>
      <c r="K1782" s="6">
        <f>IFERROR(__xludf.DUMMYFUNCTION("""COMPUTED_VALUE"""),0.98)</f>
        <v>0.98</v>
      </c>
      <c r="L1782" s="3"/>
      <c r="M1782" s="3"/>
    </row>
    <row r="1783" ht="48.0" customHeight="1">
      <c r="A1783" s="3" t="str">
        <f>IFERROR(__xludf.DUMMYFUNCTION("""COMPUTED_VALUE"""),"DIUTP5EINTCCA100M")</f>
        <v>DIUTP5EINTCCA100M</v>
      </c>
      <c r="B1783" s="4" t="str">
        <f>IFERROR(__xludf.DUMMYFUNCTION("""COMPUTED_VALUE"""),"CABLE UTP CAT5E USO INERIOR CCA 100M VAINA BLANCA")</f>
        <v>CABLE UTP CAT5E USO INERIOR CCA 100M VAINA BLANCA</v>
      </c>
      <c r="C1783" s="4" t="str">
        <f>IFERROR(__xludf.DUMMYFUNCTION("""COMPUTED_VALUE"""),"Cable UTP CAT5e uso Inerior CCA 100m Vaina blanca")</f>
        <v>Cable UTP CAT5e uso Inerior CCA 100m Vaina blanca</v>
      </c>
      <c r="D1783" s="4" t="str">
        <f>IFERROR(__xludf.DUMMYFUNCTION("""COMPUTED_VALUE"""),"DIALSEC")</f>
        <v>DIALSEC</v>
      </c>
      <c r="E1783" s="4" t="str">
        <f>IFERROR(__xludf.DUMMYFUNCTION("""COMPUTED_VALUE"""),"DIUTP5EINTCCA100M")</f>
        <v>DIUTP5EINTCCA100M</v>
      </c>
      <c r="F1783" s="4" t="str">
        <f>IFERROR(__xludf.DUMMYFUNCTION("""COMPUTED_VALUE"""),"FUENTES / UPS / CABLEADO / ACCESORIOS &gt; CABLES COAXIL Y UTP")</f>
        <v>FUENTES / UPS / CABLEADO / ACCESORIOS &gt; CABLES COAXIL Y UTP</v>
      </c>
      <c r="G1783" s="5"/>
      <c r="H1783" s="6">
        <f>IFERROR(__xludf.DUMMYFUNCTION("""COMPUTED_VALUE"""),27.5)</f>
        <v>27.5</v>
      </c>
      <c r="I1783" s="7">
        <f>IFERROR(__xludf.DUMMYFUNCTION("""COMPUTED_VALUE"""),21.0)</f>
        <v>21</v>
      </c>
      <c r="J1783" s="6">
        <f>IFERROR(__xludf.DUMMYFUNCTION("""COMPUTED_VALUE"""),33.0)</f>
        <v>33</v>
      </c>
      <c r="K1783" s="6">
        <f>IFERROR(__xludf.DUMMYFUNCTION("""COMPUTED_VALUE"""),38.5)</f>
        <v>38.5</v>
      </c>
      <c r="L1783" s="3"/>
      <c r="M1783" s="3"/>
    </row>
    <row r="1784" ht="48.0" customHeight="1">
      <c r="A1784" s="3" t="str">
        <f>IFERROR(__xludf.DUMMYFUNCTION("""COMPUTED_VALUE"""),"RVUTP505")</f>
        <v>RVUTP505</v>
      </c>
      <c r="B1784" s="4" t="str">
        <f>IFERROR(__xludf.DUMMYFUNCTION("""COMPUTED_VALUE"""),"CABLE UTP EXTERIOR CCA CAT5E VAINA NEGRA 24AWG (ROLLO DE 100M)")</f>
        <v>CABLE UTP EXTERIOR CCA CAT5E VAINA NEGRA 24AWG (ROLLO DE 100M)</v>
      </c>
      <c r="C1784" s="4" t="str">
        <f>IFERROR(__xludf.DUMMYFUNCTION("""COMPUTED_VALUE"""),"Cable UTP EXTERIOR CCA CAT5e vaina negra 24AWG (rollo de 100m).")</f>
        <v>Cable UTP EXTERIOR CCA CAT5e vaina negra 24AWG (rollo de 100m).</v>
      </c>
      <c r="D1784" s="4" t="str">
        <f>IFERROR(__xludf.DUMMYFUNCTION("""COMPUTED_VALUE"""),"REGUVOLT")</f>
        <v>REGUVOLT</v>
      </c>
      <c r="E1784" s="4" t="str">
        <f>IFERROR(__xludf.DUMMYFUNCTION("""COMPUTED_VALUE"""),"RVUTP505")</f>
        <v>RVUTP505</v>
      </c>
      <c r="F1784" s="4" t="str">
        <f>IFERROR(__xludf.DUMMYFUNCTION("""COMPUTED_VALUE"""),"FUENTES / UPS / CABLEADO / ACCESORIOS &gt; CABLES COAXIL Y UTP")</f>
        <v>FUENTES / UPS / CABLEADO / ACCESORIOS &gt; CABLES COAXIL Y UTP</v>
      </c>
      <c r="G1784" s="5"/>
      <c r="H1784" s="6">
        <f>IFERROR(__xludf.DUMMYFUNCTION("""COMPUTED_VALUE"""),19.8)</f>
        <v>19.8</v>
      </c>
      <c r="I1784" s="7">
        <f>IFERROR(__xludf.DUMMYFUNCTION("""COMPUTED_VALUE"""),21.0)</f>
        <v>21</v>
      </c>
      <c r="J1784" s="6">
        <f>IFERROR(__xludf.DUMMYFUNCTION("""COMPUTED_VALUE"""),23.76)</f>
        <v>23.76</v>
      </c>
      <c r="K1784" s="6">
        <f>IFERROR(__xludf.DUMMYFUNCTION("""COMPUTED_VALUE"""),27.72)</f>
        <v>27.72</v>
      </c>
      <c r="L1784" s="3"/>
      <c r="M1784" s="3"/>
    </row>
    <row r="1785" ht="48.0" customHeight="1">
      <c r="A1785" s="3" t="str">
        <f>IFERROR(__xludf.DUMMYFUNCTION("""COMPUTED_VALUE"""),"CABLEUTPEXTE")</f>
        <v>CABLEUTPEXTE</v>
      </c>
      <c r="B1785" s="4" t="str">
        <f>IFERROR(__xludf.DUMMYFUNCTION("""COMPUTED_VALUE"""),"CABLE UTP EXTERIOR CCA 70% COBRE CAT5E VAINA NEGRA 305 METROS")</f>
        <v>CABLE UTP EXTERIOR CCA 70% COBRE CAT5E VAINA NEGRA 305 METROS</v>
      </c>
      <c r="C1785" s="4" t="str">
        <f>IFERROR(__xludf.DUMMYFUNCTION("""COMPUTED_VALUE"""),"Cable UTP EXTERIOR CCA 70% cobre CAT5e vaina negra 305 metros")</f>
        <v>Cable UTP EXTERIOR CCA 70% cobre CAT5e vaina negra 305 metros</v>
      </c>
      <c r="D1785" s="4" t="str">
        <f>IFERROR(__xludf.DUMMYFUNCTION("""COMPUTED_VALUE"""),"GENERICO")</f>
        <v>GENERICO</v>
      </c>
      <c r="E1785" s="4" t="str">
        <f>IFERROR(__xludf.DUMMYFUNCTION("""COMPUTED_VALUE"""),"CABLEUTPEXTE")</f>
        <v>CABLEUTPEXTE</v>
      </c>
      <c r="F1785" s="4" t="str">
        <f>IFERROR(__xludf.DUMMYFUNCTION("""COMPUTED_VALUE"""),"FUENTES / UPS / CABLEADO / ACCESORIOS &gt; CABLES COAXIL Y UTP")</f>
        <v>FUENTES / UPS / CABLEADO / ACCESORIOS &gt; CABLES COAXIL Y UTP</v>
      </c>
      <c r="G1785" s="5"/>
      <c r="H1785" s="6">
        <f>IFERROR(__xludf.DUMMYFUNCTION("""COMPUTED_VALUE"""),50.05)</f>
        <v>50.05</v>
      </c>
      <c r="I1785" s="7">
        <f>IFERROR(__xludf.DUMMYFUNCTION("""COMPUTED_VALUE"""),21.0)</f>
        <v>21</v>
      </c>
      <c r="J1785" s="6">
        <f>IFERROR(__xludf.DUMMYFUNCTION("""COMPUTED_VALUE"""),60.06)</f>
        <v>60.06</v>
      </c>
      <c r="K1785" s="6">
        <f>IFERROR(__xludf.DUMMYFUNCTION("""COMPUTED_VALUE"""),70.07)</f>
        <v>70.07</v>
      </c>
      <c r="L1785" s="3"/>
      <c r="M1785" s="3"/>
    </row>
    <row r="1786" ht="48.0" customHeight="1">
      <c r="A1786" s="3" t="str">
        <f>IFERROR(__xludf.DUMMYFUNCTION("""COMPUTED_VALUE"""),"CABLEUTPEXTE-B")</f>
        <v>CABLEUTPEXTE-B</v>
      </c>
      <c r="B1786" s="4" t="str">
        <f>IFERROR(__xludf.DUMMYFUNCTION("""COMPUTED_VALUE"""),"CABLE UTP EXTERIOR 100% COBRE CAT5E VAINA NEGRA 305 METROS")</f>
        <v>CABLE UTP EXTERIOR 100% COBRE CAT5E VAINA NEGRA 305 METROS</v>
      </c>
      <c r="C1786" s="4" t="str">
        <f>IFERROR(__xludf.DUMMYFUNCTION("""COMPUTED_VALUE"""),"Cable UTP EXTERIOR 100% cobre CAT5e vaina negra 305 metros")</f>
        <v>Cable UTP EXTERIOR 100% cobre CAT5e vaina negra 305 metros</v>
      </c>
      <c r="D1786" s="4" t="str">
        <f>IFERROR(__xludf.DUMMYFUNCTION("""COMPUTED_VALUE"""),"GENERICO")</f>
        <v>GENERICO</v>
      </c>
      <c r="E1786" s="4" t="str">
        <f>IFERROR(__xludf.DUMMYFUNCTION("""COMPUTED_VALUE"""),"CABLEUTPEXTE-B")</f>
        <v>CABLEUTPEXTE-B</v>
      </c>
      <c r="F1786" s="4" t="str">
        <f>IFERROR(__xludf.DUMMYFUNCTION("""COMPUTED_VALUE"""),"FUENTES / UPS / CABLEADO / ACCESORIOS &gt; CABLES COAXIL Y UTP")</f>
        <v>FUENTES / UPS / CABLEADO / ACCESORIOS &gt; CABLES COAXIL Y UTP</v>
      </c>
      <c r="G1786" s="5"/>
      <c r="H1786" s="6">
        <f>IFERROR(__xludf.DUMMYFUNCTION("""COMPUTED_VALUE"""),146.22)</f>
        <v>146.22</v>
      </c>
      <c r="I1786" s="7">
        <f>IFERROR(__xludf.DUMMYFUNCTION("""COMPUTED_VALUE"""),21.0)</f>
        <v>21</v>
      </c>
      <c r="J1786" s="6">
        <f>IFERROR(__xludf.DUMMYFUNCTION("""COMPUTED_VALUE"""),175.46)</f>
        <v>175.46</v>
      </c>
      <c r="K1786" s="6">
        <f>IFERROR(__xludf.DUMMYFUNCTION("""COMPUTED_VALUE"""),204.71)</f>
        <v>204.71</v>
      </c>
      <c r="L1786" s="3"/>
      <c r="M1786" s="3"/>
    </row>
    <row r="1787" ht="48.0" customHeight="1">
      <c r="A1787" s="3" t="str">
        <f>IFERROR(__xludf.DUMMYFUNCTION("""COMPUTED_VALUE"""),"DS-1LN5EO-UU/E")</f>
        <v>DS-1LN5EO-UU/E</v>
      </c>
      <c r="B1787" s="4" t="str">
        <f>IFERROR(__xludf.DUMMYFUNCTION("""COMPUTED_VALUE"""),"CABLE UTP EXTERIOR 100% COBRE CAT5E VAINA NEGRA 305 METROS")</f>
        <v>CABLE UTP EXTERIOR 100% COBRE CAT5E VAINA NEGRA 305 METROS</v>
      </c>
      <c r="C1787" s="4" t="str">
        <f>IFERROR(__xludf.DUMMYFUNCTION("""COMPUTED_VALUE"""),"Cable UTP EXTERIOR 100% cobre CAT5e vaina negra 305 metros")</f>
        <v>Cable UTP EXTERIOR 100% cobre CAT5e vaina negra 305 metros</v>
      </c>
      <c r="D1787" s="4" t="str">
        <f>IFERROR(__xludf.DUMMYFUNCTION("""COMPUTED_VALUE"""),"HIKVISION")</f>
        <v>HIKVISION</v>
      </c>
      <c r="E1787" s="4" t="str">
        <f>IFERROR(__xludf.DUMMYFUNCTION("""COMPUTED_VALUE"""),"DS-1LN5EO-UU/E")</f>
        <v>DS-1LN5EO-UU/E</v>
      </c>
      <c r="F1787" s="4" t="str">
        <f>IFERROR(__xludf.DUMMYFUNCTION("""COMPUTED_VALUE"""),"FUENTES / UPS / CABLEADO / ACCESORIOS &gt; CABLES COAXIL Y UTP")</f>
        <v>FUENTES / UPS / CABLEADO / ACCESORIOS &gt; CABLES COAXIL Y UTP</v>
      </c>
      <c r="G1787" s="5"/>
      <c r="H1787" s="6">
        <f>IFERROR(__xludf.DUMMYFUNCTION("""COMPUTED_VALUE"""),205.7)</f>
        <v>205.7</v>
      </c>
      <c r="I1787" s="7">
        <f>IFERROR(__xludf.DUMMYFUNCTION("""COMPUTED_VALUE"""),21.0)</f>
        <v>21</v>
      </c>
      <c r="J1787" s="6">
        <f>IFERROR(__xludf.DUMMYFUNCTION("""COMPUTED_VALUE"""),246.84)</f>
        <v>246.84</v>
      </c>
      <c r="K1787" s="6">
        <f>IFERROR(__xludf.DUMMYFUNCTION("""COMPUTED_VALUE"""),287.98)</f>
        <v>287.98</v>
      </c>
      <c r="L1787" s="3"/>
      <c r="M1787" s="3"/>
    </row>
    <row r="1788" ht="48.0" customHeight="1">
      <c r="A1788" s="3" t="str">
        <f>IFERROR(__xludf.DUMMYFUNCTION("""COMPUTED_VALUE"""),"XL500-CPR-B")</f>
        <v>XL500-CPR-B</v>
      </c>
      <c r="B1788" s="4" t="str">
        <f>IFERROR(__xludf.DUMMYFUNCTION("""COMPUTED_VALUE"""),"CABLE UTP CAT5E USO EXTERIOR 100% COBRE 305M VAINA NEGRO")</f>
        <v>CABLE UTP CAT5E USO EXTERIOR 100% COBRE 305M VAINA NEGRO</v>
      </c>
      <c r="C1788" s="4" t="str">
        <f>IFERROR(__xludf.DUMMYFUNCTION("""COMPUTED_VALUE"""),"Cable UTP CAT5e uso exterior 100% Cobre 305m Vaina Negro.")</f>
        <v>Cable UTP CAT5e uso exterior 100% Cobre 305m Vaina Negro.</v>
      </c>
      <c r="D1788" s="4" t="str">
        <f>IFERROR(__xludf.DUMMYFUNCTION("""COMPUTED_VALUE"""),"ZKTEKO")</f>
        <v>ZKTEKO</v>
      </c>
      <c r="E1788" s="4" t="str">
        <f>IFERROR(__xludf.DUMMYFUNCTION("""COMPUTED_VALUE"""),"XL500-CPR-B")</f>
        <v>XL500-CPR-B</v>
      </c>
      <c r="F1788" s="4" t="str">
        <f>IFERROR(__xludf.DUMMYFUNCTION("""COMPUTED_VALUE"""),"FUENTES / UPS / CABLEADO / ACCESORIOS &gt; CABLES COAXIL Y UTP")</f>
        <v>FUENTES / UPS / CABLEADO / ACCESORIOS &gt; CABLES COAXIL Y UTP</v>
      </c>
      <c r="G1788" s="5"/>
      <c r="H1788" s="6">
        <f>IFERROR(__xludf.DUMMYFUNCTION("""COMPUTED_VALUE"""),130.9)</f>
        <v>130.9</v>
      </c>
      <c r="I1788" s="7">
        <f>IFERROR(__xludf.DUMMYFUNCTION("""COMPUTED_VALUE"""),21.0)</f>
        <v>21</v>
      </c>
      <c r="J1788" s="6">
        <f>IFERROR(__xludf.DUMMYFUNCTION("""COMPUTED_VALUE"""),157.08)</f>
        <v>157.08</v>
      </c>
      <c r="K1788" s="6">
        <f>IFERROR(__xludf.DUMMYFUNCTION("""COMPUTED_VALUE"""),183.26)</f>
        <v>183.26</v>
      </c>
      <c r="L1788" s="3"/>
      <c r="M1788" s="3"/>
    </row>
    <row r="1789" ht="48.0" customHeight="1">
      <c r="A1789" s="3" t="str">
        <f>IFERROR(__xludf.DUMMYFUNCTION("""COMPUTED_VALUE"""),"XL600-CPR-A")</f>
        <v>XL600-CPR-A</v>
      </c>
      <c r="B1789" s="4" t="str">
        <f>IFERROR(__xludf.DUMMYFUNCTION("""COMPUTED_VALUE"""),"CABLE UTP CAT6 USO INTERIOR 100% COBRE 305M VAINA BLANCA")</f>
        <v>CABLE UTP CAT6 USO INTERIOR 100% COBRE 305M VAINA BLANCA</v>
      </c>
      <c r="C1789" s="4" t="str">
        <f>IFERROR(__xludf.DUMMYFUNCTION("""COMPUTED_VALUE"""),"Cable UTP CAT6 uso INTERIOR 100% Cobre 305m Vaina blanca")</f>
        <v>Cable UTP CAT6 uso INTERIOR 100% Cobre 305m Vaina blanca</v>
      </c>
      <c r="D1789" s="4" t="str">
        <f>IFERROR(__xludf.DUMMYFUNCTION("""COMPUTED_VALUE"""),"ZKTEKO")</f>
        <v>ZKTEKO</v>
      </c>
      <c r="E1789" s="4" t="str">
        <f>IFERROR(__xludf.DUMMYFUNCTION("""COMPUTED_VALUE"""),"XL600-CPR-A")</f>
        <v>XL600-CPR-A</v>
      </c>
      <c r="F1789" s="4" t="str">
        <f>IFERROR(__xludf.DUMMYFUNCTION("""COMPUTED_VALUE"""),"FUENTES / UPS / CABLEADO / ACCESORIOS &gt; CABLES COAXIL Y UTP")</f>
        <v>FUENTES / UPS / CABLEADO / ACCESORIOS &gt; CABLES COAXIL Y UTP</v>
      </c>
      <c r="G1789" s="5"/>
      <c r="H1789" s="6">
        <f>IFERROR(__xludf.DUMMYFUNCTION("""COMPUTED_VALUE"""),185.63)</f>
        <v>185.63</v>
      </c>
      <c r="I1789" s="7">
        <f>IFERROR(__xludf.DUMMYFUNCTION("""COMPUTED_VALUE"""),21.0)</f>
        <v>21</v>
      </c>
      <c r="J1789" s="6">
        <f>IFERROR(__xludf.DUMMYFUNCTION("""COMPUTED_VALUE"""),222.76)</f>
        <v>222.76</v>
      </c>
      <c r="K1789" s="6">
        <f>IFERROR(__xludf.DUMMYFUNCTION("""COMPUTED_VALUE"""),259.88)</f>
        <v>259.88</v>
      </c>
      <c r="L1789" s="3"/>
      <c r="M1789" s="3"/>
    </row>
    <row r="1790" ht="48.0" customHeight="1">
      <c r="A1790" s="3" t="str">
        <f>IFERROR(__xludf.DUMMYFUNCTION("""COMPUTED_VALUE"""),"XL600-CPR-B")</f>
        <v>XL600-CPR-B</v>
      </c>
      <c r="B1790" s="4" t="str">
        <f>IFERROR(__xludf.DUMMYFUNCTION("""COMPUTED_VALUE"""),"CABLE UTP CAT6 USO EXTERIOR 100% COBRE 305M VAINA NEGRO")</f>
        <v>CABLE UTP CAT6 USO EXTERIOR 100% COBRE 305M VAINA NEGRO</v>
      </c>
      <c r="C1790" s="4" t="str">
        <f>IFERROR(__xludf.DUMMYFUNCTION("""COMPUTED_VALUE"""),"Cable UTP CAT6 uso exterior 100% Cobre 305m Vaina Negro.")</f>
        <v>Cable UTP CAT6 uso exterior 100% Cobre 305m Vaina Negro.</v>
      </c>
      <c r="D1790" s="4" t="str">
        <f>IFERROR(__xludf.DUMMYFUNCTION("""COMPUTED_VALUE"""),"ZKTEKO")</f>
        <v>ZKTEKO</v>
      </c>
      <c r="E1790" s="4" t="str">
        <f>IFERROR(__xludf.DUMMYFUNCTION("""COMPUTED_VALUE"""),"XL600-CPR-B")</f>
        <v>XL600-CPR-B</v>
      </c>
      <c r="F1790" s="4" t="str">
        <f>IFERROR(__xludf.DUMMYFUNCTION("""COMPUTED_VALUE"""),"FUENTES / UPS / CABLEADO / ACCESORIOS &gt; CABLES COAXIL Y UTP")</f>
        <v>FUENTES / UPS / CABLEADO / ACCESORIOS &gt; CABLES COAXIL Y UTP</v>
      </c>
      <c r="G1790" s="5"/>
      <c r="H1790" s="6">
        <f>IFERROR(__xludf.DUMMYFUNCTION("""COMPUTED_VALUE"""),191.13)</f>
        <v>191.13</v>
      </c>
      <c r="I1790" s="7">
        <f>IFERROR(__xludf.DUMMYFUNCTION("""COMPUTED_VALUE"""),21.0)</f>
        <v>21</v>
      </c>
      <c r="J1790" s="6">
        <f>IFERROR(__xludf.DUMMYFUNCTION("""COMPUTED_VALUE"""),229.36)</f>
        <v>229.36</v>
      </c>
      <c r="K1790" s="6">
        <f>IFERROR(__xludf.DUMMYFUNCTION("""COMPUTED_VALUE"""),267.58)</f>
        <v>267.58</v>
      </c>
      <c r="L1790" s="3"/>
      <c r="M1790" s="3"/>
    </row>
    <row r="1791" ht="48.0" customHeight="1">
      <c r="A1791" s="3" t="str">
        <f>IFERROR(__xludf.DUMMYFUNCTION("""COMPUTED_VALUE"""),"DHUTP5EUN")</f>
        <v>DHUTP5EUN</v>
      </c>
      <c r="B1791" s="4" t="str">
        <f>IFERROR(__xludf.DUMMYFUNCTION("""COMPUTED_VALUE"""),"CABLE UTP CAT5E USO INTERIOR 100% COBRE 305M VAINA BLANCA EN CAJA")</f>
        <v>CABLE UTP CAT5E USO INTERIOR 100% COBRE 305M VAINA BLANCA EN CAJA</v>
      </c>
      <c r="C1791" s="4" t="str">
        <f>IFERROR(__xludf.DUMMYFUNCTION("""COMPUTED_VALUE"""),"Cable UTP CAT5e uso interior 100% Cobre 305m Vaina Blanca en caja")</f>
        <v>Cable UTP CAT5e uso interior 100% Cobre 305m Vaina Blanca en caja</v>
      </c>
      <c r="D1791" s="4" t="str">
        <f>IFERROR(__xludf.DUMMYFUNCTION("""COMPUTED_VALUE"""),"DAHUA")</f>
        <v>DAHUA</v>
      </c>
      <c r="E1791" s="4" t="str">
        <f>IFERROR(__xludf.DUMMYFUNCTION("""COMPUTED_VALUE"""),"DHUTP5EUN")</f>
        <v>DHUTP5EUN</v>
      </c>
      <c r="F1791" s="4" t="str">
        <f>IFERROR(__xludf.DUMMYFUNCTION("""COMPUTED_VALUE"""),"FUENTES / UPS / CABLEADO / ACCESORIOS &gt; CABLES COAXIL Y UTP")</f>
        <v>FUENTES / UPS / CABLEADO / ACCESORIOS &gt; CABLES COAXIL Y UTP</v>
      </c>
      <c r="G1791" s="5"/>
      <c r="H1791" s="6">
        <f>IFERROR(__xludf.DUMMYFUNCTION("""COMPUTED_VALUE"""),114.4)</f>
        <v>114.4</v>
      </c>
      <c r="I1791" s="7">
        <f>IFERROR(__xludf.DUMMYFUNCTION("""COMPUTED_VALUE"""),21.0)</f>
        <v>21</v>
      </c>
      <c r="J1791" s="6">
        <f>IFERROR(__xludf.DUMMYFUNCTION("""COMPUTED_VALUE"""),137.28)</f>
        <v>137.28</v>
      </c>
      <c r="K1791" s="6">
        <f>IFERROR(__xludf.DUMMYFUNCTION("""COMPUTED_VALUE"""),160.16)</f>
        <v>160.16</v>
      </c>
      <c r="L1791" s="3"/>
      <c r="M1791" s="3"/>
    </row>
    <row r="1792" ht="48.0" customHeight="1">
      <c r="A1792" s="3" t="str">
        <f>IFERROR(__xludf.DUMMYFUNCTION("""COMPUTED_VALUE"""),"ANIUTPINT5")</f>
        <v>ANIUTPINT5</v>
      </c>
      <c r="B1792" s="4" t="str">
        <f>IFERROR(__xludf.DUMMYFUNCTION("""COMPUTED_VALUE"""),"CABLE UTP CAT5E USO INTERIOR 100% COBRE 305M VAINA GRIS EN CAJA")</f>
        <v>CABLE UTP CAT5E USO INTERIOR 100% COBRE 305M VAINA GRIS EN CAJA</v>
      </c>
      <c r="C1792" s="4" t="str">
        <f>IFERROR(__xludf.DUMMYFUNCTION("""COMPUTED_VALUE"""),"Cable UTP CAT5e uso interior 100% Cobre 305m Vaina Gris en caja")</f>
        <v>Cable UTP CAT5e uso interior 100% Cobre 305m Vaina Gris en caja</v>
      </c>
      <c r="D1792" s="4" t="str">
        <f>IFERROR(__xludf.DUMMYFUNCTION("""COMPUTED_VALUE"""),"ANICOR")</f>
        <v>ANICOR</v>
      </c>
      <c r="E1792" s="4" t="str">
        <f>IFERROR(__xludf.DUMMYFUNCTION("""COMPUTED_VALUE"""),"ANIUTPINT5")</f>
        <v>ANIUTPINT5</v>
      </c>
      <c r="F1792" s="4" t="str">
        <f>IFERROR(__xludf.DUMMYFUNCTION("""COMPUTED_VALUE"""),"FUENTES / UPS / CABLEADO / ACCESORIOS &gt; CABLES COAXIL Y UTP")</f>
        <v>FUENTES / UPS / CABLEADO / ACCESORIOS &gt; CABLES COAXIL Y UTP</v>
      </c>
      <c r="G1792" s="5"/>
      <c r="H1792" s="6">
        <f>IFERROR(__xludf.DUMMYFUNCTION("""COMPUTED_VALUE"""),174.24)</f>
        <v>174.24</v>
      </c>
      <c r="I1792" s="7">
        <f>IFERROR(__xludf.DUMMYFUNCTION("""COMPUTED_VALUE"""),21.0)</f>
        <v>21</v>
      </c>
      <c r="J1792" s="6">
        <f>IFERROR(__xludf.DUMMYFUNCTION("""COMPUTED_VALUE"""),209.09)</f>
        <v>209.09</v>
      </c>
      <c r="K1792" s="6">
        <f>IFERROR(__xludf.DUMMYFUNCTION("""COMPUTED_VALUE"""),243.94)</f>
        <v>243.94</v>
      </c>
      <c r="L1792" s="3"/>
      <c r="M1792" s="3"/>
    </row>
    <row r="1793" ht="48.0" customHeight="1">
      <c r="A1793" s="3" t="str">
        <f>IFERROR(__xludf.DUMMYFUNCTION("""COMPUTED_VALUE"""),"ANIUTPEXT5-BOX")</f>
        <v>ANIUTPEXT5-BOX</v>
      </c>
      <c r="B1793" s="4" t="str">
        <f>IFERROR(__xludf.DUMMYFUNCTION("""COMPUTED_VALUE"""),"CABLE UTP CAT5E USO EXTERIOR 100% COBRE 305M VAINA NEGRO")</f>
        <v>CABLE UTP CAT5E USO EXTERIOR 100% COBRE 305M VAINA NEGRO</v>
      </c>
      <c r="C1793" s="4" t="str">
        <f>IFERROR(__xludf.DUMMYFUNCTION("""COMPUTED_VALUE"""),"Cable UTP CAT5e uso exterior 100% Cobre 305m Vaina Negro. Vaina blanda en caja")</f>
        <v>Cable UTP CAT5e uso exterior 100% Cobre 305m Vaina Negro. Vaina blanda en caja</v>
      </c>
      <c r="D1793" s="4" t="str">
        <f>IFERROR(__xludf.DUMMYFUNCTION("""COMPUTED_VALUE"""),"ANICOR")</f>
        <v>ANICOR</v>
      </c>
      <c r="E1793" s="4" t="str">
        <f>IFERROR(__xludf.DUMMYFUNCTION("""COMPUTED_VALUE"""),"ANIUTPEXT5-BOX")</f>
        <v>ANIUTPEXT5-BOX</v>
      </c>
      <c r="F1793" s="4" t="str">
        <f>IFERROR(__xludf.DUMMYFUNCTION("""COMPUTED_VALUE"""),"FUENTES / UPS / CABLEADO / ACCESORIOS &gt; CABLES COAXIL Y UTP")</f>
        <v>FUENTES / UPS / CABLEADO / ACCESORIOS &gt; CABLES COAXIL Y UTP</v>
      </c>
      <c r="G1793" s="5"/>
      <c r="H1793" s="6">
        <f>IFERROR(__xludf.DUMMYFUNCTION("""COMPUTED_VALUE"""),178.2)</f>
        <v>178.2</v>
      </c>
      <c r="I1793" s="7">
        <f>IFERROR(__xludf.DUMMYFUNCTION("""COMPUTED_VALUE"""),21.0)</f>
        <v>21</v>
      </c>
      <c r="J1793" s="6">
        <f>IFERROR(__xludf.DUMMYFUNCTION("""COMPUTED_VALUE"""),213.84)</f>
        <v>213.84</v>
      </c>
      <c r="K1793" s="6">
        <f>IFERROR(__xludf.DUMMYFUNCTION("""COMPUTED_VALUE"""),249.48)</f>
        <v>249.48</v>
      </c>
      <c r="L1793" s="3"/>
      <c r="M1793" s="3"/>
    </row>
    <row r="1794" ht="48.0" customHeight="1">
      <c r="A1794" s="3" t="str">
        <f>IFERROR(__xludf.DUMMYFUNCTION("""COMPUTED_VALUE"""),"ANIUTPEXT5-VB")</f>
        <v>ANIUTPEXT5-VB</v>
      </c>
      <c r="B1794" s="4" t="str">
        <f>IFERROR(__xludf.DUMMYFUNCTION("""COMPUTED_VALUE"""),"CABLE UTP CAT5E USO EXTERIOR 100% COBRE 305M VAINA NEGRO")</f>
        <v>CABLE UTP CAT5E USO EXTERIOR 100% COBRE 305M VAINA NEGRO</v>
      </c>
      <c r="C1794" s="4" t="str">
        <f>IFERROR(__xludf.DUMMYFUNCTION("""COMPUTED_VALUE"""),"Cable UTP CAT5e uso exterior 100% Cobre 305m Vaina Negro. Vaina blanda en carretel")</f>
        <v>Cable UTP CAT5e uso exterior 100% Cobre 305m Vaina Negro. Vaina blanda en carretel</v>
      </c>
      <c r="D1794" s="4" t="str">
        <f>IFERROR(__xludf.DUMMYFUNCTION("""COMPUTED_VALUE"""),"ANICOR")</f>
        <v>ANICOR</v>
      </c>
      <c r="E1794" s="4" t="str">
        <f>IFERROR(__xludf.DUMMYFUNCTION("""COMPUTED_VALUE"""),"ANIUTPEXT5-VB")</f>
        <v>ANIUTPEXT5-VB</v>
      </c>
      <c r="F1794" s="4" t="str">
        <f>IFERROR(__xludf.DUMMYFUNCTION("""COMPUTED_VALUE"""),"FUENTES / UPS / CABLEADO / ACCESORIOS &gt; CABLES COAXIL Y UTP")</f>
        <v>FUENTES / UPS / CABLEADO / ACCESORIOS &gt; CABLES COAXIL Y UTP</v>
      </c>
      <c r="G1794" s="5"/>
      <c r="H1794" s="6">
        <f>IFERROR(__xludf.DUMMYFUNCTION("""COMPUTED_VALUE"""),161.04)</f>
        <v>161.04</v>
      </c>
      <c r="I1794" s="7">
        <f>IFERROR(__xludf.DUMMYFUNCTION("""COMPUTED_VALUE"""),21.0)</f>
        <v>21</v>
      </c>
      <c r="J1794" s="6">
        <f>IFERROR(__xludf.DUMMYFUNCTION("""COMPUTED_VALUE"""),193.25)</f>
        <v>193.25</v>
      </c>
      <c r="K1794" s="6">
        <f>IFERROR(__xludf.DUMMYFUNCTION("""COMPUTED_VALUE"""),225.46)</f>
        <v>225.46</v>
      </c>
      <c r="L1794" s="3"/>
      <c r="M1794" s="3"/>
    </row>
    <row r="1795" ht="48.0" customHeight="1">
      <c r="A1795" s="3" t="str">
        <f>IFERROR(__xludf.DUMMYFUNCTION("""COMPUTED_VALUE"""),"INTMC8CBR")</f>
        <v>INTMC8CBR</v>
      </c>
      <c r="B1795" s="4" t="str">
        <f>IFERROR(__xludf.DUMMYFUNCTION("""COMPUTED_VALUE"""),"CABLE UTP LAN MC8CBR MULTICAM ALEACION DE COBRE BOBINA")</f>
        <v>CABLE UTP LAN MC8CBR MULTICAM ALEACION DE COBRE BOBINA</v>
      </c>
      <c r="C1795" s="4" t="str">
        <f>IFERROR(__xludf.DUMMYFUNCTION("""COMPUTED_VALUE"""),"Cable UTP LAN MC8CBR Multicam Aleacion de cobre Bobina 300 Metros color Blanco. Tiene una cubierta de aislamiento externo en PVC el cual, garantiza más protección y seguridad. Apto interior")</f>
        <v>Cable UTP LAN MC8CBR Multicam Aleacion de cobre Bobina 300 Metros color Blanco. Tiene una cubierta de aislamiento externo en PVC el cual, garantiza más protección y seguridad. Apto interior</v>
      </c>
      <c r="D1795" s="4" t="str">
        <f>IFERROR(__xludf.DUMMYFUNCTION("""COMPUTED_VALUE"""),"INTELBRAS")</f>
        <v>INTELBRAS</v>
      </c>
      <c r="E1795" s="4" t="str">
        <f>IFERROR(__xludf.DUMMYFUNCTION("""COMPUTED_VALUE"""),"INTMC8CBR")</f>
        <v>INTMC8CBR</v>
      </c>
      <c r="F1795" s="4" t="str">
        <f>IFERROR(__xludf.DUMMYFUNCTION("""COMPUTED_VALUE"""),"FUENTES / UPS / CABLEADO / ACCESORIOS &gt; CABLES COAXIL Y UTP")</f>
        <v>FUENTES / UPS / CABLEADO / ACCESORIOS &gt; CABLES COAXIL Y UTP</v>
      </c>
      <c r="G1795" s="5"/>
      <c r="H1795" s="6">
        <f>IFERROR(__xludf.DUMMYFUNCTION("""COMPUTED_VALUE"""),53.9)</f>
        <v>53.9</v>
      </c>
      <c r="I1795" s="7">
        <f>IFERROR(__xludf.DUMMYFUNCTION("""COMPUTED_VALUE"""),21.0)</f>
        <v>21</v>
      </c>
      <c r="J1795" s="6">
        <f>IFERROR(__xludf.DUMMYFUNCTION("""COMPUTED_VALUE"""),64.68)</f>
        <v>64.68</v>
      </c>
      <c r="K1795" s="6">
        <f>IFERROR(__xludf.DUMMYFUNCTION("""COMPUTED_VALUE"""),75.46)</f>
        <v>75.46</v>
      </c>
      <c r="L1795" s="3"/>
      <c r="M1795" s="3"/>
    </row>
    <row r="1796" ht="48.0" customHeight="1">
      <c r="A1796" s="3" t="str">
        <f>IFERROR(__xludf.DUMMYFUNCTION("""COMPUTED_VALUE"""),"UPUTP5EINT")</f>
        <v>UPUTP5EINT</v>
      </c>
      <c r="B1796" s="4" t="str">
        <f>IFERROR(__xludf.DUMMYFUNCTION("""COMPUTED_VALUE"""),"CABLE UTP POLARIS CAT5E USO INTERIOR 305M GRIS CLARO")</f>
        <v>CABLE UTP POLARIS CAT5E USO INTERIOR 305M GRIS CLARO</v>
      </c>
      <c r="C1796" s="4" t="str">
        <f>IFERROR(__xludf.DUMMYFUNCTION("""COMPUTED_VALUE"""),"CABLE UTP POLARIS CAT5e uso Interior 305m Gris Claro (PASS FLUKE TEST)")</f>
        <v>CABLE UTP POLARIS CAT5e uso Interior 305m Gris Claro (PASS FLUKE TEST)</v>
      </c>
      <c r="D1796" s="4" t="str">
        <f>IFERROR(__xludf.DUMMYFUNCTION("""COMPUTED_VALUE"""),"POLARIS")</f>
        <v>POLARIS</v>
      </c>
      <c r="E1796" s="4" t="str">
        <f>IFERROR(__xludf.DUMMYFUNCTION("""COMPUTED_VALUE"""),"UPUTP5EINT")</f>
        <v>UPUTP5EINT</v>
      </c>
      <c r="F1796" s="4" t="str">
        <f>IFERROR(__xludf.DUMMYFUNCTION("""COMPUTED_VALUE"""),"FUENTES / UPS / CABLEADO / ACCESORIOS &gt; CABLES COAXIL Y UTP")</f>
        <v>FUENTES / UPS / CABLEADO / ACCESORIOS &gt; CABLES COAXIL Y UTP</v>
      </c>
      <c r="G1796" s="5"/>
      <c r="H1796" s="6">
        <f>IFERROR(__xludf.DUMMYFUNCTION("""COMPUTED_VALUE"""),0.0)</f>
        <v>0</v>
      </c>
      <c r="I1796" s="7">
        <f>IFERROR(__xludf.DUMMYFUNCTION("""COMPUTED_VALUE"""),21.0)</f>
        <v>21</v>
      </c>
      <c r="J1796" s="6">
        <f>IFERROR(__xludf.DUMMYFUNCTION("""COMPUTED_VALUE"""),0.0)</f>
        <v>0</v>
      </c>
      <c r="K1796" s="6">
        <f>IFERROR(__xludf.DUMMYFUNCTION("""COMPUTED_VALUE"""),0.0)</f>
        <v>0</v>
      </c>
      <c r="L1796" s="3"/>
      <c r="M1796" s="3"/>
    </row>
    <row r="1797" ht="48.0" customHeight="1">
      <c r="A1797" s="3" t="str">
        <f>IFERROR(__xludf.DUMMYFUNCTION("""COMPUTED_VALUE"""),"UPUTP5EEXTDV")</f>
        <v>UPUTP5EEXTDV</v>
      </c>
      <c r="B1797" s="4" t="str">
        <f>IFERROR(__xludf.DUMMYFUNCTION("""COMPUTED_VALUE"""),"CABLE UTP POLARIS CAT5E USO EXTERIOR 305M NEGRO DOBLE")</f>
        <v>CABLE UTP POLARIS CAT5E USO EXTERIOR 305M NEGRO DOBLE</v>
      </c>
      <c r="C1797" s="4" t="str">
        <f>IFERROR(__xludf.DUMMYFUNCTION("""COMPUTED_VALUE"""),"CABLE UTP POLARIS CAT5e uso Exterior 305m Negro Doble Vaina, (vaina interior gris y exterior PVC negro) (PASS FLUKE TEST)")</f>
        <v>CABLE UTP POLARIS CAT5e uso Exterior 305m Negro Doble Vaina, (vaina interior gris y exterior PVC negro) (PASS FLUKE TEST)</v>
      </c>
      <c r="D1797" s="4" t="str">
        <f>IFERROR(__xludf.DUMMYFUNCTION("""COMPUTED_VALUE"""),"POLARIS")</f>
        <v>POLARIS</v>
      </c>
      <c r="E1797" s="4" t="str">
        <f>IFERROR(__xludf.DUMMYFUNCTION("""COMPUTED_VALUE"""),"UPUTP5EEXTDV")</f>
        <v>UPUTP5EEXTDV</v>
      </c>
      <c r="F1797" s="4" t="str">
        <f>IFERROR(__xludf.DUMMYFUNCTION("""COMPUTED_VALUE"""),"FUENTES / UPS / CABLEADO / ACCESORIOS &gt; CABLES COAXIL Y UTP")</f>
        <v>FUENTES / UPS / CABLEADO / ACCESORIOS &gt; CABLES COAXIL Y UTP</v>
      </c>
      <c r="G1797" s="5"/>
      <c r="H1797" s="6">
        <f>IFERROR(__xludf.DUMMYFUNCTION("""COMPUTED_VALUE"""),0.0)</f>
        <v>0</v>
      </c>
      <c r="I1797" s="7">
        <f>IFERROR(__xludf.DUMMYFUNCTION("""COMPUTED_VALUE"""),21.0)</f>
        <v>21</v>
      </c>
      <c r="J1797" s="6">
        <f>IFERROR(__xludf.DUMMYFUNCTION("""COMPUTED_VALUE"""),0.0)</f>
        <v>0</v>
      </c>
      <c r="K1797" s="6">
        <f>IFERROR(__xludf.DUMMYFUNCTION("""COMPUTED_VALUE"""),0.0)</f>
        <v>0</v>
      </c>
      <c r="L1797" s="3"/>
      <c r="M1797" s="3"/>
    </row>
    <row r="1798" ht="48.0" customHeight="1">
      <c r="A1798" s="3" t="str">
        <f>IFERROR(__xludf.DUMMYFUNCTION("""COMPUTED_VALUE"""),"UPFTP5EEXT")</f>
        <v>UPFTP5EEXT</v>
      </c>
      <c r="B1798" s="4" t="str">
        <f>IFERROR(__xludf.DUMMYFUNCTION("""COMPUTED_VALUE"""),"CABLE FTP POLARIS CAT5E USO EXTERIOR 305M NEGRO DOBLE")</f>
        <v>CABLE FTP POLARIS CAT5E USO EXTERIOR 305M NEGRO DOBLE</v>
      </c>
      <c r="C1798" s="4" t="str">
        <f>IFERROR(__xludf.DUMMYFUNCTION("""COMPUTED_VALUE"""),"CABLE FTP POLARIS CAT5e uso Exterior 305m Negro Doble Vaina Negro (PASS FLUKE TEST)")</f>
        <v>CABLE FTP POLARIS CAT5e uso Exterior 305m Negro Doble Vaina Negro (PASS FLUKE TEST)</v>
      </c>
      <c r="D1798" s="4" t="str">
        <f>IFERROR(__xludf.DUMMYFUNCTION("""COMPUTED_VALUE"""),"POLARIS")</f>
        <v>POLARIS</v>
      </c>
      <c r="E1798" s="4" t="str">
        <f>IFERROR(__xludf.DUMMYFUNCTION("""COMPUTED_VALUE"""),"UPFTP5EEXT")</f>
        <v>UPFTP5EEXT</v>
      </c>
      <c r="F1798" s="4" t="str">
        <f>IFERROR(__xludf.DUMMYFUNCTION("""COMPUTED_VALUE"""),"FUENTES / UPS / CABLEADO / ACCESORIOS &gt; CABLES COAXIL Y UTP")</f>
        <v>FUENTES / UPS / CABLEADO / ACCESORIOS &gt; CABLES COAXIL Y UTP</v>
      </c>
      <c r="G1798" s="5"/>
      <c r="H1798" s="6">
        <f>IFERROR(__xludf.DUMMYFUNCTION("""COMPUTED_VALUE"""),128.51)</f>
        <v>128.51</v>
      </c>
      <c r="I1798" s="7">
        <f>IFERROR(__xludf.DUMMYFUNCTION("""COMPUTED_VALUE"""),21.0)</f>
        <v>21</v>
      </c>
      <c r="J1798" s="6">
        <f>IFERROR(__xludf.DUMMYFUNCTION("""COMPUTED_VALUE"""),154.21)</f>
        <v>154.21</v>
      </c>
      <c r="K1798" s="6">
        <f>IFERROR(__xludf.DUMMYFUNCTION("""COMPUTED_VALUE"""),179.91)</f>
        <v>179.91</v>
      </c>
      <c r="L1798" s="3"/>
      <c r="M1798" s="3"/>
    </row>
    <row r="1799" ht="48.0" customHeight="1">
      <c r="A1799" s="3" t="str">
        <f>IFERROR(__xludf.DUMMYFUNCTION("""COMPUTED_VALUE"""),"UPUTP5EPORT")</f>
        <v>UPUTP5EPORT</v>
      </c>
      <c r="B1799" s="4" t="str">
        <f>IFERROR(__xludf.DUMMYFUNCTION("""COMPUTED_VALUE"""),"CABLE UTP 5E CCA EXTERIOR")</f>
        <v>CABLE UTP 5E CCA EXTERIOR</v>
      </c>
      <c r="C1799" s="4" t="str">
        <f>IFERROR(__xludf.DUMMYFUNCTION("""COMPUTED_VALUE"""),"CABLE UTP 5e CCA EXTERIOR - DOBLE VAINA - INTERIOR GRIS, EXT PE NEGRO. CON ALAMBRE PORTANTE DE ACERO 0,9 MM CARRETE MADERA")</f>
        <v>CABLE UTP 5e CCA EXTERIOR - DOBLE VAINA - INTERIOR GRIS, EXT PE NEGRO. CON ALAMBRE PORTANTE DE ACERO 0,9 MM CARRETE MADERA</v>
      </c>
      <c r="D1799" s="4" t="str">
        <f>IFERROR(__xludf.DUMMYFUNCTION("""COMPUTED_VALUE"""),"POLARIS")</f>
        <v>POLARIS</v>
      </c>
      <c r="E1799" s="4" t="str">
        <f>IFERROR(__xludf.DUMMYFUNCTION("""COMPUTED_VALUE"""),"UPUTP5EPORT")</f>
        <v>UPUTP5EPORT</v>
      </c>
      <c r="F1799" s="4" t="str">
        <f>IFERROR(__xludf.DUMMYFUNCTION("""COMPUTED_VALUE"""),"FUENTES / UPS / CABLEADO / ACCESORIOS &gt; CABLES COAXIL Y UTP")</f>
        <v>FUENTES / UPS / CABLEADO / ACCESORIOS &gt; CABLES COAXIL Y UTP</v>
      </c>
      <c r="G1799" s="5"/>
      <c r="H1799" s="6">
        <f>IFERROR(__xludf.DUMMYFUNCTION("""COMPUTED_VALUE"""),150.39)</f>
        <v>150.39</v>
      </c>
      <c r="I1799" s="7">
        <f>IFERROR(__xludf.DUMMYFUNCTION("""COMPUTED_VALUE"""),21.0)</f>
        <v>21</v>
      </c>
      <c r="J1799" s="6">
        <f>IFERROR(__xludf.DUMMYFUNCTION("""COMPUTED_VALUE"""),180.47)</f>
        <v>180.47</v>
      </c>
      <c r="K1799" s="6">
        <f>IFERROR(__xludf.DUMMYFUNCTION("""COMPUTED_VALUE"""),210.55)</f>
        <v>210.55</v>
      </c>
      <c r="L1799" s="3"/>
      <c r="M1799" s="3"/>
    </row>
    <row r="1800" ht="48.0" customHeight="1">
      <c r="A1800" s="3" t="str">
        <f>IFERROR(__xludf.DUMMYFUNCTION("""COMPUTED_VALUE"""),"RVUTP501")</f>
        <v>RVUTP501</v>
      </c>
      <c r="B1800" s="4" t="str">
        <f>IFERROR(__xludf.DUMMYFUNCTION("""COMPUTED_VALUE"""),"CABLE UTP INDOOR CAT5E VAINA GRIS 100% COBRE (ROLLO DE 305M")</f>
        <v>CABLE UTP INDOOR CAT5E VAINA GRIS 100% COBRE (ROLLO DE 305M</v>
      </c>
      <c r="C1800" s="4" t="str">
        <f>IFERROR(__xludf.DUMMYFUNCTION("""COMPUTED_VALUE"""),"Cable UTP INDOOR CAT5e vaina gris 100% Cobre (rollo de 305m.)")</f>
        <v>Cable UTP INDOOR CAT5e vaina gris 100% Cobre (rollo de 305m.)</v>
      </c>
      <c r="D1800" s="4" t="str">
        <f>IFERROR(__xludf.DUMMYFUNCTION("""COMPUTED_VALUE"""),"REGUVOLT")</f>
        <v>REGUVOLT</v>
      </c>
      <c r="E1800" s="4" t="str">
        <f>IFERROR(__xludf.DUMMYFUNCTION("""COMPUTED_VALUE"""),"RVUTP501")</f>
        <v>RVUTP501</v>
      </c>
      <c r="F1800" s="4" t="str">
        <f>IFERROR(__xludf.DUMMYFUNCTION("""COMPUTED_VALUE"""),"FUENTES / UPS / CABLEADO / ACCESORIOS &gt; CABLES COAXIL Y UTP")</f>
        <v>FUENTES / UPS / CABLEADO / ACCESORIOS &gt; CABLES COAXIL Y UTP</v>
      </c>
      <c r="G1800" s="5"/>
      <c r="H1800" s="6">
        <f>IFERROR(__xludf.DUMMYFUNCTION("""COMPUTED_VALUE"""),0.0)</f>
        <v>0</v>
      </c>
      <c r="I1800" s="7">
        <f>IFERROR(__xludf.DUMMYFUNCTION("""COMPUTED_VALUE"""),21.0)</f>
        <v>21</v>
      </c>
      <c r="J1800" s="6">
        <f>IFERROR(__xludf.DUMMYFUNCTION("""COMPUTED_VALUE"""),0.0)</f>
        <v>0</v>
      </c>
      <c r="K1800" s="6">
        <f>IFERROR(__xludf.DUMMYFUNCTION("""COMPUTED_VALUE"""),0.0)</f>
        <v>0</v>
      </c>
      <c r="L1800" s="3"/>
      <c r="M1800" s="3"/>
    </row>
    <row r="1801" ht="48.0" customHeight="1">
      <c r="A1801" s="3" t="str">
        <f>IFERROR(__xludf.DUMMYFUNCTION("""COMPUTED_VALUE"""),"RVUTP502")</f>
        <v>RVUTP502</v>
      </c>
      <c r="B1801" s="4" t="str">
        <f>IFERROR(__xludf.DUMMYFUNCTION("""COMPUTED_VALUE"""),"CABLE UTP OUTDOOR CAT5E VAINA NEGRA 100% COBRE (ROLLO DE 305M")</f>
        <v>CABLE UTP OUTDOOR CAT5E VAINA NEGRA 100% COBRE (ROLLO DE 305M</v>
      </c>
      <c r="C1801" s="4" t="str">
        <f>IFERROR(__xludf.DUMMYFUNCTION("""COMPUTED_VALUE"""),"Cable UTP OUTDOOR CAT5e vaina negra 100% cobre (rollo de 305m.)")</f>
        <v>Cable UTP OUTDOOR CAT5e vaina negra 100% cobre (rollo de 305m.)</v>
      </c>
      <c r="D1801" s="4" t="str">
        <f>IFERROR(__xludf.DUMMYFUNCTION("""COMPUTED_VALUE"""),"REGUVOLT")</f>
        <v>REGUVOLT</v>
      </c>
      <c r="E1801" s="4" t="str">
        <f>IFERROR(__xludf.DUMMYFUNCTION("""COMPUTED_VALUE"""),"RVUTP502")</f>
        <v>RVUTP502</v>
      </c>
      <c r="F1801" s="4" t="str">
        <f>IFERROR(__xludf.DUMMYFUNCTION("""COMPUTED_VALUE"""),"FUENTES / UPS / CABLEADO / ACCESORIOS &gt; CABLES COAXIL Y UTP")</f>
        <v>FUENTES / UPS / CABLEADO / ACCESORIOS &gt; CABLES COAXIL Y UTP</v>
      </c>
      <c r="G1801" s="5"/>
      <c r="H1801" s="6">
        <f>IFERROR(__xludf.DUMMYFUNCTION("""COMPUTED_VALUE"""),0.0)</f>
        <v>0</v>
      </c>
      <c r="I1801" s="7">
        <f>IFERROR(__xludf.DUMMYFUNCTION("""COMPUTED_VALUE"""),21.0)</f>
        <v>21</v>
      </c>
      <c r="J1801" s="6">
        <f>IFERROR(__xludf.DUMMYFUNCTION("""COMPUTED_VALUE"""),0.0)</f>
        <v>0</v>
      </c>
      <c r="K1801" s="6">
        <f>IFERROR(__xludf.DUMMYFUNCTION("""COMPUTED_VALUE"""),0.0)</f>
        <v>0</v>
      </c>
      <c r="L1801" s="3"/>
      <c r="M1801" s="3"/>
    </row>
    <row r="1802" ht="48.0" customHeight="1">
      <c r="A1802" s="3" t="str">
        <f>IFERROR(__xludf.DUMMYFUNCTION("""COMPUTED_VALUE"""),"RVUTP503")</f>
        <v>RVUTP503</v>
      </c>
      <c r="B1802" s="4" t="str">
        <f>IFERROR(__xludf.DUMMYFUNCTION("""COMPUTED_VALUE"""),"CABLE UTP INDOOR CCA CAT5E VAINA GRIS (ROLLO DE 305M")</f>
        <v>CABLE UTP INDOOR CCA CAT5E VAINA GRIS (ROLLO DE 305M</v>
      </c>
      <c r="C1802" s="4" t="str">
        <f>IFERROR(__xludf.DUMMYFUNCTION("""COMPUTED_VALUE"""),"Cable UTP INDOOR CCA CAT5e vaina gris (rollo de 305m.)")</f>
        <v>Cable UTP INDOOR CCA CAT5e vaina gris (rollo de 305m.)</v>
      </c>
      <c r="D1802" s="4" t="str">
        <f>IFERROR(__xludf.DUMMYFUNCTION("""COMPUTED_VALUE"""),"REGUVOLT")</f>
        <v>REGUVOLT</v>
      </c>
      <c r="E1802" s="4" t="str">
        <f>IFERROR(__xludf.DUMMYFUNCTION("""COMPUTED_VALUE"""),"RVUTP503")</f>
        <v>RVUTP503</v>
      </c>
      <c r="F1802" s="4" t="str">
        <f>IFERROR(__xludf.DUMMYFUNCTION("""COMPUTED_VALUE"""),"FUENTES / UPS / CABLEADO / ACCESORIOS &gt; CABLES COAXIL Y UTP")</f>
        <v>FUENTES / UPS / CABLEADO / ACCESORIOS &gt; CABLES COAXIL Y UTP</v>
      </c>
      <c r="G1802" s="5"/>
      <c r="H1802" s="6">
        <f>IFERROR(__xludf.DUMMYFUNCTION("""COMPUTED_VALUE"""),47.3)</f>
        <v>47.3</v>
      </c>
      <c r="I1802" s="7">
        <f>IFERROR(__xludf.DUMMYFUNCTION("""COMPUTED_VALUE"""),21.0)</f>
        <v>21</v>
      </c>
      <c r="J1802" s="6">
        <f>IFERROR(__xludf.DUMMYFUNCTION("""COMPUTED_VALUE"""),56.76)</f>
        <v>56.76</v>
      </c>
      <c r="K1802" s="6">
        <f>IFERROR(__xludf.DUMMYFUNCTION("""COMPUTED_VALUE"""),66.22)</f>
        <v>66.22</v>
      </c>
      <c r="L1802" s="3"/>
      <c r="M1802" s="3"/>
    </row>
    <row r="1803" ht="48.0" customHeight="1">
      <c r="A1803" s="3" t="str">
        <f>IFERROR(__xludf.DUMMYFUNCTION("""COMPUTED_VALUE"""),"RVUTP504")</f>
        <v>RVUTP504</v>
      </c>
      <c r="B1803" s="4" t="str">
        <f>IFERROR(__xludf.DUMMYFUNCTION("""COMPUTED_VALUE"""),"CABLE UTP OUTDOOR CCA CAT5E VAINA NEGRA 24AWG (ROLLO DE 305MTS)")</f>
        <v>CABLE UTP OUTDOOR CCA CAT5E VAINA NEGRA 24AWG (ROLLO DE 305MTS)</v>
      </c>
      <c r="C1803" s="4" t="str">
        <f>IFERROR(__xludf.DUMMYFUNCTION("""COMPUTED_VALUE"""),"Cable UTP OUTDOOR CCA CAT5e vaina negra 24AWG (rollo de 305mts)")</f>
        <v>Cable UTP OUTDOOR CCA CAT5e vaina negra 24AWG (rollo de 305mts)</v>
      </c>
      <c r="D1803" s="4" t="str">
        <f>IFERROR(__xludf.DUMMYFUNCTION("""COMPUTED_VALUE"""),"REGUVOLT")</f>
        <v>REGUVOLT</v>
      </c>
      <c r="E1803" s="4" t="str">
        <f>IFERROR(__xludf.DUMMYFUNCTION("""COMPUTED_VALUE"""),"RVUTP504")</f>
        <v>RVUTP504</v>
      </c>
      <c r="F1803" s="4" t="str">
        <f>IFERROR(__xludf.DUMMYFUNCTION("""COMPUTED_VALUE"""),"FUENTES / UPS / CABLEADO / ACCESORIOS &gt; CABLES COAXIL Y UTP")</f>
        <v>FUENTES / UPS / CABLEADO / ACCESORIOS &gt; CABLES COAXIL Y UTP</v>
      </c>
      <c r="G1803" s="5"/>
      <c r="H1803" s="6">
        <f>IFERROR(__xludf.DUMMYFUNCTION("""COMPUTED_VALUE"""),53.9)</f>
        <v>53.9</v>
      </c>
      <c r="I1803" s="7">
        <f>IFERROR(__xludf.DUMMYFUNCTION("""COMPUTED_VALUE"""),21.0)</f>
        <v>21</v>
      </c>
      <c r="J1803" s="6">
        <f>IFERROR(__xludf.DUMMYFUNCTION("""COMPUTED_VALUE"""),64.68)</f>
        <v>64.68</v>
      </c>
      <c r="K1803" s="6">
        <f>IFERROR(__xludf.DUMMYFUNCTION("""COMPUTED_VALUE"""),75.46)</f>
        <v>75.46</v>
      </c>
      <c r="L1803" s="3"/>
      <c r="M1803" s="3"/>
    </row>
    <row r="1804" ht="48.0" customHeight="1">
      <c r="A1804" s="3" t="str">
        <f>IFERROR(__xludf.DUMMYFUNCTION("""COMPUTED_VALUE"""),"RVUTP506")</f>
        <v>RVUTP506</v>
      </c>
      <c r="B1804" s="4" t="str">
        <f>IFERROR(__xludf.DUMMYFUNCTION("""COMPUTED_VALUE"""),"CABLE UTP OUTDOOR CCA CAT5E DOBLE VAINA NEGRA 24AWG")</f>
        <v>CABLE UTP OUTDOOR CCA CAT5E DOBLE VAINA NEGRA 24AWG</v>
      </c>
      <c r="C1804" s="4" t="str">
        <f>IFERROR(__xludf.DUMMYFUNCTION("""COMPUTED_VALUE"""),"Cable UTP OUTDOOR CCA CAT5e doble vaina negra 24AWG (rollo de 305mts)")</f>
        <v>Cable UTP OUTDOOR CCA CAT5e doble vaina negra 24AWG (rollo de 305mts)</v>
      </c>
      <c r="D1804" s="4" t="str">
        <f>IFERROR(__xludf.DUMMYFUNCTION("""COMPUTED_VALUE"""),"REGUVOLT")</f>
        <v>REGUVOLT</v>
      </c>
      <c r="E1804" s="4" t="str">
        <f>IFERROR(__xludf.DUMMYFUNCTION("""COMPUTED_VALUE"""),"RVUTP506")</f>
        <v>RVUTP506</v>
      </c>
      <c r="F1804" s="4" t="str">
        <f>IFERROR(__xludf.DUMMYFUNCTION("""COMPUTED_VALUE"""),"FUENTES / UPS / CABLEADO / ACCESORIOS &gt; CABLES COAXIL Y UTP")</f>
        <v>FUENTES / UPS / CABLEADO / ACCESORIOS &gt; CABLES COAXIL Y UTP</v>
      </c>
      <c r="G1804" s="5"/>
      <c r="H1804" s="6">
        <f>IFERROR(__xludf.DUMMYFUNCTION("""COMPUTED_VALUE"""),0.0)</f>
        <v>0</v>
      </c>
      <c r="I1804" s="7">
        <f>IFERROR(__xludf.DUMMYFUNCTION("""COMPUTED_VALUE"""),21.0)</f>
        <v>21</v>
      </c>
      <c r="J1804" s="6">
        <f>IFERROR(__xludf.DUMMYFUNCTION("""COMPUTED_VALUE"""),0.0)</f>
        <v>0</v>
      </c>
      <c r="K1804" s="6">
        <f>IFERROR(__xludf.DUMMYFUNCTION("""COMPUTED_VALUE"""),0.0)</f>
        <v>0</v>
      </c>
      <c r="L1804" s="3"/>
      <c r="M1804" s="3"/>
    </row>
    <row r="1805" ht="48.0" customHeight="1">
      <c r="A1805" s="3" t="str">
        <f>IFERROR(__xludf.DUMMYFUNCTION("""COMPUTED_VALUE"""),"RVUTP507")</f>
        <v>RVUTP507</v>
      </c>
      <c r="B1805" s="4" t="str">
        <f>IFERROR(__xludf.DUMMYFUNCTION("""COMPUTED_VALUE"""),"CABLE UTP INDOOR CCA CAT5E VAINA BLANCA 24AWG (ROLLO DE 305MTS)")</f>
        <v>CABLE UTP INDOOR CCA CAT5E VAINA BLANCA 24AWG (ROLLO DE 305MTS)</v>
      </c>
      <c r="C1805" s="4" t="str">
        <f>IFERROR(__xludf.DUMMYFUNCTION("""COMPUTED_VALUE"""),"Cable UTP INDOOR CCA CAT5e vaina blanca 24AWG (rollo de 305mts)")</f>
        <v>Cable UTP INDOOR CCA CAT5e vaina blanca 24AWG (rollo de 305mts)</v>
      </c>
      <c r="D1805" s="4" t="str">
        <f>IFERROR(__xludf.DUMMYFUNCTION("""COMPUTED_VALUE"""),"REGUVOLT")</f>
        <v>REGUVOLT</v>
      </c>
      <c r="E1805" s="4" t="str">
        <f>IFERROR(__xludf.DUMMYFUNCTION("""COMPUTED_VALUE"""),"RVUTP507")</f>
        <v>RVUTP507</v>
      </c>
      <c r="F1805" s="4" t="str">
        <f>IFERROR(__xludf.DUMMYFUNCTION("""COMPUTED_VALUE"""),"FUENTES / UPS / CABLEADO / ACCESORIOS &gt; CABLES COAXIL Y UTP")</f>
        <v>FUENTES / UPS / CABLEADO / ACCESORIOS &gt; CABLES COAXIL Y UTP</v>
      </c>
      <c r="G1805" s="5"/>
      <c r="H1805" s="6">
        <f>IFERROR(__xludf.DUMMYFUNCTION("""COMPUTED_VALUE"""),47.3)</f>
        <v>47.3</v>
      </c>
      <c r="I1805" s="7">
        <f>IFERROR(__xludf.DUMMYFUNCTION("""COMPUTED_VALUE"""),21.0)</f>
        <v>21</v>
      </c>
      <c r="J1805" s="6">
        <f>IFERROR(__xludf.DUMMYFUNCTION("""COMPUTED_VALUE"""),56.76)</f>
        <v>56.76</v>
      </c>
      <c r="K1805" s="6">
        <f>IFERROR(__xludf.DUMMYFUNCTION("""COMPUTED_VALUE"""),66.22)</f>
        <v>66.22</v>
      </c>
      <c r="L1805" s="3"/>
      <c r="M1805" s="3"/>
    </row>
    <row r="1806" ht="48.0" customHeight="1">
      <c r="A1806" s="3" t="str">
        <f>IFERROR(__xludf.DUMMYFUNCTION("""COMPUTED_VALUE"""),"RVUTP601")</f>
        <v>RVUTP601</v>
      </c>
      <c r="B1806" s="4" t="str">
        <f>IFERROR(__xludf.DUMMYFUNCTION("""COMPUTED_VALUE"""),"CABLE UTP INDOOR CAT6 VAINA GRIS 100% COBRE 23AWG (ROLLO DE 305M")</f>
        <v>CABLE UTP INDOOR CAT6 VAINA GRIS 100% COBRE 23AWG (ROLLO DE 305M</v>
      </c>
      <c r="C1806" s="4" t="str">
        <f>IFERROR(__xludf.DUMMYFUNCTION("""COMPUTED_VALUE"""),"Cable UTP INDOOR CAT6 vaina Gris 100% Cobre 23AWG (rollo de 305m.)")</f>
        <v>Cable UTP INDOOR CAT6 vaina Gris 100% Cobre 23AWG (rollo de 305m.)</v>
      </c>
      <c r="D1806" s="4" t="str">
        <f>IFERROR(__xludf.DUMMYFUNCTION("""COMPUTED_VALUE"""),"REGUVOLT")</f>
        <v>REGUVOLT</v>
      </c>
      <c r="E1806" s="4" t="str">
        <f>IFERROR(__xludf.DUMMYFUNCTION("""COMPUTED_VALUE"""),"RVUTP601")</f>
        <v>RVUTP601</v>
      </c>
      <c r="F1806" s="4" t="str">
        <f>IFERROR(__xludf.DUMMYFUNCTION("""COMPUTED_VALUE"""),"FUENTES / UPS / CABLEADO / ACCESORIOS &gt; CABLES COAXIL Y UTP")</f>
        <v>FUENTES / UPS / CABLEADO / ACCESORIOS &gt; CABLES COAXIL Y UTP</v>
      </c>
      <c r="G1806" s="5"/>
      <c r="H1806" s="6">
        <f>IFERROR(__xludf.DUMMYFUNCTION("""COMPUTED_VALUE"""),0.0)</f>
        <v>0</v>
      </c>
      <c r="I1806" s="7">
        <f>IFERROR(__xludf.DUMMYFUNCTION("""COMPUTED_VALUE"""),21.0)</f>
        <v>21</v>
      </c>
      <c r="J1806" s="6">
        <f>IFERROR(__xludf.DUMMYFUNCTION("""COMPUTED_VALUE"""),0.0)</f>
        <v>0</v>
      </c>
      <c r="K1806" s="6">
        <f>IFERROR(__xludf.DUMMYFUNCTION("""COMPUTED_VALUE"""),0.0)</f>
        <v>0</v>
      </c>
      <c r="L1806" s="3"/>
      <c r="M1806" s="3"/>
    </row>
    <row r="1807" ht="48.0" customHeight="1">
      <c r="A1807" s="3" t="str">
        <f>IFERROR(__xludf.DUMMYFUNCTION("""COMPUTED_VALUE"""),"RVUTP602")</f>
        <v>RVUTP602</v>
      </c>
      <c r="B1807" s="4" t="str">
        <f>IFERROR(__xludf.DUMMYFUNCTION("""COMPUTED_VALUE"""),"CABLE UTP OUTDOOR CAT6 VAINA NEGRA 100% COBRE 23AWG (ROLLO DE 305M")</f>
        <v>CABLE UTP OUTDOOR CAT6 VAINA NEGRA 100% COBRE 23AWG (ROLLO DE 305M</v>
      </c>
      <c r="C1807" s="4" t="str">
        <f>IFERROR(__xludf.DUMMYFUNCTION("""COMPUTED_VALUE"""),"Cable UTP OUTDOOR CAT6 vaina negra 100% Cobre 23AWG (rollo de 305m.)")</f>
        <v>Cable UTP OUTDOOR CAT6 vaina negra 100% Cobre 23AWG (rollo de 305m.)</v>
      </c>
      <c r="D1807" s="4" t="str">
        <f>IFERROR(__xludf.DUMMYFUNCTION("""COMPUTED_VALUE"""),"REGUVOLT")</f>
        <v>REGUVOLT</v>
      </c>
      <c r="E1807" s="4" t="str">
        <f>IFERROR(__xludf.DUMMYFUNCTION("""COMPUTED_VALUE"""),"RVUTP602")</f>
        <v>RVUTP602</v>
      </c>
      <c r="F1807" s="4" t="str">
        <f>IFERROR(__xludf.DUMMYFUNCTION("""COMPUTED_VALUE"""),"FUENTES / UPS / CABLEADO / ACCESORIOS &gt; CABLES COAXIL Y UTP")</f>
        <v>FUENTES / UPS / CABLEADO / ACCESORIOS &gt; CABLES COAXIL Y UTP</v>
      </c>
      <c r="G1807" s="5"/>
      <c r="H1807" s="6">
        <f>IFERROR(__xludf.DUMMYFUNCTION("""COMPUTED_VALUE"""),0.0)</f>
        <v>0</v>
      </c>
      <c r="I1807" s="7">
        <f>IFERROR(__xludf.DUMMYFUNCTION("""COMPUTED_VALUE"""),21.0)</f>
        <v>21</v>
      </c>
      <c r="J1807" s="6">
        <f>IFERROR(__xludf.DUMMYFUNCTION("""COMPUTED_VALUE"""),0.0)</f>
        <v>0</v>
      </c>
      <c r="K1807" s="6">
        <f>IFERROR(__xludf.DUMMYFUNCTION("""COMPUTED_VALUE"""),0.0)</f>
        <v>0</v>
      </c>
      <c r="L1807" s="3"/>
      <c r="M1807" s="3"/>
    </row>
    <row r="1808" ht="48.0" customHeight="1">
      <c r="A1808" s="3" t="str">
        <f>IFERROR(__xludf.DUMMYFUNCTION("""COMPUTED_VALUE"""),"RVUTP603")</f>
        <v>RVUTP603</v>
      </c>
      <c r="B1808" s="4" t="str">
        <f>IFERROR(__xludf.DUMMYFUNCTION("""COMPUTED_VALUE"""),"CABLE UTP OUTDOOR CAT6 VAINA BLANCA 100% COBRE 23AWG (ROLLO DE 305M")</f>
        <v>CABLE UTP OUTDOOR CAT6 VAINA BLANCA 100% COBRE 23AWG (ROLLO DE 305M</v>
      </c>
      <c r="C1808" s="4" t="str">
        <f>IFERROR(__xludf.DUMMYFUNCTION("""COMPUTED_VALUE"""),"Cable UTP OUTDOOR CAT6 vaina blanca 100% Cobre 23AWG (rollo de 305m.)")</f>
        <v>Cable UTP OUTDOOR CAT6 vaina blanca 100% Cobre 23AWG (rollo de 305m.)</v>
      </c>
      <c r="D1808" s="4" t="str">
        <f>IFERROR(__xludf.DUMMYFUNCTION("""COMPUTED_VALUE"""),"REGUVOLT")</f>
        <v>REGUVOLT</v>
      </c>
      <c r="E1808" s="4" t="str">
        <f>IFERROR(__xludf.DUMMYFUNCTION("""COMPUTED_VALUE"""),"RVUTP603")</f>
        <v>RVUTP603</v>
      </c>
      <c r="F1808" s="4" t="str">
        <f>IFERROR(__xludf.DUMMYFUNCTION("""COMPUTED_VALUE"""),"FUENTES / UPS / CABLEADO / ACCESORIOS &gt; CABLES COAXIL Y UTP")</f>
        <v>FUENTES / UPS / CABLEADO / ACCESORIOS &gt; CABLES COAXIL Y UTP</v>
      </c>
      <c r="G1808" s="5"/>
      <c r="H1808" s="6">
        <f>IFERROR(__xludf.DUMMYFUNCTION("""COMPUTED_VALUE"""),0.0)</f>
        <v>0</v>
      </c>
      <c r="I1808" s="7">
        <f>IFERROR(__xludf.DUMMYFUNCTION("""COMPUTED_VALUE"""),21.0)</f>
        <v>21</v>
      </c>
      <c r="J1808" s="6">
        <f>IFERROR(__xludf.DUMMYFUNCTION("""COMPUTED_VALUE"""),0.0)</f>
        <v>0</v>
      </c>
      <c r="K1808" s="6">
        <f>IFERROR(__xludf.DUMMYFUNCTION("""COMPUTED_VALUE"""),0.0)</f>
        <v>0</v>
      </c>
      <c r="L1808" s="3"/>
      <c r="M1808" s="3"/>
    </row>
    <row r="1809" ht="48.0" customHeight="1">
      <c r="A1809" s="3" t="str">
        <f>IFERROR(__xludf.DUMMYFUNCTION("""COMPUTED_VALUE"""),"RVUTP604")</f>
        <v>RVUTP604</v>
      </c>
      <c r="B1809" s="4" t="str">
        <f>IFERROR(__xludf.DUMMYFUNCTION("""COMPUTED_VALUE"""),"CABLE UTP INDOOR CAT6 VAINA GRIS LSZH 100% COBRE")</f>
        <v>CABLE UTP INDOOR CAT6 VAINA GRIS LSZH 100% COBRE</v>
      </c>
      <c r="C1809" s="4" t="str">
        <f>IFERROR(__xludf.DUMMYFUNCTION("""COMPUTED_VALUE"""),"Cable UTP INDOOR CAT6 vaina gris LSZH 100% Cobre 23AWG (rollo de 305m.)")</f>
        <v>Cable UTP INDOOR CAT6 vaina gris LSZH 100% Cobre 23AWG (rollo de 305m.)</v>
      </c>
      <c r="D1809" s="4" t="str">
        <f>IFERROR(__xludf.DUMMYFUNCTION("""COMPUTED_VALUE"""),"REGUVOLT")</f>
        <v>REGUVOLT</v>
      </c>
      <c r="E1809" s="4" t="str">
        <f>IFERROR(__xludf.DUMMYFUNCTION("""COMPUTED_VALUE"""),"RVUTP604")</f>
        <v>RVUTP604</v>
      </c>
      <c r="F1809" s="4" t="str">
        <f>IFERROR(__xludf.DUMMYFUNCTION("""COMPUTED_VALUE"""),"FUENTES / UPS / CABLEADO / ACCESORIOS &gt; CABLES COAXIL Y UTP")</f>
        <v>FUENTES / UPS / CABLEADO / ACCESORIOS &gt; CABLES COAXIL Y UTP</v>
      </c>
      <c r="G1809" s="5"/>
      <c r="H1809" s="6">
        <f>IFERROR(__xludf.DUMMYFUNCTION("""COMPUTED_VALUE"""),0.0)</f>
        <v>0</v>
      </c>
      <c r="I1809" s="7">
        <f>IFERROR(__xludf.DUMMYFUNCTION("""COMPUTED_VALUE"""),21.0)</f>
        <v>21</v>
      </c>
      <c r="J1809" s="6">
        <f>IFERROR(__xludf.DUMMYFUNCTION("""COMPUTED_VALUE"""),0.0)</f>
        <v>0</v>
      </c>
      <c r="K1809" s="6">
        <f>IFERROR(__xludf.DUMMYFUNCTION("""COMPUTED_VALUE"""),0.0)</f>
        <v>0</v>
      </c>
      <c r="L1809" s="3"/>
      <c r="M1809" s="3"/>
    </row>
    <row r="1810" ht="48.0" customHeight="1">
      <c r="A1810" s="3" t="str">
        <f>IFERROR(__xludf.DUMMYFUNCTION("""COMPUTED_VALUE"""),"FUTP5EINT")</f>
        <v>FUTP5EINT</v>
      </c>
      <c r="B1810" s="4" t="str">
        <f>IFERROR(__xludf.DUMMYFUNCTION("""COMPUTED_VALUE"""),"CABLE UTP CAT5E INTERIOR 305M SOHOPLUS AZUL (23200115)")</f>
        <v>CABLE UTP CAT5E INTERIOR 305M SOHOPLUS AZUL (23200115)</v>
      </c>
      <c r="C1810" s="4" t="str">
        <f>IFERROR(__xludf.DUMMYFUNCTION("""COMPUTED_VALUE"""),"Cable UTP CAT5E interior 305M SohoPlus Azul (23200115)")</f>
        <v>Cable UTP CAT5E interior 305M SohoPlus Azul (23200115)</v>
      </c>
      <c r="D1810" s="4" t="str">
        <f>IFERROR(__xludf.DUMMYFUNCTION("""COMPUTED_VALUE"""),"FURUKAWA")</f>
        <v>FURUKAWA</v>
      </c>
      <c r="E1810" s="4" t="str">
        <f>IFERROR(__xludf.DUMMYFUNCTION("""COMPUTED_VALUE"""),"FUTP5EINT")</f>
        <v>FUTP5EINT</v>
      </c>
      <c r="F1810" s="4" t="str">
        <f>IFERROR(__xludf.DUMMYFUNCTION("""COMPUTED_VALUE"""),"FUENTES / UPS / CABLEADO / ACCESORIOS &gt; CABLES COAXIL Y UTP")</f>
        <v>FUENTES / UPS / CABLEADO / ACCESORIOS &gt; CABLES COAXIL Y UTP</v>
      </c>
      <c r="G1810" s="5"/>
      <c r="H1810" s="6">
        <f>IFERROR(__xludf.DUMMYFUNCTION("""COMPUTED_VALUE"""),145.75)</f>
        <v>145.75</v>
      </c>
      <c r="I1810" s="7">
        <f>IFERROR(__xludf.DUMMYFUNCTION("""COMPUTED_VALUE"""),21.0)</f>
        <v>21</v>
      </c>
      <c r="J1810" s="6">
        <f>IFERROR(__xludf.DUMMYFUNCTION("""COMPUTED_VALUE"""),174.9)</f>
        <v>174.9</v>
      </c>
      <c r="K1810" s="6">
        <f>IFERROR(__xludf.DUMMYFUNCTION("""COMPUTED_VALUE"""),204.05)</f>
        <v>204.05</v>
      </c>
      <c r="L1810" s="3"/>
      <c r="M1810" s="3"/>
    </row>
    <row r="1811" ht="48.0" customHeight="1">
      <c r="A1811" s="3" t="str">
        <f>IFERROR(__xludf.DUMMYFUNCTION("""COMPUTED_VALUE"""),"FUTP5EEXT")</f>
        <v>FUTP5EEXT</v>
      </c>
      <c r="B1811" s="4" t="str">
        <f>IFERROR(__xludf.DUMMYFUNCTION("""COMPUTED_VALUE"""),"CABLE UTP CAT5E EXTERIOR 305M NEGRO (23200110)")</f>
        <v>CABLE UTP CAT5E EXTERIOR 305M NEGRO (23200110)</v>
      </c>
      <c r="C1811" s="4" t="str">
        <f>IFERROR(__xludf.DUMMYFUNCTION("""COMPUTED_VALUE"""),"Cable UTP CAT5E exterior 305M Negro (23200110)")</f>
        <v>Cable UTP CAT5E exterior 305M Negro (23200110)</v>
      </c>
      <c r="D1811" s="4" t="str">
        <f>IFERROR(__xludf.DUMMYFUNCTION("""COMPUTED_VALUE"""),"FURUKAWA")</f>
        <v>FURUKAWA</v>
      </c>
      <c r="E1811" s="4" t="str">
        <f>IFERROR(__xludf.DUMMYFUNCTION("""COMPUTED_VALUE"""),"FUTP5EEXT")</f>
        <v>FUTP5EEXT</v>
      </c>
      <c r="F1811" s="4" t="str">
        <f>IFERROR(__xludf.DUMMYFUNCTION("""COMPUTED_VALUE"""),"FUENTES / UPS / CABLEADO / ACCESORIOS &gt; CABLES COAXIL Y UTP")</f>
        <v>FUENTES / UPS / CABLEADO / ACCESORIOS &gt; CABLES COAXIL Y UTP</v>
      </c>
      <c r="G1811" s="5"/>
      <c r="H1811" s="6">
        <f>IFERROR(__xludf.DUMMYFUNCTION("""COMPUTED_VALUE"""),0.0)</f>
        <v>0</v>
      </c>
      <c r="I1811" s="7">
        <f>IFERROR(__xludf.DUMMYFUNCTION("""COMPUTED_VALUE"""),21.0)</f>
        <v>21</v>
      </c>
      <c r="J1811" s="6">
        <f>IFERROR(__xludf.DUMMYFUNCTION("""COMPUTED_VALUE"""),0.0)</f>
        <v>0</v>
      </c>
      <c r="K1811" s="6">
        <f>IFERROR(__xludf.DUMMYFUNCTION("""COMPUTED_VALUE"""),0.0)</f>
        <v>0</v>
      </c>
      <c r="L1811" s="3"/>
      <c r="M1811" s="3"/>
    </row>
    <row r="1812" ht="48.0" customHeight="1">
      <c r="A1812" s="3" t="str">
        <f>IFERROR(__xludf.DUMMYFUNCTION("""COMPUTED_VALUE"""),"FUTP6INT")</f>
        <v>FUTP6INT</v>
      </c>
      <c r="B1812" s="4" t="str">
        <f>IFERROR(__xludf.DUMMYFUNCTION("""COMPUTED_VALUE"""),"CABLE UTP CAT6 INTERIOR 305M GRIS IEC603321 (23400142) (23400149)")</f>
        <v>CABLE UTP CAT6 INTERIOR 305M GRIS IEC603321 (23400142) (23400149)</v>
      </c>
      <c r="C1812" s="4" t="str">
        <f>IFERROR(__xludf.DUMMYFUNCTION("""COMPUTED_VALUE"""),"Cable UTP CAT6 interior 305M Gris IEC603321 (23400142) (23400149)")</f>
        <v>Cable UTP CAT6 interior 305M Gris IEC603321 (23400142) (23400149)</v>
      </c>
      <c r="D1812" s="4" t="str">
        <f>IFERROR(__xludf.DUMMYFUNCTION("""COMPUTED_VALUE"""),"FURUKAWA")</f>
        <v>FURUKAWA</v>
      </c>
      <c r="E1812" s="4" t="str">
        <f>IFERROR(__xludf.DUMMYFUNCTION("""COMPUTED_VALUE"""),"FUTP6INT")</f>
        <v>FUTP6INT</v>
      </c>
      <c r="F1812" s="4" t="str">
        <f>IFERROR(__xludf.DUMMYFUNCTION("""COMPUTED_VALUE"""),"FUENTES / UPS / CABLEADO / ACCESORIOS &gt; CABLES COAXIL Y UTP")</f>
        <v>FUENTES / UPS / CABLEADO / ACCESORIOS &gt; CABLES COAXIL Y UTP</v>
      </c>
      <c r="G1812" s="5"/>
      <c r="H1812" s="6">
        <f>IFERROR(__xludf.DUMMYFUNCTION("""COMPUTED_VALUE"""),199.38)</f>
        <v>199.38</v>
      </c>
      <c r="I1812" s="7">
        <f>IFERROR(__xludf.DUMMYFUNCTION("""COMPUTED_VALUE"""),21.0)</f>
        <v>21</v>
      </c>
      <c r="J1812" s="6">
        <f>IFERROR(__xludf.DUMMYFUNCTION("""COMPUTED_VALUE"""),239.26)</f>
        <v>239.26</v>
      </c>
      <c r="K1812" s="6">
        <f>IFERROR(__xludf.DUMMYFUNCTION("""COMPUTED_VALUE"""),279.13)</f>
        <v>279.13</v>
      </c>
      <c r="L1812" s="3"/>
      <c r="M1812" s="3"/>
    </row>
    <row r="1813" ht="48.0" customHeight="1">
      <c r="A1813" s="3" t="str">
        <f>IFERROR(__xludf.DUMMYFUNCTION("""COMPUTED_VALUE"""),"FUTP6EXT")</f>
        <v>FUTP6EXT</v>
      </c>
      <c r="B1813" s="4" t="str">
        <f>IFERROR(__xludf.DUMMYFUNCTION("""COMPUTED_VALUE"""),"CABLE UTP CAT6 EXTERIOR 305M NEGRO IEC603321 (23400175)")</f>
        <v>CABLE UTP CAT6 EXTERIOR 305M NEGRO IEC603321 (23400175)</v>
      </c>
      <c r="C1813" s="4" t="str">
        <f>IFERROR(__xludf.DUMMYFUNCTION("""COMPUTED_VALUE"""),"Cable UTP CAT6 exterior 305M Negro IEC603321 (23400175)")</f>
        <v>Cable UTP CAT6 exterior 305M Negro IEC603321 (23400175)</v>
      </c>
      <c r="D1813" s="4" t="str">
        <f>IFERROR(__xludf.DUMMYFUNCTION("""COMPUTED_VALUE"""),"FURUKAWA")</f>
        <v>FURUKAWA</v>
      </c>
      <c r="E1813" s="4" t="str">
        <f>IFERROR(__xludf.DUMMYFUNCTION("""COMPUTED_VALUE"""),"FUTP6EXT")</f>
        <v>FUTP6EXT</v>
      </c>
      <c r="F1813" s="4" t="str">
        <f>IFERROR(__xludf.DUMMYFUNCTION("""COMPUTED_VALUE"""),"FUENTES / UPS / CABLEADO / ACCESORIOS &gt; CABLES COAXIL Y UTP")</f>
        <v>FUENTES / UPS / CABLEADO / ACCESORIOS &gt; CABLES COAXIL Y UTP</v>
      </c>
      <c r="G1813" s="5"/>
      <c r="H1813" s="6">
        <f>IFERROR(__xludf.DUMMYFUNCTION("""COMPUTED_VALUE"""),334.06)</f>
        <v>334.06</v>
      </c>
      <c r="I1813" s="7">
        <f>IFERROR(__xludf.DUMMYFUNCTION("""COMPUTED_VALUE"""),21.0)</f>
        <v>21</v>
      </c>
      <c r="J1813" s="6">
        <f>IFERROR(__xludf.DUMMYFUNCTION("""COMPUTED_VALUE"""),400.87)</f>
        <v>400.87</v>
      </c>
      <c r="K1813" s="6">
        <f>IFERROR(__xludf.DUMMYFUNCTION("""COMPUTED_VALUE"""),467.68)</f>
        <v>467.68</v>
      </c>
      <c r="L1813" s="3"/>
      <c r="M1813" s="3"/>
    </row>
    <row r="1814" ht="48.0" customHeight="1">
      <c r="A1814" s="3" t="str">
        <f>IFERROR(__xludf.DUMMYFUNCTION("""COMPUTED_VALUE"""),"FUTP6LSZH")</f>
        <v>FUTP6LSZH</v>
      </c>
      <c r="B1814" s="4" t="str">
        <f>IFERROR(__xludf.DUMMYFUNCTION("""COMPUTED_VALUE"""),"CABLE UTP CAT6 INTERIOR 305M VERDE LSZH (23400195)")</f>
        <v>CABLE UTP CAT6 INTERIOR 305M VERDE LSZH (23400195)</v>
      </c>
      <c r="C1814" s="4" t="str">
        <f>IFERROR(__xludf.DUMMYFUNCTION("""COMPUTED_VALUE"""),"Cable UTP CAT6 interior 305M Verde LSZH (23400195)")</f>
        <v>Cable UTP CAT6 interior 305M Verde LSZH (23400195)</v>
      </c>
      <c r="D1814" s="4" t="str">
        <f>IFERROR(__xludf.DUMMYFUNCTION("""COMPUTED_VALUE"""),"FURUKAWA")</f>
        <v>FURUKAWA</v>
      </c>
      <c r="E1814" s="4" t="str">
        <f>IFERROR(__xludf.DUMMYFUNCTION("""COMPUTED_VALUE"""),"FUTP6LSZH")</f>
        <v>FUTP6LSZH</v>
      </c>
      <c r="F1814" s="4" t="str">
        <f>IFERROR(__xludf.DUMMYFUNCTION("""COMPUTED_VALUE"""),"FUENTES / UPS / CABLEADO / ACCESORIOS &gt; CABLES COAXIL Y UTP")</f>
        <v>FUENTES / UPS / CABLEADO / ACCESORIOS &gt; CABLES COAXIL Y UTP</v>
      </c>
      <c r="G1814" s="5"/>
      <c r="H1814" s="6">
        <f>IFERROR(__xludf.DUMMYFUNCTION("""COMPUTED_VALUE"""),0.0)</f>
        <v>0</v>
      </c>
      <c r="I1814" s="7">
        <f>IFERROR(__xludf.DUMMYFUNCTION("""COMPUTED_VALUE"""),21.0)</f>
        <v>21</v>
      </c>
      <c r="J1814" s="6">
        <f>IFERROR(__xludf.DUMMYFUNCTION("""COMPUTED_VALUE"""),0.0)</f>
        <v>0</v>
      </c>
      <c r="K1814" s="6">
        <f>IFERROR(__xludf.DUMMYFUNCTION("""COMPUTED_VALUE"""),0.0)</f>
        <v>0</v>
      </c>
      <c r="L1814" s="3"/>
      <c r="M1814" s="3"/>
    </row>
    <row r="1815" ht="48.0" customHeight="1">
      <c r="A1815" s="3" t="str">
        <f>IFERROR(__xludf.DUMMYFUNCTION("""COMPUTED_VALUE"""),"KITPOWERCAM")</f>
        <v>KITPOWERCAM</v>
      </c>
      <c r="B1815" s="4" t="str">
        <f>IFERROR(__xludf.DUMMYFUNCTION("""COMPUTED_VALUE"""),"KIT ALIMENTACION DE CAMARAS INCLUYE: 4X FSHDP4101P BALUNES HD")</f>
        <v>KIT ALIMENTACION DE CAMARAS INCLUYE: 4X FSHDP4101P BALUNES HD</v>
      </c>
      <c r="C1815" s="4" t="str">
        <f>IFERROR(__xludf.DUMMYFUNCTION("""COMPUTED_VALUE"""),"Kit alimentacion de camaras incluye: 4x FSHDP4101P balunes HD + 4 FSDCMC Plug macho + 4 FSDCFC Plug hembra + 4x TACP2100 Caja Estanco 90x90x55 + 1x SW125 Fuente 12V5A + 1x FSPULP4 pulpo de 1 x 4")</f>
        <v>Kit alimentacion de camaras incluye: 4x FSHDP4101P balunes HD + 4 FSDCMC Plug macho + 4 FSDCFC Plug hembra + 4x TACP2100 Caja Estanco 90x90x55 + 1x SW125 Fuente 12V5A + 1x FSPULP4 pulpo de 1 x 4</v>
      </c>
      <c r="D1815" s="4" t="str">
        <f>IFERROR(__xludf.DUMMYFUNCTION("""COMPUTED_VALUE"""),"OWL")</f>
        <v>OWL</v>
      </c>
      <c r="E1815" s="4" t="str">
        <f>IFERROR(__xludf.DUMMYFUNCTION("""COMPUTED_VALUE"""),"KITPOWERCAM")</f>
        <v>KITPOWERCAM</v>
      </c>
      <c r="F1815" s="4" t="str">
        <f>IFERROR(__xludf.DUMMYFUNCTION("""COMPUTED_VALUE"""),"FUENTES / UPS / CABLEADO / ACCESORIOS &gt; FICHAS Y ACCESORIOS")</f>
        <v>FUENTES / UPS / CABLEADO / ACCESORIOS &gt; FICHAS Y ACCESORIOS</v>
      </c>
      <c r="G1815" s="5"/>
      <c r="H1815" s="6">
        <f>IFERROR(__xludf.DUMMYFUNCTION("""COMPUTED_VALUE"""),28.99)</f>
        <v>28.99</v>
      </c>
      <c r="I1815" s="7">
        <f>IFERROR(__xludf.DUMMYFUNCTION("""COMPUTED_VALUE"""),21.0)</f>
        <v>21</v>
      </c>
      <c r="J1815" s="6">
        <f>IFERROR(__xludf.DUMMYFUNCTION("""COMPUTED_VALUE"""),34.79)</f>
        <v>34.79</v>
      </c>
      <c r="K1815" s="6">
        <f>IFERROR(__xludf.DUMMYFUNCTION("""COMPUTED_VALUE"""),40.59)</f>
        <v>40.59</v>
      </c>
      <c r="L1815" s="3"/>
      <c r="M1815" s="3"/>
    </row>
    <row r="1816" ht="48.0" customHeight="1">
      <c r="A1816" s="3" t="str">
        <f>IFERROR(__xludf.DUMMYFUNCTION("""COMPUTED_VALUE"""),"KITPOWERCAM-ECO")</f>
        <v>KITPOWERCAM-ECO</v>
      </c>
      <c r="B1816" s="4" t="str">
        <f>IFERROR(__xludf.DUMMYFUNCTION("""COMPUTED_VALUE"""),"KIT ALIMENTACION DE CAMARAS INCLUYE: 4 X FSHD926 BALUNES")</f>
        <v>KIT ALIMENTACION DE CAMARAS INCLUYE: 4 X FSHD926 BALUNES</v>
      </c>
      <c r="C1816" s="4" t="str">
        <f>IFERROR(__xludf.DUMMYFUNCTION("""COMPUTED_VALUE"""),"Kit alimentacion de camaras incluye: 4 x FSHD926 balunes HD + 4 FSDCMC Plug macho + 4 FSDCFC Plug hembra + 4x TACI-ECO2100 Caja Estanco 90x90x55 + 1x SW125 Fuente 12V5A + 1x FSPULP4 pulpo de 1 x 4")</f>
        <v>Kit alimentacion de camaras incluye: 4 x FSHD926 balunes HD + 4 FSDCMC Plug macho + 4 FSDCFC Plug hembra + 4x TACI-ECO2100 Caja Estanco 90x90x55 + 1x SW125 Fuente 12V5A + 1x FSPULP4 pulpo de 1 x 4</v>
      </c>
      <c r="D1816" s="4" t="str">
        <f>IFERROR(__xludf.DUMMYFUNCTION("""COMPUTED_VALUE"""),"OWL")</f>
        <v>OWL</v>
      </c>
      <c r="E1816" s="4" t="str">
        <f>IFERROR(__xludf.DUMMYFUNCTION("""COMPUTED_VALUE"""),"KITPOWERCAM-ECO")</f>
        <v>KITPOWERCAM-ECO</v>
      </c>
      <c r="F1816" s="4" t="str">
        <f>IFERROR(__xludf.DUMMYFUNCTION("""COMPUTED_VALUE"""),"FUENTES / UPS / CABLEADO / ACCESORIOS &gt; FICHAS Y ACCESORIOS")</f>
        <v>FUENTES / UPS / CABLEADO / ACCESORIOS &gt; FICHAS Y ACCESORIOS</v>
      </c>
      <c r="G1816" s="5"/>
      <c r="H1816" s="6">
        <f>IFERROR(__xludf.DUMMYFUNCTION("""COMPUTED_VALUE"""),23.1)</f>
        <v>23.1</v>
      </c>
      <c r="I1816" s="7">
        <f>IFERROR(__xludf.DUMMYFUNCTION("""COMPUTED_VALUE"""),21.0)</f>
        <v>21</v>
      </c>
      <c r="J1816" s="6">
        <f>IFERROR(__xludf.DUMMYFUNCTION("""COMPUTED_VALUE"""),27.72)</f>
        <v>27.72</v>
      </c>
      <c r="K1816" s="6">
        <f>IFERROR(__xludf.DUMMYFUNCTION("""COMPUTED_VALUE"""),32.34)</f>
        <v>32.34</v>
      </c>
      <c r="L1816" s="3"/>
      <c r="M1816" s="3"/>
    </row>
    <row r="1817" ht="48.0" customHeight="1">
      <c r="A1817" s="3" t="str">
        <f>IFERROR(__xludf.DUMMYFUNCTION("""COMPUTED_VALUE"""),"OWBNC33")</f>
        <v>OWBNC33</v>
      </c>
      <c r="B1817" s="4" t="str">
        <f>IFERROR(__xludf.DUMMYFUNCTION("""COMPUTED_VALUE"""),"FICHA BNC PARA CRIMPEAR")</f>
        <v>FICHA BNC PARA CRIMPEAR</v>
      </c>
      <c r="C1817" s="4" t="str">
        <f>IFERROR(__xludf.DUMMYFUNCTION("""COMPUTED_VALUE"""),"Ficha BNC para crimpear")</f>
        <v>Ficha BNC para crimpear</v>
      </c>
      <c r="D1817" s="4" t="str">
        <f>IFERROR(__xludf.DUMMYFUNCTION("""COMPUTED_VALUE"""),"OWL")</f>
        <v>OWL</v>
      </c>
      <c r="E1817" s="4" t="str">
        <f>IFERROR(__xludf.DUMMYFUNCTION("""COMPUTED_VALUE"""),"OWBNC33")</f>
        <v>OWBNC33</v>
      </c>
      <c r="F1817" s="4" t="str">
        <f>IFERROR(__xludf.DUMMYFUNCTION("""COMPUTED_VALUE"""),"FUENTES / UPS / CABLEADO / ACCESORIOS &gt; FICHAS Y ACCESORIOS")</f>
        <v>FUENTES / UPS / CABLEADO / ACCESORIOS &gt; FICHAS Y ACCESORIOS</v>
      </c>
      <c r="G1817" s="5"/>
      <c r="H1817" s="6">
        <f>IFERROR(__xludf.DUMMYFUNCTION("""COMPUTED_VALUE"""),0.97)</f>
        <v>0.97</v>
      </c>
      <c r="I1817" s="7">
        <f>IFERROR(__xludf.DUMMYFUNCTION("""COMPUTED_VALUE"""),21.0)</f>
        <v>21</v>
      </c>
      <c r="J1817" s="6">
        <f>IFERROR(__xludf.DUMMYFUNCTION("""COMPUTED_VALUE"""),1.16)</f>
        <v>1.16</v>
      </c>
      <c r="K1817" s="6">
        <f>IFERROR(__xludf.DUMMYFUNCTION("""COMPUTED_VALUE"""),1.36)</f>
        <v>1.36</v>
      </c>
      <c r="L1817" s="3"/>
      <c r="M1817" s="3"/>
    </row>
    <row r="1818" ht="48.0" customHeight="1">
      <c r="A1818" s="3" t="str">
        <f>IFERROR(__xludf.DUMMYFUNCTION("""COMPUTED_VALUE"""),"FSBNC50A")</f>
        <v>FSBNC50A</v>
      </c>
      <c r="B1818" s="4" t="str">
        <f>IFERROR(__xludf.DUMMYFUNCTION("""COMPUTED_VALUE"""),"PATCH CORD BNC 50 CM MACHO A MACHO")</f>
        <v>PATCH CORD BNC 50 CM MACHO A MACHO</v>
      </c>
      <c r="C1818" s="4" t="str">
        <f>IFERROR(__xludf.DUMMYFUNCTION("""COMPUTED_VALUE"""),"Patch Cord BNC 50 cm macho a macho")</f>
        <v>Patch Cord BNC 50 cm macho a macho</v>
      </c>
      <c r="D1818" s="4" t="str">
        <f>IFERROR(__xludf.DUMMYFUNCTION("""COMPUTED_VALUE"""),"OWL")</f>
        <v>OWL</v>
      </c>
      <c r="E1818" s="4" t="str">
        <f>IFERROR(__xludf.DUMMYFUNCTION("""COMPUTED_VALUE"""),"FSBNC50A")</f>
        <v>FSBNC50A</v>
      </c>
      <c r="F1818" s="4" t="str">
        <f>IFERROR(__xludf.DUMMYFUNCTION("""COMPUTED_VALUE"""),"FUENTES / UPS / CABLEADO / ACCESORIOS &gt; FICHAS Y ACCESORIOS")</f>
        <v>FUENTES / UPS / CABLEADO / ACCESORIOS &gt; FICHAS Y ACCESORIOS</v>
      </c>
      <c r="G1818" s="5"/>
      <c r="H1818" s="6">
        <f>IFERROR(__xludf.DUMMYFUNCTION("""COMPUTED_VALUE"""),3.51)</f>
        <v>3.51</v>
      </c>
      <c r="I1818" s="7">
        <f>IFERROR(__xludf.DUMMYFUNCTION("""COMPUTED_VALUE"""),21.0)</f>
        <v>21</v>
      </c>
      <c r="J1818" s="6">
        <f>IFERROR(__xludf.DUMMYFUNCTION("""COMPUTED_VALUE"""),4.21)</f>
        <v>4.21</v>
      </c>
      <c r="K1818" s="6">
        <f>IFERROR(__xludf.DUMMYFUNCTION("""COMPUTED_VALUE"""),4.91)</f>
        <v>4.91</v>
      </c>
      <c r="L1818" s="3"/>
      <c r="M1818" s="3"/>
    </row>
    <row r="1819" ht="48.0" customHeight="1">
      <c r="A1819" s="3" t="str">
        <f>IFERROR(__xludf.DUMMYFUNCTION("""COMPUTED_VALUE"""),"FSBNC100A")</f>
        <v>FSBNC100A</v>
      </c>
      <c r="B1819" s="4" t="str">
        <f>IFERROR(__xludf.DUMMYFUNCTION("""COMPUTED_VALUE"""),"PATCH CORD BNC 1 METRO MACHO A MACHO")</f>
        <v>PATCH CORD BNC 1 METRO MACHO A MACHO</v>
      </c>
      <c r="C1819" s="4" t="str">
        <f>IFERROR(__xludf.DUMMYFUNCTION("""COMPUTED_VALUE"""),"Patch Cord BNC 1 metro macho a macho")</f>
        <v>Patch Cord BNC 1 metro macho a macho</v>
      </c>
      <c r="D1819" s="4" t="str">
        <f>IFERROR(__xludf.DUMMYFUNCTION("""COMPUTED_VALUE"""),"OWL")</f>
        <v>OWL</v>
      </c>
      <c r="E1819" s="4" t="str">
        <f>IFERROR(__xludf.DUMMYFUNCTION("""COMPUTED_VALUE"""),"FSBNC100A")</f>
        <v>FSBNC100A</v>
      </c>
      <c r="F1819" s="4" t="str">
        <f>IFERROR(__xludf.DUMMYFUNCTION("""COMPUTED_VALUE"""),"FUENTES / UPS / CABLEADO / ACCESORIOS &gt; FICHAS Y ACCESORIOS")</f>
        <v>FUENTES / UPS / CABLEADO / ACCESORIOS &gt; FICHAS Y ACCESORIOS</v>
      </c>
      <c r="G1819" s="5"/>
      <c r="H1819" s="6">
        <f>IFERROR(__xludf.DUMMYFUNCTION("""COMPUTED_VALUE"""),5.08)</f>
        <v>5.08</v>
      </c>
      <c r="I1819" s="7">
        <f>IFERROR(__xludf.DUMMYFUNCTION("""COMPUTED_VALUE"""),21.0)</f>
        <v>21</v>
      </c>
      <c r="J1819" s="6">
        <f>IFERROR(__xludf.DUMMYFUNCTION("""COMPUTED_VALUE"""),6.1)</f>
        <v>6.1</v>
      </c>
      <c r="K1819" s="6">
        <f>IFERROR(__xludf.DUMMYFUNCTION("""COMPUTED_VALUE"""),7.11)</f>
        <v>7.11</v>
      </c>
      <c r="L1819" s="3"/>
      <c r="M1819" s="3"/>
    </row>
    <row r="1820" ht="48.0" customHeight="1">
      <c r="A1820" s="3" t="str">
        <f>IFERROR(__xludf.DUMMYFUNCTION("""COMPUTED_VALUE"""),"DIBNCBNC060")</f>
        <v>DIBNCBNC060</v>
      </c>
      <c r="B1820" s="4" t="str">
        <f>IFERROR(__xludf.DUMMYFUNCTION("""COMPUTED_VALUE"""),"PATCH CORD BNC 60CM MACHO A MACHO CON PLUG")</f>
        <v>PATCH CORD BNC 60CM MACHO A MACHO CON PLUG</v>
      </c>
      <c r="C1820" s="4" t="str">
        <f>IFERROR(__xludf.DUMMYFUNCTION("""COMPUTED_VALUE"""),"Patch Cord BNC 60cm macho a macho con plug de alimentacion macho hembra")</f>
        <v>Patch Cord BNC 60cm macho a macho con plug de alimentacion macho hembra</v>
      </c>
      <c r="D1820" s="4" t="str">
        <f>IFERROR(__xludf.DUMMYFUNCTION("""COMPUTED_VALUE"""),"DIALSEC")</f>
        <v>DIALSEC</v>
      </c>
      <c r="E1820" s="4" t="str">
        <f>IFERROR(__xludf.DUMMYFUNCTION("""COMPUTED_VALUE"""),"DIBNCBNC060")</f>
        <v>DIBNCBNC060</v>
      </c>
      <c r="F1820" s="4" t="str">
        <f>IFERROR(__xludf.DUMMYFUNCTION("""COMPUTED_VALUE"""),"FUENTES / UPS / CABLEADO / ACCESORIOS &gt; FICHAS Y ACCESORIOS")</f>
        <v>FUENTES / UPS / CABLEADO / ACCESORIOS &gt; FICHAS Y ACCESORIOS</v>
      </c>
      <c r="G1820" s="5"/>
      <c r="H1820" s="6">
        <f>IFERROR(__xludf.DUMMYFUNCTION("""COMPUTED_VALUE"""),4.63)</f>
        <v>4.63</v>
      </c>
      <c r="I1820" s="7">
        <f>IFERROR(__xludf.DUMMYFUNCTION("""COMPUTED_VALUE"""),21.0)</f>
        <v>21</v>
      </c>
      <c r="J1820" s="6">
        <f>IFERROR(__xludf.DUMMYFUNCTION("""COMPUTED_VALUE"""),5.56)</f>
        <v>5.56</v>
      </c>
      <c r="K1820" s="6">
        <f>IFERROR(__xludf.DUMMYFUNCTION("""COMPUTED_VALUE"""),6.48)</f>
        <v>6.48</v>
      </c>
      <c r="L1820" s="3"/>
      <c r="M1820" s="3"/>
    </row>
    <row r="1821" ht="48.0" customHeight="1">
      <c r="A1821" s="3" t="str">
        <f>IFERROR(__xludf.DUMMYFUNCTION("""COMPUTED_VALUE"""),"CABLEKIT")</f>
        <v>CABLEKIT</v>
      </c>
      <c r="B1821" s="4" t="str">
        <f>IFERROR(__xludf.DUMMYFUNCTION("""COMPUTED_VALUE"""),"CABLE ARMADO 18 MTS P/ CAMARA INCLUYE PLUG Y")</f>
        <v>CABLE ARMADO 18 MTS P/ CAMARA INCLUYE PLUG Y</v>
      </c>
      <c r="C1821" s="4" t="str">
        <f>IFERROR(__xludf.DUMMYFUNCTION("""COMPUTED_VALUE"""),"Cable armado 18 mts p/ camara incluye plug y BNC soprta cámaras hasta 720P")</f>
        <v>Cable armado 18 mts p/ camara incluye plug y BNC soprta cámaras hasta 720P</v>
      </c>
      <c r="D1821" s="4" t="str">
        <f>IFERROR(__xludf.DUMMYFUNCTION("""COMPUTED_VALUE"""),"GENERICO")</f>
        <v>GENERICO</v>
      </c>
      <c r="E1821" s="4" t="str">
        <f>IFERROR(__xludf.DUMMYFUNCTION("""COMPUTED_VALUE"""),"CABLEKIT")</f>
        <v>CABLEKIT</v>
      </c>
      <c r="F1821" s="4" t="str">
        <f>IFERROR(__xludf.DUMMYFUNCTION("""COMPUTED_VALUE"""),"FUENTES / UPS / CABLEADO / ACCESORIOS &gt; FICHAS Y ACCESORIOS")</f>
        <v>FUENTES / UPS / CABLEADO / ACCESORIOS &gt; FICHAS Y ACCESORIOS</v>
      </c>
      <c r="G1821" s="5"/>
      <c r="H1821" s="6">
        <f>IFERROR(__xludf.DUMMYFUNCTION("""COMPUTED_VALUE"""),6.01)</f>
        <v>6.01</v>
      </c>
      <c r="I1821" s="7">
        <f>IFERROR(__xludf.DUMMYFUNCTION("""COMPUTED_VALUE"""),21.0)</f>
        <v>21</v>
      </c>
      <c r="J1821" s="6">
        <f>IFERROR(__xludf.DUMMYFUNCTION("""COMPUTED_VALUE"""),7.21)</f>
        <v>7.21</v>
      </c>
      <c r="K1821" s="6">
        <f>IFERROR(__xludf.DUMMYFUNCTION("""COMPUTED_VALUE"""),8.41)</f>
        <v>8.41</v>
      </c>
      <c r="L1821" s="3"/>
      <c r="M1821" s="3"/>
    </row>
    <row r="1822" ht="48.0" customHeight="1">
      <c r="A1822" s="3" t="str">
        <f>IFERROR(__xludf.DUMMYFUNCTION("""COMPUTED_VALUE"""),"HDMI15M")</f>
        <v>HDMI15M</v>
      </c>
      <c r="B1822" s="4" t="str">
        <f>IFERROR(__xludf.DUMMYFUNCTION("""COMPUTED_VALUE"""),"CABLE HDMI-HDMI ARMADO 1,5 METROS V1,4 DOBLE FILTRO")</f>
        <v>CABLE HDMI-HDMI ARMADO 1,5 METROS V1,4 DOBLE FILTRO</v>
      </c>
      <c r="C1822" s="4" t="str">
        <f>IFERROR(__xludf.DUMMYFUNCTION("""COMPUTED_VALUE"""),"Cable HDMI-HDMI armado 1,5 metros V1,4 doble filtro")</f>
        <v>Cable HDMI-HDMI armado 1,5 metros V1,4 doble filtro</v>
      </c>
      <c r="D1822" s="4" t="str">
        <f>IFERROR(__xludf.DUMMYFUNCTION("""COMPUTED_VALUE"""),"GENERICO")</f>
        <v>GENERICO</v>
      </c>
      <c r="E1822" s="4" t="str">
        <f>IFERROR(__xludf.DUMMYFUNCTION("""COMPUTED_VALUE"""),"HDMI15M")</f>
        <v>HDMI15M</v>
      </c>
      <c r="F1822" s="4" t="str">
        <f>IFERROR(__xludf.DUMMYFUNCTION("""COMPUTED_VALUE"""),"FUENTES / UPS / CABLEADO / ACCESORIOS &gt; FICHAS Y ACCESORIOS")</f>
        <v>FUENTES / UPS / CABLEADO / ACCESORIOS &gt; FICHAS Y ACCESORIOS</v>
      </c>
      <c r="G1822" s="5"/>
      <c r="H1822" s="6">
        <f>IFERROR(__xludf.DUMMYFUNCTION("""COMPUTED_VALUE"""),2.53)</f>
        <v>2.53</v>
      </c>
      <c r="I1822" s="7">
        <f>IFERROR(__xludf.DUMMYFUNCTION("""COMPUTED_VALUE"""),21.0)</f>
        <v>21</v>
      </c>
      <c r="J1822" s="6">
        <f>IFERROR(__xludf.DUMMYFUNCTION("""COMPUTED_VALUE"""),3.04)</f>
        <v>3.04</v>
      </c>
      <c r="K1822" s="6">
        <f>IFERROR(__xludf.DUMMYFUNCTION("""COMPUTED_VALUE"""),3.54)</f>
        <v>3.54</v>
      </c>
      <c r="L1822" s="3"/>
      <c r="M1822" s="3"/>
    </row>
    <row r="1823" ht="48.0" customHeight="1">
      <c r="A1823" s="3" t="str">
        <f>IFERROR(__xludf.DUMMYFUNCTION("""COMPUTED_VALUE"""),"HDMI3M")</f>
        <v>HDMI3M</v>
      </c>
      <c r="B1823" s="4" t="str">
        <f>IFERROR(__xludf.DUMMYFUNCTION("""COMPUTED_VALUE"""),"CABLE HDMI-HDMI ARMADO 3 METROS V1,4 DOBLE FILTRO")</f>
        <v>CABLE HDMI-HDMI ARMADO 3 METROS V1,4 DOBLE FILTRO</v>
      </c>
      <c r="C1823" s="4" t="str">
        <f>IFERROR(__xludf.DUMMYFUNCTION("""COMPUTED_VALUE"""),"Cable HDMI-HDMI armado 3 metros V1,4 doble filtro")</f>
        <v>Cable HDMI-HDMI armado 3 metros V1,4 doble filtro</v>
      </c>
      <c r="D1823" s="4" t="str">
        <f>IFERROR(__xludf.DUMMYFUNCTION("""COMPUTED_VALUE"""),"GENERICO")</f>
        <v>GENERICO</v>
      </c>
      <c r="E1823" s="4" t="str">
        <f>IFERROR(__xludf.DUMMYFUNCTION("""COMPUTED_VALUE"""),"HDMI3M")</f>
        <v>HDMI3M</v>
      </c>
      <c r="F1823" s="4" t="str">
        <f>IFERROR(__xludf.DUMMYFUNCTION("""COMPUTED_VALUE"""),"FUENTES / UPS / CABLEADO / ACCESORIOS &gt; FICHAS Y ACCESORIOS")</f>
        <v>FUENTES / UPS / CABLEADO / ACCESORIOS &gt; FICHAS Y ACCESORIOS</v>
      </c>
      <c r="G1823" s="5"/>
      <c r="H1823" s="6">
        <f>IFERROR(__xludf.DUMMYFUNCTION("""COMPUTED_VALUE"""),4.44)</f>
        <v>4.44</v>
      </c>
      <c r="I1823" s="7">
        <f>IFERROR(__xludf.DUMMYFUNCTION("""COMPUTED_VALUE"""),21.0)</f>
        <v>21</v>
      </c>
      <c r="J1823" s="6">
        <f>IFERROR(__xludf.DUMMYFUNCTION("""COMPUTED_VALUE"""),5.33)</f>
        <v>5.33</v>
      </c>
      <c r="K1823" s="6">
        <f>IFERROR(__xludf.DUMMYFUNCTION("""COMPUTED_VALUE"""),6.22)</f>
        <v>6.22</v>
      </c>
      <c r="L1823" s="3"/>
      <c r="M1823" s="3"/>
    </row>
    <row r="1824" ht="48.0" customHeight="1">
      <c r="A1824" s="3" t="str">
        <f>IFERROR(__xludf.DUMMYFUNCTION("""COMPUTED_VALUE"""),"HDMI5M")</f>
        <v>HDMI5M</v>
      </c>
      <c r="B1824" s="4" t="str">
        <f>IFERROR(__xludf.DUMMYFUNCTION("""COMPUTED_VALUE"""),"CABLE HDMI-HDMI ARMADO 5 METROS V1,4 DOBLE FILTRO")</f>
        <v>CABLE HDMI-HDMI ARMADO 5 METROS V1,4 DOBLE FILTRO</v>
      </c>
      <c r="C1824" s="4" t="str">
        <f>IFERROR(__xludf.DUMMYFUNCTION("""COMPUTED_VALUE"""),"Cable HDMI-HDMI armado 5 metros V1,4 doble filtro")</f>
        <v>Cable HDMI-HDMI armado 5 metros V1,4 doble filtro</v>
      </c>
      <c r="D1824" s="4" t="str">
        <f>IFERROR(__xludf.DUMMYFUNCTION("""COMPUTED_VALUE"""),"GENERICO")</f>
        <v>GENERICO</v>
      </c>
      <c r="E1824" s="4" t="str">
        <f>IFERROR(__xludf.DUMMYFUNCTION("""COMPUTED_VALUE"""),"HDMI5M")</f>
        <v>HDMI5M</v>
      </c>
      <c r="F1824" s="4" t="str">
        <f>IFERROR(__xludf.DUMMYFUNCTION("""COMPUTED_VALUE"""),"FUENTES / UPS / CABLEADO / ACCESORIOS &gt; FICHAS Y ACCESORIOS")</f>
        <v>FUENTES / UPS / CABLEADO / ACCESORIOS &gt; FICHAS Y ACCESORIOS</v>
      </c>
      <c r="G1824" s="5"/>
      <c r="H1824" s="6">
        <f>IFERROR(__xludf.DUMMYFUNCTION("""COMPUTED_VALUE"""),4.39)</f>
        <v>4.39</v>
      </c>
      <c r="I1824" s="7">
        <f>IFERROR(__xludf.DUMMYFUNCTION("""COMPUTED_VALUE"""),21.0)</f>
        <v>21</v>
      </c>
      <c r="J1824" s="6">
        <f>IFERROR(__xludf.DUMMYFUNCTION("""COMPUTED_VALUE"""),5.27)</f>
        <v>5.27</v>
      </c>
      <c r="K1824" s="6">
        <f>IFERROR(__xludf.DUMMYFUNCTION("""COMPUTED_VALUE"""),6.15)</f>
        <v>6.15</v>
      </c>
      <c r="L1824" s="3"/>
      <c r="M1824" s="3"/>
    </row>
    <row r="1825" ht="48.0" customHeight="1">
      <c r="A1825" s="3" t="str">
        <f>IFERROR(__xludf.DUMMYFUNCTION("""COMPUTED_VALUE"""),"HDMI10M")</f>
        <v>HDMI10M</v>
      </c>
      <c r="B1825" s="4" t="str">
        <f>IFERROR(__xludf.DUMMYFUNCTION("""COMPUTED_VALUE"""),"CABLE HDMI-HDMI ARMADO 10 METROS V1,4 DOBLE FILTRO")</f>
        <v>CABLE HDMI-HDMI ARMADO 10 METROS V1,4 DOBLE FILTRO</v>
      </c>
      <c r="C1825" s="4" t="str">
        <f>IFERROR(__xludf.DUMMYFUNCTION("""COMPUTED_VALUE"""),"Cable HDMI-HDMI armado 10 metros V1,4 doble filtro")</f>
        <v>Cable HDMI-HDMI armado 10 metros V1,4 doble filtro</v>
      </c>
      <c r="D1825" s="4" t="str">
        <f>IFERROR(__xludf.DUMMYFUNCTION("""COMPUTED_VALUE"""),"GENERICO")</f>
        <v>GENERICO</v>
      </c>
      <c r="E1825" s="4" t="str">
        <f>IFERROR(__xludf.DUMMYFUNCTION("""COMPUTED_VALUE"""),"HDMI10M")</f>
        <v>HDMI10M</v>
      </c>
      <c r="F1825" s="4" t="str">
        <f>IFERROR(__xludf.DUMMYFUNCTION("""COMPUTED_VALUE"""),"FUENTES / UPS / CABLEADO / ACCESORIOS &gt; FICHAS Y ACCESORIOS")</f>
        <v>FUENTES / UPS / CABLEADO / ACCESORIOS &gt; FICHAS Y ACCESORIOS</v>
      </c>
      <c r="G1825" s="5"/>
      <c r="H1825" s="6">
        <f>IFERROR(__xludf.DUMMYFUNCTION("""COMPUTED_VALUE"""),16.61)</f>
        <v>16.61</v>
      </c>
      <c r="I1825" s="7">
        <f>IFERROR(__xludf.DUMMYFUNCTION("""COMPUTED_VALUE"""),21.0)</f>
        <v>21</v>
      </c>
      <c r="J1825" s="6">
        <f>IFERROR(__xludf.DUMMYFUNCTION("""COMPUTED_VALUE"""),19.93)</f>
        <v>19.93</v>
      </c>
      <c r="K1825" s="6">
        <f>IFERROR(__xludf.DUMMYFUNCTION("""COMPUTED_VALUE"""),23.25)</f>
        <v>23.25</v>
      </c>
      <c r="L1825" s="3"/>
      <c r="M1825" s="3"/>
    </row>
    <row r="1826" ht="48.0" customHeight="1">
      <c r="A1826" s="3" t="str">
        <f>IFERROR(__xludf.DUMMYFUNCTION("""COMPUTED_VALUE"""),"HDMI20M")</f>
        <v>HDMI20M</v>
      </c>
      <c r="B1826" s="4" t="str">
        <f>IFERROR(__xludf.DUMMYFUNCTION("""COMPUTED_VALUE"""),"CABLE HDMI-HDMI ARMADO 20 METROS V1,4 DOBLE FILTRO")</f>
        <v>CABLE HDMI-HDMI ARMADO 20 METROS V1,4 DOBLE FILTRO</v>
      </c>
      <c r="C1826" s="4" t="str">
        <f>IFERROR(__xludf.DUMMYFUNCTION("""COMPUTED_VALUE"""),"Cable HDMI-HDMI armado 20 metros V1,4 doble filtro")</f>
        <v>Cable HDMI-HDMI armado 20 metros V1,4 doble filtro</v>
      </c>
      <c r="D1826" s="4" t="str">
        <f>IFERROR(__xludf.DUMMYFUNCTION("""COMPUTED_VALUE"""),"GENERICO")</f>
        <v>GENERICO</v>
      </c>
      <c r="E1826" s="4" t="str">
        <f>IFERROR(__xludf.DUMMYFUNCTION("""COMPUTED_VALUE"""),"HDMI20M")</f>
        <v>HDMI20M</v>
      </c>
      <c r="F1826" s="4" t="str">
        <f>IFERROR(__xludf.DUMMYFUNCTION("""COMPUTED_VALUE"""),"FUENTES / UPS / CABLEADO / ACCESORIOS &gt; FICHAS Y ACCESORIOS")</f>
        <v>FUENTES / UPS / CABLEADO / ACCESORIOS &gt; FICHAS Y ACCESORIOS</v>
      </c>
      <c r="G1826" s="5"/>
      <c r="H1826" s="6">
        <f>IFERROR(__xludf.DUMMYFUNCTION("""COMPUTED_VALUE"""),39.88)</f>
        <v>39.88</v>
      </c>
      <c r="I1826" s="7">
        <f>IFERROR(__xludf.DUMMYFUNCTION("""COMPUTED_VALUE"""),21.0)</f>
        <v>21</v>
      </c>
      <c r="J1826" s="6">
        <f>IFERROR(__xludf.DUMMYFUNCTION("""COMPUTED_VALUE"""),47.86)</f>
        <v>47.86</v>
      </c>
      <c r="K1826" s="6">
        <f>IFERROR(__xludf.DUMMYFUNCTION("""COMPUTED_VALUE"""),55.83)</f>
        <v>55.83</v>
      </c>
      <c r="L1826" s="3"/>
      <c r="M1826" s="3"/>
    </row>
    <row r="1827" ht="48.0" customHeight="1">
      <c r="A1827" s="3" t="str">
        <f>IFERROR(__xludf.DUMMYFUNCTION("""COMPUTED_VALUE"""),"FSPULP4")</f>
        <v>FSPULP4</v>
      </c>
      <c r="B1827" s="4" t="str">
        <f>IFERROR(__xludf.DUMMYFUNCTION("""COMPUTED_VALUE"""),"PLUG DIVISOR DE ALIMENTACIÓN TIPO PULPO DE 1 X 4")</f>
        <v>PLUG DIVISOR DE ALIMENTACIÓN TIPO PULPO DE 1 X 4</v>
      </c>
      <c r="C1827" s="4" t="str">
        <f>IFERROR(__xludf.DUMMYFUNCTION("""COMPUTED_VALUE"""),"Plug divisor de alimentación tipo pulpo de 1 x 4")</f>
        <v>Plug divisor de alimentación tipo pulpo de 1 x 4</v>
      </c>
      <c r="D1827" s="4" t="str">
        <f>IFERROR(__xludf.DUMMYFUNCTION("""COMPUTED_VALUE"""),"GENERICO")</f>
        <v>GENERICO</v>
      </c>
      <c r="E1827" s="4" t="str">
        <f>IFERROR(__xludf.DUMMYFUNCTION("""COMPUTED_VALUE"""),"FSPULP4")</f>
        <v>FSPULP4</v>
      </c>
      <c r="F1827" s="4" t="str">
        <f>IFERROR(__xludf.DUMMYFUNCTION("""COMPUTED_VALUE"""),"FUENTES / UPS / CABLEADO / ACCESORIOS &gt; FICHAS Y ACCESORIOS")</f>
        <v>FUENTES / UPS / CABLEADO / ACCESORIOS &gt; FICHAS Y ACCESORIOS</v>
      </c>
      <c r="G1827" s="5"/>
      <c r="H1827" s="6">
        <f>IFERROR(__xludf.DUMMYFUNCTION("""COMPUTED_VALUE"""),2.09)</f>
        <v>2.09</v>
      </c>
      <c r="I1827" s="7">
        <f>IFERROR(__xludf.DUMMYFUNCTION("""COMPUTED_VALUE"""),21.0)</f>
        <v>21</v>
      </c>
      <c r="J1827" s="6">
        <f>IFERROR(__xludf.DUMMYFUNCTION("""COMPUTED_VALUE"""),2.51)</f>
        <v>2.51</v>
      </c>
      <c r="K1827" s="6">
        <f>IFERROR(__xludf.DUMMYFUNCTION("""COMPUTED_VALUE"""),2.93)</f>
        <v>2.93</v>
      </c>
      <c r="L1827" s="3"/>
      <c r="M1827" s="3"/>
    </row>
    <row r="1828" ht="48.0" customHeight="1">
      <c r="A1828" s="3" t="str">
        <f>IFERROR(__xludf.DUMMYFUNCTION("""COMPUTED_VALUE"""),"FSPULP8")</f>
        <v>FSPULP8</v>
      </c>
      <c r="B1828" s="4" t="str">
        <f>IFERROR(__xludf.DUMMYFUNCTION("""COMPUTED_VALUE"""),"PLUG DIVISOR DE ALIMENTACIÓN TIPO PULPO DE 1 X 8")</f>
        <v>PLUG DIVISOR DE ALIMENTACIÓN TIPO PULPO DE 1 X 8</v>
      </c>
      <c r="C1828" s="4" t="str">
        <f>IFERROR(__xludf.DUMMYFUNCTION("""COMPUTED_VALUE"""),"Plug divisor de alimentación tipo pulpo de 1 x 8")</f>
        <v>Plug divisor de alimentación tipo pulpo de 1 x 8</v>
      </c>
      <c r="D1828" s="4" t="str">
        <f>IFERROR(__xludf.DUMMYFUNCTION("""COMPUTED_VALUE"""),"GENERICO")</f>
        <v>GENERICO</v>
      </c>
      <c r="E1828" s="4" t="str">
        <f>IFERROR(__xludf.DUMMYFUNCTION("""COMPUTED_VALUE"""),"FSPULP8")</f>
        <v>FSPULP8</v>
      </c>
      <c r="F1828" s="4" t="str">
        <f>IFERROR(__xludf.DUMMYFUNCTION("""COMPUTED_VALUE"""),"FUENTES / UPS / CABLEADO / ACCESORIOS &gt; FICHAS Y ACCESORIOS")</f>
        <v>FUENTES / UPS / CABLEADO / ACCESORIOS &gt; FICHAS Y ACCESORIOS</v>
      </c>
      <c r="G1828" s="5"/>
      <c r="H1828" s="6">
        <f>IFERROR(__xludf.DUMMYFUNCTION("""COMPUTED_VALUE"""),3.19)</f>
        <v>3.19</v>
      </c>
      <c r="I1828" s="7">
        <f>IFERROR(__xludf.DUMMYFUNCTION("""COMPUTED_VALUE"""),21.0)</f>
        <v>21</v>
      </c>
      <c r="J1828" s="6">
        <f>IFERROR(__xludf.DUMMYFUNCTION("""COMPUTED_VALUE"""),3.83)</f>
        <v>3.83</v>
      </c>
      <c r="K1828" s="6">
        <f>IFERROR(__xludf.DUMMYFUNCTION("""COMPUTED_VALUE"""),4.47)</f>
        <v>4.47</v>
      </c>
      <c r="L1828" s="3"/>
      <c r="M1828" s="3"/>
    </row>
    <row r="1829" ht="48.0" customHeight="1">
      <c r="A1829" s="3" t="str">
        <f>IFERROR(__xludf.DUMMYFUNCTION("""COMPUTED_VALUE"""),"FSDCMC")</f>
        <v>FSDCMC</v>
      </c>
      <c r="B1829" s="4" t="str">
        <f>IFERROR(__xludf.DUMMYFUNCTION("""COMPUTED_VALUE"""),"PLUG MACHO CON BORNERA")</f>
        <v>PLUG MACHO CON BORNERA</v>
      </c>
      <c r="C1829" s="4" t="str">
        <f>IFERROR(__xludf.DUMMYFUNCTION("""COMPUTED_VALUE"""),"Plug Macho con bornera")</f>
        <v>Plug Macho con bornera</v>
      </c>
      <c r="D1829" s="4" t="str">
        <f>IFERROR(__xludf.DUMMYFUNCTION("""COMPUTED_VALUE"""),"GENERICO")</f>
        <v>GENERICO</v>
      </c>
      <c r="E1829" s="4" t="str">
        <f>IFERROR(__xludf.DUMMYFUNCTION("""COMPUTED_VALUE"""),"FSDCMC")</f>
        <v>FSDCMC</v>
      </c>
      <c r="F1829" s="4" t="str">
        <f>IFERROR(__xludf.DUMMYFUNCTION("""COMPUTED_VALUE"""),"FUENTES / UPS / CABLEADO / ACCESORIOS &gt; FICHAS Y ACCESORIOS")</f>
        <v>FUENTES / UPS / CABLEADO / ACCESORIOS &gt; FICHAS Y ACCESORIOS</v>
      </c>
      <c r="G1829" s="5"/>
      <c r="H1829" s="6">
        <f>IFERROR(__xludf.DUMMYFUNCTION("""COMPUTED_VALUE"""),0.22)</f>
        <v>0.22</v>
      </c>
      <c r="I1829" s="7">
        <f>IFERROR(__xludf.DUMMYFUNCTION("""COMPUTED_VALUE"""),21.0)</f>
        <v>21</v>
      </c>
      <c r="J1829" s="6">
        <f>IFERROR(__xludf.DUMMYFUNCTION("""COMPUTED_VALUE"""),0.26)</f>
        <v>0.26</v>
      </c>
      <c r="K1829" s="6">
        <f>IFERROR(__xludf.DUMMYFUNCTION("""COMPUTED_VALUE"""),0.31)</f>
        <v>0.31</v>
      </c>
      <c r="L1829" s="3"/>
      <c r="M1829" s="3"/>
    </row>
    <row r="1830" ht="48.0" customHeight="1">
      <c r="A1830" s="3" t="str">
        <f>IFERROR(__xludf.DUMMYFUNCTION("""COMPUTED_VALUE"""),"FSDCMCX100")</f>
        <v>FSDCMCX100</v>
      </c>
      <c r="B1830" s="4" t="str">
        <f>IFERROR(__xludf.DUMMYFUNCTION("""COMPUTED_VALUE"""),"PLUG MACHO CON BORNERA X 100 UNIDADES")</f>
        <v>PLUG MACHO CON BORNERA X 100 UNIDADES</v>
      </c>
      <c r="C1830" s="4" t="str">
        <f>IFERROR(__xludf.DUMMYFUNCTION("""COMPUTED_VALUE"""),"Plug Macho con bornera x 100 UNIDADES")</f>
        <v>Plug Macho con bornera x 100 UNIDADES</v>
      </c>
      <c r="D1830" s="4" t="str">
        <f>IFERROR(__xludf.DUMMYFUNCTION("""COMPUTED_VALUE"""),"GENERICO")</f>
        <v>GENERICO</v>
      </c>
      <c r="E1830" s="4" t="str">
        <f>IFERROR(__xludf.DUMMYFUNCTION("""COMPUTED_VALUE"""),"FSDCMCX100")</f>
        <v>FSDCMCX100</v>
      </c>
      <c r="F1830" s="4" t="str">
        <f>IFERROR(__xludf.DUMMYFUNCTION("""COMPUTED_VALUE"""),"FUENTES / UPS / CABLEADO / ACCESORIOS &gt; FICHAS Y ACCESORIOS")</f>
        <v>FUENTES / UPS / CABLEADO / ACCESORIOS &gt; FICHAS Y ACCESORIOS</v>
      </c>
      <c r="G1830" s="5"/>
      <c r="H1830" s="6">
        <f>IFERROR(__xludf.DUMMYFUNCTION("""COMPUTED_VALUE"""),16.5)</f>
        <v>16.5</v>
      </c>
      <c r="I1830" s="7">
        <f>IFERROR(__xludf.DUMMYFUNCTION("""COMPUTED_VALUE"""),21.0)</f>
        <v>21</v>
      </c>
      <c r="J1830" s="6">
        <f>IFERROR(__xludf.DUMMYFUNCTION("""COMPUTED_VALUE"""),19.8)</f>
        <v>19.8</v>
      </c>
      <c r="K1830" s="6">
        <f>IFERROR(__xludf.DUMMYFUNCTION("""COMPUTED_VALUE"""),23.1)</f>
        <v>23.1</v>
      </c>
      <c r="L1830" s="3"/>
      <c r="M1830" s="3"/>
    </row>
    <row r="1831" ht="48.0" customHeight="1">
      <c r="A1831" s="3" t="str">
        <f>IFERROR(__xludf.DUMMYFUNCTION("""COMPUTED_VALUE"""),"FS-DC02M")</f>
        <v>FS-DC02M</v>
      </c>
      <c r="B1831" s="4" t="str">
        <f>IFERROR(__xludf.DUMMYFUNCTION("""COMPUTED_VALUE"""),"PLUG MACHO CON PRENSA CABLE")</f>
        <v>PLUG MACHO CON PRENSA CABLE</v>
      </c>
      <c r="C1831" s="4" t="str">
        <f>IFERROR(__xludf.DUMMYFUNCTION("""COMPUTED_VALUE"""),"Plug Macho con prensa cable")</f>
        <v>Plug Macho con prensa cable</v>
      </c>
      <c r="D1831" s="4" t="str">
        <f>IFERROR(__xludf.DUMMYFUNCTION("""COMPUTED_VALUE"""),"GENERICO")</f>
        <v>GENERICO</v>
      </c>
      <c r="E1831" s="4" t="str">
        <f>IFERROR(__xludf.DUMMYFUNCTION("""COMPUTED_VALUE"""),"FS-DC02M")</f>
        <v>FS-DC02M</v>
      </c>
      <c r="F1831" s="4" t="str">
        <f>IFERROR(__xludf.DUMMYFUNCTION("""COMPUTED_VALUE"""),"FUENTES / UPS / CABLEADO / ACCESORIOS &gt; FICHAS Y ACCESORIOS")</f>
        <v>FUENTES / UPS / CABLEADO / ACCESORIOS &gt; FICHAS Y ACCESORIOS</v>
      </c>
      <c r="G1831" s="5"/>
      <c r="H1831" s="6">
        <f>IFERROR(__xludf.DUMMYFUNCTION("""COMPUTED_VALUE"""),0.28)</f>
        <v>0.28</v>
      </c>
      <c r="I1831" s="7">
        <f>IFERROR(__xludf.DUMMYFUNCTION("""COMPUTED_VALUE"""),21.0)</f>
        <v>21</v>
      </c>
      <c r="J1831" s="6">
        <f>IFERROR(__xludf.DUMMYFUNCTION("""COMPUTED_VALUE"""),0.34)</f>
        <v>0.34</v>
      </c>
      <c r="K1831" s="6">
        <f>IFERROR(__xludf.DUMMYFUNCTION("""COMPUTED_VALUE"""),0.39)</f>
        <v>0.39</v>
      </c>
      <c r="L1831" s="3"/>
      <c r="M1831" s="3"/>
    </row>
    <row r="1832" ht="48.0" customHeight="1">
      <c r="A1832" s="3" t="str">
        <f>IFERROR(__xludf.DUMMYFUNCTION("""COMPUTED_VALUE"""),"FSDCFC")</f>
        <v>FSDCFC</v>
      </c>
      <c r="B1832" s="4" t="str">
        <f>IFERROR(__xludf.DUMMYFUNCTION("""COMPUTED_VALUE"""),"PLUG HEMBRA CON BORNERA")</f>
        <v>PLUG HEMBRA CON BORNERA</v>
      </c>
      <c r="C1832" s="4" t="str">
        <f>IFERROR(__xludf.DUMMYFUNCTION("""COMPUTED_VALUE"""),"Plug Hembra con bornera")</f>
        <v>Plug Hembra con bornera</v>
      </c>
      <c r="D1832" s="4" t="str">
        <f>IFERROR(__xludf.DUMMYFUNCTION("""COMPUTED_VALUE"""),"GENERICO")</f>
        <v>GENERICO</v>
      </c>
      <c r="E1832" s="4" t="str">
        <f>IFERROR(__xludf.DUMMYFUNCTION("""COMPUTED_VALUE"""),"FSDCFC")</f>
        <v>FSDCFC</v>
      </c>
      <c r="F1832" s="4" t="str">
        <f>IFERROR(__xludf.DUMMYFUNCTION("""COMPUTED_VALUE"""),"FUENTES / UPS / CABLEADO / ACCESORIOS &gt; FICHAS Y ACCESORIOS")</f>
        <v>FUENTES / UPS / CABLEADO / ACCESORIOS &gt; FICHAS Y ACCESORIOS</v>
      </c>
      <c r="G1832" s="5"/>
      <c r="H1832" s="6">
        <f>IFERROR(__xludf.DUMMYFUNCTION("""COMPUTED_VALUE"""),0.22)</f>
        <v>0.22</v>
      </c>
      <c r="I1832" s="7">
        <f>IFERROR(__xludf.DUMMYFUNCTION("""COMPUTED_VALUE"""),21.0)</f>
        <v>21</v>
      </c>
      <c r="J1832" s="6">
        <f>IFERROR(__xludf.DUMMYFUNCTION("""COMPUTED_VALUE"""),0.26)</f>
        <v>0.26</v>
      </c>
      <c r="K1832" s="6">
        <f>IFERROR(__xludf.DUMMYFUNCTION("""COMPUTED_VALUE"""),0.31)</f>
        <v>0.31</v>
      </c>
      <c r="L1832" s="3"/>
      <c r="M1832" s="3"/>
    </row>
    <row r="1833" ht="48.0" customHeight="1">
      <c r="A1833" s="3" t="str">
        <f>IFERROR(__xludf.DUMMYFUNCTION("""COMPUTED_VALUE"""),"FSDCFCX100")</f>
        <v>FSDCFCX100</v>
      </c>
      <c r="B1833" s="4" t="str">
        <f>IFERROR(__xludf.DUMMYFUNCTION("""COMPUTED_VALUE"""),"PLUG HEMBRA CON BORNERA X 100 UNIDADES")</f>
        <v>PLUG HEMBRA CON BORNERA X 100 UNIDADES</v>
      </c>
      <c r="C1833" s="4" t="str">
        <f>IFERROR(__xludf.DUMMYFUNCTION("""COMPUTED_VALUE"""),"Plug Hembra con bornera x 100 UNIDADES")</f>
        <v>Plug Hembra con bornera x 100 UNIDADES</v>
      </c>
      <c r="D1833" s="4" t="str">
        <f>IFERROR(__xludf.DUMMYFUNCTION("""COMPUTED_VALUE"""),"GENERICO")</f>
        <v>GENERICO</v>
      </c>
      <c r="E1833" s="4" t="str">
        <f>IFERROR(__xludf.DUMMYFUNCTION("""COMPUTED_VALUE"""),"FSDCFCX100")</f>
        <v>FSDCFCX100</v>
      </c>
      <c r="F1833" s="4" t="str">
        <f>IFERROR(__xludf.DUMMYFUNCTION("""COMPUTED_VALUE"""),"FUENTES / UPS / CABLEADO / ACCESORIOS &gt; FICHAS Y ACCESORIOS")</f>
        <v>FUENTES / UPS / CABLEADO / ACCESORIOS &gt; FICHAS Y ACCESORIOS</v>
      </c>
      <c r="G1833" s="5"/>
      <c r="H1833" s="6">
        <f>IFERROR(__xludf.DUMMYFUNCTION("""COMPUTED_VALUE"""),16.5)</f>
        <v>16.5</v>
      </c>
      <c r="I1833" s="7">
        <f>IFERROR(__xludf.DUMMYFUNCTION("""COMPUTED_VALUE"""),21.0)</f>
        <v>21</v>
      </c>
      <c r="J1833" s="6">
        <f>IFERROR(__xludf.DUMMYFUNCTION("""COMPUTED_VALUE"""),19.8)</f>
        <v>19.8</v>
      </c>
      <c r="K1833" s="6">
        <f>IFERROR(__xludf.DUMMYFUNCTION("""COMPUTED_VALUE"""),23.1)</f>
        <v>23.1</v>
      </c>
      <c r="L1833" s="3"/>
      <c r="M1833" s="3"/>
    </row>
    <row r="1834" ht="48.0" customHeight="1">
      <c r="A1834" s="3" t="str">
        <f>IFERROR(__xludf.DUMMYFUNCTION("""COMPUTED_VALUE"""),"TACP5100")</f>
        <v>TACP5100</v>
      </c>
      <c r="B1834" s="4" t="str">
        <f>IFERROR(__xludf.DUMMYFUNCTION("""COMPUTED_VALUE"""),"CAJA ESTANCO CIRCULAR 110X50")</f>
        <v>CAJA ESTANCO CIRCULAR 110X50</v>
      </c>
      <c r="C1834" s="4" t="str">
        <f>IFERROR(__xludf.DUMMYFUNCTION("""COMPUTED_VALUE"""),"Caja Estanco Circular 110x50")</f>
        <v>Caja Estanco Circular 110x50</v>
      </c>
      <c r="D1834" s="4" t="str">
        <f>IFERROR(__xludf.DUMMYFUNCTION("""COMPUTED_VALUE"""),"GENERICO")</f>
        <v>GENERICO</v>
      </c>
      <c r="E1834" s="4" t="str">
        <f>IFERROR(__xludf.DUMMYFUNCTION("""COMPUTED_VALUE"""),"TACP5100")</f>
        <v>TACP5100</v>
      </c>
      <c r="F1834" s="4" t="str">
        <f>IFERROR(__xludf.DUMMYFUNCTION("""COMPUTED_VALUE"""),"FUENTES / UPS / CABLEADO / ACCESORIOS &gt; FICHAS Y ACCESORIOS")</f>
        <v>FUENTES / UPS / CABLEADO / ACCESORIOS &gt; FICHAS Y ACCESORIOS</v>
      </c>
      <c r="G1834" s="5"/>
      <c r="H1834" s="6">
        <f>IFERROR(__xludf.DUMMYFUNCTION("""COMPUTED_VALUE"""),1.25)</f>
        <v>1.25</v>
      </c>
      <c r="I1834" s="7">
        <f>IFERROR(__xludf.DUMMYFUNCTION("""COMPUTED_VALUE"""),21.0)</f>
        <v>21</v>
      </c>
      <c r="J1834" s="6">
        <f>IFERROR(__xludf.DUMMYFUNCTION("""COMPUTED_VALUE"""),1.5)</f>
        <v>1.5</v>
      </c>
      <c r="K1834" s="6">
        <f>IFERROR(__xludf.DUMMYFUNCTION("""COMPUTED_VALUE"""),1.75)</f>
        <v>1.75</v>
      </c>
      <c r="L1834" s="3"/>
      <c r="M1834" s="3"/>
    </row>
    <row r="1835" ht="48.0" customHeight="1">
      <c r="A1835" s="3" t="str">
        <f>IFERROR(__xludf.DUMMYFUNCTION("""COMPUTED_VALUE"""),"TACP5100X18U")</f>
        <v>TACP5100X18U</v>
      </c>
      <c r="B1835" s="4" t="str">
        <f>IFERROR(__xludf.DUMMYFUNCTION("""COMPUTED_VALUE"""),"CAJA ESTANCO CIRCULAR 110X50")</f>
        <v>CAJA ESTANCO CIRCULAR 110X50</v>
      </c>
      <c r="C1835" s="4" t="str">
        <f>IFERROR(__xludf.DUMMYFUNCTION("""COMPUTED_VALUE"""),"Caja Estanco Circular 110x50. Bulto x 18 unidades")</f>
        <v>Caja Estanco Circular 110x50. Bulto x 18 unidades</v>
      </c>
      <c r="D1835" s="4" t="str">
        <f>IFERROR(__xludf.DUMMYFUNCTION("""COMPUTED_VALUE"""),"GENERICO")</f>
        <v>GENERICO</v>
      </c>
      <c r="E1835" s="4" t="str">
        <f>IFERROR(__xludf.DUMMYFUNCTION("""COMPUTED_VALUE"""),"TACP5100X18U")</f>
        <v>TACP5100X18U</v>
      </c>
      <c r="F1835" s="4" t="str">
        <f>IFERROR(__xludf.DUMMYFUNCTION("""COMPUTED_VALUE"""),"FUENTES / UPS / CABLEADO / ACCESORIOS &gt; FICHAS Y ACCESORIOS")</f>
        <v>FUENTES / UPS / CABLEADO / ACCESORIOS &gt; FICHAS Y ACCESORIOS</v>
      </c>
      <c r="G1835" s="5"/>
      <c r="H1835" s="6">
        <f>IFERROR(__xludf.DUMMYFUNCTION("""COMPUTED_VALUE"""),21.76)</f>
        <v>21.76</v>
      </c>
      <c r="I1835" s="7">
        <f>IFERROR(__xludf.DUMMYFUNCTION("""COMPUTED_VALUE"""),21.0)</f>
        <v>21</v>
      </c>
      <c r="J1835" s="6">
        <f>IFERROR(__xludf.DUMMYFUNCTION("""COMPUTED_VALUE"""),26.11)</f>
        <v>26.11</v>
      </c>
      <c r="K1835" s="6">
        <f>IFERROR(__xludf.DUMMYFUNCTION("""COMPUTED_VALUE"""),30.46)</f>
        <v>30.46</v>
      </c>
      <c r="L1835" s="3"/>
      <c r="M1835" s="3"/>
    </row>
    <row r="1836" ht="48.0" customHeight="1">
      <c r="A1836" s="3" t="str">
        <f>IFERROR(__xludf.DUMMYFUNCTION("""COMPUTED_VALUE"""),"TACP1100")</f>
        <v>TACP1100</v>
      </c>
      <c r="B1836" s="4" t="str">
        <f>IFERROR(__xludf.DUMMYFUNCTION("""COMPUTED_VALUE"""),"CAJA ESTANCO 75X75X35")</f>
        <v>CAJA ESTANCO 75X75X35</v>
      </c>
      <c r="C1836" s="4" t="str">
        <f>IFERROR(__xludf.DUMMYFUNCTION("""COMPUTED_VALUE"""),"Caja Estanco 75x75x35")</f>
        <v>Caja Estanco 75x75x35</v>
      </c>
      <c r="D1836" s="4" t="str">
        <f>IFERROR(__xludf.DUMMYFUNCTION("""COMPUTED_VALUE"""),"GENERICO")</f>
        <v>GENERICO</v>
      </c>
      <c r="E1836" s="4" t="str">
        <f>IFERROR(__xludf.DUMMYFUNCTION("""COMPUTED_VALUE"""),"TACP1100")</f>
        <v>TACP1100</v>
      </c>
      <c r="F1836" s="4" t="str">
        <f>IFERROR(__xludf.DUMMYFUNCTION("""COMPUTED_VALUE"""),"FUENTES / UPS / CABLEADO / ACCESORIOS &gt; FICHAS Y ACCESORIOS")</f>
        <v>FUENTES / UPS / CABLEADO / ACCESORIOS &gt; FICHAS Y ACCESORIOS</v>
      </c>
      <c r="G1836" s="5"/>
      <c r="H1836" s="6">
        <f>IFERROR(__xludf.DUMMYFUNCTION("""COMPUTED_VALUE"""),1.21)</f>
        <v>1.21</v>
      </c>
      <c r="I1836" s="7">
        <f>IFERROR(__xludf.DUMMYFUNCTION("""COMPUTED_VALUE"""),21.0)</f>
        <v>21</v>
      </c>
      <c r="J1836" s="6">
        <f>IFERROR(__xludf.DUMMYFUNCTION("""COMPUTED_VALUE"""),1.45)</f>
        <v>1.45</v>
      </c>
      <c r="K1836" s="6">
        <f>IFERROR(__xludf.DUMMYFUNCTION("""COMPUTED_VALUE"""),1.69)</f>
        <v>1.69</v>
      </c>
      <c r="L1836" s="3"/>
      <c r="M1836" s="3"/>
    </row>
    <row r="1837" ht="48.0" customHeight="1">
      <c r="A1837" s="3" t="str">
        <f>IFERROR(__xludf.DUMMYFUNCTION("""COMPUTED_VALUE"""),"TACP1100X36U")</f>
        <v>TACP1100X36U</v>
      </c>
      <c r="B1837" s="4" t="str">
        <f>IFERROR(__xludf.DUMMYFUNCTION("""COMPUTED_VALUE"""),"CAJA ESTANCO 75X75X35")</f>
        <v>CAJA ESTANCO 75X75X35</v>
      </c>
      <c r="C1837" s="4" t="str">
        <f>IFERROR(__xludf.DUMMYFUNCTION("""COMPUTED_VALUE"""),"Caja Estanco 75x75x35. Bulto x 36 unidades")</f>
        <v>Caja Estanco 75x75x35. Bulto x 36 unidades</v>
      </c>
      <c r="D1837" s="4" t="str">
        <f>IFERROR(__xludf.DUMMYFUNCTION("""COMPUTED_VALUE"""),"GENERICO")</f>
        <v>GENERICO</v>
      </c>
      <c r="E1837" s="4" t="str">
        <f>IFERROR(__xludf.DUMMYFUNCTION("""COMPUTED_VALUE"""),"TACP1100X36U")</f>
        <v>TACP1100X36U</v>
      </c>
      <c r="F1837" s="4" t="str">
        <f>IFERROR(__xludf.DUMMYFUNCTION("""COMPUTED_VALUE"""),"FUENTES / UPS / CABLEADO / ACCESORIOS &gt; FICHAS Y ACCESORIOS")</f>
        <v>FUENTES / UPS / CABLEADO / ACCESORIOS &gt; FICHAS Y ACCESORIOS</v>
      </c>
      <c r="G1837" s="5"/>
      <c r="H1837" s="6">
        <f>IFERROR(__xludf.DUMMYFUNCTION("""COMPUTED_VALUE"""),4.02)</f>
        <v>4.02</v>
      </c>
      <c r="I1837" s="7">
        <f>IFERROR(__xludf.DUMMYFUNCTION("""COMPUTED_VALUE"""),21.0)</f>
        <v>21</v>
      </c>
      <c r="J1837" s="6">
        <f>IFERROR(__xludf.DUMMYFUNCTION("""COMPUTED_VALUE"""),4.82)</f>
        <v>4.82</v>
      </c>
      <c r="K1837" s="6">
        <f>IFERROR(__xludf.DUMMYFUNCTION("""COMPUTED_VALUE"""),5.63)</f>
        <v>5.63</v>
      </c>
      <c r="L1837" s="3"/>
      <c r="M1837" s="3"/>
    </row>
    <row r="1838" ht="48.0" customHeight="1">
      <c r="A1838" s="3" t="str">
        <f>IFERROR(__xludf.DUMMYFUNCTION("""COMPUTED_VALUE"""),"TACI-ECO1200")</f>
        <v>TACI-ECO1200</v>
      </c>
      <c r="B1838" s="4" t="str">
        <f>IFERROR(__xludf.DUMMYFUNCTION("""COMPUTED_VALUE"""),"CAJA ESTANCO 75X75X55 LÍNEA ECONÓMICA")</f>
        <v>CAJA ESTANCO 75X75X55 LÍNEA ECONÓMICA</v>
      </c>
      <c r="C1838" s="4" t="str">
        <f>IFERROR(__xludf.DUMMYFUNCTION("""COMPUTED_VALUE"""),"Caja Estanco 75x75x55 línea Económica")</f>
        <v>Caja Estanco 75x75x55 línea Económica</v>
      </c>
      <c r="D1838" s="4" t="str">
        <f>IFERROR(__xludf.DUMMYFUNCTION("""COMPUTED_VALUE"""),"GENERICO")</f>
        <v>GENERICO</v>
      </c>
      <c r="E1838" s="4" t="str">
        <f>IFERROR(__xludf.DUMMYFUNCTION("""COMPUTED_VALUE"""),"TACI-ECO1200")</f>
        <v>TACI-ECO1200</v>
      </c>
      <c r="F1838" s="4" t="str">
        <f>IFERROR(__xludf.DUMMYFUNCTION("""COMPUTED_VALUE"""),"FUENTES / UPS / CABLEADO / ACCESORIOS &gt; FICHAS Y ACCESORIOS")</f>
        <v>FUENTES / UPS / CABLEADO / ACCESORIOS &gt; FICHAS Y ACCESORIOS</v>
      </c>
      <c r="G1838" s="5"/>
      <c r="H1838" s="6">
        <f>IFERROR(__xludf.DUMMYFUNCTION("""COMPUTED_VALUE"""),0.61)</f>
        <v>0.61</v>
      </c>
      <c r="I1838" s="7">
        <f>IFERROR(__xludf.DUMMYFUNCTION("""COMPUTED_VALUE"""),21.0)</f>
        <v>21</v>
      </c>
      <c r="J1838" s="6">
        <f>IFERROR(__xludf.DUMMYFUNCTION("""COMPUTED_VALUE"""),0.73)</f>
        <v>0.73</v>
      </c>
      <c r="K1838" s="6">
        <f>IFERROR(__xludf.DUMMYFUNCTION("""COMPUTED_VALUE"""),0.85)</f>
        <v>0.85</v>
      </c>
      <c r="L1838" s="3"/>
      <c r="M1838" s="3"/>
    </row>
    <row r="1839" ht="48.0" customHeight="1">
      <c r="A1839" s="3" t="str">
        <f>IFERROR(__xludf.DUMMYFUNCTION("""COMPUTED_VALUE"""),"TACI-ECO1200X84U")</f>
        <v>TACI-ECO1200X84U</v>
      </c>
      <c r="B1839" s="4" t="str">
        <f>IFERROR(__xludf.DUMMYFUNCTION("""COMPUTED_VALUE"""),"CAJA ESTANCO 75X75X55")</f>
        <v>CAJA ESTANCO 75X75X55</v>
      </c>
      <c r="C1839" s="4" t="str">
        <f>IFERROR(__xludf.DUMMYFUNCTION("""COMPUTED_VALUE"""),"Caja Estanco 75x75x55. línea Económica Bulto x 84 unidades")</f>
        <v>Caja Estanco 75x75x55. línea Económica Bulto x 84 unidades</v>
      </c>
      <c r="D1839" s="4" t="str">
        <f>IFERROR(__xludf.DUMMYFUNCTION("""COMPUTED_VALUE"""),"GENERICO")</f>
        <v>GENERICO</v>
      </c>
      <c r="E1839" s="4" t="str">
        <f>IFERROR(__xludf.DUMMYFUNCTION("""COMPUTED_VALUE"""),"TACI-ECO1200X84U")</f>
        <v>TACI-ECO1200X84U</v>
      </c>
      <c r="F1839" s="4" t="str">
        <f>IFERROR(__xludf.DUMMYFUNCTION("""COMPUTED_VALUE"""),"FUENTES / UPS / CABLEADO / ACCESORIOS &gt; FICHAS Y ACCESORIOS")</f>
        <v>FUENTES / UPS / CABLEADO / ACCESORIOS &gt; FICHAS Y ACCESORIOS</v>
      </c>
      <c r="G1839" s="5"/>
      <c r="H1839" s="6">
        <f>IFERROR(__xludf.DUMMYFUNCTION("""COMPUTED_VALUE"""),48.81)</f>
        <v>48.81</v>
      </c>
      <c r="I1839" s="7">
        <f>IFERROR(__xludf.DUMMYFUNCTION("""COMPUTED_VALUE"""),21.0)</f>
        <v>21</v>
      </c>
      <c r="J1839" s="6">
        <f>IFERROR(__xludf.DUMMYFUNCTION("""COMPUTED_VALUE"""),58.57)</f>
        <v>58.57</v>
      </c>
      <c r="K1839" s="6">
        <f>IFERROR(__xludf.DUMMYFUNCTION("""COMPUTED_VALUE"""),68.33)</f>
        <v>68.33</v>
      </c>
      <c r="L1839" s="3"/>
      <c r="M1839" s="3"/>
    </row>
    <row r="1840" ht="48.0" customHeight="1">
      <c r="A1840" s="3" t="str">
        <f>IFERROR(__xludf.DUMMYFUNCTION("""COMPUTED_VALUE"""),"TACP1200")</f>
        <v>TACP1200</v>
      </c>
      <c r="B1840" s="4" t="str">
        <f>IFERROR(__xludf.DUMMYFUNCTION("""COMPUTED_VALUE"""),"CAJA ESTANCO 75X75X55")</f>
        <v>CAJA ESTANCO 75X75X55</v>
      </c>
      <c r="C1840" s="4" t="str">
        <f>IFERROR(__xludf.DUMMYFUNCTION("""COMPUTED_VALUE"""),"Caja Estanco 75x75x55")</f>
        <v>Caja Estanco 75x75x55</v>
      </c>
      <c r="D1840" s="4" t="str">
        <f>IFERROR(__xludf.DUMMYFUNCTION("""COMPUTED_VALUE"""),"GENERICO")</f>
        <v>GENERICO</v>
      </c>
      <c r="E1840" s="4" t="str">
        <f>IFERROR(__xludf.DUMMYFUNCTION("""COMPUTED_VALUE"""),"TACP1200")</f>
        <v>TACP1200</v>
      </c>
      <c r="F1840" s="4" t="str">
        <f>IFERROR(__xludf.DUMMYFUNCTION("""COMPUTED_VALUE"""),"FUENTES / UPS / CABLEADO / ACCESORIOS &gt; FICHAS Y ACCESORIOS")</f>
        <v>FUENTES / UPS / CABLEADO / ACCESORIOS &gt; FICHAS Y ACCESORIOS</v>
      </c>
      <c r="G1840" s="5"/>
      <c r="H1840" s="6">
        <f>IFERROR(__xludf.DUMMYFUNCTION("""COMPUTED_VALUE"""),1.36)</f>
        <v>1.36</v>
      </c>
      <c r="I1840" s="7">
        <f>IFERROR(__xludf.DUMMYFUNCTION("""COMPUTED_VALUE"""),21.0)</f>
        <v>21</v>
      </c>
      <c r="J1840" s="6">
        <f>IFERROR(__xludf.DUMMYFUNCTION("""COMPUTED_VALUE"""),1.63)</f>
        <v>1.63</v>
      </c>
      <c r="K1840" s="6">
        <f>IFERROR(__xludf.DUMMYFUNCTION("""COMPUTED_VALUE"""),1.9)</f>
        <v>1.9</v>
      </c>
      <c r="L1840" s="3"/>
      <c r="M1840" s="3"/>
    </row>
    <row r="1841" ht="48.0" customHeight="1">
      <c r="A1841" s="3" t="str">
        <f>IFERROR(__xludf.DUMMYFUNCTION("""COMPUTED_VALUE"""),"TACP1200X24U")</f>
        <v>TACP1200X24U</v>
      </c>
      <c r="B1841" s="4" t="str">
        <f>IFERROR(__xludf.DUMMYFUNCTION("""COMPUTED_VALUE"""),"CAJA ESTANCO 75X75X55")</f>
        <v>CAJA ESTANCO 75X75X55</v>
      </c>
      <c r="C1841" s="4" t="str">
        <f>IFERROR(__xludf.DUMMYFUNCTION("""COMPUTED_VALUE"""),"Caja Estanco 75x75x55. Bulto x 24 unidades")</f>
        <v>Caja Estanco 75x75x55. Bulto x 24 unidades</v>
      </c>
      <c r="D1841" s="4" t="str">
        <f>IFERROR(__xludf.DUMMYFUNCTION("""COMPUTED_VALUE"""),"GENERICO")</f>
        <v>GENERICO</v>
      </c>
      <c r="E1841" s="4" t="str">
        <f>IFERROR(__xludf.DUMMYFUNCTION("""COMPUTED_VALUE"""),"TACP1200X24U")</f>
        <v>TACP1200X24U</v>
      </c>
      <c r="F1841" s="4" t="str">
        <f>IFERROR(__xludf.DUMMYFUNCTION("""COMPUTED_VALUE"""),"FUENTES / UPS / CABLEADO / ACCESORIOS &gt; FICHAS Y ACCESORIOS")</f>
        <v>FUENTES / UPS / CABLEADO / ACCESORIOS &gt; FICHAS Y ACCESORIOS</v>
      </c>
      <c r="G1841" s="5"/>
      <c r="H1841" s="6">
        <f>IFERROR(__xludf.DUMMYFUNCTION("""COMPUTED_VALUE"""),31.59)</f>
        <v>31.59</v>
      </c>
      <c r="I1841" s="7">
        <f>IFERROR(__xludf.DUMMYFUNCTION("""COMPUTED_VALUE"""),21.0)</f>
        <v>21</v>
      </c>
      <c r="J1841" s="6">
        <f>IFERROR(__xludf.DUMMYFUNCTION("""COMPUTED_VALUE"""),37.91)</f>
        <v>37.91</v>
      </c>
      <c r="K1841" s="6">
        <f>IFERROR(__xludf.DUMMYFUNCTION("""COMPUTED_VALUE"""),44.23)</f>
        <v>44.23</v>
      </c>
      <c r="L1841" s="3"/>
      <c r="M1841" s="3"/>
    </row>
    <row r="1842" ht="48.0" customHeight="1">
      <c r="A1842" s="3" t="str">
        <f>IFERROR(__xludf.DUMMYFUNCTION("""COMPUTED_VALUE"""),"TACI-ECO2100")</f>
        <v>TACI-ECO2100</v>
      </c>
      <c r="B1842" s="4" t="str">
        <f>IFERROR(__xludf.DUMMYFUNCTION("""COMPUTED_VALUE"""),"CAJA ESTANCO 90X90X55")</f>
        <v>CAJA ESTANCO 90X90X55</v>
      </c>
      <c r="C1842" s="4" t="str">
        <f>IFERROR(__xludf.DUMMYFUNCTION("""COMPUTED_VALUE"""),"Caja Estanco 90x90x55. línea Económica")</f>
        <v>Caja Estanco 90x90x55. línea Económica</v>
      </c>
      <c r="D1842" s="4" t="str">
        <f>IFERROR(__xludf.DUMMYFUNCTION("""COMPUTED_VALUE"""),"GENERICO")</f>
        <v>GENERICO</v>
      </c>
      <c r="E1842" s="4" t="str">
        <f>IFERROR(__xludf.DUMMYFUNCTION("""COMPUTED_VALUE"""),"TACI-ECO2100")</f>
        <v>TACI-ECO2100</v>
      </c>
      <c r="F1842" s="4" t="str">
        <f>IFERROR(__xludf.DUMMYFUNCTION("""COMPUTED_VALUE"""),"FUENTES / UPS / CABLEADO / ACCESORIOS &gt; FICHAS Y ACCESORIOS")</f>
        <v>FUENTES / UPS / CABLEADO / ACCESORIOS &gt; FICHAS Y ACCESORIOS</v>
      </c>
      <c r="G1842" s="5"/>
      <c r="H1842" s="6">
        <f>IFERROR(__xludf.DUMMYFUNCTION("""COMPUTED_VALUE"""),0.63)</f>
        <v>0.63</v>
      </c>
      <c r="I1842" s="7">
        <f>IFERROR(__xludf.DUMMYFUNCTION("""COMPUTED_VALUE"""),21.0)</f>
        <v>21</v>
      </c>
      <c r="J1842" s="6">
        <f>IFERROR(__xludf.DUMMYFUNCTION("""COMPUTED_VALUE"""),0.76)</f>
        <v>0.76</v>
      </c>
      <c r="K1842" s="6">
        <f>IFERROR(__xludf.DUMMYFUNCTION("""COMPUTED_VALUE"""),0.88)</f>
        <v>0.88</v>
      </c>
      <c r="L1842" s="3"/>
      <c r="M1842" s="3"/>
    </row>
    <row r="1843" ht="48.0" customHeight="1">
      <c r="A1843" s="3" t="str">
        <f>IFERROR(__xludf.DUMMYFUNCTION("""COMPUTED_VALUE"""),"TACI-ECO2100X60U")</f>
        <v>TACI-ECO2100X60U</v>
      </c>
      <c r="B1843" s="4" t="str">
        <f>IFERROR(__xludf.DUMMYFUNCTION("""COMPUTED_VALUE"""),"CAJA ESTANCO 90X90X55")</f>
        <v>CAJA ESTANCO 90X90X55</v>
      </c>
      <c r="C1843" s="4" t="str">
        <f>IFERROR(__xludf.DUMMYFUNCTION("""COMPUTED_VALUE"""),"Caja Estanco 90x90x55. línea Económica Bulto x 60 unidades")</f>
        <v>Caja Estanco 90x90x55. línea Económica Bulto x 60 unidades</v>
      </c>
      <c r="D1843" s="4" t="str">
        <f>IFERROR(__xludf.DUMMYFUNCTION("""COMPUTED_VALUE"""),"GENERICO")</f>
        <v>GENERICO</v>
      </c>
      <c r="E1843" s="4" t="str">
        <f>IFERROR(__xludf.DUMMYFUNCTION("""COMPUTED_VALUE"""),"TACI-ECO2100X60U")</f>
        <v>TACI-ECO2100X60U</v>
      </c>
      <c r="F1843" s="4" t="str">
        <f>IFERROR(__xludf.DUMMYFUNCTION("""COMPUTED_VALUE"""),"FUENTES / UPS / CABLEADO / ACCESORIOS &gt; FICHAS Y ACCESORIOS")</f>
        <v>FUENTES / UPS / CABLEADO / ACCESORIOS &gt; FICHAS Y ACCESORIOS</v>
      </c>
      <c r="G1843" s="5"/>
      <c r="H1843" s="6">
        <f>IFERROR(__xludf.DUMMYFUNCTION("""COMPUTED_VALUE"""),36.06)</f>
        <v>36.06</v>
      </c>
      <c r="I1843" s="7">
        <f>IFERROR(__xludf.DUMMYFUNCTION("""COMPUTED_VALUE"""),21.0)</f>
        <v>21</v>
      </c>
      <c r="J1843" s="6">
        <f>IFERROR(__xludf.DUMMYFUNCTION("""COMPUTED_VALUE"""),43.27)</f>
        <v>43.27</v>
      </c>
      <c r="K1843" s="6">
        <f>IFERROR(__xludf.DUMMYFUNCTION("""COMPUTED_VALUE"""),50.48)</f>
        <v>50.48</v>
      </c>
      <c r="L1843" s="3"/>
      <c r="M1843" s="3"/>
    </row>
    <row r="1844" ht="48.0" customHeight="1">
      <c r="A1844" s="3" t="str">
        <f>IFERROR(__xludf.DUMMYFUNCTION("""COMPUTED_VALUE"""),"TACP2100")</f>
        <v>TACP2100</v>
      </c>
      <c r="B1844" s="4" t="str">
        <f>IFERROR(__xludf.DUMMYFUNCTION("""COMPUTED_VALUE"""),"CAJA ESTANCO 90X90X55")</f>
        <v>CAJA ESTANCO 90X90X55</v>
      </c>
      <c r="C1844" s="4" t="str">
        <f>IFERROR(__xludf.DUMMYFUNCTION("""COMPUTED_VALUE"""),"Caja Estanco 90x90x55")</f>
        <v>Caja Estanco 90x90x55</v>
      </c>
      <c r="D1844" s="4" t="str">
        <f>IFERROR(__xludf.DUMMYFUNCTION("""COMPUTED_VALUE"""),"GENERICO")</f>
        <v>GENERICO</v>
      </c>
      <c r="E1844" s="4" t="str">
        <f>IFERROR(__xludf.DUMMYFUNCTION("""COMPUTED_VALUE"""),"TACP2100")</f>
        <v>TACP2100</v>
      </c>
      <c r="F1844" s="4" t="str">
        <f>IFERROR(__xludf.DUMMYFUNCTION("""COMPUTED_VALUE"""),"FUENTES / UPS / CABLEADO / ACCESORIOS &gt; FICHAS Y ACCESORIOS")</f>
        <v>FUENTES / UPS / CABLEADO / ACCESORIOS &gt; FICHAS Y ACCESORIOS</v>
      </c>
      <c r="G1844" s="5"/>
      <c r="H1844" s="6">
        <f>IFERROR(__xludf.DUMMYFUNCTION("""COMPUTED_VALUE"""),1.61)</f>
        <v>1.61</v>
      </c>
      <c r="I1844" s="7">
        <f>IFERROR(__xludf.DUMMYFUNCTION("""COMPUTED_VALUE"""),21.0)</f>
        <v>21</v>
      </c>
      <c r="J1844" s="6">
        <f>IFERROR(__xludf.DUMMYFUNCTION("""COMPUTED_VALUE"""),1.93)</f>
        <v>1.93</v>
      </c>
      <c r="K1844" s="6">
        <f>IFERROR(__xludf.DUMMYFUNCTION("""COMPUTED_VALUE"""),2.25)</f>
        <v>2.25</v>
      </c>
      <c r="L1844" s="3"/>
      <c r="M1844" s="3"/>
    </row>
    <row r="1845" ht="48.0" customHeight="1">
      <c r="A1845" s="3" t="str">
        <f>IFERROR(__xludf.DUMMYFUNCTION("""COMPUTED_VALUE"""),"TACP2100X36U")</f>
        <v>TACP2100X36U</v>
      </c>
      <c r="B1845" s="4" t="str">
        <f>IFERROR(__xludf.DUMMYFUNCTION("""COMPUTED_VALUE"""),"CAJA ESTANCO 90X90X55")</f>
        <v>CAJA ESTANCO 90X90X55</v>
      </c>
      <c r="C1845" s="4" t="str">
        <f>IFERROR(__xludf.DUMMYFUNCTION("""COMPUTED_VALUE"""),"Caja Estanco 90x90x55. Bulto x 36 unidades")</f>
        <v>Caja Estanco 90x90x55. Bulto x 36 unidades</v>
      </c>
      <c r="D1845" s="4" t="str">
        <f>IFERROR(__xludf.DUMMYFUNCTION("""COMPUTED_VALUE"""),"GENERICO")</f>
        <v>GENERICO</v>
      </c>
      <c r="E1845" s="4" t="str">
        <f>IFERROR(__xludf.DUMMYFUNCTION("""COMPUTED_VALUE"""),"TACP2100X36U")</f>
        <v>TACP2100X36U</v>
      </c>
      <c r="F1845" s="4" t="str">
        <f>IFERROR(__xludf.DUMMYFUNCTION("""COMPUTED_VALUE"""),"FUENTES / UPS / CABLEADO / ACCESORIOS &gt; FICHAS Y ACCESORIOS")</f>
        <v>FUENTES / UPS / CABLEADO / ACCESORIOS &gt; FICHAS Y ACCESORIOS</v>
      </c>
      <c r="G1845" s="5"/>
      <c r="H1845" s="6">
        <f>IFERROR(__xludf.DUMMYFUNCTION("""COMPUTED_VALUE"""),55.74)</f>
        <v>55.74</v>
      </c>
      <c r="I1845" s="7">
        <f>IFERROR(__xludf.DUMMYFUNCTION("""COMPUTED_VALUE"""),21.0)</f>
        <v>21</v>
      </c>
      <c r="J1845" s="6">
        <f>IFERROR(__xludf.DUMMYFUNCTION("""COMPUTED_VALUE"""),66.89)</f>
        <v>66.89</v>
      </c>
      <c r="K1845" s="6">
        <f>IFERROR(__xludf.DUMMYFUNCTION("""COMPUTED_VALUE"""),78.04)</f>
        <v>78.04</v>
      </c>
      <c r="L1845" s="3"/>
      <c r="M1845" s="3"/>
    </row>
    <row r="1846" ht="48.0" customHeight="1">
      <c r="A1846" s="3" t="str">
        <f>IFERROR(__xludf.DUMMYFUNCTION("""COMPUTED_VALUE"""),"TACI-ECO2200")</f>
        <v>TACI-ECO2200</v>
      </c>
      <c r="B1846" s="4" t="str">
        <f>IFERROR(__xludf.DUMMYFUNCTION("""COMPUTED_VALUE"""),"CAJA ESTANCO 90X90X75")</f>
        <v>CAJA ESTANCO 90X90X75</v>
      </c>
      <c r="C1846" s="4" t="str">
        <f>IFERROR(__xludf.DUMMYFUNCTION("""COMPUTED_VALUE"""),"Caja Estanco 90x90x75. línea Económica")</f>
        <v>Caja Estanco 90x90x75. línea Económica</v>
      </c>
      <c r="D1846" s="4" t="str">
        <f>IFERROR(__xludf.DUMMYFUNCTION("""COMPUTED_VALUE"""),"GENERICO")</f>
        <v>GENERICO</v>
      </c>
      <c r="E1846" s="4" t="str">
        <f>IFERROR(__xludf.DUMMYFUNCTION("""COMPUTED_VALUE"""),"TACI-ECO2200")</f>
        <v>TACI-ECO2200</v>
      </c>
      <c r="F1846" s="4" t="str">
        <f>IFERROR(__xludf.DUMMYFUNCTION("""COMPUTED_VALUE"""),"FUENTES / UPS / CABLEADO / ACCESORIOS &gt; FICHAS Y ACCESORIOS")</f>
        <v>FUENTES / UPS / CABLEADO / ACCESORIOS &gt; FICHAS Y ACCESORIOS</v>
      </c>
      <c r="G1846" s="5"/>
      <c r="H1846" s="6">
        <f>IFERROR(__xludf.DUMMYFUNCTION("""COMPUTED_VALUE"""),0.78)</f>
        <v>0.78</v>
      </c>
      <c r="I1846" s="7">
        <f>IFERROR(__xludf.DUMMYFUNCTION("""COMPUTED_VALUE"""),21.0)</f>
        <v>21</v>
      </c>
      <c r="J1846" s="6">
        <f>IFERROR(__xludf.DUMMYFUNCTION("""COMPUTED_VALUE"""),0.94)</f>
        <v>0.94</v>
      </c>
      <c r="K1846" s="6">
        <f>IFERROR(__xludf.DUMMYFUNCTION("""COMPUTED_VALUE"""),1.09)</f>
        <v>1.09</v>
      </c>
      <c r="L1846" s="3"/>
      <c r="M1846" s="3"/>
    </row>
    <row r="1847" ht="48.0" customHeight="1">
      <c r="A1847" s="3" t="str">
        <f>IFERROR(__xludf.DUMMYFUNCTION("""COMPUTED_VALUE"""),"TACI-ECO2200X45U")</f>
        <v>TACI-ECO2200X45U</v>
      </c>
      <c r="B1847" s="4" t="str">
        <f>IFERROR(__xludf.DUMMYFUNCTION("""COMPUTED_VALUE"""),"CAJA ESTANCO 90X90X75")</f>
        <v>CAJA ESTANCO 90X90X75</v>
      </c>
      <c r="C1847" s="4" t="str">
        <f>IFERROR(__xludf.DUMMYFUNCTION("""COMPUTED_VALUE"""),"Caja Estanco 90x90x75. línea Económica Bulto x 45 unidades")</f>
        <v>Caja Estanco 90x90x75. línea Económica Bulto x 45 unidades</v>
      </c>
      <c r="D1847" s="4" t="str">
        <f>IFERROR(__xludf.DUMMYFUNCTION("""COMPUTED_VALUE"""),"GENERICO")</f>
        <v>GENERICO</v>
      </c>
      <c r="E1847" s="4" t="str">
        <f>IFERROR(__xludf.DUMMYFUNCTION("""COMPUTED_VALUE"""),"TACI-ECO2200X45U")</f>
        <v>TACI-ECO2200X45U</v>
      </c>
      <c r="F1847" s="4" t="str">
        <f>IFERROR(__xludf.DUMMYFUNCTION("""COMPUTED_VALUE"""),"FUENTES / UPS / CABLEADO / ACCESORIOS &gt; FICHAS Y ACCESORIOS")</f>
        <v>FUENTES / UPS / CABLEADO / ACCESORIOS &gt; FICHAS Y ACCESORIOS</v>
      </c>
      <c r="G1847" s="5"/>
      <c r="H1847" s="6">
        <f>IFERROR(__xludf.DUMMYFUNCTION("""COMPUTED_VALUE"""),33.92)</f>
        <v>33.92</v>
      </c>
      <c r="I1847" s="7">
        <f>IFERROR(__xludf.DUMMYFUNCTION("""COMPUTED_VALUE"""),21.0)</f>
        <v>21</v>
      </c>
      <c r="J1847" s="6">
        <f>IFERROR(__xludf.DUMMYFUNCTION("""COMPUTED_VALUE"""),40.7)</f>
        <v>40.7</v>
      </c>
      <c r="K1847" s="6">
        <f>IFERROR(__xludf.DUMMYFUNCTION("""COMPUTED_VALUE"""),47.49)</f>
        <v>47.49</v>
      </c>
      <c r="L1847" s="3"/>
      <c r="M1847" s="3"/>
    </row>
    <row r="1848" ht="48.0" customHeight="1">
      <c r="A1848" s="3" t="str">
        <f>IFERROR(__xludf.DUMMYFUNCTION("""COMPUTED_VALUE"""),"TACP2200")</f>
        <v>TACP2200</v>
      </c>
      <c r="B1848" s="4" t="str">
        <f>IFERROR(__xludf.DUMMYFUNCTION("""COMPUTED_VALUE"""),"CAJA ESTANCO 90X90X75")</f>
        <v>CAJA ESTANCO 90X90X75</v>
      </c>
      <c r="C1848" s="4" t="str">
        <f>IFERROR(__xludf.DUMMYFUNCTION("""COMPUTED_VALUE"""),"Caja Estanco 90x90x75")</f>
        <v>Caja Estanco 90x90x75</v>
      </c>
      <c r="D1848" s="4" t="str">
        <f>IFERROR(__xludf.DUMMYFUNCTION("""COMPUTED_VALUE"""),"GENERICO")</f>
        <v>GENERICO</v>
      </c>
      <c r="E1848" s="4" t="str">
        <f>IFERROR(__xludf.DUMMYFUNCTION("""COMPUTED_VALUE"""),"TACP2200")</f>
        <v>TACP2200</v>
      </c>
      <c r="F1848" s="4" t="str">
        <f>IFERROR(__xludf.DUMMYFUNCTION("""COMPUTED_VALUE"""),"FUENTES / UPS / CABLEADO / ACCESORIOS &gt; FICHAS Y ACCESORIOS")</f>
        <v>FUENTES / UPS / CABLEADO / ACCESORIOS &gt; FICHAS Y ACCESORIOS</v>
      </c>
      <c r="G1848" s="5"/>
      <c r="H1848" s="6">
        <f>IFERROR(__xludf.DUMMYFUNCTION("""COMPUTED_VALUE"""),1.85)</f>
        <v>1.85</v>
      </c>
      <c r="I1848" s="7">
        <f>IFERROR(__xludf.DUMMYFUNCTION("""COMPUTED_VALUE"""),21.0)</f>
        <v>21</v>
      </c>
      <c r="J1848" s="6">
        <f>IFERROR(__xludf.DUMMYFUNCTION("""COMPUTED_VALUE"""),2.22)</f>
        <v>2.22</v>
      </c>
      <c r="K1848" s="6">
        <f>IFERROR(__xludf.DUMMYFUNCTION("""COMPUTED_VALUE"""),2.59)</f>
        <v>2.59</v>
      </c>
      <c r="L1848" s="3"/>
      <c r="M1848" s="3"/>
    </row>
    <row r="1849" ht="48.0" customHeight="1">
      <c r="A1849" s="3" t="str">
        <f>IFERROR(__xludf.DUMMYFUNCTION("""COMPUTED_VALUE"""),"TACI-ECO2200X45U-DUP1")</f>
        <v>TACI-ECO2200X45U-DUP1</v>
      </c>
      <c r="B1849" s="4" t="str">
        <f>IFERROR(__xludf.DUMMYFUNCTION("""COMPUTED_VALUE"""),"CAJA ESTANCO 90X90X75")</f>
        <v>CAJA ESTANCO 90X90X75</v>
      </c>
      <c r="C1849" s="4" t="str">
        <f>IFERROR(__xludf.DUMMYFUNCTION("""COMPUTED_VALUE"""),"Caja Estanco 90x90x75. Bulto x 45 unidades")</f>
        <v>Caja Estanco 90x90x75. Bulto x 45 unidades</v>
      </c>
      <c r="D1849" s="4" t="str">
        <f>IFERROR(__xludf.DUMMYFUNCTION("""COMPUTED_VALUE"""),"GENERICO")</f>
        <v>GENERICO</v>
      </c>
      <c r="E1849" s="4" t="str">
        <f>IFERROR(__xludf.DUMMYFUNCTION("""COMPUTED_VALUE"""),"TACI-ECO2200X45U")</f>
        <v>TACI-ECO2200X45U</v>
      </c>
      <c r="F1849" s="4" t="str">
        <f>IFERROR(__xludf.DUMMYFUNCTION("""COMPUTED_VALUE"""),"FUENTES / UPS / CABLEADO / ACCESORIOS &gt; FICHAS Y ACCESORIOS")</f>
        <v>FUENTES / UPS / CABLEADO / ACCESORIOS &gt; FICHAS Y ACCESORIOS</v>
      </c>
      <c r="G1849" s="5"/>
      <c r="H1849" s="6">
        <f>IFERROR(__xludf.DUMMYFUNCTION("""COMPUTED_VALUE"""),42.75)</f>
        <v>42.75</v>
      </c>
      <c r="I1849" s="7">
        <f>IFERROR(__xludf.DUMMYFUNCTION("""COMPUTED_VALUE"""),21.0)</f>
        <v>21</v>
      </c>
      <c r="J1849" s="6">
        <f>IFERROR(__xludf.DUMMYFUNCTION("""COMPUTED_VALUE"""),51.3)</f>
        <v>51.3</v>
      </c>
      <c r="K1849" s="6">
        <f>IFERROR(__xludf.DUMMYFUNCTION("""COMPUTED_VALUE"""),59.85)</f>
        <v>59.85</v>
      </c>
      <c r="L1849" s="3"/>
      <c r="M1849" s="3"/>
    </row>
    <row r="1850" ht="48.0" customHeight="1">
      <c r="A1850" s="3" t="str">
        <f>IFERROR(__xludf.DUMMYFUNCTION("""COMPUTED_VALUE"""),"TACI-ECO3100")</f>
        <v>TACI-ECO3100</v>
      </c>
      <c r="B1850" s="4" t="str">
        <f>IFERROR(__xludf.DUMMYFUNCTION("""COMPUTED_VALUE"""),"CAJA ESTANCO 115X115X50 LÍNEA ECONÓMICA")</f>
        <v>CAJA ESTANCO 115X115X50 LÍNEA ECONÓMICA</v>
      </c>
      <c r="C1850" s="4" t="str">
        <f>IFERROR(__xludf.DUMMYFUNCTION("""COMPUTED_VALUE"""),"Caja Estanco 115x115x50 línea Económica")</f>
        <v>Caja Estanco 115x115x50 línea Económica</v>
      </c>
      <c r="D1850" s="4" t="str">
        <f>IFERROR(__xludf.DUMMYFUNCTION("""COMPUTED_VALUE"""),"GENERICO")</f>
        <v>GENERICO</v>
      </c>
      <c r="E1850" s="4" t="str">
        <f>IFERROR(__xludf.DUMMYFUNCTION("""COMPUTED_VALUE"""),"TACI-ECO3100")</f>
        <v>TACI-ECO3100</v>
      </c>
      <c r="F1850" s="4" t="str">
        <f>IFERROR(__xludf.DUMMYFUNCTION("""COMPUTED_VALUE"""),"FUENTES / UPS / CABLEADO / ACCESORIOS &gt; FICHAS Y ACCESORIOS")</f>
        <v>FUENTES / UPS / CABLEADO / ACCESORIOS &gt; FICHAS Y ACCESORIOS</v>
      </c>
      <c r="G1850" s="5"/>
      <c r="H1850" s="6">
        <f>IFERROR(__xludf.DUMMYFUNCTION("""COMPUTED_VALUE"""),0.78)</f>
        <v>0.78</v>
      </c>
      <c r="I1850" s="7">
        <f>IFERROR(__xludf.DUMMYFUNCTION("""COMPUTED_VALUE"""),21.0)</f>
        <v>21</v>
      </c>
      <c r="J1850" s="6">
        <f>IFERROR(__xludf.DUMMYFUNCTION("""COMPUTED_VALUE"""),0.94)</f>
        <v>0.94</v>
      </c>
      <c r="K1850" s="6">
        <f>IFERROR(__xludf.DUMMYFUNCTION("""COMPUTED_VALUE"""),1.09)</f>
        <v>1.09</v>
      </c>
      <c r="L1850" s="3"/>
      <c r="M1850" s="3"/>
    </row>
    <row r="1851" ht="48.0" customHeight="1">
      <c r="A1851" s="3" t="str">
        <f>IFERROR(__xludf.DUMMYFUNCTION("""COMPUTED_VALUE"""),"TACI-ECO3100X40U")</f>
        <v>TACI-ECO3100X40U</v>
      </c>
      <c r="B1851" s="4" t="str">
        <f>IFERROR(__xludf.DUMMYFUNCTION("""COMPUTED_VALUE"""),"CAJA ESTANCO 115X115X50")</f>
        <v>CAJA ESTANCO 115X115X50</v>
      </c>
      <c r="C1851" s="4" t="str">
        <f>IFERROR(__xludf.DUMMYFUNCTION("""COMPUTED_VALUE"""),"Caja Estanco 115x115x50. línea Económica Bulto x 40 unidades")</f>
        <v>Caja Estanco 115x115x50. línea Económica Bulto x 40 unidades</v>
      </c>
      <c r="D1851" s="4" t="str">
        <f>IFERROR(__xludf.DUMMYFUNCTION("""COMPUTED_VALUE"""),"GENERICO")</f>
        <v>GENERICO</v>
      </c>
      <c r="E1851" s="4" t="str">
        <f>IFERROR(__xludf.DUMMYFUNCTION("""COMPUTED_VALUE"""),"TACI-ECO3100X40U")</f>
        <v>TACI-ECO3100X40U</v>
      </c>
      <c r="F1851" s="4" t="str">
        <f>IFERROR(__xludf.DUMMYFUNCTION("""COMPUTED_VALUE"""),"FUENTES / UPS / CABLEADO / ACCESORIOS &gt; FICHAS Y ACCESORIOS")</f>
        <v>FUENTES / UPS / CABLEADO / ACCESORIOS &gt; FICHAS Y ACCESORIOS</v>
      </c>
      <c r="G1851" s="5"/>
      <c r="H1851" s="6">
        <f>IFERROR(__xludf.DUMMYFUNCTION("""COMPUTED_VALUE"""),29.94)</f>
        <v>29.94</v>
      </c>
      <c r="I1851" s="7">
        <f>IFERROR(__xludf.DUMMYFUNCTION("""COMPUTED_VALUE"""),21.0)</f>
        <v>21</v>
      </c>
      <c r="J1851" s="6">
        <f>IFERROR(__xludf.DUMMYFUNCTION("""COMPUTED_VALUE"""),35.93)</f>
        <v>35.93</v>
      </c>
      <c r="K1851" s="6">
        <f>IFERROR(__xludf.DUMMYFUNCTION("""COMPUTED_VALUE"""),41.92)</f>
        <v>41.92</v>
      </c>
      <c r="L1851" s="3"/>
      <c r="M1851" s="3"/>
    </row>
    <row r="1852" ht="48.0" customHeight="1">
      <c r="A1852" s="3" t="str">
        <f>IFERROR(__xludf.DUMMYFUNCTION("""COMPUTED_VALUE"""),"TACP3100")</f>
        <v>TACP3100</v>
      </c>
      <c r="B1852" s="4" t="str">
        <f>IFERROR(__xludf.DUMMYFUNCTION("""COMPUTED_VALUE"""),"CAJA ESTANCO 115X115X50")</f>
        <v>CAJA ESTANCO 115X115X50</v>
      </c>
      <c r="C1852" s="4" t="str">
        <f>IFERROR(__xludf.DUMMYFUNCTION("""COMPUTED_VALUE"""),"Caja Estanco 115x115x50")</f>
        <v>Caja Estanco 115x115x50</v>
      </c>
      <c r="D1852" s="4" t="str">
        <f>IFERROR(__xludf.DUMMYFUNCTION("""COMPUTED_VALUE"""),"GENERICO")</f>
        <v>GENERICO</v>
      </c>
      <c r="E1852" s="4" t="str">
        <f>IFERROR(__xludf.DUMMYFUNCTION("""COMPUTED_VALUE"""),"TACP3100")</f>
        <v>TACP3100</v>
      </c>
      <c r="F1852" s="4" t="str">
        <f>IFERROR(__xludf.DUMMYFUNCTION("""COMPUTED_VALUE"""),"FUENTES / UPS / CABLEADO / ACCESORIOS &gt; FICHAS Y ACCESORIOS")</f>
        <v>FUENTES / UPS / CABLEADO / ACCESORIOS &gt; FICHAS Y ACCESORIOS</v>
      </c>
      <c r="G1852" s="5"/>
      <c r="H1852" s="6">
        <f>IFERROR(__xludf.DUMMYFUNCTION("""COMPUTED_VALUE"""),1.94)</f>
        <v>1.94</v>
      </c>
      <c r="I1852" s="7">
        <f>IFERROR(__xludf.DUMMYFUNCTION("""COMPUTED_VALUE"""),21.0)</f>
        <v>21</v>
      </c>
      <c r="J1852" s="6">
        <f>IFERROR(__xludf.DUMMYFUNCTION("""COMPUTED_VALUE"""),2.33)</f>
        <v>2.33</v>
      </c>
      <c r="K1852" s="6">
        <f>IFERROR(__xludf.DUMMYFUNCTION("""COMPUTED_VALUE"""),2.72)</f>
        <v>2.72</v>
      </c>
      <c r="L1852" s="3"/>
      <c r="M1852" s="3"/>
    </row>
    <row r="1853" ht="48.0" customHeight="1">
      <c r="A1853" s="3" t="str">
        <f>IFERROR(__xludf.DUMMYFUNCTION("""COMPUTED_VALUE"""),"TACP3100X24U")</f>
        <v>TACP3100X24U</v>
      </c>
      <c r="B1853" s="4" t="str">
        <f>IFERROR(__xludf.DUMMYFUNCTION("""COMPUTED_VALUE"""),"CAJA ESTANCO 115X115X50")</f>
        <v>CAJA ESTANCO 115X115X50</v>
      </c>
      <c r="C1853" s="4" t="str">
        <f>IFERROR(__xludf.DUMMYFUNCTION("""COMPUTED_VALUE"""),"Caja Estanco 115x115x50. Bulto x 24 unidades")</f>
        <v>Caja Estanco 115x115x50. Bulto x 24 unidades</v>
      </c>
      <c r="D1853" s="4" t="str">
        <f>IFERROR(__xludf.DUMMYFUNCTION("""COMPUTED_VALUE"""),"GENERICO")</f>
        <v>GENERICO</v>
      </c>
      <c r="E1853" s="4" t="str">
        <f>IFERROR(__xludf.DUMMYFUNCTION("""COMPUTED_VALUE"""),"TACP3100X24U")</f>
        <v>TACP3100X24U</v>
      </c>
      <c r="F1853" s="4" t="str">
        <f>IFERROR(__xludf.DUMMYFUNCTION("""COMPUTED_VALUE"""),"FUENTES / UPS / CABLEADO / ACCESORIOS &gt; FICHAS Y ACCESORIOS")</f>
        <v>FUENTES / UPS / CABLEADO / ACCESORIOS &gt; FICHAS Y ACCESORIOS</v>
      </c>
      <c r="G1853" s="5"/>
      <c r="H1853" s="6">
        <f>IFERROR(__xludf.DUMMYFUNCTION("""COMPUTED_VALUE"""),44.59)</f>
        <v>44.59</v>
      </c>
      <c r="I1853" s="7">
        <f>IFERROR(__xludf.DUMMYFUNCTION("""COMPUTED_VALUE"""),21.0)</f>
        <v>21</v>
      </c>
      <c r="J1853" s="6">
        <f>IFERROR(__xludf.DUMMYFUNCTION("""COMPUTED_VALUE"""),53.51)</f>
        <v>53.51</v>
      </c>
      <c r="K1853" s="6">
        <f>IFERROR(__xludf.DUMMYFUNCTION("""COMPUTED_VALUE"""),62.43)</f>
        <v>62.43</v>
      </c>
      <c r="L1853" s="3"/>
      <c r="M1853" s="3"/>
    </row>
    <row r="1854" ht="48.0" customHeight="1">
      <c r="A1854" s="3" t="str">
        <f>IFERROR(__xludf.DUMMYFUNCTION("""COMPUTED_VALUE"""),"TACI-ECO3200")</f>
        <v>TACI-ECO3200</v>
      </c>
      <c r="B1854" s="4" t="str">
        <f>IFERROR(__xludf.DUMMYFUNCTION("""COMPUTED_VALUE"""),"CAJA ESTANCO 115X115X80 LÍNEA ECONÓMICA")</f>
        <v>CAJA ESTANCO 115X115X80 LÍNEA ECONÓMICA</v>
      </c>
      <c r="C1854" s="4" t="str">
        <f>IFERROR(__xludf.DUMMYFUNCTION("""COMPUTED_VALUE"""),"Caja Estanco 115x115x80 línea Económica")</f>
        <v>Caja Estanco 115x115x80 línea Económica</v>
      </c>
      <c r="D1854" s="4" t="str">
        <f>IFERROR(__xludf.DUMMYFUNCTION("""COMPUTED_VALUE"""),"GENERICO")</f>
        <v>GENERICO</v>
      </c>
      <c r="E1854" s="4" t="str">
        <f>IFERROR(__xludf.DUMMYFUNCTION("""COMPUTED_VALUE"""),"TACI-ECO3200")</f>
        <v>TACI-ECO3200</v>
      </c>
      <c r="F1854" s="4" t="str">
        <f>IFERROR(__xludf.DUMMYFUNCTION("""COMPUTED_VALUE"""),"FUENTES / UPS / CABLEADO / ACCESORIOS &gt; FICHAS Y ACCESORIOS")</f>
        <v>FUENTES / UPS / CABLEADO / ACCESORIOS &gt; FICHAS Y ACCESORIOS</v>
      </c>
      <c r="G1854" s="5"/>
      <c r="H1854" s="6">
        <f>IFERROR(__xludf.DUMMYFUNCTION("""COMPUTED_VALUE"""),1.07)</f>
        <v>1.07</v>
      </c>
      <c r="I1854" s="7">
        <f>IFERROR(__xludf.DUMMYFUNCTION("""COMPUTED_VALUE"""),21.0)</f>
        <v>21</v>
      </c>
      <c r="J1854" s="6">
        <f>IFERROR(__xludf.DUMMYFUNCTION("""COMPUTED_VALUE"""),1.28)</f>
        <v>1.28</v>
      </c>
      <c r="K1854" s="6">
        <f>IFERROR(__xludf.DUMMYFUNCTION("""COMPUTED_VALUE"""),1.5)</f>
        <v>1.5</v>
      </c>
      <c r="L1854" s="3"/>
      <c r="M1854" s="3"/>
    </row>
    <row r="1855" ht="48.0" customHeight="1">
      <c r="A1855" s="3" t="str">
        <f>IFERROR(__xludf.DUMMYFUNCTION("""COMPUTED_VALUE"""),"TACI-ECO3200X24U")</f>
        <v>TACI-ECO3200X24U</v>
      </c>
      <c r="B1855" s="4" t="str">
        <f>IFERROR(__xludf.DUMMYFUNCTION("""COMPUTED_VALUE"""),"CAJA ESTANCO 115X115X80")</f>
        <v>CAJA ESTANCO 115X115X80</v>
      </c>
      <c r="C1855" s="4" t="str">
        <f>IFERROR(__xludf.DUMMYFUNCTION("""COMPUTED_VALUE"""),"Caja Estanco 115x115x80. línea Económica Bulto x 24 unidades")</f>
        <v>Caja Estanco 115x115x80. línea Económica Bulto x 24 unidades</v>
      </c>
      <c r="D1855" s="4" t="str">
        <f>IFERROR(__xludf.DUMMYFUNCTION("""COMPUTED_VALUE"""),"GENERICO")</f>
        <v>GENERICO</v>
      </c>
      <c r="E1855" s="4" t="str">
        <f>IFERROR(__xludf.DUMMYFUNCTION("""COMPUTED_VALUE"""),"TACI-ECO3200X24U")</f>
        <v>TACI-ECO3200X24U</v>
      </c>
      <c r="F1855" s="4" t="str">
        <f>IFERROR(__xludf.DUMMYFUNCTION("""COMPUTED_VALUE"""),"FUENTES / UPS / CABLEADO / ACCESORIOS &gt; FICHAS Y ACCESORIOS")</f>
        <v>FUENTES / UPS / CABLEADO / ACCESORIOS &gt; FICHAS Y ACCESORIOS</v>
      </c>
      <c r="G1855" s="5"/>
      <c r="H1855" s="6">
        <f>IFERROR(__xludf.DUMMYFUNCTION("""COMPUTED_VALUE"""),24.7)</f>
        <v>24.7</v>
      </c>
      <c r="I1855" s="7">
        <f>IFERROR(__xludf.DUMMYFUNCTION("""COMPUTED_VALUE"""),21.0)</f>
        <v>21</v>
      </c>
      <c r="J1855" s="6">
        <f>IFERROR(__xludf.DUMMYFUNCTION("""COMPUTED_VALUE"""),29.64)</f>
        <v>29.64</v>
      </c>
      <c r="K1855" s="6">
        <f>IFERROR(__xludf.DUMMYFUNCTION("""COMPUTED_VALUE"""),34.58)</f>
        <v>34.58</v>
      </c>
      <c r="L1855" s="3"/>
      <c r="M1855" s="3"/>
    </row>
    <row r="1856" ht="48.0" customHeight="1">
      <c r="A1856" s="3" t="str">
        <f>IFERROR(__xludf.DUMMYFUNCTION("""COMPUTED_VALUE"""),"TACP3200")</f>
        <v>TACP3200</v>
      </c>
      <c r="B1856" s="4" t="str">
        <f>IFERROR(__xludf.DUMMYFUNCTION("""COMPUTED_VALUE"""),"CAJA ESTANCO 115X115X80")</f>
        <v>CAJA ESTANCO 115X115X80</v>
      </c>
      <c r="C1856" s="4" t="str">
        <f>IFERROR(__xludf.DUMMYFUNCTION("""COMPUTED_VALUE"""),"Caja Estanco 115x115x80")</f>
        <v>Caja Estanco 115x115x80</v>
      </c>
      <c r="D1856" s="4" t="str">
        <f>IFERROR(__xludf.DUMMYFUNCTION("""COMPUTED_VALUE"""),"GENERICO")</f>
        <v>GENERICO</v>
      </c>
      <c r="E1856" s="4" t="str">
        <f>IFERROR(__xludf.DUMMYFUNCTION("""COMPUTED_VALUE"""),"TACP3200")</f>
        <v>TACP3200</v>
      </c>
      <c r="F1856" s="4" t="str">
        <f>IFERROR(__xludf.DUMMYFUNCTION("""COMPUTED_VALUE"""),"FUENTES / UPS / CABLEADO / ACCESORIOS &gt; FICHAS Y ACCESORIOS")</f>
        <v>FUENTES / UPS / CABLEADO / ACCESORIOS &gt; FICHAS Y ACCESORIOS</v>
      </c>
      <c r="G1856" s="5"/>
      <c r="H1856" s="6">
        <f>IFERROR(__xludf.DUMMYFUNCTION("""COMPUTED_VALUE"""),2.26)</f>
        <v>2.26</v>
      </c>
      <c r="I1856" s="7">
        <f>IFERROR(__xludf.DUMMYFUNCTION("""COMPUTED_VALUE"""),21.0)</f>
        <v>21</v>
      </c>
      <c r="J1856" s="6">
        <f>IFERROR(__xludf.DUMMYFUNCTION("""COMPUTED_VALUE"""),2.71)</f>
        <v>2.71</v>
      </c>
      <c r="K1856" s="6">
        <f>IFERROR(__xludf.DUMMYFUNCTION("""COMPUTED_VALUE"""),3.16)</f>
        <v>3.16</v>
      </c>
      <c r="L1856" s="3"/>
      <c r="M1856" s="3"/>
    </row>
    <row r="1857" ht="48.0" customHeight="1">
      <c r="A1857" s="3" t="str">
        <f>IFERROR(__xludf.DUMMYFUNCTION("""COMPUTED_VALUE"""),"TACP3200X18U")</f>
        <v>TACP3200X18U</v>
      </c>
      <c r="B1857" s="4" t="str">
        <f>IFERROR(__xludf.DUMMYFUNCTION("""COMPUTED_VALUE"""),"CAJA ESTANCO 115X115X80")</f>
        <v>CAJA ESTANCO 115X115X80</v>
      </c>
      <c r="C1857" s="4" t="str">
        <f>IFERROR(__xludf.DUMMYFUNCTION("""COMPUTED_VALUE"""),"Caja Estanco 115x115x80. Bulto x 18 unidades")</f>
        <v>Caja Estanco 115x115x80. Bulto x 18 unidades</v>
      </c>
      <c r="D1857" s="4" t="str">
        <f>IFERROR(__xludf.DUMMYFUNCTION("""COMPUTED_VALUE"""),"GENERICO")</f>
        <v>GENERICO</v>
      </c>
      <c r="E1857" s="4" t="str">
        <f>IFERROR(__xludf.DUMMYFUNCTION("""COMPUTED_VALUE"""),"TACP3200X18U")</f>
        <v>TACP3200X18U</v>
      </c>
      <c r="F1857" s="4" t="str">
        <f>IFERROR(__xludf.DUMMYFUNCTION("""COMPUTED_VALUE"""),"FUENTES / UPS / CABLEADO / ACCESORIOS &gt; FICHAS Y ACCESORIOS")</f>
        <v>FUENTES / UPS / CABLEADO / ACCESORIOS &gt; FICHAS Y ACCESORIOS</v>
      </c>
      <c r="G1857" s="5"/>
      <c r="H1857" s="6">
        <f>IFERROR(__xludf.DUMMYFUNCTION("""COMPUTED_VALUE"""),39.02)</f>
        <v>39.02</v>
      </c>
      <c r="I1857" s="7">
        <f>IFERROR(__xludf.DUMMYFUNCTION("""COMPUTED_VALUE"""),21.0)</f>
        <v>21</v>
      </c>
      <c r="J1857" s="6">
        <f>IFERROR(__xludf.DUMMYFUNCTION("""COMPUTED_VALUE"""),46.82)</f>
        <v>46.82</v>
      </c>
      <c r="K1857" s="6">
        <f>IFERROR(__xludf.DUMMYFUNCTION("""COMPUTED_VALUE"""),54.63)</f>
        <v>54.63</v>
      </c>
      <c r="L1857" s="3"/>
      <c r="M1857" s="3"/>
    </row>
    <row r="1858" ht="48.0" customHeight="1">
      <c r="A1858" s="3" t="str">
        <f>IFERROR(__xludf.DUMMYFUNCTION("""COMPUTED_VALUE"""),"TACP3300")</f>
        <v>TACP3300</v>
      </c>
      <c r="B1858" s="4" t="str">
        <f>IFERROR(__xludf.DUMMYFUNCTION("""COMPUTED_VALUE"""),"CAJA ESTANCO 115X115X110")</f>
        <v>CAJA ESTANCO 115X115X110</v>
      </c>
      <c r="C1858" s="4" t="str">
        <f>IFERROR(__xludf.DUMMYFUNCTION("""COMPUTED_VALUE"""),"Caja Estanco 115x115x110")</f>
        <v>Caja Estanco 115x115x110</v>
      </c>
      <c r="D1858" s="4" t="str">
        <f>IFERROR(__xludf.DUMMYFUNCTION("""COMPUTED_VALUE"""),"GENERICO")</f>
        <v>GENERICO</v>
      </c>
      <c r="E1858" s="4" t="str">
        <f>IFERROR(__xludf.DUMMYFUNCTION("""COMPUTED_VALUE"""),"TACP3300")</f>
        <v>TACP3300</v>
      </c>
      <c r="F1858" s="4" t="str">
        <f>IFERROR(__xludf.DUMMYFUNCTION("""COMPUTED_VALUE"""),"FUENTES / UPS / CABLEADO / ACCESORIOS &gt; FICHAS Y ACCESORIOS")</f>
        <v>FUENTES / UPS / CABLEADO / ACCESORIOS &gt; FICHAS Y ACCESORIOS</v>
      </c>
      <c r="G1858" s="5"/>
      <c r="H1858" s="6">
        <f>IFERROR(__xludf.DUMMYFUNCTION("""COMPUTED_VALUE"""),2.57)</f>
        <v>2.57</v>
      </c>
      <c r="I1858" s="7">
        <f>IFERROR(__xludf.DUMMYFUNCTION("""COMPUTED_VALUE"""),21.0)</f>
        <v>21</v>
      </c>
      <c r="J1858" s="6">
        <f>IFERROR(__xludf.DUMMYFUNCTION("""COMPUTED_VALUE"""),3.08)</f>
        <v>3.08</v>
      </c>
      <c r="K1858" s="6">
        <f>IFERROR(__xludf.DUMMYFUNCTION("""COMPUTED_VALUE"""),3.6)</f>
        <v>3.6</v>
      </c>
      <c r="L1858" s="3"/>
      <c r="M1858" s="3"/>
    </row>
    <row r="1859" ht="48.0" customHeight="1">
      <c r="A1859" s="3" t="str">
        <f>IFERROR(__xludf.DUMMYFUNCTION("""COMPUTED_VALUE"""),"TACP3300X12U")</f>
        <v>TACP3300X12U</v>
      </c>
      <c r="B1859" s="4" t="str">
        <f>IFERROR(__xludf.DUMMYFUNCTION("""COMPUTED_VALUE"""),"CAJA ESTANCO 115X115X110")</f>
        <v>CAJA ESTANCO 115X115X110</v>
      </c>
      <c r="C1859" s="4" t="str">
        <f>IFERROR(__xludf.DUMMYFUNCTION("""COMPUTED_VALUE"""),"Caja Estanco 115x115x110. Bulto x 12 unidades")</f>
        <v>Caja Estanco 115x115x110. Bulto x 12 unidades</v>
      </c>
      <c r="D1859" s="4" t="str">
        <f>IFERROR(__xludf.DUMMYFUNCTION("""COMPUTED_VALUE"""),"GENERICO")</f>
        <v>GENERICO</v>
      </c>
      <c r="E1859" s="4" t="str">
        <f>IFERROR(__xludf.DUMMYFUNCTION("""COMPUTED_VALUE"""),"TACP3300X12U")</f>
        <v>TACP3300X12U</v>
      </c>
      <c r="F1859" s="4" t="str">
        <f>IFERROR(__xludf.DUMMYFUNCTION("""COMPUTED_VALUE"""),"FUENTES / UPS / CABLEADO / ACCESORIOS &gt; FICHAS Y ACCESORIOS")</f>
        <v>FUENTES / UPS / CABLEADO / ACCESORIOS &gt; FICHAS Y ACCESORIOS</v>
      </c>
      <c r="G1859" s="5"/>
      <c r="H1859" s="6">
        <f>IFERROR(__xludf.DUMMYFUNCTION("""COMPUTED_VALUE"""),29.73)</f>
        <v>29.73</v>
      </c>
      <c r="I1859" s="7">
        <f>IFERROR(__xludf.DUMMYFUNCTION("""COMPUTED_VALUE"""),21.0)</f>
        <v>21</v>
      </c>
      <c r="J1859" s="6">
        <f>IFERROR(__xludf.DUMMYFUNCTION("""COMPUTED_VALUE"""),35.68)</f>
        <v>35.68</v>
      </c>
      <c r="K1859" s="6">
        <f>IFERROR(__xludf.DUMMYFUNCTION("""COMPUTED_VALUE"""),41.62)</f>
        <v>41.62</v>
      </c>
      <c r="L1859" s="3"/>
      <c r="M1859" s="3"/>
    </row>
    <row r="1860" ht="48.0" customHeight="1">
      <c r="A1860" s="3" t="str">
        <f>IFERROR(__xludf.DUMMYFUNCTION("""COMPUTED_VALUE"""),"TACP4100")</f>
        <v>TACP4100</v>
      </c>
      <c r="B1860" s="4" t="str">
        <f>IFERROR(__xludf.DUMMYFUNCTION("""COMPUTED_VALUE"""),"CAJA ESTANCO 165X125X80")</f>
        <v>CAJA ESTANCO 165X125X80</v>
      </c>
      <c r="C1860" s="4" t="str">
        <f>IFERROR(__xludf.DUMMYFUNCTION("""COMPUTED_VALUE"""),"Caja Estanco 165x125x80")</f>
        <v>Caja Estanco 165x125x80</v>
      </c>
      <c r="D1860" s="4" t="str">
        <f>IFERROR(__xludf.DUMMYFUNCTION("""COMPUTED_VALUE"""),"GENERICO")</f>
        <v>GENERICO</v>
      </c>
      <c r="E1860" s="4" t="str">
        <f>IFERROR(__xludf.DUMMYFUNCTION("""COMPUTED_VALUE"""),"TACP4100")</f>
        <v>TACP4100</v>
      </c>
      <c r="F1860" s="4" t="str">
        <f>IFERROR(__xludf.DUMMYFUNCTION("""COMPUTED_VALUE"""),"FUENTES / UPS / CABLEADO / ACCESORIOS &gt; FICHAS Y ACCESORIOS")</f>
        <v>FUENTES / UPS / CABLEADO / ACCESORIOS &gt; FICHAS Y ACCESORIOS</v>
      </c>
      <c r="G1860" s="5"/>
      <c r="H1860" s="6">
        <f>IFERROR(__xludf.DUMMYFUNCTION("""COMPUTED_VALUE"""),4.15)</f>
        <v>4.15</v>
      </c>
      <c r="I1860" s="7">
        <f>IFERROR(__xludf.DUMMYFUNCTION("""COMPUTED_VALUE"""),21.0)</f>
        <v>21</v>
      </c>
      <c r="J1860" s="6">
        <f>IFERROR(__xludf.DUMMYFUNCTION("""COMPUTED_VALUE"""),4.98)</f>
        <v>4.98</v>
      </c>
      <c r="K1860" s="6">
        <f>IFERROR(__xludf.DUMMYFUNCTION("""COMPUTED_VALUE"""),5.81)</f>
        <v>5.81</v>
      </c>
      <c r="L1860" s="3"/>
      <c r="M1860" s="3"/>
    </row>
    <row r="1861" ht="48.0" customHeight="1">
      <c r="A1861" s="3" t="str">
        <f>IFERROR(__xludf.DUMMYFUNCTION("""COMPUTED_VALUE"""),"TACP4100X12U")</f>
        <v>TACP4100X12U</v>
      </c>
      <c r="B1861" s="4" t="str">
        <f>IFERROR(__xludf.DUMMYFUNCTION("""COMPUTED_VALUE"""),"CAJA ESTANCO 165X125X80")</f>
        <v>CAJA ESTANCO 165X125X80</v>
      </c>
      <c r="C1861" s="4" t="str">
        <f>IFERROR(__xludf.DUMMYFUNCTION("""COMPUTED_VALUE"""),"Caja Estanco 165x125x80. Bulto x 12 unidades")</f>
        <v>Caja Estanco 165x125x80. Bulto x 12 unidades</v>
      </c>
      <c r="D1861" s="4" t="str">
        <f>IFERROR(__xludf.DUMMYFUNCTION("""COMPUTED_VALUE"""),"GENERICO")</f>
        <v>GENERICO</v>
      </c>
      <c r="E1861" s="4" t="str">
        <f>IFERROR(__xludf.DUMMYFUNCTION("""COMPUTED_VALUE"""),"TACP4100X12U")</f>
        <v>TACP4100X12U</v>
      </c>
      <c r="F1861" s="4" t="str">
        <f>IFERROR(__xludf.DUMMYFUNCTION("""COMPUTED_VALUE"""),"FUENTES / UPS / CABLEADO / ACCESORIOS &gt; FICHAS Y ACCESORIOS")</f>
        <v>FUENTES / UPS / CABLEADO / ACCESORIOS &gt; FICHAS Y ACCESORIOS</v>
      </c>
      <c r="G1861" s="5"/>
      <c r="H1861" s="6">
        <f>IFERROR(__xludf.DUMMYFUNCTION("""COMPUTED_VALUE"""),47.81)</f>
        <v>47.81</v>
      </c>
      <c r="I1861" s="7">
        <f>IFERROR(__xludf.DUMMYFUNCTION("""COMPUTED_VALUE"""),21.0)</f>
        <v>21</v>
      </c>
      <c r="J1861" s="6">
        <f>IFERROR(__xludf.DUMMYFUNCTION("""COMPUTED_VALUE"""),57.37)</f>
        <v>57.37</v>
      </c>
      <c r="K1861" s="6">
        <f>IFERROR(__xludf.DUMMYFUNCTION("""COMPUTED_VALUE"""),66.93)</f>
        <v>66.93</v>
      </c>
      <c r="L1861" s="3"/>
      <c r="M1861" s="3"/>
    </row>
    <row r="1862" ht="48.0" customHeight="1">
      <c r="A1862" s="3" t="str">
        <f>IFERROR(__xludf.DUMMYFUNCTION("""COMPUTED_VALUE"""),"TACP6100")</f>
        <v>TACP6100</v>
      </c>
      <c r="B1862" s="4" t="str">
        <f>IFERROR(__xludf.DUMMYFUNCTION("""COMPUTED_VALUE"""),"CAJA ESTANCO 200X200X100")</f>
        <v>CAJA ESTANCO 200X200X100</v>
      </c>
      <c r="C1862" s="4" t="str">
        <f>IFERROR(__xludf.DUMMYFUNCTION("""COMPUTED_VALUE"""),"Caja Estanco 200x200x100")</f>
        <v>Caja Estanco 200x200x100</v>
      </c>
      <c r="D1862" s="4" t="str">
        <f>IFERROR(__xludf.DUMMYFUNCTION("""COMPUTED_VALUE"""),"GENERICO")</f>
        <v>GENERICO</v>
      </c>
      <c r="E1862" s="4" t="str">
        <f>IFERROR(__xludf.DUMMYFUNCTION("""COMPUTED_VALUE"""),"TACP6100")</f>
        <v>TACP6100</v>
      </c>
      <c r="F1862" s="4" t="str">
        <f>IFERROR(__xludf.DUMMYFUNCTION("""COMPUTED_VALUE"""),"FUENTES / UPS / CABLEADO / ACCESORIOS &gt; FICHAS Y ACCESORIOS")</f>
        <v>FUENTES / UPS / CABLEADO / ACCESORIOS &gt; FICHAS Y ACCESORIOS</v>
      </c>
      <c r="G1862" s="5"/>
      <c r="H1862" s="6">
        <f>IFERROR(__xludf.DUMMYFUNCTION("""COMPUTED_VALUE"""),6.84)</f>
        <v>6.84</v>
      </c>
      <c r="I1862" s="7">
        <f>IFERROR(__xludf.DUMMYFUNCTION("""COMPUTED_VALUE"""),21.0)</f>
        <v>21</v>
      </c>
      <c r="J1862" s="6">
        <f>IFERROR(__xludf.DUMMYFUNCTION("""COMPUTED_VALUE"""),8.21)</f>
        <v>8.21</v>
      </c>
      <c r="K1862" s="6">
        <f>IFERROR(__xludf.DUMMYFUNCTION("""COMPUTED_VALUE"""),9.58)</f>
        <v>9.58</v>
      </c>
      <c r="L1862" s="3"/>
      <c r="M1862" s="3"/>
    </row>
    <row r="1863" ht="48.0" customHeight="1">
      <c r="A1863" s="3" t="str">
        <f>IFERROR(__xludf.DUMMYFUNCTION("""COMPUTED_VALUE"""),"TACP6100X12U")</f>
        <v>TACP6100X12U</v>
      </c>
      <c r="B1863" s="4" t="str">
        <f>IFERROR(__xludf.DUMMYFUNCTION("""COMPUTED_VALUE"""),"CAJA ESTANCO 200X200X100")</f>
        <v>CAJA ESTANCO 200X200X100</v>
      </c>
      <c r="C1863" s="4" t="str">
        <f>IFERROR(__xludf.DUMMYFUNCTION("""COMPUTED_VALUE"""),"Caja Estanco 200x200x100. Bulto x 12 unidades")</f>
        <v>Caja Estanco 200x200x100. Bulto x 12 unidades</v>
      </c>
      <c r="D1863" s="4" t="str">
        <f>IFERROR(__xludf.DUMMYFUNCTION("""COMPUTED_VALUE"""),"GENERICO")</f>
        <v>GENERICO</v>
      </c>
      <c r="E1863" s="4" t="str">
        <f>IFERROR(__xludf.DUMMYFUNCTION("""COMPUTED_VALUE"""),"TACP6100X12U")</f>
        <v>TACP6100X12U</v>
      </c>
      <c r="F1863" s="4" t="str">
        <f>IFERROR(__xludf.DUMMYFUNCTION("""COMPUTED_VALUE"""),"FUENTES / UPS / CABLEADO / ACCESORIOS &gt; FICHAS Y ACCESORIOS")</f>
        <v>FUENTES / UPS / CABLEADO / ACCESORIOS &gt; FICHAS Y ACCESORIOS</v>
      </c>
      <c r="G1863" s="5"/>
      <c r="H1863" s="6">
        <f>IFERROR(__xludf.DUMMYFUNCTION("""COMPUTED_VALUE"""),79.0)</f>
        <v>79</v>
      </c>
      <c r="I1863" s="7">
        <f>IFERROR(__xludf.DUMMYFUNCTION("""COMPUTED_VALUE"""),21.0)</f>
        <v>21</v>
      </c>
      <c r="J1863" s="6">
        <f>IFERROR(__xludf.DUMMYFUNCTION("""COMPUTED_VALUE"""),94.8)</f>
        <v>94.8</v>
      </c>
      <c r="K1863" s="6">
        <f>IFERROR(__xludf.DUMMYFUNCTION("""COMPUTED_VALUE"""),110.6)</f>
        <v>110.6</v>
      </c>
      <c r="L1863" s="3"/>
      <c r="M1863" s="3"/>
    </row>
    <row r="1864" ht="48.0" customHeight="1">
      <c r="A1864" s="3" t="str">
        <f>IFERROR(__xludf.DUMMYFUNCTION("""COMPUTED_VALUE"""),"CABLECA14X7")</f>
        <v>CABLECA14X7</v>
      </c>
      <c r="B1864" s="4" t="str">
        <f>IFERROR(__xludf.DUMMYFUNCTION("""COMPUTED_VALUE"""),"TAT181X50 CABLE CANAL C/ADHESIVO 14X7 TIRA 2MTS CON ADHESIVO")</f>
        <v>TAT181X50 CABLE CANAL C/ADHESIVO 14X7 TIRA 2MTS CON ADHESIVO</v>
      </c>
      <c r="C1864" s="4" t="str">
        <f>IFERROR(__xludf.DUMMYFUNCTION("""COMPUTED_VALUE"""),"TAT181X50 Cable canal c/adhesivo 14x7 tira 2mts Con adhesivo. Bulto x 50 tiras")</f>
        <v>TAT181X50 Cable canal c/adhesivo 14x7 tira 2mts Con adhesivo. Bulto x 50 tiras</v>
      </c>
      <c r="D1864" s="4" t="str">
        <f>IFERROR(__xludf.DUMMYFUNCTION("""COMPUTED_VALUE"""),"GENERICO")</f>
        <v>GENERICO</v>
      </c>
      <c r="E1864" s="4" t="str">
        <f>IFERROR(__xludf.DUMMYFUNCTION("""COMPUTED_VALUE"""),"CABLECA14X7")</f>
        <v>CABLECA14X7</v>
      </c>
      <c r="F1864" s="4" t="str">
        <f>IFERROR(__xludf.DUMMYFUNCTION("""COMPUTED_VALUE"""),"FUENTES / UPS / CABLEADO / ACCESORIOS &gt; FICHAS Y ACCESORIOS")</f>
        <v>FUENTES / UPS / CABLEADO / ACCESORIOS &gt; FICHAS Y ACCESORIOS</v>
      </c>
      <c r="G1864" s="5"/>
      <c r="H1864" s="6">
        <f>IFERROR(__xludf.DUMMYFUNCTION("""COMPUTED_VALUE"""),42.19)</f>
        <v>42.19</v>
      </c>
      <c r="I1864" s="7">
        <f>IFERROR(__xludf.DUMMYFUNCTION("""COMPUTED_VALUE"""),21.0)</f>
        <v>21</v>
      </c>
      <c r="J1864" s="6">
        <f>IFERROR(__xludf.DUMMYFUNCTION("""COMPUTED_VALUE"""),50.63)</f>
        <v>50.63</v>
      </c>
      <c r="K1864" s="6">
        <f>IFERROR(__xludf.DUMMYFUNCTION("""COMPUTED_VALUE"""),59.07)</f>
        <v>59.07</v>
      </c>
      <c r="L1864" s="3"/>
      <c r="M1864" s="3"/>
    </row>
    <row r="1865" ht="48.0" customHeight="1">
      <c r="A1865" s="3" t="str">
        <f>IFERROR(__xludf.DUMMYFUNCTION("""COMPUTED_VALUE"""),"CABLECA20X10")</f>
        <v>CABLECA20X10</v>
      </c>
      <c r="B1865" s="4" t="str">
        <f>IFERROR(__xludf.DUMMYFUNCTION("""COMPUTED_VALUE"""),"TAT183X50 CABLE CANAL C/ADHESIVO 20X10 TIRA 2MTS CON ADHESIVO")</f>
        <v>TAT183X50 CABLE CANAL C/ADHESIVO 20X10 TIRA 2MTS CON ADHESIVO</v>
      </c>
      <c r="C1865" s="4" t="str">
        <f>IFERROR(__xludf.DUMMYFUNCTION("""COMPUTED_VALUE"""),"TAT183X50 Cable canal c/adhesivo 20x10 tira 2mts Con adhesivo. Bulto x 50 tiras")</f>
        <v>TAT183X50 Cable canal c/adhesivo 20x10 tira 2mts Con adhesivo. Bulto x 50 tiras</v>
      </c>
      <c r="D1865" s="4" t="str">
        <f>IFERROR(__xludf.DUMMYFUNCTION("""COMPUTED_VALUE"""),"GENERICO")</f>
        <v>GENERICO</v>
      </c>
      <c r="E1865" s="4" t="str">
        <f>IFERROR(__xludf.DUMMYFUNCTION("""COMPUTED_VALUE"""),"CABLECA20X10")</f>
        <v>CABLECA20X10</v>
      </c>
      <c r="F1865" s="4" t="str">
        <f>IFERROR(__xludf.DUMMYFUNCTION("""COMPUTED_VALUE"""),"FUENTES / UPS / CABLEADO / ACCESORIOS &gt; FICHAS Y ACCESORIOS")</f>
        <v>FUENTES / UPS / CABLEADO / ACCESORIOS &gt; FICHAS Y ACCESORIOS</v>
      </c>
      <c r="G1865" s="5"/>
      <c r="H1865" s="6">
        <f>IFERROR(__xludf.DUMMYFUNCTION("""COMPUTED_VALUE"""),50.91)</f>
        <v>50.91</v>
      </c>
      <c r="I1865" s="7">
        <f>IFERROR(__xludf.DUMMYFUNCTION("""COMPUTED_VALUE"""),21.0)</f>
        <v>21</v>
      </c>
      <c r="J1865" s="6">
        <f>IFERROR(__xludf.DUMMYFUNCTION("""COMPUTED_VALUE"""),61.09)</f>
        <v>61.09</v>
      </c>
      <c r="K1865" s="6">
        <f>IFERROR(__xludf.DUMMYFUNCTION("""COMPUTED_VALUE"""),71.27)</f>
        <v>71.27</v>
      </c>
      <c r="L1865" s="3"/>
      <c r="M1865" s="3"/>
    </row>
    <row r="1866" ht="48.0" customHeight="1">
      <c r="A1866" s="3" t="str">
        <f>IFERROR(__xludf.DUMMYFUNCTION("""COMPUTED_VALUE"""),"CABLECA18X21")</f>
        <v>CABLECA18X21</v>
      </c>
      <c r="B1866" s="4" t="str">
        <f>IFERROR(__xludf.DUMMYFUNCTION("""COMPUTED_VALUE"""),"TAT185X25 CABLE CANAL C/ADHESIVO 18X21 TIRA 2MTS CON ADHESIVO")</f>
        <v>TAT185X25 CABLE CANAL C/ADHESIVO 18X21 TIRA 2MTS CON ADHESIVO</v>
      </c>
      <c r="C1866" s="4" t="str">
        <f>IFERROR(__xludf.DUMMYFUNCTION("""COMPUTED_VALUE"""),"TAT185X25 Cable canal c/adhesivo 18X21 tira 2mts Con adhesivo. Bulto x 25 tiras")</f>
        <v>TAT185X25 Cable canal c/adhesivo 18X21 tira 2mts Con adhesivo. Bulto x 25 tiras</v>
      </c>
      <c r="D1866" s="4" t="str">
        <f>IFERROR(__xludf.DUMMYFUNCTION("""COMPUTED_VALUE"""),"GENERICO")</f>
        <v>GENERICO</v>
      </c>
      <c r="E1866" s="4" t="str">
        <f>IFERROR(__xludf.DUMMYFUNCTION("""COMPUTED_VALUE"""),"CABLECA18X21")</f>
        <v>CABLECA18X21</v>
      </c>
      <c r="F1866" s="4" t="str">
        <f>IFERROR(__xludf.DUMMYFUNCTION("""COMPUTED_VALUE"""),"FUENTES / UPS / CABLEADO / ACCESORIOS &gt; FICHAS Y ACCESORIOS")</f>
        <v>FUENTES / UPS / CABLEADO / ACCESORIOS &gt; FICHAS Y ACCESORIOS</v>
      </c>
      <c r="G1866" s="5"/>
      <c r="H1866" s="6">
        <f>IFERROR(__xludf.DUMMYFUNCTION("""COMPUTED_VALUE"""),44.51)</f>
        <v>44.51</v>
      </c>
      <c r="I1866" s="7">
        <f>IFERROR(__xludf.DUMMYFUNCTION("""COMPUTED_VALUE"""),21.0)</f>
        <v>21</v>
      </c>
      <c r="J1866" s="6">
        <f>IFERROR(__xludf.DUMMYFUNCTION("""COMPUTED_VALUE"""),53.41)</f>
        <v>53.41</v>
      </c>
      <c r="K1866" s="6">
        <f>IFERROR(__xludf.DUMMYFUNCTION("""COMPUTED_VALUE"""),62.31)</f>
        <v>62.31</v>
      </c>
      <c r="L1866" s="3"/>
      <c r="M1866" s="3"/>
    </row>
    <row r="1867" ht="48.0" customHeight="1">
      <c r="A1867" s="3" t="str">
        <f>IFERROR(__xludf.DUMMYFUNCTION("""COMPUTED_VALUE"""),"CABLECA27X30")</f>
        <v>CABLECA27X30</v>
      </c>
      <c r="B1867" s="4" t="str">
        <f>IFERROR(__xludf.DUMMYFUNCTION("""COMPUTED_VALUE"""),"TAT187X16 CABLE CANAL C/ADHESIVO 27X30 TIRA 2MTS CON ADHESIVO")</f>
        <v>TAT187X16 CABLE CANAL C/ADHESIVO 27X30 TIRA 2MTS CON ADHESIVO</v>
      </c>
      <c r="C1867" s="4" t="str">
        <f>IFERROR(__xludf.DUMMYFUNCTION("""COMPUTED_VALUE"""),"TAT187X16 Cable canal c/adhesivo 27X30 tira 2mts Con adhesivo. Bulto x 16 tiras")</f>
        <v>TAT187X16 Cable canal c/adhesivo 27X30 tira 2mts Con adhesivo. Bulto x 16 tiras</v>
      </c>
      <c r="D1867" s="4" t="str">
        <f>IFERROR(__xludf.DUMMYFUNCTION("""COMPUTED_VALUE"""),"GENERICO")</f>
        <v>GENERICO</v>
      </c>
      <c r="E1867" s="4" t="str">
        <f>IFERROR(__xludf.DUMMYFUNCTION("""COMPUTED_VALUE"""),"CABLECA27X30")</f>
        <v>CABLECA27X30</v>
      </c>
      <c r="F1867" s="4" t="str">
        <f>IFERROR(__xludf.DUMMYFUNCTION("""COMPUTED_VALUE"""),"FUENTES / UPS / CABLEADO / ACCESORIOS &gt; FICHAS Y ACCESORIOS")</f>
        <v>FUENTES / UPS / CABLEADO / ACCESORIOS &gt; FICHAS Y ACCESORIOS</v>
      </c>
      <c r="G1867" s="5"/>
      <c r="H1867" s="6">
        <f>IFERROR(__xludf.DUMMYFUNCTION("""COMPUTED_VALUE"""),49.73)</f>
        <v>49.73</v>
      </c>
      <c r="I1867" s="7">
        <f>IFERROR(__xludf.DUMMYFUNCTION("""COMPUTED_VALUE"""),21.0)</f>
        <v>21</v>
      </c>
      <c r="J1867" s="6">
        <f>IFERROR(__xludf.DUMMYFUNCTION("""COMPUTED_VALUE"""),59.68)</f>
        <v>59.68</v>
      </c>
      <c r="K1867" s="6">
        <f>IFERROR(__xludf.DUMMYFUNCTION("""COMPUTED_VALUE"""),69.62)</f>
        <v>69.62</v>
      </c>
      <c r="L1867" s="3"/>
      <c r="M1867" s="3"/>
    </row>
    <row r="1868" ht="48.0" customHeight="1">
      <c r="A1868" s="3" t="str">
        <f>IFERROR(__xludf.DUMMYFUNCTION("""COMPUTED_VALUE"""),"FSHD926")</f>
        <v>FSHD926</v>
      </c>
      <c r="B1868" s="4" t="str">
        <f>IFERROR(__xludf.DUMMYFUNCTION("""COMPUTED_VALUE"""),"BALUN PASIVO HD CVI/TVI/AHD C/CABLE EXTENSOR")</f>
        <v>BALUN PASIVO HD CVI/TVI/AHD C/CABLE EXTENSOR</v>
      </c>
      <c r="C1868" s="4" t="str">
        <f>IFERROR(__xludf.DUMMYFUNCTION("""COMPUTED_VALUE"""),"Balun pasivo HD CVI/TVI/AHD c/cable extensor. Blister 2 unidades. PAR CON PRENSA CABLE")</f>
        <v>Balun pasivo HD CVI/TVI/AHD c/cable extensor. Blister 2 unidades. PAR CON PRENSA CABLE</v>
      </c>
      <c r="D1868" s="4" t="str">
        <f>IFERROR(__xludf.DUMMYFUNCTION("""COMPUTED_VALUE"""),"OWL")</f>
        <v>OWL</v>
      </c>
      <c r="E1868" s="4" t="str">
        <f>IFERROR(__xludf.DUMMYFUNCTION("""COMPUTED_VALUE"""),"FSHD926")</f>
        <v>FSHD926</v>
      </c>
      <c r="F1868" s="4" t="str">
        <f>IFERROR(__xludf.DUMMYFUNCTION("""COMPUTED_VALUE"""),"FUENTES / UPS / CABLEADO / ACCESORIOS &gt; BALUNES / PROTECTORES DE PICO / AISLADORES")</f>
        <v>FUENTES / UPS / CABLEADO / ACCESORIOS &gt; BALUNES / PROTECTORES DE PICO / AISLADORES</v>
      </c>
      <c r="G1868" s="5"/>
      <c r="H1868" s="6">
        <f>IFERROR(__xludf.DUMMYFUNCTION("""COMPUTED_VALUE"""),1.1)</f>
        <v>1.1</v>
      </c>
      <c r="I1868" s="7">
        <f>IFERROR(__xludf.DUMMYFUNCTION("""COMPUTED_VALUE"""),21.0)</f>
        <v>21</v>
      </c>
      <c r="J1868" s="6">
        <f>IFERROR(__xludf.DUMMYFUNCTION("""COMPUTED_VALUE"""),1.32)</f>
        <v>1.32</v>
      </c>
      <c r="K1868" s="6">
        <f>IFERROR(__xludf.DUMMYFUNCTION("""COMPUTED_VALUE"""),1.54)</f>
        <v>1.54</v>
      </c>
      <c r="L1868" s="3"/>
      <c r="M1868" s="3"/>
    </row>
    <row r="1869" ht="48.0" customHeight="1">
      <c r="A1869" s="3" t="str">
        <f>IFERROR(__xludf.DUMMYFUNCTION("""COMPUTED_VALUE"""),"FSHD202C")</f>
        <v>FSHD202C</v>
      </c>
      <c r="B1869" s="4" t="str">
        <f>IFERROR(__xludf.DUMMYFUNCTION("""COMPUTED_VALUE"""),"BALUN PASIVO HD CVI/TVI/AHD")</f>
        <v>BALUN PASIVO HD CVI/TVI/AHD</v>
      </c>
      <c r="C1869" s="4" t="str">
        <f>IFERROR(__xludf.DUMMYFUNCTION("""COMPUTED_VALUE"""),"Balun pasivo HD CVI/TVI/AHD. Blister 2 unidades. PAR SIN CABLE CON PRENSA CABLE")</f>
        <v>Balun pasivo HD CVI/TVI/AHD. Blister 2 unidades. PAR SIN CABLE CON PRENSA CABLE</v>
      </c>
      <c r="D1869" s="4" t="str">
        <f>IFERROR(__xludf.DUMMYFUNCTION("""COMPUTED_VALUE"""),"OWL")</f>
        <v>OWL</v>
      </c>
      <c r="E1869" s="4" t="str">
        <f>IFERROR(__xludf.DUMMYFUNCTION("""COMPUTED_VALUE"""),"FSHD202C")</f>
        <v>FSHD202C</v>
      </c>
      <c r="F1869" s="4" t="str">
        <f>IFERROR(__xludf.DUMMYFUNCTION("""COMPUTED_VALUE"""),"FUENTES / UPS / CABLEADO / ACCESORIOS &gt; BALUNES / PROTECTORES DE PICO / AISLADORES")</f>
        <v>FUENTES / UPS / CABLEADO / ACCESORIOS &gt; BALUNES / PROTECTORES DE PICO / AISLADORES</v>
      </c>
      <c r="G1869" s="5"/>
      <c r="H1869" s="6">
        <f>IFERROR(__xludf.DUMMYFUNCTION("""COMPUTED_VALUE"""),1.1)</f>
        <v>1.1</v>
      </c>
      <c r="I1869" s="7">
        <f>IFERROR(__xludf.DUMMYFUNCTION("""COMPUTED_VALUE"""),21.0)</f>
        <v>21</v>
      </c>
      <c r="J1869" s="6">
        <f>IFERROR(__xludf.DUMMYFUNCTION("""COMPUTED_VALUE"""),1.32)</f>
        <v>1.32</v>
      </c>
      <c r="K1869" s="6">
        <f>IFERROR(__xludf.DUMMYFUNCTION("""COMPUTED_VALUE"""),1.54)</f>
        <v>1.54</v>
      </c>
      <c r="L1869" s="3"/>
      <c r="M1869" s="3"/>
    </row>
    <row r="1870" ht="48.0" customHeight="1">
      <c r="A1870" s="3" t="str">
        <f>IFERROR(__xludf.DUMMYFUNCTION("""COMPUTED_VALUE"""),"FSHDP4101P")</f>
        <v>FSHDP4101P</v>
      </c>
      <c r="B1870" s="4" t="str">
        <f>IFERROR(__xludf.DUMMYFUNCTION("""COMPUTED_VALUE"""),"BALUN PASIVO HD CVI/TVI/AHD C/CABLE EXTENSOR")</f>
        <v>BALUN PASIVO HD CVI/TVI/AHD C/CABLE EXTENSOR</v>
      </c>
      <c r="C1870" s="4" t="str">
        <f>IFERROR(__xludf.DUMMYFUNCTION("""COMPUTED_VALUE"""),"Balun pasivo HD CVI/TVI/AHD c/cable extensor.Blister 2 unidades. PAR CON PRENSA CABLE 8MP")</f>
        <v>Balun pasivo HD CVI/TVI/AHD c/cable extensor.Blister 2 unidades. PAR CON PRENSA CABLE 8MP</v>
      </c>
      <c r="D1870" s="4" t="str">
        <f>IFERROR(__xludf.DUMMYFUNCTION("""COMPUTED_VALUE"""),"OWL")</f>
        <v>OWL</v>
      </c>
      <c r="E1870" s="4" t="str">
        <f>IFERROR(__xludf.DUMMYFUNCTION("""COMPUTED_VALUE"""),"FSHDP4101P")</f>
        <v>FSHDP4101P</v>
      </c>
      <c r="F1870" s="4" t="str">
        <f>IFERROR(__xludf.DUMMYFUNCTION("""COMPUTED_VALUE"""),"FUENTES / UPS / CABLEADO / ACCESORIOS &gt; BALUNES / PROTECTORES DE PICO / AISLADORES")</f>
        <v>FUENTES / UPS / CABLEADO / ACCESORIOS &gt; BALUNES / PROTECTORES DE PICO / AISLADORES</v>
      </c>
      <c r="G1870" s="5"/>
      <c r="H1870" s="6">
        <f>IFERROR(__xludf.DUMMYFUNCTION("""COMPUTED_VALUE"""),1.65)</f>
        <v>1.65</v>
      </c>
      <c r="I1870" s="7">
        <f>IFERROR(__xludf.DUMMYFUNCTION("""COMPUTED_VALUE"""),21.0)</f>
        <v>21</v>
      </c>
      <c r="J1870" s="6">
        <f>IFERROR(__xludf.DUMMYFUNCTION("""COMPUTED_VALUE"""),1.98)</f>
        <v>1.98</v>
      </c>
      <c r="K1870" s="6">
        <f>IFERROR(__xludf.DUMMYFUNCTION("""COMPUTED_VALUE"""),2.31)</f>
        <v>2.31</v>
      </c>
      <c r="L1870" s="3"/>
      <c r="M1870" s="3"/>
    </row>
    <row r="1871" ht="48.0" customHeight="1">
      <c r="A1871" s="3" t="str">
        <f>IFERROR(__xludf.DUMMYFUNCTION("""COMPUTED_VALUE"""),"DS-1H18S-E")</f>
        <v>DS-1H18S-E</v>
      </c>
      <c r="B1871" s="4" t="str">
        <f>IFERROR(__xludf.DUMMYFUNCTION("""COMPUTED_VALUE"""),"BALUN PASIVO HD CVI/TVI/AHD")</f>
        <v>BALUN PASIVO HD CVI/TVI/AHD</v>
      </c>
      <c r="C1871" s="4" t="str">
        <f>IFERROR(__xludf.DUMMYFUNCTION("""COMPUTED_VALUE"""),"Balun pasivo HD CVI/TVI/AHD. Blister 2 unidades. PAR")</f>
        <v>Balun pasivo HD CVI/TVI/AHD. Blister 2 unidades. PAR</v>
      </c>
      <c r="D1871" s="4" t="str">
        <f>IFERROR(__xludf.DUMMYFUNCTION("""COMPUTED_VALUE"""),"HIKVISION")</f>
        <v>HIKVISION</v>
      </c>
      <c r="E1871" s="4" t="str">
        <f>IFERROR(__xludf.DUMMYFUNCTION("""COMPUTED_VALUE"""),"DS-1H18S-E")</f>
        <v>DS-1H18S-E</v>
      </c>
      <c r="F1871" s="4" t="str">
        <f>IFERROR(__xludf.DUMMYFUNCTION("""COMPUTED_VALUE"""),"FUENTES / UPS / CABLEADO / ACCESORIOS &gt; BALUNES / PROTECTORES DE PICO / AISLADORES")</f>
        <v>FUENTES / UPS / CABLEADO / ACCESORIOS &gt; BALUNES / PROTECTORES DE PICO / AISLADORES</v>
      </c>
      <c r="G1871" s="5"/>
      <c r="H1871" s="6">
        <f>IFERROR(__xludf.DUMMYFUNCTION("""COMPUTED_VALUE"""),3.63)</f>
        <v>3.63</v>
      </c>
      <c r="I1871" s="7">
        <f>IFERROR(__xludf.DUMMYFUNCTION("""COMPUTED_VALUE"""),21.0)</f>
        <v>21</v>
      </c>
      <c r="J1871" s="6">
        <f>IFERROR(__xludf.DUMMYFUNCTION("""COMPUTED_VALUE"""),4.36)</f>
        <v>4.36</v>
      </c>
      <c r="K1871" s="6">
        <f>IFERROR(__xludf.DUMMYFUNCTION("""COMPUTED_VALUE"""),5.08)</f>
        <v>5.08</v>
      </c>
      <c r="L1871" s="3"/>
      <c r="M1871" s="3"/>
    </row>
    <row r="1872" ht="48.0" customHeight="1">
      <c r="A1872" s="3" t="str">
        <f>IFERROR(__xludf.DUMMYFUNCTION("""COMPUTED_VALUE"""),"FSHDA4501T")</f>
        <v>FSHDA4501T</v>
      </c>
      <c r="B1872" s="4" t="str">
        <f>IFERROR(__xludf.DUMMYFUNCTION("""COMPUTED_VALUE"""),"BALUN TRANSMISOR ACTIVO PARA 1 CAMARA HD CVI/TVI/AHD")</f>
        <v>BALUN TRANSMISOR ACTIVO PARA 1 CAMARA HD CVI/TVI/AHD</v>
      </c>
      <c r="C1872" s="4" t="str">
        <f>IFERROR(__xludf.DUMMYFUNCTION("""COMPUTED_VALUE"""),"Balun TRANSMISOR activo para 1 camara HD CVI/TVI/AHD. Distancia con balun pasivo FSHDP4101P = 720P HDCVI 450m TVI 320m AHD 500m 1080P HDCVI 360m TVI 320m AHD 360m. 4MP HDCVI 280m TVI 300m AHD 250m Distancia con balun activo FSHDA4501T = 720P HDCVI 550m TV"&amp;"I 400m AHD 700m 1080P HDCVI 450m TVI 400m AHD 550m. Requiere alimentación 12V")</f>
        <v>Balun TRANSMISOR activo para 1 camara HD CVI/TVI/AHD. Distancia con balun pasivo FSHDP4101P = 720P HDCVI 450m TVI 320m AHD 500m 1080P HDCVI 360m TVI 320m AHD 360m. 4MP HDCVI 280m TVI 300m AHD 250m Distancia con balun activo FSHDA4501T = 720P HDCVI 550m TVI 400m AHD 700m 1080P HDCVI 450m TVI 400m AHD 550m. Requiere alimentación 12V</v>
      </c>
      <c r="D1872" s="4" t="str">
        <f>IFERROR(__xludf.DUMMYFUNCTION("""COMPUTED_VALUE"""),"OWL")</f>
        <v>OWL</v>
      </c>
      <c r="E1872" s="4" t="str">
        <f>IFERROR(__xludf.DUMMYFUNCTION("""COMPUTED_VALUE"""),"FSHDA4501T")</f>
        <v>FSHDA4501T</v>
      </c>
      <c r="F1872" s="4" t="str">
        <f>IFERROR(__xludf.DUMMYFUNCTION("""COMPUTED_VALUE"""),"FUENTES / UPS / CABLEADO / ACCESORIOS &gt; BALUNES / PROTECTORES DE PICO / AISLADORES")</f>
        <v>FUENTES / UPS / CABLEADO / ACCESORIOS &gt; BALUNES / PROTECTORES DE PICO / AISLADORES</v>
      </c>
      <c r="G1872" s="5"/>
      <c r="H1872" s="6">
        <f>IFERROR(__xludf.DUMMYFUNCTION("""COMPUTED_VALUE"""),29.84)</f>
        <v>29.84</v>
      </c>
      <c r="I1872" s="7">
        <f>IFERROR(__xludf.DUMMYFUNCTION("""COMPUTED_VALUE"""),21.0)</f>
        <v>21</v>
      </c>
      <c r="J1872" s="6">
        <f>IFERROR(__xludf.DUMMYFUNCTION("""COMPUTED_VALUE"""),35.81)</f>
        <v>35.81</v>
      </c>
      <c r="K1872" s="6">
        <f>IFERROR(__xludf.DUMMYFUNCTION("""COMPUTED_VALUE"""),41.78)</f>
        <v>41.78</v>
      </c>
      <c r="L1872" s="3"/>
      <c r="M1872" s="3"/>
    </row>
    <row r="1873" ht="48.0" customHeight="1">
      <c r="A1873" s="3" t="str">
        <f>IFERROR(__xludf.DUMMYFUNCTION("""COMPUTED_VALUE"""),"FSHDA4501R")</f>
        <v>FSHDA4501R</v>
      </c>
      <c r="B1873" s="4" t="str">
        <f>IFERROR(__xludf.DUMMYFUNCTION("""COMPUTED_VALUE"""),"BALUN RECEPTOR ACTIVO PARA 1 CAMARA HD CVI/TVI/AHD")</f>
        <v>BALUN RECEPTOR ACTIVO PARA 1 CAMARA HD CVI/TVI/AHD</v>
      </c>
      <c r="C1873" s="4" t="str">
        <f>IFERROR(__xludf.DUMMYFUNCTION("""COMPUTED_VALUE"""),"Balun RECEPTOR activo para 1 camara HD CVI/TVI/AHD. Distancia con balun pasivo FSHDP4100T = 720P HDCVI 350m TVI 320m AHD 600m 1080P HDCVI 300m TVI 320m AHD 500m. Distancia con balun activo FSHDA4501T = 720P HDCVI 550m TVI 400m AHD 700m 1080P HDCVI 450m TV"&amp;"I 400m AHD 550m. Requiere alimentación 12V")</f>
        <v>Balun RECEPTOR activo para 1 camara HD CVI/TVI/AHD. Distancia con balun pasivo FSHDP4100T = 720P HDCVI 350m TVI 320m AHD 600m 1080P HDCVI 300m TVI 320m AHD 500m. Distancia con balun activo FSHDA4501T = 720P HDCVI 550m TVI 400m AHD 700m 1080P HDCVI 450m TVI 400m AHD 550m. Requiere alimentación 12V</v>
      </c>
      <c r="D1873" s="4" t="str">
        <f>IFERROR(__xludf.DUMMYFUNCTION("""COMPUTED_VALUE"""),"OWL")</f>
        <v>OWL</v>
      </c>
      <c r="E1873" s="4" t="str">
        <f>IFERROR(__xludf.DUMMYFUNCTION("""COMPUTED_VALUE"""),"FSHDA4501R")</f>
        <v>FSHDA4501R</v>
      </c>
      <c r="F1873" s="4" t="str">
        <f>IFERROR(__xludf.DUMMYFUNCTION("""COMPUTED_VALUE"""),"FUENTES / UPS / CABLEADO / ACCESORIOS &gt; BALUNES / PROTECTORES DE PICO / AISLADORES")</f>
        <v>FUENTES / UPS / CABLEADO / ACCESORIOS &gt; BALUNES / PROTECTORES DE PICO / AISLADORES</v>
      </c>
      <c r="G1873" s="5"/>
      <c r="H1873" s="6">
        <f>IFERROR(__xludf.DUMMYFUNCTION("""COMPUTED_VALUE"""),73.47)</f>
        <v>73.47</v>
      </c>
      <c r="I1873" s="7">
        <f>IFERROR(__xludf.DUMMYFUNCTION("""COMPUTED_VALUE"""),21.0)</f>
        <v>21</v>
      </c>
      <c r="J1873" s="6">
        <f>IFERROR(__xludf.DUMMYFUNCTION("""COMPUTED_VALUE"""),88.16)</f>
        <v>88.16</v>
      </c>
      <c r="K1873" s="6">
        <f>IFERROR(__xludf.DUMMYFUNCTION("""COMPUTED_VALUE"""),102.86)</f>
        <v>102.86</v>
      </c>
      <c r="L1873" s="3"/>
      <c r="M1873" s="3"/>
    </row>
    <row r="1874" ht="48.0" customHeight="1">
      <c r="A1874" s="3" t="str">
        <f>IFERROR(__xludf.DUMMYFUNCTION("""COMPUTED_VALUE"""),"FSHDAP4501")</f>
        <v>FSHDAP4501</v>
      </c>
      <c r="B1874" s="4" t="str">
        <f>IFERROR(__xludf.DUMMYFUNCTION("""COMPUTED_VALUE"""),"BALUN ACTIVO + BALUN PASIVO PARA 1 CAMARA HD")</f>
        <v>BALUN ACTIVO + BALUN PASIVO PARA 1 CAMARA HD</v>
      </c>
      <c r="C1874" s="4" t="str">
        <f>IFERROR(__xludf.DUMMYFUNCTION("""COMPUTED_VALUE"""),"Balun activo + Balun pasivo para 1 camara HD CVI/TVI/AHD c/cable extensor. Blister 2 unidades. PAR 720P HDCVI 450m TVI 320m AHD 500m 1080P HDCVI 320m TVI 360m AHD 360m. PAR")</f>
        <v>Balun activo + Balun pasivo para 1 camara HD CVI/TVI/AHD c/cable extensor. Blister 2 unidades. PAR 720P HDCVI 450m TVI 320m AHD 500m 1080P HDCVI 320m TVI 360m AHD 360m. PAR</v>
      </c>
      <c r="D1874" s="4" t="str">
        <f>IFERROR(__xludf.DUMMYFUNCTION("""COMPUTED_VALUE"""),"OWL")</f>
        <v>OWL</v>
      </c>
      <c r="E1874" s="4" t="str">
        <f>IFERROR(__xludf.DUMMYFUNCTION("""COMPUTED_VALUE"""),"FSHDAP4501")</f>
        <v>FSHDAP4501</v>
      </c>
      <c r="F1874" s="4" t="str">
        <f>IFERROR(__xludf.DUMMYFUNCTION("""COMPUTED_VALUE"""),"FUENTES / UPS / CABLEADO / ACCESORIOS &gt; BALUNES / PROTECTORES DE PICO / AISLADORES")</f>
        <v>FUENTES / UPS / CABLEADO / ACCESORIOS &gt; BALUNES / PROTECTORES DE PICO / AISLADORES</v>
      </c>
      <c r="G1874" s="5"/>
      <c r="H1874" s="6">
        <f>IFERROR(__xludf.DUMMYFUNCTION("""COMPUTED_VALUE"""),34.44)</f>
        <v>34.44</v>
      </c>
      <c r="I1874" s="7">
        <f>IFERROR(__xludf.DUMMYFUNCTION("""COMPUTED_VALUE"""),21.0)</f>
        <v>21</v>
      </c>
      <c r="J1874" s="6">
        <f>IFERROR(__xludf.DUMMYFUNCTION("""COMPUTED_VALUE"""),41.33)</f>
        <v>41.33</v>
      </c>
      <c r="K1874" s="6">
        <f>IFERROR(__xludf.DUMMYFUNCTION("""COMPUTED_VALUE"""),48.22)</f>
        <v>48.22</v>
      </c>
      <c r="L1874" s="3"/>
      <c r="M1874" s="3"/>
    </row>
    <row r="1875" ht="48.0" customHeight="1">
      <c r="A1875" s="3" t="str">
        <f>IFERROR(__xludf.DUMMYFUNCTION("""COMPUTED_VALUE"""),"FSHDP4100T")</f>
        <v>FSHDP4100T</v>
      </c>
      <c r="B1875" s="4" t="str">
        <f>IFERROR(__xludf.DUMMYFUNCTION("""COMPUTED_VALUE"""),"BALUN PASIVO HD CVI/TVI/AHD LADO CAMARA")</f>
        <v>BALUN PASIVO HD CVI/TVI/AHD LADO CAMARA</v>
      </c>
      <c r="C1875" s="4" t="str">
        <f>IFERROR(__xludf.DUMMYFUNCTION("""COMPUTED_VALUE"""),"Balun pasivo HD CVI/TVI/AHD Lado Camara. INDIVIDUAL")</f>
        <v>Balun pasivo HD CVI/TVI/AHD Lado Camara. INDIVIDUAL</v>
      </c>
      <c r="D1875" s="4" t="str">
        <f>IFERROR(__xludf.DUMMYFUNCTION("""COMPUTED_VALUE"""),"OWL")</f>
        <v>OWL</v>
      </c>
      <c r="E1875" s="4" t="str">
        <f>IFERROR(__xludf.DUMMYFUNCTION("""COMPUTED_VALUE"""),"FSHDP4100T")</f>
        <v>FSHDP4100T</v>
      </c>
      <c r="F1875" s="4" t="str">
        <f>IFERROR(__xludf.DUMMYFUNCTION("""COMPUTED_VALUE"""),"FUENTES / UPS / CABLEADO / ACCESORIOS &gt; BALUNES / PROTECTORES DE PICO / AISLADORES")</f>
        <v>FUENTES / UPS / CABLEADO / ACCESORIOS &gt; BALUNES / PROTECTORES DE PICO / AISLADORES</v>
      </c>
      <c r="G1875" s="5"/>
      <c r="H1875" s="6">
        <f>IFERROR(__xludf.DUMMYFUNCTION("""COMPUTED_VALUE"""),4.59)</f>
        <v>4.59</v>
      </c>
      <c r="I1875" s="7">
        <f>IFERROR(__xludf.DUMMYFUNCTION("""COMPUTED_VALUE"""),21.0)</f>
        <v>21</v>
      </c>
      <c r="J1875" s="6">
        <f>IFERROR(__xludf.DUMMYFUNCTION("""COMPUTED_VALUE"""),5.51)</f>
        <v>5.51</v>
      </c>
      <c r="K1875" s="6">
        <f>IFERROR(__xludf.DUMMYFUNCTION("""COMPUTED_VALUE"""),6.43)</f>
        <v>6.43</v>
      </c>
      <c r="L1875" s="3"/>
      <c r="M1875" s="3"/>
    </row>
    <row r="1876" ht="48.0" customHeight="1">
      <c r="A1876" s="3" t="str">
        <f>IFERROR(__xludf.DUMMYFUNCTION("""COMPUTED_VALUE"""),"FSHD933PV")</f>
        <v>FSHD933PV</v>
      </c>
      <c r="B1876" s="4" t="str">
        <f>IFERROR(__xludf.DUMMYFUNCTION("""COMPUTED_VALUE"""),"BALUN PASIVO PARA TRANSMITIR / RECIBIR VIDEO Y ALIMENTACIÓN")</f>
        <v>BALUN PASIVO PARA TRANSMITIR / RECIBIR VIDEO Y ALIMENTACIÓN</v>
      </c>
      <c r="C1876" s="4" t="str">
        <f>IFERROR(__xludf.DUMMYFUNCTION("""COMPUTED_VALUE"""),"Balun pasivo para transmitir / recibir video y alimentación M sobre cable UTP, 250mts max, entrada BNC, Salida a conector RJ45, por PAR")</f>
        <v>Balun pasivo para transmitir / recibir video y alimentación M sobre cable UTP, 250mts max, entrada BNC, Salida a conector RJ45, por PAR</v>
      </c>
      <c r="D1876" s="4" t="str">
        <f>IFERROR(__xludf.DUMMYFUNCTION("""COMPUTED_VALUE"""),"OWL")</f>
        <v>OWL</v>
      </c>
      <c r="E1876" s="4" t="str">
        <f>IFERROR(__xludf.DUMMYFUNCTION("""COMPUTED_VALUE"""),"FSHD933PV")</f>
        <v>FSHD933PV</v>
      </c>
      <c r="F1876" s="4" t="str">
        <f>IFERROR(__xludf.DUMMYFUNCTION("""COMPUTED_VALUE"""),"FUENTES / UPS / CABLEADO / ACCESORIOS &gt; BALUNES / PROTECTORES DE PICO / AISLADORES")</f>
        <v>FUENTES / UPS / CABLEADO / ACCESORIOS &gt; BALUNES / PROTECTORES DE PICO / AISLADORES</v>
      </c>
      <c r="G1876" s="5"/>
      <c r="H1876" s="6">
        <f>IFERROR(__xludf.DUMMYFUNCTION("""COMPUTED_VALUE"""),13.35)</f>
        <v>13.35</v>
      </c>
      <c r="I1876" s="7">
        <f>IFERROR(__xludf.DUMMYFUNCTION("""COMPUTED_VALUE"""),21.0)</f>
        <v>21</v>
      </c>
      <c r="J1876" s="6">
        <f>IFERROR(__xludf.DUMMYFUNCTION("""COMPUTED_VALUE"""),16.02)</f>
        <v>16.02</v>
      </c>
      <c r="K1876" s="6">
        <f>IFERROR(__xludf.DUMMYFUNCTION("""COMPUTED_VALUE"""),18.69)</f>
        <v>18.69</v>
      </c>
      <c r="L1876" s="3"/>
      <c r="M1876" s="3"/>
    </row>
    <row r="1877" ht="48.0" customHeight="1">
      <c r="A1877" s="3" t="str">
        <f>IFERROR(__xludf.DUMMYFUNCTION("""COMPUTED_VALUE"""),"FSHD4301VP")</f>
        <v>FSHD4301VP</v>
      </c>
      <c r="B1877" s="4" t="str">
        <f>IFERROR(__xludf.DUMMYFUNCTION("""COMPUTED_VALUE"""),"BALUN PASIVO PARA TRANSMITIR / RECIBIR VIDEO Y ALIMENTACIÓN")</f>
        <v>BALUN PASIVO PARA TRANSMITIR / RECIBIR VIDEO Y ALIMENTACIÓN</v>
      </c>
      <c r="C1877" s="4" t="str">
        <f>IFERROR(__xludf.DUMMYFUNCTION("""COMPUTED_VALUE"""),"Balun pasivo para transmitir / recibir video y alimentación M sobre cable UTP, 300mts max, 50Db S/N, entrada BNC, Salida a conector RJ45, por PAR")</f>
        <v>Balun pasivo para transmitir / recibir video y alimentación M sobre cable UTP, 300mts max, 50Db S/N, entrada BNC, Salida a conector RJ45, por PAR</v>
      </c>
      <c r="D1877" s="4" t="str">
        <f>IFERROR(__xludf.DUMMYFUNCTION("""COMPUTED_VALUE"""),"OWL")</f>
        <v>OWL</v>
      </c>
      <c r="E1877" s="4" t="str">
        <f>IFERROR(__xludf.DUMMYFUNCTION("""COMPUTED_VALUE"""),"FSHD4301VP")</f>
        <v>FSHD4301VP</v>
      </c>
      <c r="F1877" s="4" t="str">
        <f>IFERROR(__xludf.DUMMYFUNCTION("""COMPUTED_VALUE"""),"FUENTES / UPS / CABLEADO / ACCESORIOS &gt; BALUNES / PROTECTORES DE PICO / AISLADORES")</f>
        <v>FUENTES / UPS / CABLEADO / ACCESORIOS &gt; BALUNES / PROTECTORES DE PICO / AISLADORES</v>
      </c>
      <c r="G1877" s="5"/>
      <c r="H1877" s="6">
        <f>IFERROR(__xludf.DUMMYFUNCTION("""COMPUTED_VALUE"""),18.37)</f>
        <v>18.37</v>
      </c>
      <c r="I1877" s="7">
        <f>IFERROR(__xludf.DUMMYFUNCTION("""COMPUTED_VALUE"""),21.0)</f>
        <v>21</v>
      </c>
      <c r="J1877" s="6">
        <f>IFERROR(__xludf.DUMMYFUNCTION("""COMPUTED_VALUE"""),22.04)</f>
        <v>22.04</v>
      </c>
      <c r="K1877" s="6">
        <f>IFERROR(__xludf.DUMMYFUNCTION("""COMPUTED_VALUE"""),25.72)</f>
        <v>25.72</v>
      </c>
      <c r="L1877" s="3"/>
      <c r="M1877" s="3"/>
    </row>
    <row r="1878" ht="48.0" customHeight="1">
      <c r="A1878" s="3" t="str">
        <f>IFERROR(__xludf.DUMMYFUNCTION("""COMPUTED_VALUE"""),"FSHDGL001")</f>
        <v>FSHDGL001</v>
      </c>
      <c r="B1878" s="4" t="str">
        <f>IFERROR(__xludf.DUMMYFUNCTION("""COMPUTED_VALUE"""),"AISLADOR DE MASA PARA VIDEO")</f>
        <v>AISLADOR DE MASA PARA VIDEO</v>
      </c>
      <c r="C1878" s="4" t="str">
        <f>IFERROR(__xludf.DUMMYFUNCTION("""COMPUTED_VALUE"""),"Aislador de masa para video")</f>
        <v>Aislador de masa para video</v>
      </c>
      <c r="D1878" s="4" t="str">
        <f>IFERROR(__xludf.DUMMYFUNCTION("""COMPUTED_VALUE"""),"OWL")</f>
        <v>OWL</v>
      </c>
      <c r="E1878" s="4" t="str">
        <f>IFERROR(__xludf.DUMMYFUNCTION("""COMPUTED_VALUE"""),"FSHDGL001")</f>
        <v>FSHDGL001</v>
      </c>
      <c r="F1878" s="4" t="str">
        <f>IFERROR(__xludf.DUMMYFUNCTION("""COMPUTED_VALUE"""),"FUENTES / UPS / CABLEADO / ACCESORIOS &gt; BALUNES / PROTECTORES DE PICO / AISLADORES")</f>
        <v>FUENTES / UPS / CABLEADO / ACCESORIOS &gt; BALUNES / PROTECTORES DE PICO / AISLADORES</v>
      </c>
      <c r="G1878" s="5"/>
      <c r="H1878" s="6">
        <f>IFERROR(__xludf.DUMMYFUNCTION("""COMPUTED_VALUE"""),18.18)</f>
        <v>18.18</v>
      </c>
      <c r="I1878" s="7">
        <f>IFERROR(__xludf.DUMMYFUNCTION("""COMPUTED_VALUE"""),21.0)</f>
        <v>21</v>
      </c>
      <c r="J1878" s="6">
        <f>IFERROR(__xludf.DUMMYFUNCTION("""COMPUTED_VALUE"""),21.82)</f>
        <v>21.82</v>
      </c>
      <c r="K1878" s="6">
        <f>IFERROR(__xludf.DUMMYFUNCTION("""COMPUTED_VALUE"""),25.45)</f>
        <v>25.45</v>
      </c>
      <c r="L1878" s="3"/>
      <c r="M1878" s="3"/>
    </row>
    <row r="1879" ht="48.0" customHeight="1">
      <c r="A1879" s="3" t="str">
        <f>IFERROR(__xludf.DUMMYFUNCTION("""COMPUTED_VALUE"""),"SS100")</f>
        <v>SS100</v>
      </c>
      <c r="B1879" s="4" t="str">
        <f>IFERROR(__xludf.DUMMYFUNCTION("""COMPUTED_VALUE"""),"PROTECTOR DE CÁMARAS Y VIDEO GRABADORAS DIGITALES")</f>
        <v>PROTECTOR DE CÁMARAS Y VIDEO GRABADORAS DIGITALES</v>
      </c>
      <c r="C1879" s="4" t="str">
        <f>IFERROR(__xludf.DUMMYFUNCTION("""COMPUTED_VALUE"""),"Protector de cámaras y Video grabadoras digitales. Tensión de clamping 11 VAC. Proteje contra sobretensiones generadas por descargas atmosféricas.")</f>
        <v>Protector de cámaras y Video grabadoras digitales. Tensión de clamping 11 VAC. Proteje contra sobretensiones generadas por descargas atmosféricas.</v>
      </c>
      <c r="D1879" s="4" t="str">
        <f>IFERROR(__xludf.DUMMYFUNCTION("""COMPUTED_VALUE"""),"OWL")</f>
        <v>OWL</v>
      </c>
      <c r="E1879" s="4" t="str">
        <f>IFERROR(__xludf.DUMMYFUNCTION("""COMPUTED_VALUE"""),"SS100")</f>
        <v>SS100</v>
      </c>
      <c r="F1879" s="4" t="str">
        <f>IFERROR(__xludf.DUMMYFUNCTION("""COMPUTED_VALUE"""),"FUENTES / UPS / CABLEADO / ACCESORIOS &gt; BALUNES / PROTECTORES DE PICO / AISLADORES")</f>
        <v>FUENTES / UPS / CABLEADO / ACCESORIOS &gt; BALUNES / PROTECTORES DE PICO / AISLADORES</v>
      </c>
      <c r="G1879" s="5"/>
      <c r="H1879" s="6">
        <f>IFERROR(__xludf.DUMMYFUNCTION("""COMPUTED_VALUE"""),25.26)</f>
        <v>25.26</v>
      </c>
      <c r="I1879" s="7">
        <f>IFERROR(__xludf.DUMMYFUNCTION("""COMPUTED_VALUE"""),21.0)</f>
        <v>21</v>
      </c>
      <c r="J1879" s="6">
        <f>IFERROR(__xludf.DUMMYFUNCTION("""COMPUTED_VALUE"""),30.31)</f>
        <v>30.31</v>
      </c>
      <c r="K1879" s="6">
        <f>IFERROR(__xludf.DUMMYFUNCTION("""COMPUTED_VALUE"""),35.36)</f>
        <v>35.36</v>
      </c>
      <c r="L1879" s="3"/>
      <c r="M1879" s="3"/>
    </row>
    <row r="1880" ht="48.0" customHeight="1">
      <c r="A1880" s="3" t="str">
        <f>IFERROR(__xludf.DUMMYFUNCTION("""COMPUTED_VALUE"""),"FSHDP4504")</f>
        <v>FSHDP4504</v>
      </c>
      <c r="B1880" s="4" t="str">
        <f>IFERROR(__xludf.DUMMYFUNCTION("""COMPUTED_VALUE"""),"BALUN PASIVO HD CVI/TVI/AHD PARA 4 CÁMARAS BORNERA BNC")</f>
        <v>BALUN PASIVO HD CVI/TVI/AHD PARA 4 CÁMARAS BORNERA BNC</v>
      </c>
      <c r="C1880" s="4" t="str">
        <f>IFERROR(__xludf.DUMMYFUNCTION("""COMPUTED_VALUE"""),"Balun pasivo HD CVI/TVI/AHD para 4 cámaras Bornera BNC +1 RJ45 720P HDCVI 440m TVI 190m AHD 300m 1080P HDCVI 220m TVI 190m AHD 220m")</f>
        <v>Balun pasivo HD CVI/TVI/AHD para 4 cámaras Bornera BNC +1 RJ45 720P HDCVI 440m TVI 190m AHD 300m 1080P HDCVI 220m TVI 190m AHD 220m</v>
      </c>
      <c r="D1880" s="4" t="str">
        <f>IFERROR(__xludf.DUMMYFUNCTION("""COMPUTED_VALUE"""),"OWL")</f>
        <v>OWL</v>
      </c>
      <c r="E1880" s="4" t="str">
        <f>IFERROR(__xludf.DUMMYFUNCTION("""COMPUTED_VALUE"""),"FSHDP4504")</f>
        <v>FSHDP4504</v>
      </c>
      <c r="F1880" s="4" t="str">
        <f>IFERROR(__xludf.DUMMYFUNCTION("""COMPUTED_VALUE"""),"FUENTES / UPS / CABLEADO / ACCESORIOS &gt; BALUNES / PROTECTORES DE PICO / AISLADORES")</f>
        <v>FUENTES / UPS / CABLEADO / ACCESORIOS &gt; BALUNES / PROTECTORES DE PICO / AISLADORES</v>
      </c>
      <c r="G1880" s="5"/>
      <c r="H1880" s="6">
        <f>IFERROR(__xludf.DUMMYFUNCTION("""COMPUTED_VALUE"""),50.51)</f>
        <v>50.51</v>
      </c>
      <c r="I1880" s="7">
        <f>IFERROR(__xludf.DUMMYFUNCTION("""COMPUTED_VALUE"""),21.0)</f>
        <v>21</v>
      </c>
      <c r="J1880" s="6">
        <f>IFERROR(__xludf.DUMMYFUNCTION("""COMPUTED_VALUE"""),60.61)</f>
        <v>60.61</v>
      </c>
      <c r="K1880" s="6">
        <f>IFERROR(__xludf.DUMMYFUNCTION("""COMPUTED_VALUE"""),70.71)</f>
        <v>70.71</v>
      </c>
      <c r="L1880" s="3"/>
      <c r="M1880" s="3"/>
    </row>
    <row r="1881" ht="48.0" customHeight="1">
      <c r="A1881" s="3" t="str">
        <f>IFERROR(__xludf.DUMMYFUNCTION("""COMPUTED_VALUE"""),"FSHDP4604")</f>
        <v>FSHDP4604</v>
      </c>
      <c r="B1881" s="4" t="str">
        <f>IFERROR(__xludf.DUMMYFUNCTION("""COMPUTED_VALUE"""),"BALUN PASIVO HD CVI/TVI/AHD PARA 4 CÁMARAS BORNERA BNC")</f>
        <v>BALUN PASIVO HD CVI/TVI/AHD PARA 4 CÁMARAS BORNERA BNC</v>
      </c>
      <c r="C1881" s="4" t="str">
        <f>IFERROR(__xludf.DUMMYFUNCTION("""COMPUTED_VALUE"""),"Balun pasivo HD CVI/TVI/AHD para 4 cámaras Bornera BNC +1 RJ45 720P HDCVI 440m TVI 190m AHD 300m 1080P HDCVI 220m TVI 190m AHD 220m")</f>
        <v>Balun pasivo HD CVI/TVI/AHD para 4 cámaras Bornera BNC +1 RJ45 720P HDCVI 440m TVI 190m AHD 300m 1080P HDCVI 220m TVI 190m AHD 220m</v>
      </c>
      <c r="D1881" s="4" t="str">
        <f>IFERROR(__xludf.DUMMYFUNCTION("""COMPUTED_VALUE"""),"OWL")</f>
        <v>OWL</v>
      </c>
      <c r="E1881" s="4" t="str">
        <f>IFERROR(__xludf.DUMMYFUNCTION("""COMPUTED_VALUE"""),"FSHDP4604")</f>
        <v>FSHDP4604</v>
      </c>
      <c r="F1881" s="4" t="str">
        <f>IFERROR(__xludf.DUMMYFUNCTION("""COMPUTED_VALUE"""),"FUENTES / UPS / CABLEADO / ACCESORIOS &gt; BALUNES / PROTECTORES DE PICO / AISLADORES")</f>
        <v>FUENTES / UPS / CABLEADO / ACCESORIOS &gt; BALUNES / PROTECTORES DE PICO / AISLADORES</v>
      </c>
      <c r="G1881" s="5"/>
      <c r="H1881" s="6">
        <f>IFERROR(__xludf.DUMMYFUNCTION("""COMPUTED_VALUE"""),50.51)</f>
        <v>50.51</v>
      </c>
      <c r="I1881" s="7">
        <f>IFERROR(__xludf.DUMMYFUNCTION("""COMPUTED_VALUE"""),21.0)</f>
        <v>21</v>
      </c>
      <c r="J1881" s="6">
        <f>IFERROR(__xludf.DUMMYFUNCTION("""COMPUTED_VALUE"""),60.61)</f>
        <v>60.61</v>
      </c>
      <c r="K1881" s="6">
        <f>IFERROR(__xludf.DUMMYFUNCTION("""COMPUTED_VALUE"""),70.71)</f>
        <v>70.71</v>
      </c>
      <c r="L1881" s="3"/>
      <c r="M1881" s="3"/>
    </row>
    <row r="1882" ht="48.0" customHeight="1">
      <c r="A1882" s="3" t="str">
        <f>IFERROR(__xludf.DUMMYFUNCTION("""COMPUTED_VALUE"""),"FSHDP4608")</f>
        <v>FSHDP4608</v>
      </c>
      <c r="B1882" s="4" t="str">
        <f>IFERROR(__xludf.DUMMYFUNCTION("""COMPUTED_VALUE"""),"BALUN PASIVO HD CVI/TVI/AHD PARA 8 CÁMARAS BORNERA BNC")</f>
        <v>BALUN PASIVO HD CVI/TVI/AHD PARA 8 CÁMARAS BORNERA BNC</v>
      </c>
      <c r="C1882" s="4" t="str">
        <f>IFERROR(__xludf.DUMMYFUNCTION("""COMPUTED_VALUE"""),"Balun pasivo HD CVI/TVI/AHD para 8 cámaras Bornera BNC + 2 RJ45 720P HDCVI 440m TVI 190m AHD 300m 1080P HDCVI 220m TVI 190m AHD 220m")</f>
        <v>Balun pasivo HD CVI/TVI/AHD para 8 cámaras Bornera BNC + 2 RJ45 720P HDCVI 440m TVI 190m AHD 300m 1080P HDCVI 220m TVI 190m AHD 220m</v>
      </c>
      <c r="D1882" s="4" t="str">
        <f>IFERROR(__xludf.DUMMYFUNCTION("""COMPUTED_VALUE"""),"OWL")</f>
        <v>OWL</v>
      </c>
      <c r="E1882" s="4" t="str">
        <f>IFERROR(__xludf.DUMMYFUNCTION("""COMPUTED_VALUE"""),"FSHDP4608")</f>
        <v>FSHDP4608</v>
      </c>
      <c r="F1882" s="4" t="str">
        <f>IFERROR(__xludf.DUMMYFUNCTION("""COMPUTED_VALUE"""),"FUENTES / UPS / CABLEADO / ACCESORIOS &gt; BALUNES / PROTECTORES DE PICO / AISLADORES")</f>
        <v>FUENTES / UPS / CABLEADO / ACCESORIOS &gt; BALUNES / PROTECTORES DE PICO / AISLADORES</v>
      </c>
      <c r="G1882" s="5"/>
      <c r="H1882" s="6">
        <f>IFERROR(__xludf.DUMMYFUNCTION("""COMPUTED_VALUE"""),84.95)</f>
        <v>84.95</v>
      </c>
      <c r="I1882" s="7">
        <f>IFERROR(__xludf.DUMMYFUNCTION("""COMPUTED_VALUE"""),21.0)</f>
        <v>21</v>
      </c>
      <c r="J1882" s="6">
        <f>IFERROR(__xludf.DUMMYFUNCTION("""COMPUTED_VALUE"""),101.94)</f>
        <v>101.94</v>
      </c>
      <c r="K1882" s="6">
        <f>IFERROR(__xludf.DUMMYFUNCTION("""COMPUTED_VALUE"""),118.93)</f>
        <v>118.93</v>
      </c>
      <c r="L1882" s="3"/>
      <c r="M1882" s="3"/>
    </row>
    <row r="1883" ht="48.0" customHeight="1">
      <c r="A1883" s="3" t="str">
        <f>IFERROR(__xludf.DUMMYFUNCTION("""COMPUTED_VALUE"""),"FSHDP4616")</f>
        <v>FSHDP4616</v>
      </c>
      <c r="B1883" s="4" t="str">
        <f>IFERROR(__xludf.DUMMYFUNCTION("""COMPUTED_VALUE"""),"BALUN PASIVO HD CVI/TVI/AHD PARA 16 CÁMARAS BORNERA BNC")</f>
        <v>BALUN PASIVO HD CVI/TVI/AHD PARA 16 CÁMARAS BORNERA BNC</v>
      </c>
      <c r="C1883" s="4" t="str">
        <f>IFERROR(__xludf.DUMMYFUNCTION("""COMPUTED_VALUE"""),"Balun pasivo HD CVI/TVI/AHD para 16 cámaras Bornera BNC + 4 RJ45 720P HDCVI 440m TVI 190m AHD 300m 1080P HDCVI 220m TVI 190m AHD 220m")</f>
        <v>Balun pasivo HD CVI/TVI/AHD para 16 cámaras Bornera BNC + 4 RJ45 720P HDCVI 440m TVI 190m AHD 300m 1080P HDCVI 220m TVI 190m AHD 220m</v>
      </c>
      <c r="D1883" s="4" t="str">
        <f>IFERROR(__xludf.DUMMYFUNCTION("""COMPUTED_VALUE"""),"OWL")</f>
        <v>OWL</v>
      </c>
      <c r="E1883" s="4" t="str">
        <f>IFERROR(__xludf.DUMMYFUNCTION("""COMPUTED_VALUE"""),"FSHDP4616")</f>
        <v>FSHDP4616</v>
      </c>
      <c r="F1883" s="4" t="str">
        <f>IFERROR(__xludf.DUMMYFUNCTION("""COMPUTED_VALUE"""),"FUENTES / UPS / CABLEADO / ACCESORIOS &gt; BALUNES / PROTECTORES DE PICO / AISLADORES")</f>
        <v>FUENTES / UPS / CABLEADO / ACCESORIOS &gt; BALUNES / PROTECTORES DE PICO / AISLADORES</v>
      </c>
      <c r="G1883" s="5"/>
      <c r="H1883" s="6">
        <f>IFERROR(__xludf.DUMMYFUNCTION("""COMPUTED_VALUE"""),166.46)</f>
        <v>166.46</v>
      </c>
      <c r="I1883" s="7">
        <f>IFERROR(__xludf.DUMMYFUNCTION("""COMPUTED_VALUE"""),21.0)</f>
        <v>21</v>
      </c>
      <c r="J1883" s="6">
        <f>IFERROR(__xludf.DUMMYFUNCTION("""COMPUTED_VALUE"""),199.75)</f>
        <v>199.75</v>
      </c>
      <c r="K1883" s="6">
        <f>IFERROR(__xludf.DUMMYFUNCTION("""COMPUTED_VALUE"""),233.04)</f>
        <v>233.04</v>
      </c>
      <c r="L1883" s="3"/>
      <c r="M1883" s="3"/>
    </row>
    <row r="1884" ht="48.0" customHeight="1">
      <c r="A1884" s="3" t="str">
        <f>IFERROR(__xludf.DUMMYFUNCTION("""COMPUTED_VALUE"""),"DHPFM8094MP")</f>
        <v>DHPFM8094MP</v>
      </c>
      <c r="B1884" s="4" t="str">
        <f>IFERROR(__xludf.DUMMYFUNCTION("""COMPUTED_VALUE"""),"BALUN PASIVO HD HDCVI/AHD/TVI/CVBS PARA 16 CÁMARAS BORNERA BNC")</f>
        <v>BALUN PASIVO HD HDCVI/AHD/TVI/CVBS PARA 16 CÁMARAS BORNERA BNC</v>
      </c>
      <c r="C1884" s="4" t="str">
        <f>IFERROR(__xludf.DUMMYFUNCTION("""COMPUTED_VALUE"""),"Balun pasivo HD HDCVI/AHD/TVI/CVBS para 16 cámaras Bornera BNC + 4 RJ45")</f>
        <v>Balun pasivo HD HDCVI/AHD/TVI/CVBS para 16 cámaras Bornera BNC + 4 RJ45</v>
      </c>
      <c r="D1884" s="4" t="str">
        <f>IFERROR(__xludf.DUMMYFUNCTION("""COMPUTED_VALUE"""),"DAHUA")</f>
        <v>DAHUA</v>
      </c>
      <c r="E1884" s="4" t="str">
        <f>IFERROR(__xludf.DUMMYFUNCTION("""COMPUTED_VALUE"""),"DHPFM8094MP")</f>
        <v>DHPFM8094MP</v>
      </c>
      <c r="F1884" s="4" t="str">
        <f>IFERROR(__xludf.DUMMYFUNCTION("""COMPUTED_VALUE"""),"FUENTES / UPS / CABLEADO / ACCESORIOS &gt; BALUNES / PROTECTORES DE PICO / AISLADORES")</f>
        <v>FUENTES / UPS / CABLEADO / ACCESORIOS &gt; BALUNES / PROTECTORES DE PICO / AISLADORES</v>
      </c>
      <c r="G1884" s="5"/>
      <c r="H1884" s="6">
        <f>IFERROR(__xludf.DUMMYFUNCTION("""COMPUTED_VALUE"""),166.46)</f>
        <v>166.46</v>
      </c>
      <c r="I1884" s="7">
        <f>IFERROR(__xludf.DUMMYFUNCTION("""COMPUTED_VALUE"""),21.0)</f>
        <v>21</v>
      </c>
      <c r="J1884" s="6">
        <f>IFERROR(__xludf.DUMMYFUNCTION("""COMPUTED_VALUE"""),199.75)</f>
        <v>199.75</v>
      </c>
      <c r="K1884" s="6">
        <f>IFERROR(__xludf.DUMMYFUNCTION("""COMPUTED_VALUE"""),233.04)</f>
        <v>233.04</v>
      </c>
      <c r="L1884" s="3"/>
      <c r="M1884" s="3"/>
    </row>
    <row r="1885" ht="48.0" customHeight="1">
      <c r="A1885" s="3" t="str">
        <f>IFERROR(__xludf.DUMMYFUNCTION("""COMPUTED_VALUE"""),"LLT202C")</f>
        <v>LLT202C</v>
      </c>
      <c r="B1885" s="4" t="str">
        <f>IFERROR(__xludf.DUMMYFUNCTION("""COMPUTED_VALUE"""),"TRANSCEPTOR P/ 1 CÁMARA PASIVO TIPO L")</f>
        <v>TRANSCEPTOR P/ 1 CÁMARA PASIVO TIPO L</v>
      </c>
      <c r="C1885" s="4" t="str">
        <f>IFERROR(__xludf.DUMMYFUNCTION("""COMPUTED_VALUE"""),"Transceptor p/ 1 cámara pasivo tipo L. 550 mts B/N 360 mts Color (individual)")</f>
        <v>Transceptor p/ 1 cámara pasivo tipo L. 550 mts B/N 360 mts Color (individual)</v>
      </c>
      <c r="D1885" s="4" t="str">
        <f>IFERROR(__xludf.DUMMYFUNCTION("""COMPUTED_VALUE"""),"OWL")</f>
        <v>OWL</v>
      </c>
      <c r="E1885" s="4" t="str">
        <f>IFERROR(__xludf.DUMMYFUNCTION("""COMPUTED_VALUE"""),"LLT202C")</f>
        <v>LLT202C</v>
      </c>
      <c r="F1885" s="4" t="str">
        <f>IFERROR(__xludf.DUMMYFUNCTION("""COMPUTED_VALUE"""),"FUENTES / UPS / CABLEADO / ACCESORIOS &gt; BALUNES / PROTECTORES DE PICO / AISLADORES")</f>
        <v>FUENTES / UPS / CABLEADO / ACCESORIOS &gt; BALUNES / PROTECTORES DE PICO / AISLADORES</v>
      </c>
      <c r="G1885" s="5"/>
      <c r="H1885" s="6">
        <f>IFERROR(__xludf.DUMMYFUNCTION("""COMPUTED_VALUE"""),0.99)</f>
        <v>0.99</v>
      </c>
      <c r="I1885" s="7">
        <f>IFERROR(__xludf.DUMMYFUNCTION("""COMPUTED_VALUE"""),21.0)</f>
        <v>21</v>
      </c>
      <c r="J1885" s="6">
        <f>IFERROR(__xludf.DUMMYFUNCTION("""COMPUTED_VALUE"""),1.19)</f>
        <v>1.19</v>
      </c>
      <c r="K1885" s="6">
        <f>IFERROR(__xludf.DUMMYFUNCTION("""COMPUTED_VALUE"""),1.39)</f>
        <v>1.39</v>
      </c>
      <c r="L1885" s="3"/>
      <c r="M1885" s="3"/>
    </row>
    <row r="1886" ht="48.0" customHeight="1">
      <c r="A1886" s="3" t="str">
        <f>IFERROR(__xludf.DUMMYFUNCTION("""COMPUTED_VALUE"""),"LLT204")</f>
        <v>LLT204</v>
      </c>
      <c r="B1886" s="4" t="str">
        <f>IFERROR(__xludf.DUMMYFUNCTION("""COMPUTED_VALUE"""),"TRANSCEPTOR P/ 4 CÁMARAS PASIVO 550 MTS B/N 360")</f>
        <v>TRANSCEPTOR P/ 4 CÁMARAS PASIVO 550 MTS B/N 360</v>
      </c>
      <c r="C1886" s="4" t="str">
        <f>IFERROR(__xludf.DUMMYFUNCTION("""COMPUTED_VALUE"""),"Transceptor p/ 4 cámaras pasivo 550 mts B/N 360 mts Color (individual)")</f>
        <v>Transceptor p/ 4 cámaras pasivo 550 mts B/N 360 mts Color (individual)</v>
      </c>
      <c r="D1886" s="4" t="str">
        <f>IFERROR(__xludf.DUMMYFUNCTION("""COMPUTED_VALUE"""),"OWL")</f>
        <v>OWL</v>
      </c>
      <c r="E1886" s="4" t="str">
        <f>IFERROR(__xludf.DUMMYFUNCTION("""COMPUTED_VALUE"""),"LLT204")</f>
        <v>LLT204</v>
      </c>
      <c r="F1886" s="4" t="str">
        <f>IFERROR(__xludf.DUMMYFUNCTION("""COMPUTED_VALUE"""),"FUENTES / UPS / CABLEADO / ACCESORIOS &gt; BALUNES / PROTECTORES DE PICO / AISLADORES")</f>
        <v>FUENTES / UPS / CABLEADO / ACCESORIOS &gt; BALUNES / PROTECTORES DE PICO / AISLADORES</v>
      </c>
      <c r="G1886" s="5"/>
      <c r="H1886" s="6">
        <f>IFERROR(__xludf.DUMMYFUNCTION("""COMPUTED_VALUE"""),27.59)</f>
        <v>27.59</v>
      </c>
      <c r="I1886" s="7">
        <f>IFERROR(__xludf.DUMMYFUNCTION("""COMPUTED_VALUE"""),21.0)</f>
        <v>21</v>
      </c>
      <c r="J1886" s="6">
        <f>IFERROR(__xludf.DUMMYFUNCTION("""COMPUTED_VALUE"""),33.11)</f>
        <v>33.11</v>
      </c>
      <c r="K1886" s="6">
        <f>IFERROR(__xludf.DUMMYFUNCTION("""COMPUTED_VALUE"""),38.63)</f>
        <v>38.63</v>
      </c>
      <c r="L1886" s="3"/>
      <c r="M1886" s="3"/>
    </row>
    <row r="1887" ht="48.0" customHeight="1">
      <c r="A1887" s="3" t="str">
        <f>IFERROR(__xludf.DUMMYFUNCTION("""COMPUTED_VALUE"""),"LLT216")</f>
        <v>LLT216</v>
      </c>
      <c r="B1887" s="4" t="str">
        <f>IFERROR(__xludf.DUMMYFUNCTION("""COMPUTED_VALUE"""),"TRANSCEPTOR P/ 16 CÁMARAS PASIVO 550 MTS B/N 360")</f>
        <v>TRANSCEPTOR P/ 16 CÁMARAS PASIVO 550 MTS B/N 360</v>
      </c>
      <c r="C1887" s="4" t="str">
        <f>IFERROR(__xludf.DUMMYFUNCTION("""COMPUTED_VALUE"""),"Transceptor p/ 16 cámaras pasivo 550 mts B/N 360 mts Color (individual)")</f>
        <v>Transceptor p/ 16 cámaras pasivo 550 mts B/N 360 mts Color (individual)</v>
      </c>
      <c r="D1887" s="4" t="str">
        <f>IFERROR(__xludf.DUMMYFUNCTION("""COMPUTED_VALUE"""),"OWL")</f>
        <v>OWL</v>
      </c>
      <c r="E1887" s="4" t="str">
        <f>IFERROR(__xludf.DUMMYFUNCTION("""COMPUTED_VALUE"""),"LLT216")</f>
        <v>LLT216</v>
      </c>
      <c r="F1887" s="4" t="str">
        <f>IFERROR(__xludf.DUMMYFUNCTION("""COMPUTED_VALUE"""),"FUENTES / UPS / CABLEADO / ACCESORIOS &gt; BALUNES / PROTECTORES DE PICO / AISLADORES")</f>
        <v>FUENTES / UPS / CABLEADO / ACCESORIOS &gt; BALUNES / PROTECTORES DE PICO / AISLADORES</v>
      </c>
      <c r="G1887" s="5"/>
      <c r="H1887" s="6">
        <f>IFERROR(__xludf.DUMMYFUNCTION("""COMPUTED_VALUE"""),121.06)</f>
        <v>121.06</v>
      </c>
      <c r="I1887" s="7">
        <f>IFERROR(__xludf.DUMMYFUNCTION("""COMPUTED_VALUE"""),21.0)</f>
        <v>21</v>
      </c>
      <c r="J1887" s="6">
        <f>IFERROR(__xludf.DUMMYFUNCTION("""COMPUTED_VALUE"""),145.27)</f>
        <v>145.27</v>
      </c>
      <c r="K1887" s="6">
        <f>IFERROR(__xludf.DUMMYFUNCTION("""COMPUTED_VALUE"""),169.48)</f>
        <v>169.48</v>
      </c>
      <c r="L1887" s="3"/>
      <c r="M1887" s="3"/>
    </row>
    <row r="1888" ht="48.0" customHeight="1">
      <c r="A1888" s="3" t="str">
        <f>IFERROR(__xludf.DUMMYFUNCTION("""COMPUTED_VALUE"""),"LLT401T")</f>
        <v>LLT401T</v>
      </c>
      <c r="B1888" s="4" t="str">
        <f>IFERROR(__xludf.DUMMYFUNCTION("""COMPUTED_VALUE"""),"TRANSMISOR P/ 4 CÁMARAS ACTIVO (12 V) (INDIVIDUAL)")</f>
        <v>TRANSMISOR P/ 4 CÁMARAS ACTIVO (12 V) (INDIVIDUAL)</v>
      </c>
      <c r="C1888" s="4" t="str">
        <f>IFERROR(__xludf.DUMMYFUNCTION("""COMPUTED_VALUE"""),"Transmisor p/ 4 cámaras activo (12 V) (individual)")</f>
        <v>Transmisor p/ 4 cámaras activo (12 V) (individual)</v>
      </c>
      <c r="D1888" s="4" t="str">
        <f>IFERROR(__xludf.DUMMYFUNCTION("""COMPUTED_VALUE"""),"OWL")</f>
        <v>OWL</v>
      </c>
      <c r="E1888" s="4" t="str">
        <f>IFERROR(__xludf.DUMMYFUNCTION("""COMPUTED_VALUE"""),"LLT401T")</f>
        <v>LLT401T</v>
      </c>
      <c r="F1888" s="4" t="str">
        <f>IFERROR(__xludf.DUMMYFUNCTION("""COMPUTED_VALUE"""),"FUENTES / UPS / CABLEADO / ACCESORIOS &gt; BALUNES / PROTECTORES DE PICO / AISLADORES")</f>
        <v>FUENTES / UPS / CABLEADO / ACCESORIOS &gt; BALUNES / PROTECTORES DE PICO / AISLADORES</v>
      </c>
      <c r="G1888" s="5"/>
      <c r="H1888" s="6">
        <f>IFERROR(__xludf.DUMMYFUNCTION("""COMPUTED_VALUE"""),72.6)</f>
        <v>72.6</v>
      </c>
      <c r="I1888" s="7">
        <f>IFERROR(__xludf.DUMMYFUNCTION("""COMPUTED_VALUE"""),21.0)</f>
        <v>21</v>
      </c>
      <c r="J1888" s="6">
        <f>IFERROR(__xludf.DUMMYFUNCTION("""COMPUTED_VALUE"""),87.12)</f>
        <v>87.12</v>
      </c>
      <c r="K1888" s="6">
        <f>IFERROR(__xludf.DUMMYFUNCTION("""COMPUTED_VALUE"""),101.64)</f>
        <v>101.64</v>
      </c>
      <c r="L1888" s="3"/>
      <c r="M1888" s="3"/>
    </row>
    <row r="1889" ht="48.0" customHeight="1">
      <c r="A1889" s="3" t="str">
        <f>IFERROR(__xludf.DUMMYFUNCTION("""COMPUTED_VALUE"""),"RS485")</f>
        <v>RS485</v>
      </c>
      <c r="B1889" s="4" t="str">
        <f>IFERROR(__xludf.DUMMYFUNCTION("""COMPUTED_VALUE"""),"CONVERSOR 232 A 485")</f>
        <v>CONVERSOR 232 A 485</v>
      </c>
      <c r="C1889" s="4" t="str">
        <f>IFERROR(__xludf.DUMMYFUNCTION("""COMPUTED_VALUE"""),"Conversor 232 a 485")</f>
        <v>Conversor 232 a 485</v>
      </c>
      <c r="D1889" s="4" t="str">
        <f>IFERROR(__xludf.DUMMYFUNCTION("""COMPUTED_VALUE"""),"OWL")</f>
        <v>OWL</v>
      </c>
      <c r="E1889" s="4" t="str">
        <f>IFERROR(__xludf.DUMMYFUNCTION("""COMPUTED_VALUE"""),"RS485")</f>
        <v>RS485</v>
      </c>
      <c r="F1889" s="4" t="str">
        <f>IFERROR(__xludf.DUMMYFUNCTION("""COMPUTED_VALUE"""),"FUENTES / UPS / CABLEADO / ACCESORIOS &gt; CONVERSORES")</f>
        <v>FUENTES / UPS / CABLEADO / ACCESORIOS &gt; CONVERSORES</v>
      </c>
      <c r="G1889" s="5"/>
      <c r="H1889" s="6">
        <f>IFERROR(__xludf.DUMMYFUNCTION("""COMPUTED_VALUE"""),22.0)</f>
        <v>22</v>
      </c>
      <c r="I1889" s="7">
        <f>IFERROR(__xludf.DUMMYFUNCTION("""COMPUTED_VALUE"""),10.5)</f>
        <v>10.5</v>
      </c>
      <c r="J1889" s="6">
        <f>IFERROR(__xludf.DUMMYFUNCTION("""COMPUTED_VALUE"""),26.4)</f>
        <v>26.4</v>
      </c>
      <c r="K1889" s="6">
        <f>IFERROR(__xludf.DUMMYFUNCTION("""COMPUTED_VALUE"""),30.8)</f>
        <v>30.8</v>
      </c>
      <c r="L1889" s="3"/>
      <c r="M1889" s="3"/>
    </row>
    <row r="1890" ht="48.0" customHeight="1">
      <c r="A1890" s="3" t="str">
        <f>IFERROR(__xludf.DUMMYFUNCTION("""COMPUTED_VALUE"""),"PTZ")</f>
        <v>PTZ</v>
      </c>
      <c r="B1890" s="4" t="str">
        <f>IFERROR(__xludf.DUMMYFUNCTION("""COMPUTED_VALUE"""),"CONVERSOR DE PROTOCOLO PARA MANEJO DE PTZ")</f>
        <v>CONVERSOR DE PROTOCOLO PARA MANEJO DE PTZ</v>
      </c>
      <c r="C1890" s="4" t="str">
        <f>IFERROR(__xludf.DUMMYFUNCTION("""COMPUTED_VALUE"""),"Conversor de protocolo para manejo de PTZ")</f>
        <v>Conversor de protocolo para manejo de PTZ</v>
      </c>
      <c r="D1890" s="4" t="str">
        <f>IFERROR(__xludf.DUMMYFUNCTION("""COMPUTED_VALUE"""),"OWL")</f>
        <v>OWL</v>
      </c>
      <c r="E1890" s="4" t="str">
        <f>IFERROR(__xludf.DUMMYFUNCTION("""COMPUTED_VALUE"""),"PTZ")</f>
        <v>PTZ</v>
      </c>
      <c r="F1890" s="4" t="str">
        <f>IFERROR(__xludf.DUMMYFUNCTION("""COMPUTED_VALUE"""),"FUENTES / UPS / CABLEADO / ACCESORIOS &gt; CONVERSORES")</f>
        <v>FUENTES / UPS / CABLEADO / ACCESORIOS &gt; CONVERSORES</v>
      </c>
      <c r="G1890" s="5"/>
      <c r="H1890" s="6">
        <f>IFERROR(__xludf.DUMMYFUNCTION("""COMPUTED_VALUE"""),33.0)</f>
        <v>33</v>
      </c>
      <c r="I1890" s="7">
        <f>IFERROR(__xludf.DUMMYFUNCTION("""COMPUTED_VALUE"""),21.0)</f>
        <v>21</v>
      </c>
      <c r="J1890" s="6">
        <f>IFERROR(__xludf.DUMMYFUNCTION("""COMPUTED_VALUE"""),39.6)</f>
        <v>39.6</v>
      </c>
      <c r="K1890" s="6">
        <f>IFERROR(__xludf.DUMMYFUNCTION("""COMPUTED_VALUE"""),46.2)</f>
        <v>46.2</v>
      </c>
      <c r="L1890" s="3"/>
      <c r="M1890" s="3"/>
    </row>
    <row r="1891" ht="48.0" customHeight="1">
      <c r="A1891" s="3" t="str">
        <f>IFERROR(__xludf.DUMMYFUNCTION("""COMPUTED_VALUE"""),"GFEX30HDMI")</f>
        <v>GFEX30HDMI</v>
      </c>
      <c r="B1891" s="4" t="str">
        <f>IFERROR(__xludf.DUMMYFUNCTION("""COMPUTED_VALUE"""),"EXTENSOR HDMI / 3D 1080P HASTA 30MTS MAX")</f>
        <v>EXTENSOR HDMI / 3D 1080P HASTA 30MTS MAX</v>
      </c>
      <c r="C1891" s="4" t="str">
        <f>IFERROR(__xludf.DUMMYFUNCTION("""COMPUTED_VALUE"""),"EXTENSOR HDMI / 3D 1080P HASTA 30MTS MAX. UTP 5E")</f>
        <v>EXTENSOR HDMI / 3D 1080P HASTA 30MTS MAX. UTP 5E</v>
      </c>
      <c r="D1891" s="4" t="str">
        <f>IFERROR(__xludf.DUMMYFUNCTION("""COMPUTED_VALUE"""),"GENERICO")</f>
        <v>GENERICO</v>
      </c>
      <c r="E1891" s="4" t="str">
        <f>IFERROR(__xludf.DUMMYFUNCTION("""COMPUTED_VALUE"""),"GFEX30HDMI")</f>
        <v>GFEX30HDMI</v>
      </c>
      <c r="F1891" s="4" t="str">
        <f>IFERROR(__xludf.DUMMYFUNCTION("""COMPUTED_VALUE"""),"FUENTES / UPS / CABLEADO / ACCESORIOS &gt; CONVERSORES")</f>
        <v>FUENTES / UPS / CABLEADO / ACCESORIOS &gt; CONVERSORES</v>
      </c>
      <c r="G1891" s="5"/>
      <c r="H1891" s="6">
        <f>IFERROR(__xludf.DUMMYFUNCTION("""COMPUTED_VALUE"""),11.68)</f>
        <v>11.68</v>
      </c>
      <c r="I1891" s="7">
        <f>IFERROR(__xludf.DUMMYFUNCTION("""COMPUTED_VALUE"""),21.0)</f>
        <v>21</v>
      </c>
      <c r="J1891" s="6">
        <f>IFERROR(__xludf.DUMMYFUNCTION("""COMPUTED_VALUE"""),14.02)</f>
        <v>14.02</v>
      </c>
      <c r="K1891" s="6">
        <f>IFERROR(__xludf.DUMMYFUNCTION("""COMPUTED_VALUE"""),16.35)</f>
        <v>16.35</v>
      </c>
      <c r="L1891" s="3"/>
      <c r="M1891" s="3"/>
    </row>
    <row r="1892" ht="48.0" customHeight="1">
      <c r="A1892" s="3" t="str">
        <f>IFERROR(__xludf.DUMMYFUNCTION("""COMPUTED_VALUE"""),"GF-EX60HDMI")</f>
        <v>GF-EX60HDMI</v>
      </c>
      <c r="B1892" s="4" t="str">
        <f>IFERROR(__xludf.DUMMYFUNCTION("""COMPUTED_VALUE"""),"EXTENSOR ACTIVO HDMI 1080P 60MT POR CABLE UTP")</f>
        <v>EXTENSOR ACTIVO HDMI 1080P 60MT POR CABLE UTP</v>
      </c>
      <c r="C1892" s="4" t="str">
        <f>IFERROR(__xludf.DUMMYFUNCTION("""COMPUTED_VALUE"""),"Extensor Activo HDMI 1080p 60mt por cable UTP. incluye fuente")</f>
        <v>Extensor Activo HDMI 1080p 60mt por cable UTP. incluye fuente</v>
      </c>
      <c r="D1892" s="4" t="str">
        <f>IFERROR(__xludf.DUMMYFUNCTION("""COMPUTED_VALUE"""),"GENERICO")</f>
        <v>GENERICO</v>
      </c>
      <c r="E1892" s="4" t="str">
        <f>IFERROR(__xludf.DUMMYFUNCTION("""COMPUTED_VALUE"""),"GF-EX60HDMI")</f>
        <v>GF-EX60HDMI</v>
      </c>
      <c r="F1892" s="4" t="str">
        <f>IFERROR(__xludf.DUMMYFUNCTION("""COMPUTED_VALUE"""),"FUENTES / UPS / CABLEADO / ACCESORIOS &gt; CONVERSORES")</f>
        <v>FUENTES / UPS / CABLEADO / ACCESORIOS &gt; CONVERSORES</v>
      </c>
      <c r="G1892" s="5"/>
      <c r="H1892" s="6">
        <f>IFERROR(__xludf.DUMMYFUNCTION("""COMPUTED_VALUE"""),52.25)</f>
        <v>52.25</v>
      </c>
      <c r="I1892" s="7">
        <f>IFERROR(__xludf.DUMMYFUNCTION("""COMPUTED_VALUE"""),10.5)</f>
        <v>10.5</v>
      </c>
      <c r="J1892" s="6">
        <f>IFERROR(__xludf.DUMMYFUNCTION("""COMPUTED_VALUE"""),62.7)</f>
        <v>62.7</v>
      </c>
      <c r="K1892" s="6">
        <f>IFERROR(__xludf.DUMMYFUNCTION("""COMPUTED_VALUE"""),73.15)</f>
        <v>73.15</v>
      </c>
      <c r="L1892" s="3"/>
      <c r="M1892" s="3"/>
    </row>
    <row r="1893" ht="48.0" customHeight="1">
      <c r="A1893" s="3" t="str">
        <f>IFERROR(__xludf.DUMMYFUNCTION("""COMPUTED_VALUE"""),"FSHM-E60")</f>
        <v>FSHM-E60</v>
      </c>
      <c r="B1893" s="4" t="str">
        <f>IFERROR(__xludf.DUMMYFUNCTION("""COMPUTED_VALUE"""),"EXTENSOR ACTIVO HDMI 1080P 60MT POR CABLE UTP")</f>
        <v>EXTENSOR ACTIVO HDMI 1080P 60MT POR CABLE UTP</v>
      </c>
      <c r="C1893" s="4" t="str">
        <f>IFERROR(__xludf.DUMMYFUNCTION("""COMPUTED_VALUE"""),"Extensor Activo HDMI 1080p 60mt por cable UTP. incluye fuente")</f>
        <v>Extensor Activo HDMI 1080p 60mt por cable UTP. incluye fuente</v>
      </c>
      <c r="D1893" s="4" t="str">
        <f>IFERROR(__xludf.DUMMYFUNCTION("""COMPUTED_VALUE"""),"OWL")</f>
        <v>OWL</v>
      </c>
      <c r="E1893" s="4" t="str">
        <f>IFERROR(__xludf.DUMMYFUNCTION("""COMPUTED_VALUE"""),"FSHM-E60")</f>
        <v>FSHM-E60</v>
      </c>
      <c r="F1893" s="4" t="str">
        <f>IFERROR(__xludf.DUMMYFUNCTION("""COMPUTED_VALUE"""),"FUENTES / UPS / CABLEADO / ACCESORIOS &gt; CONVERSORES")</f>
        <v>FUENTES / UPS / CABLEADO / ACCESORIOS &gt; CONVERSORES</v>
      </c>
      <c r="G1893" s="5"/>
      <c r="H1893" s="6">
        <f>IFERROR(__xludf.DUMMYFUNCTION("""COMPUTED_VALUE"""),52.25)</f>
        <v>52.25</v>
      </c>
      <c r="I1893" s="7"/>
      <c r="J1893" s="6">
        <f>IFERROR(__xludf.DUMMYFUNCTION("""COMPUTED_VALUE"""),62.7)</f>
        <v>62.7</v>
      </c>
      <c r="K1893" s="6">
        <f>IFERROR(__xludf.DUMMYFUNCTION("""COMPUTED_VALUE"""),73.15)</f>
        <v>73.15</v>
      </c>
      <c r="L1893" s="3"/>
      <c r="M1893" s="3"/>
    </row>
    <row r="1894" ht="48.0" customHeight="1">
      <c r="A1894" s="3" t="str">
        <f>IFERROR(__xludf.DUMMYFUNCTION("""COMPUTED_VALUE"""),"GFHDMI2X1")</f>
        <v>GFHDMI2X1</v>
      </c>
      <c r="B1894" s="4" t="str">
        <f>IFERROR(__xludf.DUMMYFUNCTION("""COMPUTED_VALUE"""),"SPLITER HDMI TIPO Y, UNA ENTRADA 2 SALIDAS")</f>
        <v>SPLITER HDMI TIPO Y, UNA ENTRADA 2 SALIDAS</v>
      </c>
      <c r="C1894" s="4" t="str">
        <f>IFERROR(__xludf.DUMMYFUNCTION("""COMPUTED_VALUE"""),"Spliter HDMI tipo Y, una entrada 2 salidas")</f>
        <v>Spliter HDMI tipo Y, una entrada 2 salidas</v>
      </c>
      <c r="D1894" s="4" t="str">
        <f>IFERROR(__xludf.DUMMYFUNCTION("""COMPUTED_VALUE"""),"GENERICO")</f>
        <v>GENERICO</v>
      </c>
      <c r="E1894" s="4" t="str">
        <f>IFERROR(__xludf.DUMMYFUNCTION("""COMPUTED_VALUE"""),"GFHDMI2X1")</f>
        <v>GFHDMI2X1</v>
      </c>
      <c r="F1894" s="4" t="str">
        <f>IFERROR(__xludf.DUMMYFUNCTION("""COMPUTED_VALUE"""),"FUENTES / UPS / CABLEADO / ACCESORIOS &gt; CONVERSORES")</f>
        <v>FUENTES / UPS / CABLEADO / ACCESORIOS &gt; CONVERSORES</v>
      </c>
      <c r="G1894" s="5"/>
      <c r="H1894" s="6">
        <f>IFERROR(__xludf.DUMMYFUNCTION("""COMPUTED_VALUE"""),5.23)</f>
        <v>5.23</v>
      </c>
      <c r="I1894" s="7">
        <f>IFERROR(__xludf.DUMMYFUNCTION("""COMPUTED_VALUE"""),21.0)</f>
        <v>21</v>
      </c>
      <c r="J1894" s="6">
        <f>IFERROR(__xludf.DUMMYFUNCTION("""COMPUTED_VALUE"""),6.28)</f>
        <v>6.28</v>
      </c>
      <c r="K1894" s="6">
        <f>IFERROR(__xludf.DUMMYFUNCTION("""COMPUTED_VALUE"""),7.32)</f>
        <v>7.32</v>
      </c>
      <c r="L1894" s="3"/>
      <c r="M1894" s="3"/>
    </row>
    <row r="1895" ht="48.0" customHeight="1">
      <c r="A1895" s="3" t="str">
        <f>IFERROR(__xludf.DUMMYFUNCTION("""COMPUTED_VALUE"""),"GFSPLITHDMI")</f>
        <v>GFSPLITHDMI</v>
      </c>
      <c r="B1895" s="4" t="str">
        <f>IFERROR(__xludf.DUMMYFUNCTION("""COMPUTED_VALUE"""),"SPLITER HDMI DE 2 SALIDAS UNA ENTRADA")</f>
        <v>SPLITER HDMI DE 2 SALIDAS UNA ENTRADA</v>
      </c>
      <c r="C1895" s="4" t="str">
        <f>IFERROR(__xludf.DUMMYFUNCTION("""COMPUTED_VALUE"""),"Spliter HDMI de 2 salidas una entrada")</f>
        <v>Spliter HDMI de 2 salidas una entrada</v>
      </c>
      <c r="D1895" s="4" t="str">
        <f>IFERROR(__xludf.DUMMYFUNCTION("""COMPUTED_VALUE"""),"GENERICO")</f>
        <v>GENERICO</v>
      </c>
      <c r="E1895" s="4" t="str">
        <f>IFERROR(__xludf.DUMMYFUNCTION("""COMPUTED_VALUE"""),"GFSPLITHDMI")</f>
        <v>GFSPLITHDMI</v>
      </c>
      <c r="F1895" s="4" t="str">
        <f>IFERROR(__xludf.DUMMYFUNCTION("""COMPUTED_VALUE"""),"FUENTES / UPS / CABLEADO / ACCESORIOS &gt; CONVERSORES")</f>
        <v>FUENTES / UPS / CABLEADO / ACCESORIOS &gt; CONVERSORES</v>
      </c>
      <c r="G1895" s="5"/>
      <c r="H1895" s="6">
        <f>IFERROR(__xludf.DUMMYFUNCTION("""COMPUTED_VALUE"""),27.5)</f>
        <v>27.5</v>
      </c>
      <c r="I1895" s="7">
        <f>IFERROR(__xludf.DUMMYFUNCTION("""COMPUTED_VALUE"""),10.5)</f>
        <v>10.5</v>
      </c>
      <c r="J1895" s="6">
        <f>IFERROR(__xludf.DUMMYFUNCTION("""COMPUTED_VALUE"""),33.0)</f>
        <v>33</v>
      </c>
      <c r="K1895" s="6">
        <f>IFERROR(__xludf.DUMMYFUNCTION("""COMPUTED_VALUE"""),38.5)</f>
        <v>38.5</v>
      </c>
      <c r="L1895" s="3"/>
      <c r="M1895" s="3"/>
    </row>
    <row r="1896" ht="48.0" customHeight="1">
      <c r="A1896" s="3" t="str">
        <f>IFERROR(__xludf.DUMMYFUNCTION("""COMPUTED_VALUE"""),"FS6001P")</f>
        <v>FS6001P</v>
      </c>
      <c r="B1896" s="4" t="str">
        <f>IFERROR(__xludf.DUMMYFUNCTION("""COMPUTED_VALUE"""),"EXTENSOR PASIVO PARA TRANSMITIR SEÑAL VGA HASTA 100 METROS,")</f>
        <v>EXTENSOR PASIVO PARA TRANSMITIR SEÑAL VGA HASTA 100 METROS,</v>
      </c>
      <c r="C1896" s="4" t="str">
        <f>IFERROR(__xludf.DUMMYFUNCTION("""COMPUTED_VALUE"""),"Extensor pasivo para transmitir Señal VGA hasta 100 metros, por cable UTP Pasivo. Resolución VGA 600m, SVGA 120m, XGA, 100m SXGA 70m y WXGA 70m, no requiere alimentación")</f>
        <v>Extensor pasivo para transmitir Señal VGA hasta 100 metros, por cable UTP Pasivo. Resolución VGA 600m, SVGA 120m, XGA, 100m SXGA 70m y WXGA 70m, no requiere alimentación</v>
      </c>
      <c r="D1896" s="4" t="str">
        <f>IFERROR(__xludf.DUMMYFUNCTION("""COMPUTED_VALUE"""),"OWL")</f>
        <v>OWL</v>
      </c>
      <c r="E1896" s="4" t="str">
        <f>IFERROR(__xludf.DUMMYFUNCTION("""COMPUTED_VALUE"""),"FS6001P")</f>
        <v>FS6001P</v>
      </c>
      <c r="F1896" s="4" t="str">
        <f>IFERROR(__xludf.DUMMYFUNCTION("""COMPUTED_VALUE"""),"FUENTES / UPS / CABLEADO / ACCESORIOS &gt; CONVERSORES")</f>
        <v>FUENTES / UPS / CABLEADO / ACCESORIOS &gt; CONVERSORES</v>
      </c>
      <c r="G1896" s="5"/>
      <c r="H1896" s="6">
        <f>IFERROR(__xludf.DUMMYFUNCTION("""COMPUTED_VALUE"""),53.9)</f>
        <v>53.9</v>
      </c>
      <c r="I1896" s="7">
        <f>IFERROR(__xludf.DUMMYFUNCTION("""COMPUTED_VALUE"""),21.0)</f>
        <v>21</v>
      </c>
      <c r="J1896" s="6">
        <f>IFERROR(__xludf.DUMMYFUNCTION("""COMPUTED_VALUE"""),64.68)</f>
        <v>64.68</v>
      </c>
      <c r="K1896" s="6">
        <f>IFERROR(__xludf.DUMMYFUNCTION("""COMPUTED_VALUE"""),75.46)</f>
        <v>75.46</v>
      </c>
      <c r="L1896" s="3"/>
      <c r="M1896" s="3"/>
    </row>
    <row r="1897" ht="48.0" customHeight="1">
      <c r="A1897" s="3" t="str">
        <f>IFERROR(__xludf.DUMMYFUNCTION("""COMPUTED_VALUE"""),"HCBPVGA")</f>
        <v>HCBPVGA</v>
      </c>
      <c r="B1897" s="4" t="str">
        <f>IFERROR(__xludf.DUMMYFUNCTION("""COMPUTED_VALUE"""),"EXTENSOR DE SEÑAL VGA HASTA 50 METROS, POR CABLE UTP GA+AUDIO")</f>
        <v>EXTENSOR DE SEÑAL VGA HASTA 50 METROS, POR CABLE UTP GA+AUDIO</v>
      </c>
      <c r="C1897" s="4" t="str">
        <f>IFERROR(__xludf.DUMMYFUNCTION("""COMPUTED_VALUE"""),"Extensor de Señal VGA hasta 50 metros, por cable UTP GA+AUDIO; HASTA 100MTS MAX UTP 5/5E/6; INCLUYE FTES DE ALIMENTACION")</f>
        <v>Extensor de Señal VGA hasta 50 metros, por cable UTP GA+AUDIO; HASTA 100MTS MAX UTP 5/5E/6; INCLUYE FTES DE ALIMENTACION</v>
      </c>
      <c r="D1897" s="4" t="str">
        <f>IFERROR(__xludf.DUMMYFUNCTION("""COMPUTED_VALUE"""),"GENERICO")</f>
        <v>GENERICO</v>
      </c>
      <c r="E1897" s="4" t="str">
        <f>IFERROR(__xludf.DUMMYFUNCTION("""COMPUTED_VALUE"""),"HCBPVGA")</f>
        <v>HCBPVGA</v>
      </c>
      <c r="F1897" s="4" t="str">
        <f>IFERROR(__xludf.DUMMYFUNCTION("""COMPUTED_VALUE"""),"FUENTES / UPS / CABLEADO / ACCESORIOS &gt; CONVERSORES")</f>
        <v>FUENTES / UPS / CABLEADO / ACCESORIOS &gt; CONVERSORES</v>
      </c>
      <c r="G1897" s="5"/>
      <c r="H1897" s="6">
        <f>IFERROR(__xludf.DUMMYFUNCTION("""COMPUTED_VALUE"""),172.07)</f>
        <v>172.07</v>
      </c>
      <c r="I1897" s="7">
        <f>IFERROR(__xludf.DUMMYFUNCTION("""COMPUTED_VALUE"""),21.0)</f>
        <v>21</v>
      </c>
      <c r="J1897" s="6">
        <f>IFERROR(__xludf.DUMMYFUNCTION("""COMPUTED_VALUE"""),206.48)</f>
        <v>206.48</v>
      </c>
      <c r="K1897" s="6">
        <f>IFERROR(__xludf.DUMMYFUNCTION("""COMPUTED_VALUE"""),240.9)</f>
        <v>240.9</v>
      </c>
      <c r="L1897" s="3"/>
      <c r="M1897" s="3"/>
    </row>
    <row r="1898" ht="48.0" customHeight="1">
      <c r="A1898" s="3" t="str">
        <f>IFERROR(__xludf.DUMMYFUNCTION("""COMPUTED_VALUE"""),"FSBNCVGA")</f>
        <v>FSBNCVGA</v>
      </c>
      <c r="B1898" s="4" t="str">
        <f>IFERROR(__xludf.DUMMYFUNCTION("""COMPUTED_VALUE"""),"CONVERSOR DE VIDEO DE BNC A SALIDA VGA")</f>
        <v>CONVERSOR DE VIDEO DE BNC A SALIDA VGA</v>
      </c>
      <c r="C1898" s="4" t="str">
        <f>IFERROR(__xludf.DUMMYFUNCTION("""COMPUTED_VALUE"""),"Conversor de VIDEO de BNC a Salida VGA")</f>
        <v>Conversor de VIDEO de BNC a Salida VGA</v>
      </c>
      <c r="D1898" s="4" t="str">
        <f>IFERROR(__xludf.DUMMYFUNCTION("""COMPUTED_VALUE"""),"GENERICO")</f>
        <v>GENERICO</v>
      </c>
      <c r="E1898" s="4" t="str">
        <f>IFERROR(__xludf.DUMMYFUNCTION("""COMPUTED_VALUE"""),"FSBNCVGA")</f>
        <v>FSBNCVGA</v>
      </c>
      <c r="F1898" s="4" t="str">
        <f>IFERROR(__xludf.DUMMYFUNCTION("""COMPUTED_VALUE"""),"FUENTES / UPS / CABLEADO / ACCESORIOS &gt; CONVERSORES")</f>
        <v>FUENTES / UPS / CABLEADO / ACCESORIOS &gt; CONVERSORES</v>
      </c>
      <c r="G1898" s="5"/>
      <c r="H1898" s="6">
        <f>IFERROR(__xludf.DUMMYFUNCTION("""COMPUTED_VALUE"""),65.12)</f>
        <v>65.12</v>
      </c>
      <c r="I1898" s="7">
        <f>IFERROR(__xludf.DUMMYFUNCTION("""COMPUTED_VALUE"""),21.0)</f>
        <v>21</v>
      </c>
      <c r="J1898" s="6">
        <f>IFERROR(__xludf.DUMMYFUNCTION("""COMPUTED_VALUE"""),78.14)</f>
        <v>78.14</v>
      </c>
      <c r="K1898" s="6">
        <f>IFERROR(__xludf.DUMMYFUNCTION("""COMPUTED_VALUE"""),91.17)</f>
        <v>91.17</v>
      </c>
      <c r="L1898" s="3"/>
      <c r="M1898" s="3"/>
    </row>
    <row r="1899" ht="48.0" customHeight="1">
      <c r="A1899" s="3" t="str">
        <f>IFERROR(__xludf.DUMMYFUNCTION("""COMPUTED_VALUE"""),"FSVGAAV")</f>
        <v>FSVGAAV</v>
      </c>
      <c r="B1899" s="4" t="str">
        <f>IFERROR(__xludf.DUMMYFUNCTION("""COMPUTED_VALUE"""),"CONVERSOR DE VIDEO DE VGA A SALIDA AV PC TO TV CONVETER")</f>
        <v>CONVERSOR DE VIDEO DE VGA A SALIDA AV PC TO TV CONVETER</v>
      </c>
      <c r="C1899" s="4" t="str">
        <f>IFERROR(__xludf.DUMMYFUNCTION("""COMPUTED_VALUE"""),"Conversor de VIDEO de VGA a Salida AV PC to TV Conveter")</f>
        <v>Conversor de VIDEO de VGA a Salida AV PC to TV Conveter</v>
      </c>
      <c r="D1899" s="4" t="str">
        <f>IFERROR(__xludf.DUMMYFUNCTION("""COMPUTED_VALUE"""),"GENERICO")</f>
        <v>GENERICO</v>
      </c>
      <c r="E1899" s="4" t="str">
        <f>IFERROR(__xludf.DUMMYFUNCTION("""COMPUTED_VALUE"""),"FSVGAAV")</f>
        <v>FSVGAAV</v>
      </c>
      <c r="F1899" s="4" t="str">
        <f>IFERROR(__xludf.DUMMYFUNCTION("""COMPUTED_VALUE"""),"FUENTES / UPS / CABLEADO / ACCESORIOS &gt; CONVERSORES")</f>
        <v>FUENTES / UPS / CABLEADO / ACCESORIOS &gt; CONVERSORES</v>
      </c>
      <c r="G1899" s="5"/>
      <c r="H1899" s="6">
        <f>IFERROR(__xludf.DUMMYFUNCTION("""COMPUTED_VALUE"""),60.12)</f>
        <v>60.12</v>
      </c>
      <c r="I1899" s="7">
        <f>IFERROR(__xludf.DUMMYFUNCTION("""COMPUTED_VALUE"""),21.0)</f>
        <v>21</v>
      </c>
      <c r="J1899" s="6">
        <f>IFERROR(__xludf.DUMMYFUNCTION("""COMPUTED_VALUE"""),72.14)</f>
        <v>72.14</v>
      </c>
      <c r="K1899" s="6">
        <f>IFERROR(__xludf.DUMMYFUNCTION("""COMPUTED_VALUE"""),84.17)</f>
        <v>84.17</v>
      </c>
      <c r="L1899" s="3"/>
      <c r="M1899" s="3"/>
    </row>
    <row r="1900" ht="48.0" customHeight="1">
      <c r="A1900" s="3" t="str">
        <f>IFERROR(__xludf.DUMMYFUNCTION("""COMPUTED_VALUE"""),"FSHDMIVGA")</f>
        <v>FSHDMIVGA</v>
      </c>
      <c r="B1900" s="4" t="str">
        <f>IFERROR(__xludf.DUMMYFUNCTION("""COMPUTED_VALUE"""),"HDMI TO VGA CONVERTER")</f>
        <v>HDMI TO VGA CONVERTER</v>
      </c>
      <c r="C1900" s="4" t="str">
        <f>IFERROR(__xludf.DUMMYFUNCTION("""COMPUTED_VALUE"""),"HDMI to VGA Converter")</f>
        <v>HDMI to VGA Converter</v>
      </c>
      <c r="D1900" s="4" t="str">
        <f>IFERROR(__xludf.DUMMYFUNCTION("""COMPUTED_VALUE"""),"OWL")</f>
        <v>OWL</v>
      </c>
      <c r="E1900" s="4" t="str">
        <f>IFERROR(__xludf.DUMMYFUNCTION("""COMPUTED_VALUE"""),"FSHDMIVGA")</f>
        <v>FSHDMIVGA</v>
      </c>
      <c r="F1900" s="4" t="str">
        <f>IFERROR(__xludf.DUMMYFUNCTION("""COMPUTED_VALUE"""),"FUENTES / UPS / CABLEADO / ACCESORIOS &gt; CONVERSORES")</f>
        <v>FUENTES / UPS / CABLEADO / ACCESORIOS &gt; CONVERSORES</v>
      </c>
      <c r="G1900" s="5"/>
      <c r="H1900" s="6">
        <f>IFERROR(__xludf.DUMMYFUNCTION("""COMPUTED_VALUE"""),15.03)</f>
        <v>15.03</v>
      </c>
      <c r="I1900" s="7">
        <f>IFERROR(__xludf.DUMMYFUNCTION("""COMPUTED_VALUE"""),21.0)</f>
        <v>21</v>
      </c>
      <c r="J1900" s="6">
        <f>IFERROR(__xludf.DUMMYFUNCTION("""COMPUTED_VALUE"""),18.04)</f>
        <v>18.04</v>
      </c>
      <c r="K1900" s="6">
        <f>IFERROR(__xludf.DUMMYFUNCTION("""COMPUTED_VALUE"""),21.04)</f>
        <v>21.04</v>
      </c>
      <c r="L1900" s="3"/>
      <c r="M1900" s="3"/>
    </row>
    <row r="1901" ht="48.0" customHeight="1">
      <c r="A1901" s="3" t="str">
        <f>IFERROR(__xludf.DUMMYFUNCTION("""COMPUTED_VALUE"""),"FSUSBRJ45")</f>
        <v>FSUSBRJ45</v>
      </c>
      <c r="B1901" s="4" t="str">
        <f>IFERROR(__xludf.DUMMYFUNCTION("""COMPUTED_VALUE"""),"EXTENSOR USB/RJ45 DE ALTA CALIDAD, PERMITE CONECTAR SU DISPOSITIVO")</f>
        <v>EXTENSOR USB/RJ45 DE ALTA CALIDAD, PERMITE CONECTAR SU DISPOSITIVO</v>
      </c>
      <c r="C1901" s="4" t="str">
        <f>IFERROR(__xludf.DUMMYFUNCTION("""COMPUTED_VALUE"""),"Extensor USB/RJ45 de alta calidad, permite conectar su dispositivo USB a una distancia de hasta 40 metros, a traves de un cable de conexión Cat5/Cat5e/Cat6")</f>
        <v>Extensor USB/RJ45 de alta calidad, permite conectar su dispositivo USB a una distancia de hasta 40 metros, a traves de un cable de conexión Cat5/Cat5e/Cat6</v>
      </c>
      <c r="D1901" s="4" t="str">
        <f>IFERROR(__xludf.DUMMYFUNCTION("""COMPUTED_VALUE"""),"OWL")</f>
        <v>OWL</v>
      </c>
      <c r="E1901" s="4" t="str">
        <f>IFERROR(__xludf.DUMMYFUNCTION("""COMPUTED_VALUE"""),"FSUSBRJ45")</f>
        <v>FSUSBRJ45</v>
      </c>
      <c r="F1901" s="4" t="str">
        <f>IFERROR(__xludf.DUMMYFUNCTION("""COMPUTED_VALUE"""),"FUENTES / UPS / CABLEADO / ACCESORIOS &gt; CONVERSORES")</f>
        <v>FUENTES / UPS / CABLEADO / ACCESORIOS &gt; CONVERSORES</v>
      </c>
      <c r="G1901" s="5"/>
      <c r="H1901" s="6">
        <f>IFERROR(__xludf.DUMMYFUNCTION("""COMPUTED_VALUE"""),19.25)</f>
        <v>19.25</v>
      </c>
      <c r="I1901" s="7">
        <f>IFERROR(__xludf.DUMMYFUNCTION("""COMPUTED_VALUE"""),21.0)</f>
        <v>21</v>
      </c>
      <c r="J1901" s="6">
        <f>IFERROR(__xludf.DUMMYFUNCTION("""COMPUTED_VALUE"""),23.1)</f>
        <v>23.1</v>
      </c>
      <c r="K1901" s="6">
        <f>IFERROR(__xludf.DUMMYFUNCTION("""COMPUTED_VALUE"""),26.95)</f>
        <v>26.95</v>
      </c>
      <c r="L1901" s="3"/>
      <c r="M1901" s="3"/>
    </row>
    <row r="1902" ht="48.0" customHeight="1">
      <c r="A1902" s="3" t="str">
        <f>IFERROR(__xludf.DUMMYFUNCTION("""COMPUTED_VALUE"""),"OWVC319")</f>
        <v>OWVC319</v>
      </c>
      <c r="B1902" s="4" t="str">
        <f>IFERROR(__xludf.DUMMYFUNCTION("""COMPUTED_VALUE"""),"MINI VGA TO HDMI CONVERTER")</f>
        <v>MINI VGA TO HDMI CONVERTER</v>
      </c>
      <c r="C1902" s="4" t="str">
        <f>IFERROR(__xludf.DUMMYFUNCTION("""COMPUTED_VALUE"""),"Mini VGA to HDMI Converter")</f>
        <v>Mini VGA to HDMI Converter</v>
      </c>
      <c r="D1902" s="4" t="str">
        <f>IFERROR(__xludf.DUMMYFUNCTION("""COMPUTED_VALUE"""),"OWL")</f>
        <v>OWL</v>
      </c>
      <c r="E1902" s="4" t="str">
        <f>IFERROR(__xludf.DUMMYFUNCTION("""COMPUTED_VALUE"""),"OWVC319")</f>
        <v>OWVC319</v>
      </c>
      <c r="F1902" s="4" t="str">
        <f>IFERROR(__xludf.DUMMYFUNCTION("""COMPUTED_VALUE"""),"FUENTES / UPS / CABLEADO / ACCESORIOS &gt; CONVERSORES")</f>
        <v>FUENTES / UPS / CABLEADO / ACCESORIOS &gt; CONVERSORES</v>
      </c>
      <c r="G1902" s="5"/>
      <c r="H1902" s="6">
        <f>IFERROR(__xludf.DUMMYFUNCTION("""COMPUTED_VALUE"""),25.05)</f>
        <v>25.05</v>
      </c>
      <c r="I1902" s="7">
        <f>IFERROR(__xludf.DUMMYFUNCTION("""COMPUTED_VALUE"""),21.0)</f>
        <v>21</v>
      </c>
      <c r="J1902" s="6">
        <f>IFERROR(__xludf.DUMMYFUNCTION("""COMPUTED_VALUE"""),30.06)</f>
        <v>30.06</v>
      </c>
      <c r="K1902" s="6">
        <f>IFERROR(__xludf.DUMMYFUNCTION("""COMPUTED_VALUE"""),35.07)</f>
        <v>35.07</v>
      </c>
      <c r="L1902" s="3"/>
      <c r="M1902" s="3"/>
    </row>
    <row r="1903" ht="48.0" customHeight="1">
      <c r="A1903" s="3" t="str">
        <f>IFERROR(__xludf.DUMMYFUNCTION("""COMPUTED_VALUE"""),"AVHDM02")</f>
        <v>AVHDM02</v>
      </c>
      <c r="B1903" s="4" t="str">
        <f>IFERROR(__xludf.DUMMYFUNCTION("""COMPUTED_VALUE"""),"MATRIX FULL HD, 4 ENTRADAS HDMI X 1 SALIDA HDMI")</f>
        <v>MATRIX FULL HD, 4 ENTRADAS HDMI X 1 SALIDA HDMI</v>
      </c>
      <c r="C1903" s="4" t="str">
        <f>IFERROR(__xludf.DUMMYFUNCTION("""COMPUTED_VALUE"""),"Matrix Full HD, 4 Entradas HDMI x 1 Salida HDMI. visualización de hasta 4 HDMI, formas de visualización programables, Led de fallo, entrada para mouse.")</f>
        <v>Matrix Full HD, 4 Entradas HDMI x 1 Salida HDMI. visualización de hasta 4 HDMI, formas de visualización programables, Led de fallo, entrada para mouse.</v>
      </c>
      <c r="D1903" s="4" t="str">
        <f>IFERROR(__xludf.DUMMYFUNCTION("""COMPUTED_VALUE"""),"AVTECH")</f>
        <v>AVTECH</v>
      </c>
      <c r="E1903" s="4" t="str">
        <f>IFERROR(__xludf.DUMMYFUNCTION("""COMPUTED_VALUE"""),"AVHDM02")</f>
        <v>AVHDM02</v>
      </c>
      <c r="F1903" s="4" t="str">
        <f>IFERROR(__xludf.DUMMYFUNCTION("""COMPUTED_VALUE"""),"FUENTES / UPS / CABLEADO / ACCESORIOS &gt; CONVERSORES")</f>
        <v>FUENTES / UPS / CABLEADO / ACCESORIOS &gt; CONVERSORES</v>
      </c>
      <c r="G1903" s="5"/>
      <c r="H1903" s="6">
        <f>IFERROR(__xludf.DUMMYFUNCTION("""COMPUTED_VALUE"""),438.9)</f>
        <v>438.9</v>
      </c>
      <c r="I1903" s="7">
        <f>IFERROR(__xludf.DUMMYFUNCTION("""COMPUTED_VALUE"""),21.0)</f>
        <v>21</v>
      </c>
      <c r="J1903" s="6">
        <f>IFERROR(__xludf.DUMMYFUNCTION("""COMPUTED_VALUE"""),526.68)</f>
        <v>526.68</v>
      </c>
      <c r="K1903" s="6">
        <f>IFERROR(__xludf.DUMMYFUNCTION("""COMPUTED_VALUE"""),614.46)</f>
        <v>614.46</v>
      </c>
      <c r="L1903" s="3"/>
      <c r="M1903" s="3"/>
    </row>
    <row r="1904" ht="48.0" customHeight="1">
      <c r="A1904" s="3" t="str">
        <f>IFERROR(__xludf.DUMMYFUNCTION("""COMPUTED_VALUE"""),"DKMIC")</f>
        <v>DKMIC</v>
      </c>
      <c r="B1904" s="4" t="str">
        <f>IFERROR(__xludf.DUMMYFUNCTION("""COMPUTED_VALUE"""),"MICRÓFONO ELECTRET PARA CÁMARAS MINI")</f>
        <v>MICRÓFONO ELECTRET PARA CÁMARAS MINI</v>
      </c>
      <c r="C1904" s="4" t="str">
        <f>IFERROR(__xludf.DUMMYFUNCTION("""COMPUTED_VALUE"""),"Micrófono Electret para cámaras mini.")</f>
        <v>Micrófono Electret para cámaras mini.</v>
      </c>
      <c r="D1904" s="4" t="str">
        <f>IFERROR(__xludf.DUMMYFUNCTION("""COMPUTED_VALUE"""),"TEKSOR")</f>
        <v>TEKSOR</v>
      </c>
      <c r="E1904" s="4" t="str">
        <f>IFERROR(__xludf.DUMMYFUNCTION("""COMPUTED_VALUE"""),"DKMIC")</f>
        <v>DKMIC</v>
      </c>
      <c r="F1904" s="4" t="str">
        <f>IFERROR(__xludf.DUMMYFUNCTION("""COMPUTED_VALUE"""),"FUENTES / UPS / CABLEADO / ACCESORIOS &gt; MICROFONOS")</f>
        <v>FUENTES / UPS / CABLEADO / ACCESORIOS &gt; MICROFONOS</v>
      </c>
      <c r="G1904" s="5"/>
      <c r="H1904" s="6">
        <f>IFERROR(__xludf.DUMMYFUNCTION("""COMPUTED_VALUE"""),4.95)</f>
        <v>4.95</v>
      </c>
      <c r="I1904" s="7">
        <f>IFERROR(__xludf.DUMMYFUNCTION("""COMPUTED_VALUE"""),21.0)</f>
        <v>21</v>
      </c>
      <c r="J1904" s="6">
        <f>IFERROR(__xludf.DUMMYFUNCTION("""COMPUTED_VALUE"""),5.94)</f>
        <v>5.94</v>
      </c>
      <c r="K1904" s="6">
        <f>IFERROR(__xludf.DUMMYFUNCTION("""COMPUTED_VALUE"""),6.93)</f>
        <v>6.93</v>
      </c>
      <c r="L1904" s="3"/>
      <c r="M1904" s="3"/>
    </row>
    <row r="1905" ht="48.0" customHeight="1">
      <c r="A1905" s="3" t="str">
        <f>IFERROR(__xludf.DUMMYFUNCTION("""COMPUTED_VALUE"""),"DKMICGAB")</f>
        <v>DKMICGAB</v>
      </c>
      <c r="B1905" s="4" t="str">
        <f>IFERROR(__xludf.DUMMYFUNCTION("""COMPUTED_VALUE"""),"MICRÓFONO ELECTRET AMPLIFICADO PARA SISTEMAS DE VIDEO CON CONTROL")</f>
        <v>MICRÓFONO ELECTRET AMPLIFICADO PARA SISTEMAS DE VIDEO CON CONTROL</v>
      </c>
      <c r="C1905" s="4" t="str">
        <f>IFERROR(__xludf.DUMMYFUNCTION("""COMPUTED_VALUE"""),"Micrófono Electret amplificado para sistemas de video con control de ganancia en gabimete plástico de 5 x 3 cms.")</f>
        <v>Micrófono Electret amplificado para sistemas de video con control de ganancia en gabimete plástico de 5 x 3 cms.</v>
      </c>
      <c r="D1905" s="4" t="str">
        <f>IFERROR(__xludf.DUMMYFUNCTION("""COMPUTED_VALUE"""),"TEKSOR")</f>
        <v>TEKSOR</v>
      </c>
      <c r="E1905" s="4" t="str">
        <f>IFERROR(__xludf.DUMMYFUNCTION("""COMPUTED_VALUE"""),"DKMICGAB")</f>
        <v>DKMICGAB</v>
      </c>
      <c r="F1905" s="4" t="str">
        <f>IFERROR(__xludf.DUMMYFUNCTION("""COMPUTED_VALUE"""),"FUENTES / UPS / CABLEADO / ACCESORIOS &gt; MICROFONOS")</f>
        <v>FUENTES / UPS / CABLEADO / ACCESORIOS &gt; MICROFONOS</v>
      </c>
      <c r="G1905" s="5"/>
      <c r="H1905" s="6">
        <f>IFERROR(__xludf.DUMMYFUNCTION("""COMPUTED_VALUE"""),8.69)</f>
        <v>8.69</v>
      </c>
      <c r="I1905" s="7">
        <f>IFERROR(__xludf.DUMMYFUNCTION("""COMPUTED_VALUE"""),21.0)</f>
        <v>21</v>
      </c>
      <c r="J1905" s="6">
        <f>IFERROR(__xludf.DUMMYFUNCTION("""COMPUTED_VALUE"""),10.43)</f>
        <v>10.43</v>
      </c>
      <c r="K1905" s="6">
        <f>IFERROR(__xludf.DUMMYFUNCTION("""COMPUTED_VALUE"""),12.17)</f>
        <v>12.17</v>
      </c>
      <c r="L1905" s="3"/>
      <c r="M1905" s="3"/>
    </row>
    <row r="1906" ht="48.0" customHeight="1">
      <c r="A1906" s="3" t="str">
        <f>IFERROR(__xludf.DUMMYFUNCTION("""COMPUTED_VALUE"""),"MICALC")</f>
        <v>MICALC</v>
      </c>
      <c r="B1906" s="4" t="str">
        <f>IFERROR(__xludf.DUMMYFUNCTION("""COMPUTED_VALUE"""),"MICRÓFONO ELECTRET DE ALTA GANANCIA CONTROL AGUDOS Y GRAVES")</f>
        <v>MICRÓFONO ELECTRET DE ALTA GANANCIA CONTROL AGUDOS Y GRAVES</v>
      </c>
      <c r="C1906" s="4" t="str">
        <f>IFERROR(__xludf.DUMMYFUNCTION("""COMPUTED_VALUE"""),"Micrófono Electret de alta ganancia control agudos y graves en gabinete plástico")</f>
        <v>Micrófono Electret de alta ganancia control agudos y graves en gabinete plástico</v>
      </c>
      <c r="D1906" s="4" t="str">
        <f>IFERROR(__xludf.DUMMYFUNCTION("""COMPUTED_VALUE"""),"OWL")</f>
        <v>OWL</v>
      </c>
      <c r="E1906" s="4" t="str">
        <f>IFERROR(__xludf.DUMMYFUNCTION("""COMPUTED_VALUE"""),"MICALC")</f>
        <v>MICALC</v>
      </c>
      <c r="F1906" s="4" t="str">
        <f>IFERROR(__xludf.DUMMYFUNCTION("""COMPUTED_VALUE"""),"FUENTES / UPS / CABLEADO / ACCESORIOS &gt; MICROFONOS")</f>
        <v>FUENTES / UPS / CABLEADO / ACCESORIOS &gt; MICROFONOS</v>
      </c>
      <c r="G1906" s="5"/>
      <c r="H1906" s="6">
        <f>IFERROR(__xludf.DUMMYFUNCTION("""COMPUTED_VALUE"""),55.69)</f>
        <v>55.69</v>
      </c>
      <c r="I1906" s="7">
        <f>IFERROR(__xludf.DUMMYFUNCTION("""COMPUTED_VALUE"""),21.0)</f>
        <v>21</v>
      </c>
      <c r="J1906" s="6">
        <f>IFERROR(__xludf.DUMMYFUNCTION("""COMPUTED_VALUE"""),66.83)</f>
        <v>66.83</v>
      </c>
      <c r="K1906" s="6">
        <f>IFERROR(__xludf.DUMMYFUNCTION("""COMPUTED_VALUE"""),77.97)</f>
        <v>77.97</v>
      </c>
      <c r="L1906" s="3"/>
      <c r="M1906" s="3"/>
    </row>
    <row r="1907" ht="48.0" customHeight="1">
      <c r="A1907" s="3" t="str">
        <f>IFERROR(__xludf.DUMMYFUNCTION("""COMPUTED_VALUE"""),"GL102")</f>
        <v>GL102</v>
      </c>
      <c r="B1907" s="4" t="str">
        <f>IFERROR(__xludf.DUMMYFUNCTION("""COMPUTED_VALUE"""),"GABINETE DE CÁMARA FALSA C/SOPORTE Y PORTA PILA")</f>
        <v>GABINETE DE CÁMARA FALSA C/SOPORTE Y PORTA PILA</v>
      </c>
      <c r="C1907" s="4" t="str">
        <f>IFERROR(__xludf.DUMMYFUNCTION("""COMPUTED_VALUE"""),"Gabinete de cámara falsa c/soporte y porta pila")</f>
        <v>Gabinete de cámara falsa c/soporte y porta pila</v>
      </c>
      <c r="D1907" s="4" t="str">
        <f>IFERROR(__xludf.DUMMYFUNCTION("""COMPUTED_VALUE"""),"OWL")</f>
        <v>OWL</v>
      </c>
      <c r="E1907" s="4" t="str">
        <f>IFERROR(__xludf.DUMMYFUNCTION("""COMPUTED_VALUE"""),"GL102")</f>
        <v>GL102</v>
      </c>
      <c r="F1907" s="4" t="str">
        <f>IFERROR(__xludf.DUMMYFUNCTION("""COMPUTED_VALUE"""),"FUENTES / UPS / CABLEADO / ACCESORIOS &gt; ALOJAMIENTOS PARA CÁMARAS")</f>
        <v>FUENTES / UPS / CABLEADO / ACCESORIOS &gt; ALOJAMIENTOS PARA CÁMARAS</v>
      </c>
      <c r="G1907" s="5"/>
      <c r="H1907" s="6">
        <f>IFERROR(__xludf.DUMMYFUNCTION("""COMPUTED_VALUE"""),3.3)</f>
        <v>3.3</v>
      </c>
      <c r="I1907" s="7">
        <f>IFERROR(__xludf.DUMMYFUNCTION("""COMPUTED_VALUE"""),21.0)</f>
        <v>21</v>
      </c>
      <c r="J1907" s="6">
        <f>IFERROR(__xludf.DUMMYFUNCTION("""COMPUTED_VALUE"""),3.96)</f>
        <v>3.96</v>
      </c>
      <c r="K1907" s="6">
        <f>IFERROR(__xludf.DUMMYFUNCTION("""COMPUTED_VALUE"""),4.62)</f>
        <v>4.62</v>
      </c>
      <c r="L1907" s="3"/>
      <c r="M1907" s="3"/>
    </row>
    <row r="1908" ht="48.0" customHeight="1">
      <c r="A1908" s="3" t="str">
        <f>IFERROR(__xludf.DUMMYFUNCTION("""COMPUTED_VALUE"""),"GL609P")</f>
        <v>GL609P</v>
      </c>
      <c r="B1908" s="4" t="str">
        <f>IFERROR(__xludf.DUMMYFUNCTION("""COMPUTED_VALUE"""),"GABINETE PARA DOMO DE 5 PULGADAS")</f>
        <v>GABINETE PARA DOMO DE 5 PULGADAS</v>
      </c>
      <c r="C1908" s="4" t="str">
        <f>IFERROR(__xludf.DUMMYFUNCTION("""COMPUTED_VALUE"""),"Gabinete para domo de 5 pulgadas")</f>
        <v>Gabinete para domo de 5 pulgadas</v>
      </c>
      <c r="D1908" s="4" t="str">
        <f>IFERROR(__xludf.DUMMYFUNCTION("""COMPUTED_VALUE"""),"OWL")</f>
        <v>OWL</v>
      </c>
      <c r="E1908" s="4" t="str">
        <f>IFERROR(__xludf.DUMMYFUNCTION("""COMPUTED_VALUE"""),"GL609P")</f>
        <v>GL609P</v>
      </c>
      <c r="F1908" s="4" t="str">
        <f>IFERROR(__xludf.DUMMYFUNCTION("""COMPUTED_VALUE"""),"FUENTES / UPS / CABLEADO / ACCESORIOS &gt; ALOJAMIENTOS PARA CÁMARAS")</f>
        <v>FUENTES / UPS / CABLEADO / ACCESORIOS &gt; ALOJAMIENTOS PARA CÁMARAS</v>
      </c>
      <c r="G1908" s="5"/>
      <c r="H1908" s="6">
        <f>IFERROR(__xludf.DUMMYFUNCTION("""COMPUTED_VALUE"""),3.3)</f>
        <v>3.3</v>
      </c>
      <c r="I1908" s="7">
        <f>IFERROR(__xludf.DUMMYFUNCTION("""COMPUTED_VALUE"""),21.0)</f>
        <v>21</v>
      </c>
      <c r="J1908" s="6">
        <f>IFERROR(__xludf.DUMMYFUNCTION("""COMPUTED_VALUE"""),3.96)</f>
        <v>3.96</v>
      </c>
      <c r="K1908" s="6">
        <f>IFERROR(__xludf.DUMMYFUNCTION("""COMPUTED_VALUE"""),4.62)</f>
        <v>4.62</v>
      </c>
      <c r="L1908" s="3"/>
      <c r="M1908" s="3"/>
    </row>
    <row r="1909" ht="48.0" customHeight="1">
      <c r="A1909" s="3" t="str">
        <f>IFERROR(__xludf.DUMMYFUNCTION("""COMPUTED_VALUE"""),"GL605S")</f>
        <v>GL605S</v>
      </c>
      <c r="B1909" s="4" t="str">
        <f>IFERROR(__xludf.DUMMYFUNCTION("""COMPUTED_VALUE"""),"GABINETE ALUMINIO 21 CM REQUIERE SOPORTE PARED GL205A")</f>
        <v>GABINETE ALUMINIO 21 CM REQUIERE SOPORTE PARED GL205A</v>
      </c>
      <c r="C1909" s="4" t="str">
        <f>IFERROR(__xludf.DUMMYFUNCTION("""COMPUTED_VALUE"""),"Gabinete Aluminio 21 cm requiere soporte pared GL205A")</f>
        <v>Gabinete Aluminio 21 cm requiere soporte pared GL205A</v>
      </c>
      <c r="D1909" s="4" t="str">
        <f>IFERROR(__xludf.DUMMYFUNCTION("""COMPUTED_VALUE"""),"OWL")</f>
        <v>OWL</v>
      </c>
      <c r="E1909" s="4" t="str">
        <f>IFERROR(__xludf.DUMMYFUNCTION("""COMPUTED_VALUE"""),"GL605S")</f>
        <v>GL605S</v>
      </c>
      <c r="F1909" s="4" t="str">
        <f>IFERROR(__xludf.DUMMYFUNCTION("""COMPUTED_VALUE"""),"FUENTES / UPS / CABLEADO / ACCESORIOS &gt; ALOJAMIENTOS PARA CÁMARAS")</f>
        <v>FUENTES / UPS / CABLEADO / ACCESORIOS &gt; ALOJAMIENTOS PARA CÁMARAS</v>
      </c>
      <c r="G1909" s="5"/>
      <c r="H1909" s="6">
        <f>IFERROR(__xludf.DUMMYFUNCTION("""COMPUTED_VALUE"""),44.02)</f>
        <v>44.02</v>
      </c>
      <c r="I1909" s="7">
        <f>IFERROR(__xludf.DUMMYFUNCTION("""COMPUTED_VALUE"""),21.0)</f>
        <v>21</v>
      </c>
      <c r="J1909" s="6">
        <f>IFERROR(__xludf.DUMMYFUNCTION("""COMPUTED_VALUE"""),52.82)</f>
        <v>52.82</v>
      </c>
      <c r="K1909" s="6">
        <f>IFERROR(__xludf.DUMMYFUNCTION("""COMPUTED_VALUE"""),61.63)</f>
        <v>61.63</v>
      </c>
      <c r="L1909" s="3"/>
      <c r="M1909" s="3"/>
    </row>
    <row r="1910" ht="48.0" customHeight="1">
      <c r="A1910" s="3" t="str">
        <f>IFERROR(__xludf.DUMMYFUNCTION("""COMPUTED_VALUE"""),"GL607HB")</f>
        <v>GL607HB</v>
      </c>
      <c r="B1910" s="4" t="str">
        <f>IFERROR(__xludf.DUMMYFUNCTION("""COMPUTED_VALUE"""),"GABINETE ALUMINIO CON TAPA REBATIBLE")</f>
        <v>GABINETE ALUMINIO CON TAPA REBATIBLE</v>
      </c>
      <c r="C1910" s="4" t="str">
        <f>IFERROR(__xludf.DUMMYFUNCTION("""COMPUTED_VALUE"""),"Gabinete Aluminio con tapa rebatible. Calefactor y ventilador. Exterior. 24 V")</f>
        <v>Gabinete Aluminio con tapa rebatible. Calefactor y ventilador. Exterior. 24 V</v>
      </c>
      <c r="D1910" s="4" t="str">
        <f>IFERROR(__xludf.DUMMYFUNCTION("""COMPUTED_VALUE"""),"OWL")</f>
        <v>OWL</v>
      </c>
      <c r="E1910" s="4" t="str">
        <f>IFERROR(__xludf.DUMMYFUNCTION("""COMPUTED_VALUE"""),"GL607HB")</f>
        <v>GL607HB</v>
      </c>
      <c r="F1910" s="4" t="str">
        <f>IFERROR(__xludf.DUMMYFUNCTION("""COMPUTED_VALUE"""),"FUENTES / UPS / CABLEADO / ACCESORIOS &gt; ALOJAMIENTOS PARA CÁMARAS")</f>
        <v>FUENTES / UPS / CABLEADO / ACCESORIOS &gt; ALOJAMIENTOS PARA CÁMARAS</v>
      </c>
      <c r="G1910" s="5"/>
      <c r="H1910" s="6">
        <f>IFERROR(__xludf.DUMMYFUNCTION("""COMPUTED_VALUE"""),74.38)</f>
        <v>74.38</v>
      </c>
      <c r="I1910" s="7">
        <f>IFERROR(__xludf.DUMMYFUNCTION("""COMPUTED_VALUE"""),21.0)</f>
        <v>21</v>
      </c>
      <c r="J1910" s="6">
        <f>IFERROR(__xludf.DUMMYFUNCTION("""COMPUTED_VALUE"""),89.26)</f>
        <v>89.26</v>
      </c>
      <c r="K1910" s="6">
        <f>IFERROR(__xludf.DUMMYFUNCTION("""COMPUTED_VALUE"""),104.13)</f>
        <v>104.13</v>
      </c>
      <c r="L1910" s="3"/>
      <c r="M1910" s="3"/>
    </row>
    <row r="1911" ht="48.0" customHeight="1">
      <c r="A1911" s="3" t="str">
        <f>IFERROR(__xludf.DUMMYFUNCTION("""COMPUTED_VALUE"""),"GL607W")</f>
        <v>GL607W</v>
      </c>
      <c r="B1911" s="4" t="str">
        <f>IFERROR(__xludf.DUMMYFUNCTION("""COMPUTED_VALUE"""),"GABINETE ALUMINIO CON TAPA REBATIBLE")</f>
        <v>GABINETE ALUMINIO CON TAPA REBATIBLE</v>
      </c>
      <c r="C1911" s="4" t="str">
        <f>IFERROR(__xludf.DUMMYFUNCTION("""COMPUTED_VALUE"""),"Gabinete Aluminio con tapa rebatible. Kit limpiaparabrisas. Exterior. 24V")</f>
        <v>Gabinete Aluminio con tapa rebatible. Kit limpiaparabrisas. Exterior. 24V</v>
      </c>
      <c r="D1911" s="4" t="str">
        <f>IFERROR(__xludf.DUMMYFUNCTION("""COMPUTED_VALUE"""),"OWL")</f>
        <v>OWL</v>
      </c>
      <c r="E1911" s="4" t="str">
        <f>IFERROR(__xludf.DUMMYFUNCTION("""COMPUTED_VALUE"""),"GL607W")</f>
        <v>GL607W</v>
      </c>
      <c r="F1911" s="4" t="str">
        <f>IFERROR(__xludf.DUMMYFUNCTION("""COMPUTED_VALUE"""),"FUENTES / UPS / CABLEADO / ACCESORIOS &gt; ALOJAMIENTOS PARA CÁMARAS")</f>
        <v>FUENTES / UPS / CABLEADO / ACCESORIOS &gt; ALOJAMIENTOS PARA CÁMARAS</v>
      </c>
      <c r="G1911" s="5"/>
      <c r="H1911" s="6">
        <f>IFERROR(__xludf.DUMMYFUNCTION("""COMPUTED_VALUE"""),74.38)</f>
        <v>74.38</v>
      </c>
      <c r="I1911" s="7">
        <f>IFERROR(__xludf.DUMMYFUNCTION("""COMPUTED_VALUE"""),21.0)</f>
        <v>21</v>
      </c>
      <c r="J1911" s="6">
        <f>IFERROR(__xludf.DUMMYFUNCTION("""COMPUTED_VALUE"""),89.26)</f>
        <v>89.26</v>
      </c>
      <c r="K1911" s="6">
        <f>IFERROR(__xludf.DUMMYFUNCTION("""COMPUTED_VALUE"""),104.13)</f>
        <v>104.13</v>
      </c>
      <c r="L1911" s="3"/>
      <c r="M1911" s="3"/>
    </row>
    <row r="1912" ht="48.0" customHeight="1">
      <c r="A1912" s="3" t="str">
        <f>IFERROR(__xludf.DUMMYFUNCTION("""COMPUTED_VALUE"""),"GL610")</f>
        <v>GL610</v>
      </c>
      <c r="B1912" s="4" t="str">
        <f>IFERROR(__xludf.DUMMYFUNCTION("""COMPUTED_VALUE"""),"GABINETE ANTIVANDALISMO PARA MONTAJE EN TECHO")</f>
        <v>GABINETE ANTIVANDALISMO PARA MONTAJE EN TECHO</v>
      </c>
      <c r="C1912" s="4" t="str">
        <f>IFERROR(__xludf.DUMMYFUNCTION("""COMPUTED_VALUE"""),"Gabinete antivandalismo para montaje en techo")</f>
        <v>Gabinete antivandalismo para montaje en techo</v>
      </c>
      <c r="D1912" s="4" t="str">
        <f>IFERROR(__xludf.DUMMYFUNCTION("""COMPUTED_VALUE"""),"OWL")</f>
        <v>OWL</v>
      </c>
      <c r="E1912" s="4" t="str">
        <f>IFERROR(__xludf.DUMMYFUNCTION("""COMPUTED_VALUE"""),"GL610")</f>
        <v>GL610</v>
      </c>
      <c r="F1912" s="4" t="str">
        <f>IFERROR(__xludf.DUMMYFUNCTION("""COMPUTED_VALUE"""),"FUENTES / UPS / CABLEADO / ACCESORIOS &gt; ALOJAMIENTOS PARA CÁMARAS")</f>
        <v>FUENTES / UPS / CABLEADO / ACCESORIOS &gt; ALOJAMIENTOS PARA CÁMARAS</v>
      </c>
      <c r="G1912" s="5"/>
      <c r="H1912" s="6">
        <f>IFERROR(__xludf.DUMMYFUNCTION("""COMPUTED_VALUE"""),28.84)</f>
        <v>28.84</v>
      </c>
      <c r="I1912" s="7">
        <f>IFERROR(__xludf.DUMMYFUNCTION("""COMPUTED_VALUE"""),21.0)</f>
        <v>21</v>
      </c>
      <c r="J1912" s="6">
        <f>IFERROR(__xludf.DUMMYFUNCTION("""COMPUTED_VALUE"""),34.61)</f>
        <v>34.61</v>
      </c>
      <c r="K1912" s="6">
        <f>IFERROR(__xludf.DUMMYFUNCTION("""COMPUTED_VALUE"""),40.38)</f>
        <v>40.38</v>
      </c>
      <c r="L1912" s="3"/>
      <c r="M1912" s="3"/>
    </row>
    <row r="1913" ht="48.0" customHeight="1">
      <c r="A1913" s="3" t="str">
        <f>IFERROR(__xludf.DUMMYFUNCTION("""COMPUTED_VALUE"""),"GL619")</f>
        <v>GL619</v>
      </c>
      <c r="B1913" s="4" t="str">
        <f>IFERROR(__xludf.DUMMYFUNCTION("""COMPUTED_VALUE"""),"GABINETE FIBRA DE VIDRIO")</f>
        <v>GABINETE FIBRA DE VIDRIO</v>
      </c>
      <c r="C1913" s="4" t="str">
        <f>IFERROR(__xludf.DUMMYFUNCTION("""COMPUTED_VALUE"""),"Gabinete Fibra de vidrio")</f>
        <v>Gabinete Fibra de vidrio</v>
      </c>
      <c r="D1913" s="4" t="str">
        <f>IFERROR(__xludf.DUMMYFUNCTION("""COMPUTED_VALUE"""),"OWL")</f>
        <v>OWL</v>
      </c>
      <c r="E1913" s="4" t="str">
        <f>IFERROR(__xludf.DUMMYFUNCTION("""COMPUTED_VALUE"""),"GL619")</f>
        <v>GL619</v>
      </c>
      <c r="F1913" s="4" t="str">
        <f>IFERROR(__xludf.DUMMYFUNCTION("""COMPUTED_VALUE"""),"FUENTES / UPS / CABLEADO / ACCESORIOS &gt; ALOJAMIENTOS PARA CÁMARAS")</f>
        <v>FUENTES / UPS / CABLEADO / ACCESORIOS &gt; ALOJAMIENTOS PARA CÁMARAS</v>
      </c>
      <c r="G1913" s="5"/>
      <c r="H1913" s="6">
        <f>IFERROR(__xludf.DUMMYFUNCTION("""COMPUTED_VALUE"""),44.02)</f>
        <v>44.02</v>
      </c>
      <c r="I1913" s="7">
        <f>IFERROR(__xludf.DUMMYFUNCTION("""COMPUTED_VALUE"""),21.0)</f>
        <v>21</v>
      </c>
      <c r="J1913" s="6">
        <f>IFERROR(__xludf.DUMMYFUNCTION("""COMPUTED_VALUE"""),52.82)</f>
        <v>52.82</v>
      </c>
      <c r="K1913" s="6">
        <f>IFERROR(__xludf.DUMMYFUNCTION("""COMPUTED_VALUE"""),61.63)</f>
        <v>61.63</v>
      </c>
      <c r="L1913" s="3"/>
      <c r="M1913" s="3"/>
    </row>
    <row r="1914" ht="48.0" customHeight="1">
      <c r="A1914" s="3" t="str">
        <f>IFERROR(__xludf.DUMMYFUNCTION("""COMPUTED_VALUE"""),"GL702")</f>
        <v>GL702</v>
      </c>
      <c r="B1914" s="4" t="str">
        <f>IFERROR(__xludf.DUMMYFUNCTION("""COMPUTED_VALUE"""),"GABINETE ANTIVANDALICO SIN BASE CHICO 15 X 15 X 24")</f>
        <v>GABINETE ANTIVANDALICO SIN BASE CHICO 15 X 15 X 24</v>
      </c>
      <c r="C1914" s="4" t="str">
        <f>IFERROR(__xludf.DUMMYFUNCTION("""COMPUTED_VALUE"""),"Gabinete Antivandalico sin base chico 15 x 15 x 24")</f>
        <v>Gabinete Antivandalico sin base chico 15 x 15 x 24</v>
      </c>
      <c r="D1914" s="4" t="str">
        <f>IFERROR(__xludf.DUMMYFUNCTION("""COMPUTED_VALUE"""),"OWL")</f>
        <v>OWL</v>
      </c>
      <c r="E1914" s="4" t="str">
        <f>IFERROR(__xludf.DUMMYFUNCTION("""COMPUTED_VALUE"""),"GL702")</f>
        <v>GL702</v>
      </c>
      <c r="F1914" s="4" t="str">
        <f>IFERROR(__xludf.DUMMYFUNCTION("""COMPUTED_VALUE"""),"FUENTES / UPS / CABLEADO / ACCESORIOS &gt; ALOJAMIENTOS PARA CÁMARAS")</f>
        <v>FUENTES / UPS / CABLEADO / ACCESORIOS &gt; ALOJAMIENTOS PARA CÁMARAS</v>
      </c>
      <c r="G1914" s="5"/>
      <c r="H1914" s="6">
        <f>IFERROR(__xludf.DUMMYFUNCTION("""COMPUTED_VALUE"""),24.09)</f>
        <v>24.09</v>
      </c>
      <c r="I1914" s="7">
        <f>IFERROR(__xludf.DUMMYFUNCTION("""COMPUTED_VALUE"""),21.0)</f>
        <v>21</v>
      </c>
      <c r="J1914" s="6">
        <f>IFERROR(__xludf.DUMMYFUNCTION("""COMPUTED_VALUE"""),28.91)</f>
        <v>28.91</v>
      </c>
      <c r="K1914" s="6">
        <f>IFERROR(__xludf.DUMMYFUNCTION("""COMPUTED_VALUE"""),33.73)</f>
        <v>33.73</v>
      </c>
      <c r="L1914" s="3"/>
      <c r="M1914" s="3"/>
    </row>
    <row r="1915" ht="48.0" customHeight="1">
      <c r="A1915" s="3" t="str">
        <f>IFERROR(__xludf.DUMMYFUNCTION("""COMPUTED_VALUE"""),"GL703")</f>
        <v>GL703</v>
      </c>
      <c r="B1915" s="4" t="str">
        <f>IFERROR(__xludf.DUMMYFUNCTION("""COMPUTED_VALUE"""),"GABINETE ANTIVANDALICO SIN BASE GRANDE 15 X 20 X 30")</f>
        <v>GABINETE ANTIVANDALICO SIN BASE GRANDE 15 X 20 X 30</v>
      </c>
      <c r="C1915" s="4" t="str">
        <f>IFERROR(__xludf.DUMMYFUNCTION("""COMPUTED_VALUE"""),"Gabinete Antivandalico sin base grande 15 x 20 x 30")</f>
        <v>Gabinete Antivandalico sin base grande 15 x 20 x 30</v>
      </c>
      <c r="D1915" s="4" t="str">
        <f>IFERROR(__xludf.DUMMYFUNCTION("""COMPUTED_VALUE"""),"OWL")</f>
        <v>OWL</v>
      </c>
      <c r="E1915" s="4" t="str">
        <f>IFERROR(__xludf.DUMMYFUNCTION("""COMPUTED_VALUE"""),"GL703")</f>
        <v>GL703</v>
      </c>
      <c r="F1915" s="4" t="str">
        <f>IFERROR(__xludf.DUMMYFUNCTION("""COMPUTED_VALUE"""),"FUENTES / UPS / CABLEADO / ACCESORIOS &gt; ALOJAMIENTOS PARA CÁMARAS")</f>
        <v>FUENTES / UPS / CABLEADO / ACCESORIOS &gt; ALOJAMIENTOS PARA CÁMARAS</v>
      </c>
      <c r="G1915" s="5"/>
      <c r="H1915" s="6">
        <f>IFERROR(__xludf.DUMMYFUNCTION("""COMPUTED_VALUE"""),29.15)</f>
        <v>29.15</v>
      </c>
      <c r="I1915" s="7">
        <f>IFERROR(__xludf.DUMMYFUNCTION("""COMPUTED_VALUE"""),21.0)</f>
        <v>21</v>
      </c>
      <c r="J1915" s="6">
        <f>IFERROR(__xludf.DUMMYFUNCTION("""COMPUTED_VALUE"""),34.98)</f>
        <v>34.98</v>
      </c>
      <c r="K1915" s="6">
        <f>IFERROR(__xludf.DUMMYFUNCTION("""COMPUTED_VALUE"""),40.81)</f>
        <v>40.81</v>
      </c>
      <c r="L1915" s="3"/>
      <c r="M1915" s="3"/>
    </row>
    <row r="1916" ht="48.0" customHeight="1">
      <c r="A1916" s="3" t="str">
        <f>IFERROR(__xludf.DUMMYFUNCTION("""COMPUTED_VALUE"""),"JAULA15")</f>
        <v>JAULA15</v>
      </c>
      <c r="B1916" s="4" t="str">
        <f>IFERROR(__xludf.DUMMYFUNCTION("""COMPUTED_VALUE"""),"REJA, JAULA METÁLICA PARA PROTECCIÓN DE CÁMARA 15 X 15 CM")</f>
        <v>REJA, JAULA METÁLICA PARA PROTECCIÓN DE CÁMARA 15 X 15 CM</v>
      </c>
      <c r="C1916" s="4" t="str">
        <f>IFERROR(__xludf.DUMMYFUNCTION("""COMPUTED_VALUE"""),"Reja, jaula metálica para protección de cámara 15 X 15 CM")</f>
        <v>Reja, jaula metálica para protección de cámara 15 X 15 CM</v>
      </c>
      <c r="D1916" s="4" t="str">
        <f>IFERROR(__xludf.DUMMYFUNCTION("""COMPUTED_VALUE"""),"VARIOS")</f>
        <v>VARIOS</v>
      </c>
      <c r="E1916" s="4" t="str">
        <f>IFERROR(__xludf.DUMMYFUNCTION("""COMPUTED_VALUE"""),"JAULA15")</f>
        <v>JAULA15</v>
      </c>
      <c r="F1916" s="4" t="str">
        <f>IFERROR(__xludf.DUMMYFUNCTION("""COMPUTED_VALUE"""),"FUENTES / UPS / CABLEADO / ACCESORIOS &gt; ALOJAMIENTOS PARA CÁMARAS")</f>
        <v>FUENTES / UPS / CABLEADO / ACCESORIOS &gt; ALOJAMIENTOS PARA CÁMARAS</v>
      </c>
      <c r="G1916" s="5"/>
      <c r="H1916" s="6">
        <f>IFERROR(__xludf.DUMMYFUNCTION("""COMPUTED_VALUE"""),6.05)</f>
        <v>6.05</v>
      </c>
      <c r="I1916" s="7">
        <f>IFERROR(__xludf.DUMMYFUNCTION("""COMPUTED_VALUE"""),21.0)</f>
        <v>21</v>
      </c>
      <c r="J1916" s="6">
        <f>IFERROR(__xludf.DUMMYFUNCTION("""COMPUTED_VALUE"""),7.26)</f>
        <v>7.26</v>
      </c>
      <c r="K1916" s="6">
        <f>IFERROR(__xludf.DUMMYFUNCTION("""COMPUTED_VALUE"""),8.47)</f>
        <v>8.47</v>
      </c>
      <c r="L1916" s="3"/>
      <c r="M1916" s="3"/>
    </row>
    <row r="1917" ht="48.0" customHeight="1">
      <c r="A1917" s="3" t="str">
        <f>IFERROR(__xludf.DUMMYFUNCTION("""COMPUTED_VALUE"""),"JAULA20")</f>
        <v>JAULA20</v>
      </c>
      <c r="B1917" s="4" t="str">
        <f>IFERROR(__xludf.DUMMYFUNCTION("""COMPUTED_VALUE"""),"REJA, JAULA METÁLICA PARA PROTECCIÓN DE CÁMARA 20 X 20 CM")</f>
        <v>REJA, JAULA METÁLICA PARA PROTECCIÓN DE CÁMARA 20 X 20 CM</v>
      </c>
      <c r="C1917" s="4" t="str">
        <f>IFERROR(__xludf.DUMMYFUNCTION("""COMPUTED_VALUE"""),"Reja, jaula metálica para protección de cámara 20 X 20 CM")</f>
        <v>Reja, jaula metálica para protección de cámara 20 X 20 CM</v>
      </c>
      <c r="D1917" s="4" t="str">
        <f>IFERROR(__xludf.DUMMYFUNCTION("""COMPUTED_VALUE"""),"VARIOS")</f>
        <v>VARIOS</v>
      </c>
      <c r="E1917" s="4" t="str">
        <f>IFERROR(__xludf.DUMMYFUNCTION("""COMPUTED_VALUE"""),"JAULA20")</f>
        <v>JAULA20</v>
      </c>
      <c r="F1917" s="4" t="str">
        <f>IFERROR(__xludf.DUMMYFUNCTION("""COMPUTED_VALUE"""),"FUENTES / UPS / CABLEADO / ACCESORIOS &gt; ALOJAMIENTOS PARA CÁMARAS")</f>
        <v>FUENTES / UPS / CABLEADO / ACCESORIOS &gt; ALOJAMIENTOS PARA CÁMARAS</v>
      </c>
      <c r="G1917" s="5"/>
      <c r="H1917" s="6">
        <f>IFERROR(__xludf.DUMMYFUNCTION("""COMPUTED_VALUE"""),7.59)</f>
        <v>7.59</v>
      </c>
      <c r="I1917" s="7">
        <f>IFERROR(__xludf.DUMMYFUNCTION("""COMPUTED_VALUE"""),21.0)</f>
        <v>21</v>
      </c>
      <c r="J1917" s="6">
        <f>IFERROR(__xludf.DUMMYFUNCTION("""COMPUTED_VALUE"""),9.11)</f>
        <v>9.11</v>
      </c>
      <c r="K1917" s="6">
        <f>IFERROR(__xludf.DUMMYFUNCTION("""COMPUTED_VALUE"""),10.63)</f>
        <v>10.63</v>
      </c>
      <c r="L1917" s="3"/>
      <c r="M1917" s="3"/>
    </row>
    <row r="1918" ht="48.0" customHeight="1">
      <c r="A1918" s="3" t="str">
        <f>IFERROR(__xludf.DUMMYFUNCTION("""COMPUTED_VALUE"""),"GL206")</f>
        <v>GL206</v>
      </c>
      <c r="B1918" s="4" t="str">
        <f>IFERROR(__xludf.DUMMYFUNCTION("""COMPUTED_VALUE"""),"SOPORTE PLÁSTICO PARA CÁMARA, 16 CM")</f>
        <v>SOPORTE PLÁSTICO PARA CÁMARA, 16 CM</v>
      </c>
      <c r="C1918" s="4" t="str">
        <f>IFERROR(__xludf.DUMMYFUNCTION("""COMPUTED_VALUE"""),"Soporte Plástico para cámara, 16 cm. Carga máxima 3 kg")</f>
        <v>Soporte Plástico para cámara, 16 cm. Carga máxima 3 kg</v>
      </c>
      <c r="D1918" s="4" t="str">
        <f>IFERROR(__xludf.DUMMYFUNCTION("""COMPUTED_VALUE"""),"OWL")</f>
        <v>OWL</v>
      </c>
      <c r="E1918" s="4" t="str">
        <f>IFERROR(__xludf.DUMMYFUNCTION("""COMPUTED_VALUE"""),"GL206")</f>
        <v>GL206</v>
      </c>
      <c r="F1918" s="4" t="str">
        <f>IFERROR(__xludf.DUMMYFUNCTION("""COMPUTED_VALUE"""),"FUENTES / UPS / CABLEADO / ACCESORIOS &gt; SOPORTES PARA CÁMARAS, GABINETES Y MONITORES")</f>
        <v>FUENTES / UPS / CABLEADO / ACCESORIOS &gt; SOPORTES PARA CÁMARAS, GABINETES Y MONITORES</v>
      </c>
      <c r="G1918" s="5"/>
      <c r="H1918" s="6">
        <f>IFERROR(__xludf.DUMMYFUNCTION("""COMPUTED_VALUE"""),2.28)</f>
        <v>2.28</v>
      </c>
      <c r="I1918" s="7">
        <f>IFERROR(__xludf.DUMMYFUNCTION("""COMPUTED_VALUE"""),21.0)</f>
        <v>21</v>
      </c>
      <c r="J1918" s="6">
        <f>IFERROR(__xludf.DUMMYFUNCTION("""COMPUTED_VALUE"""),2.74)</f>
        <v>2.74</v>
      </c>
      <c r="K1918" s="6">
        <f>IFERROR(__xludf.DUMMYFUNCTION("""COMPUTED_VALUE"""),3.19)</f>
        <v>3.19</v>
      </c>
      <c r="L1918" s="3"/>
      <c r="M1918" s="3"/>
    </row>
    <row r="1919" ht="48.0" customHeight="1">
      <c r="A1919" s="3" t="str">
        <f>IFERROR(__xludf.DUMMYFUNCTION("""COMPUTED_VALUE"""),"GL203")</f>
        <v>GL203</v>
      </c>
      <c r="B1919" s="4" t="str">
        <f>IFERROR(__xludf.DUMMYFUNCTION("""COMPUTED_VALUE"""),"SOPORTE METÁLICO PARA CÁMARA, 10 CM")</f>
        <v>SOPORTE METÁLICO PARA CÁMARA, 10 CM</v>
      </c>
      <c r="C1919" s="4" t="str">
        <f>IFERROR(__xludf.DUMMYFUNCTION("""COMPUTED_VALUE"""),"Soporte Metálico para cámara, 10 cm. Carga max 4 kg, marfil,")</f>
        <v>Soporte Metálico para cámara, 10 cm. Carga max 4 kg, marfil,</v>
      </c>
      <c r="D1919" s="4" t="str">
        <f>IFERROR(__xludf.DUMMYFUNCTION("""COMPUTED_VALUE"""),"OWL")</f>
        <v>OWL</v>
      </c>
      <c r="E1919" s="4" t="str">
        <f>IFERROR(__xludf.DUMMYFUNCTION("""COMPUTED_VALUE"""),"GL203")</f>
        <v>GL203</v>
      </c>
      <c r="F1919" s="4" t="str">
        <f>IFERROR(__xludf.DUMMYFUNCTION("""COMPUTED_VALUE"""),"FUENTES / UPS / CABLEADO / ACCESORIOS &gt; SOPORTES PARA CÁMARAS, GABINETES Y MONITORES")</f>
        <v>FUENTES / UPS / CABLEADO / ACCESORIOS &gt; SOPORTES PARA CÁMARAS, GABINETES Y MONITORES</v>
      </c>
      <c r="G1919" s="5"/>
      <c r="H1919" s="6">
        <f>IFERROR(__xludf.DUMMYFUNCTION("""COMPUTED_VALUE"""),2.28)</f>
        <v>2.28</v>
      </c>
      <c r="I1919" s="7">
        <f>IFERROR(__xludf.DUMMYFUNCTION("""COMPUTED_VALUE"""),21.0)</f>
        <v>21</v>
      </c>
      <c r="J1919" s="6">
        <f>IFERROR(__xludf.DUMMYFUNCTION("""COMPUTED_VALUE"""),2.74)</f>
        <v>2.74</v>
      </c>
      <c r="K1919" s="6">
        <f>IFERROR(__xludf.DUMMYFUNCTION("""COMPUTED_VALUE"""),3.19)</f>
        <v>3.19</v>
      </c>
      <c r="L1919" s="3"/>
      <c r="M1919" s="3"/>
    </row>
    <row r="1920" ht="48.0" customHeight="1">
      <c r="A1920" s="3" t="str">
        <f>IFERROR(__xludf.DUMMYFUNCTION("""COMPUTED_VALUE"""),"GL205A")</f>
        <v>GL205A</v>
      </c>
      <c r="B1920" s="4" t="str">
        <f>IFERROR(__xludf.DUMMYFUNCTION("""COMPUTED_VALUE"""),"SOPORTE METÁLICO PARA ALOJAMIENTO, 28 CM")</f>
        <v>SOPORTE METÁLICO PARA ALOJAMIENTO, 28 CM</v>
      </c>
      <c r="C1920" s="4" t="str">
        <f>IFERROR(__xludf.DUMMYFUNCTION("""COMPUTED_VALUE"""),"Soporte Metálico para alojamiento, 28 cm. Carga max 10 kg")</f>
        <v>Soporte Metálico para alojamiento, 28 cm. Carga max 10 kg</v>
      </c>
      <c r="D1920" s="4" t="str">
        <f>IFERROR(__xludf.DUMMYFUNCTION("""COMPUTED_VALUE"""),"OWL")</f>
        <v>OWL</v>
      </c>
      <c r="E1920" s="4" t="str">
        <f>IFERROR(__xludf.DUMMYFUNCTION("""COMPUTED_VALUE"""),"GL205A")</f>
        <v>GL205A</v>
      </c>
      <c r="F1920" s="4" t="str">
        <f>IFERROR(__xludf.DUMMYFUNCTION("""COMPUTED_VALUE"""),"FUENTES / UPS / CABLEADO / ACCESORIOS &gt; SOPORTES PARA CÁMARAS, GABINETES Y MONITORES")</f>
        <v>FUENTES / UPS / CABLEADO / ACCESORIOS &gt; SOPORTES PARA CÁMARAS, GABINETES Y MONITORES</v>
      </c>
      <c r="G1920" s="5"/>
      <c r="H1920" s="6">
        <f>IFERROR(__xludf.DUMMYFUNCTION("""COMPUTED_VALUE"""),10.63)</f>
        <v>10.63</v>
      </c>
      <c r="I1920" s="7">
        <f>IFERROR(__xludf.DUMMYFUNCTION("""COMPUTED_VALUE"""),21.0)</f>
        <v>21</v>
      </c>
      <c r="J1920" s="6">
        <f>IFERROR(__xludf.DUMMYFUNCTION("""COMPUTED_VALUE"""),12.76)</f>
        <v>12.76</v>
      </c>
      <c r="K1920" s="6">
        <f>IFERROR(__xludf.DUMMYFUNCTION("""COMPUTED_VALUE"""),14.88)</f>
        <v>14.88</v>
      </c>
      <c r="L1920" s="3"/>
      <c r="M1920" s="3"/>
    </row>
    <row r="1921" ht="48.0" customHeight="1">
      <c r="A1921" s="3" t="str">
        <f>IFERROR(__xludf.DUMMYFUNCTION("""COMPUTED_VALUE"""),"GL208")</f>
        <v>GL208</v>
      </c>
      <c r="B1921" s="4" t="str">
        <f>IFERROR(__xludf.DUMMYFUNCTION("""COMPUTED_VALUE"""),"SOPORTE GABINETE PARA GL619 DE ALUMINIO COLOR BEIGE")</f>
        <v>SOPORTE GABINETE PARA GL619 DE ALUMINIO COLOR BEIGE</v>
      </c>
      <c r="C1921" s="4" t="str">
        <f>IFERROR(__xludf.DUMMYFUNCTION("""COMPUTED_VALUE"""),"Soporte gabinete para GL619 de aluminio color beige")</f>
        <v>Soporte gabinete para GL619 de aluminio color beige</v>
      </c>
      <c r="D1921" s="4" t="str">
        <f>IFERROR(__xludf.DUMMYFUNCTION("""COMPUTED_VALUE"""),"OWL")</f>
        <v>OWL</v>
      </c>
      <c r="E1921" s="4" t="str">
        <f>IFERROR(__xludf.DUMMYFUNCTION("""COMPUTED_VALUE"""),"GL208")</f>
        <v>GL208</v>
      </c>
      <c r="F1921" s="4" t="str">
        <f>IFERROR(__xludf.DUMMYFUNCTION("""COMPUTED_VALUE"""),"FUENTES / UPS / CABLEADO / ACCESORIOS &gt; SOPORTES PARA CÁMARAS, GABINETES Y MONITORES")</f>
        <v>FUENTES / UPS / CABLEADO / ACCESORIOS &gt; SOPORTES PARA CÁMARAS, GABINETES Y MONITORES</v>
      </c>
      <c r="G1921" s="5"/>
      <c r="H1921" s="6">
        <f>IFERROR(__xludf.DUMMYFUNCTION("""COMPUTED_VALUE"""),15.18)</f>
        <v>15.18</v>
      </c>
      <c r="I1921" s="7">
        <f>IFERROR(__xludf.DUMMYFUNCTION("""COMPUTED_VALUE"""),21.0)</f>
        <v>21</v>
      </c>
      <c r="J1921" s="6">
        <f>IFERROR(__xludf.DUMMYFUNCTION("""COMPUTED_VALUE"""),18.22)</f>
        <v>18.22</v>
      </c>
      <c r="K1921" s="6">
        <f>IFERROR(__xludf.DUMMYFUNCTION("""COMPUTED_VALUE"""),21.25)</f>
        <v>21.25</v>
      </c>
      <c r="L1921" s="3"/>
      <c r="M1921" s="3"/>
    </row>
    <row r="1922" ht="48.0" customHeight="1">
      <c r="A1922" s="3" t="str">
        <f>IFERROR(__xludf.DUMMYFUNCTION("""COMPUTED_VALUE"""),"GL210")</f>
        <v>GL210</v>
      </c>
      <c r="B1922" s="4" t="str">
        <f>IFERROR(__xludf.DUMMYFUNCTION("""COMPUTED_VALUE"""),"SOPORTE METÁLICO PARA ALOJAMIENTO, 20 CM")</f>
        <v>SOPORTE METÁLICO PARA ALOJAMIENTO, 20 CM</v>
      </c>
      <c r="C1922" s="4" t="str">
        <f>IFERROR(__xludf.DUMMYFUNCTION("""COMPUTED_VALUE"""),"Soporte Metálico para alojamiento, 20 cm. Carga max 8 kg")</f>
        <v>Soporte Metálico para alojamiento, 20 cm. Carga max 8 kg</v>
      </c>
      <c r="D1922" s="4" t="str">
        <f>IFERROR(__xludf.DUMMYFUNCTION("""COMPUTED_VALUE"""),"OWL")</f>
        <v>OWL</v>
      </c>
      <c r="E1922" s="4" t="str">
        <f>IFERROR(__xludf.DUMMYFUNCTION("""COMPUTED_VALUE"""),"GL210")</f>
        <v>GL210</v>
      </c>
      <c r="F1922" s="4" t="str">
        <f>IFERROR(__xludf.DUMMYFUNCTION("""COMPUTED_VALUE"""),"FUENTES / UPS / CABLEADO / ACCESORIOS &gt; SOPORTES PARA CÁMARAS, GABINETES Y MONITORES")</f>
        <v>FUENTES / UPS / CABLEADO / ACCESORIOS &gt; SOPORTES PARA CÁMARAS, GABINETES Y MONITORES</v>
      </c>
      <c r="G1922" s="5"/>
      <c r="H1922" s="6">
        <f>IFERROR(__xludf.DUMMYFUNCTION("""COMPUTED_VALUE"""),13.66)</f>
        <v>13.66</v>
      </c>
      <c r="I1922" s="7">
        <f>IFERROR(__xludf.DUMMYFUNCTION("""COMPUTED_VALUE"""),21.0)</f>
        <v>21</v>
      </c>
      <c r="J1922" s="6">
        <f>IFERROR(__xludf.DUMMYFUNCTION("""COMPUTED_VALUE"""),16.39)</f>
        <v>16.39</v>
      </c>
      <c r="K1922" s="6">
        <f>IFERROR(__xludf.DUMMYFUNCTION("""COMPUTED_VALUE"""),19.12)</f>
        <v>19.12</v>
      </c>
      <c r="L1922" s="3"/>
      <c r="M1922" s="3"/>
    </row>
    <row r="1923" ht="48.0" customHeight="1">
      <c r="A1923" s="3" t="str">
        <f>IFERROR(__xludf.DUMMYFUNCTION("""COMPUTED_VALUE"""),"INTELC6012")</f>
        <v>INTELC6012</v>
      </c>
      <c r="B1923" s="4" t="str">
        <f>IFERROR(__xludf.DUMMYFUNCTION("""COMPUTED_VALUE"""),"CENTRAL DE CERCA ELECTRICA HASTA 7 KM LINEALES,ENERGIA DISEPADA")</f>
        <v>CENTRAL DE CERCA ELECTRICA HASTA 7 KM LINEALES,ENERGIA DISEPADA</v>
      </c>
      <c r="C1923" s="4" t="str">
        <f>IFERROR(__xludf.DUMMYFUNCTION("""COMPUTED_VALUE"""),"Central de Cerca electrica hasta 7 km lineales,energia disepada 0,7 J, soporta hasta 28 dispositivos inalambricos (controles o sensores), 2 Salidas para monitoreo permite interconexion con centrales de alarma y sirenas, Tension de salida configurable 3 ni"&amp;"veles hasta 18.000 , Sistema de aprendizaje de perimetro y deteccion de fugas, 1 Zona alambrica y 7 Inalambricas.")</f>
        <v>Central de Cerca electrica hasta 7 km lineales,energia disepada 0,7 J, soporta hasta 28 dispositivos inalambricos (controles o sensores), 2 Salidas para monitoreo permite interconexion con centrales de alarma y sirenas, Tension de salida configurable 3 niveles hasta 18.000 , Sistema de aprendizaje de perimetro y deteccion de fugas, 1 Zona alambrica y 7 Inalambricas.</v>
      </c>
      <c r="D1923" s="4" t="str">
        <f>IFERROR(__xludf.DUMMYFUNCTION("""COMPUTED_VALUE"""),"INTELBRAS")</f>
        <v>INTELBRAS</v>
      </c>
      <c r="E1923" s="4" t="str">
        <f>IFERROR(__xludf.DUMMYFUNCTION("""COMPUTED_VALUE"""),"INTELC6012")</f>
        <v>INTELC6012</v>
      </c>
      <c r="F1923" s="4" t="str">
        <f>IFERROR(__xludf.DUMMYFUNCTION("""COMPUTED_VALUE"""),"SEGURIDAD PERIMETRAL &gt; ENERGIZADORES PARA CERCO ELECTRICO")</f>
        <v>SEGURIDAD PERIMETRAL &gt; ENERGIZADORES PARA CERCO ELECTRICO</v>
      </c>
      <c r="G1923" s="5"/>
      <c r="H1923" s="6">
        <f>IFERROR(__xludf.DUMMYFUNCTION("""COMPUTED_VALUE"""),57.01)</f>
        <v>57.01</v>
      </c>
      <c r="I1923" s="7">
        <f>IFERROR(__xludf.DUMMYFUNCTION("""COMPUTED_VALUE"""),10.5)</f>
        <v>10.5</v>
      </c>
      <c r="J1923" s="6">
        <f>IFERROR(__xludf.DUMMYFUNCTION("""COMPUTED_VALUE"""),68.41)</f>
        <v>68.41</v>
      </c>
      <c r="K1923" s="6">
        <f>IFERROR(__xludf.DUMMYFUNCTION("""COMPUTED_VALUE"""),79.81)</f>
        <v>79.81</v>
      </c>
      <c r="L1923" s="3"/>
      <c r="M1923" s="3"/>
    </row>
    <row r="1924" ht="48.0" customHeight="1">
      <c r="A1924" s="3" t="str">
        <f>IFERROR(__xludf.DUMMYFUNCTION("""COMPUTED_VALUE"""),"INTELC6012NET")</f>
        <v>INTELC6012NET</v>
      </c>
      <c r="B1924" s="4" t="str">
        <f>IFERROR(__xludf.DUMMYFUNCTION("""COMPUTED_VALUE"""),"CENTRAL DE CERCA ELECTRICA WI FI HASTA 7 KM")</f>
        <v>CENTRAL DE CERCA ELECTRICA WI FI HASTA 7 KM</v>
      </c>
      <c r="C1924" s="4" t="str">
        <f>IFERROR(__xludf.DUMMYFUNCTION("""COMPUTED_VALUE"""),"Central de Cerca electrica WI FI hasta 7 km lineales,energia disepada 0,7 J, Armado por Remoto y App soporta hasta 28 dispositivos inalambricos (controles o sensores), 2 Salidas para monitoreo permite interconexion con centrales de alarma y sirenas, Tensi"&amp;"on de salida configurable 3 niveles hasta 12.000 , Sistema de aprendizaje de perimetro y deteccion de fugas, 1 Zona alambrica y 7 Inalambricas. Salida PGM controlada por App")</f>
        <v>Central de Cerca electrica WI FI hasta 7 km lineales,energia disepada 0,7 J, Armado por Remoto y App soporta hasta 28 dispositivos inalambricos (controles o sensores), 2 Salidas para monitoreo permite interconexion con centrales de alarma y sirenas, Tension de salida configurable 3 niveles hasta 12.000 , Sistema de aprendizaje de perimetro y deteccion de fugas, 1 Zona alambrica y 7 Inalambricas. Salida PGM controlada por App</v>
      </c>
      <c r="D1924" s="4" t="str">
        <f>IFERROR(__xludf.DUMMYFUNCTION("""COMPUTED_VALUE"""),"INTELBRAS")</f>
        <v>INTELBRAS</v>
      </c>
      <c r="E1924" s="4" t="str">
        <f>IFERROR(__xludf.DUMMYFUNCTION("""COMPUTED_VALUE"""),"INTELC6012NET")</f>
        <v>INTELC6012NET</v>
      </c>
      <c r="F1924" s="4" t="str">
        <f>IFERROR(__xludf.DUMMYFUNCTION("""COMPUTED_VALUE"""),"SEGURIDAD PERIMETRAL &gt; ENERGIZADORES PARA CERCO ELECTRICO")</f>
        <v>SEGURIDAD PERIMETRAL &gt; ENERGIZADORES PARA CERCO ELECTRICO</v>
      </c>
      <c r="G1924" s="5"/>
      <c r="H1924" s="6">
        <f>IFERROR(__xludf.DUMMYFUNCTION("""COMPUTED_VALUE"""),76.26)</f>
        <v>76.26</v>
      </c>
      <c r="I1924" s="7">
        <f>IFERROR(__xludf.DUMMYFUNCTION("""COMPUTED_VALUE"""),10.5)</f>
        <v>10.5</v>
      </c>
      <c r="J1924" s="6">
        <f>IFERROR(__xludf.DUMMYFUNCTION("""COMPUTED_VALUE"""),91.51)</f>
        <v>91.51</v>
      </c>
      <c r="K1924" s="6">
        <f>IFERROR(__xludf.DUMMYFUNCTION("""COMPUTED_VALUE"""),106.76)</f>
        <v>106.76</v>
      </c>
      <c r="L1924" s="3"/>
      <c r="M1924" s="3"/>
    </row>
    <row r="1925" ht="48.0" customHeight="1">
      <c r="A1925" s="3" t="str">
        <f>IFERROR(__xludf.DUMMYFUNCTION("""COMPUTED_VALUE"""),"ALARIJ01")</f>
        <v>ALARIJ01</v>
      </c>
      <c r="B1925" s="4" t="str">
        <f>IFERROR(__xludf.DUMMYFUNCTION("""COMPUTED_VALUE"""),"ENERGIZADOR DE PERIMETROS 1 JOULES DE ENERGÍA")</f>
        <v>ENERGIZADOR DE PERIMETROS 1 JOULES DE ENERGÍA</v>
      </c>
      <c r="C1925" s="4" t="str">
        <f>IFERROR(__xludf.DUMMYFUNCTION("""COMPUTED_VALUE"""),"Energizador de Perimetros 1 Joules de Energía - Compartimento separado para batería - Incluye 2 controles remotos")</f>
        <v>Energizador de Perimetros 1 Joules de Energía - Compartimento separado para batería - Incluye 2 controles remotos</v>
      </c>
      <c r="D1925" s="4" t="str">
        <f>IFERROR(__xludf.DUMMYFUNCTION("""COMPUTED_VALUE"""),"ALARI")</f>
        <v>ALARI</v>
      </c>
      <c r="E1925" s="4" t="str">
        <f>IFERROR(__xludf.DUMMYFUNCTION("""COMPUTED_VALUE"""),"ALARIJ01")</f>
        <v>ALARIJ01</v>
      </c>
      <c r="F1925" s="4" t="str">
        <f>IFERROR(__xludf.DUMMYFUNCTION("""COMPUTED_VALUE"""),"SEGURIDAD PERIMETRAL &gt; ENERGIZADORES PARA CERCO ELECTRICO")</f>
        <v>SEGURIDAD PERIMETRAL &gt; ENERGIZADORES PARA CERCO ELECTRICO</v>
      </c>
      <c r="G1925" s="5"/>
      <c r="H1925" s="6">
        <f>IFERROR(__xludf.DUMMYFUNCTION("""COMPUTED_VALUE"""),155.76)</f>
        <v>155.76</v>
      </c>
      <c r="I1925" s="7">
        <f>IFERROR(__xludf.DUMMYFUNCTION("""COMPUTED_VALUE"""),10.5)</f>
        <v>10.5</v>
      </c>
      <c r="J1925" s="6">
        <f>IFERROR(__xludf.DUMMYFUNCTION("""COMPUTED_VALUE"""),186.91)</f>
        <v>186.91</v>
      </c>
      <c r="K1925" s="6">
        <f>IFERROR(__xludf.DUMMYFUNCTION("""COMPUTED_VALUE"""),218.06)</f>
        <v>218.06</v>
      </c>
      <c r="L1925" s="3"/>
      <c r="M1925" s="3"/>
    </row>
    <row r="1926" ht="48.0" customHeight="1">
      <c r="A1926" s="3" t="str">
        <f>IFERROR(__xludf.DUMMYFUNCTION("""COMPUTED_VALUE"""),"ALARIJ02")</f>
        <v>ALARIJ02</v>
      </c>
      <c r="B1926" s="4" t="str">
        <f>IFERROR(__xludf.DUMMYFUNCTION("""COMPUTED_VALUE"""),"ENERGIZADOR DE PERIMETROS 2 JOULES DE ENERGÍA")</f>
        <v>ENERGIZADOR DE PERIMETROS 2 JOULES DE ENERGÍA</v>
      </c>
      <c r="C1926" s="4" t="str">
        <f>IFERROR(__xludf.DUMMYFUNCTION("""COMPUTED_VALUE"""),"Energizador de Perimetros 2 Joules de Energía - Compartimento separado para batería - Incluye 2 controles remotos")</f>
        <v>Energizador de Perimetros 2 Joules de Energía - Compartimento separado para batería - Incluye 2 controles remotos</v>
      </c>
      <c r="D1926" s="4" t="str">
        <f>IFERROR(__xludf.DUMMYFUNCTION("""COMPUTED_VALUE"""),"ALARI")</f>
        <v>ALARI</v>
      </c>
      <c r="E1926" s="4" t="str">
        <f>IFERROR(__xludf.DUMMYFUNCTION("""COMPUTED_VALUE"""),"ALARIJ02")</f>
        <v>ALARIJ02</v>
      </c>
      <c r="F1926" s="4" t="str">
        <f>IFERROR(__xludf.DUMMYFUNCTION("""COMPUTED_VALUE"""),"SEGURIDAD PERIMETRAL &gt; ENERGIZADORES PARA CERCO ELECTRICO")</f>
        <v>SEGURIDAD PERIMETRAL &gt; ENERGIZADORES PARA CERCO ELECTRICO</v>
      </c>
      <c r="G1926" s="5"/>
      <c r="H1926" s="6">
        <f>IFERROR(__xludf.DUMMYFUNCTION("""COMPUTED_VALUE"""),181.5)</f>
        <v>181.5</v>
      </c>
      <c r="I1926" s="7">
        <f>IFERROR(__xludf.DUMMYFUNCTION("""COMPUTED_VALUE"""),10.5)</f>
        <v>10.5</v>
      </c>
      <c r="J1926" s="6">
        <f>IFERROR(__xludf.DUMMYFUNCTION("""COMPUTED_VALUE"""),217.8)</f>
        <v>217.8</v>
      </c>
      <c r="K1926" s="6">
        <f>IFERROR(__xludf.DUMMYFUNCTION("""COMPUTED_VALUE"""),254.1)</f>
        <v>254.1</v>
      </c>
      <c r="L1926" s="3"/>
      <c r="M1926" s="3"/>
    </row>
    <row r="1927" ht="48.0" customHeight="1">
      <c r="A1927" s="3" t="str">
        <f>IFERROR(__xludf.DUMMYFUNCTION("""COMPUTED_VALUE"""),"PWS220V")</f>
        <v>PWS220V</v>
      </c>
      <c r="B1927" s="4" t="str">
        <f>IFERROR(__xludf.DUMMYFUNCTION("""COMPUTED_VALUE"""),"ENERGIZADOR DE PERIMETROS POWER SHOCK MICROPROCESADO 7800V, 0,65 JOULE")</f>
        <v>ENERGIZADOR DE PERIMETROS POWER SHOCK MICROPROCESADO 7800V, 0,65 JOULE</v>
      </c>
      <c r="C1927" s="4" t="str">
        <f>IFERROR(__xludf.DUMMYFUNCTION("""COMPUTED_VALUE"""),"Energizador de Perimetros POWER SHOCK Microprocesado 7800V, 0,65 Joule, 2 Rele, Gabinete para Exterios. 220V")</f>
        <v>Energizador de Perimetros POWER SHOCK Microprocesado 7800V, 0,65 Joule, 2 Rele, Gabinete para Exterios. 220V</v>
      </c>
      <c r="D1927" s="4" t="str">
        <f>IFERROR(__xludf.DUMMYFUNCTION("""COMPUTED_VALUE"""),"ALIARA")</f>
        <v>ALIARA</v>
      </c>
      <c r="E1927" s="4" t="str">
        <f>IFERROR(__xludf.DUMMYFUNCTION("""COMPUTED_VALUE"""),"PWS220V")</f>
        <v>PWS220V</v>
      </c>
      <c r="F1927" s="4" t="str">
        <f>IFERROR(__xludf.DUMMYFUNCTION("""COMPUTED_VALUE"""),"SEGURIDAD PERIMETRAL &gt; ENERGIZADORES PARA CERCO ELECTRICO")</f>
        <v>SEGURIDAD PERIMETRAL &gt; ENERGIZADORES PARA CERCO ELECTRICO</v>
      </c>
      <c r="G1927" s="5"/>
      <c r="H1927" s="6">
        <f>IFERROR(__xludf.DUMMYFUNCTION("""COMPUTED_VALUE"""),237.6)</f>
        <v>237.6</v>
      </c>
      <c r="I1927" s="7">
        <f>IFERROR(__xludf.DUMMYFUNCTION("""COMPUTED_VALUE"""),21.0)</f>
        <v>21</v>
      </c>
      <c r="J1927" s="6">
        <f>IFERROR(__xludf.DUMMYFUNCTION("""COMPUTED_VALUE"""),285.12)</f>
        <v>285.12</v>
      </c>
      <c r="K1927" s="6">
        <f>IFERROR(__xludf.DUMMYFUNCTION("""COMPUTED_VALUE"""),332.64)</f>
        <v>332.64</v>
      </c>
      <c r="L1927" s="3"/>
      <c r="M1927" s="3"/>
    </row>
    <row r="1928" ht="48.0" customHeight="1">
      <c r="A1928" s="3" t="str">
        <f>IFERROR(__xludf.DUMMYFUNCTION("""COMPUTED_VALUE"""),"PWS12V")</f>
        <v>PWS12V</v>
      </c>
      <c r="B1928" s="4" t="str">
        <f>IFERROR(__xludf.DUMMYFUNCTION("""COMPUTED_VALUE"""),"ENERGIZADOR DE PERIMETROS POWER SHOCK MICROPROCESADO 7800V, 0,65 JOULE")</f>
        <v>ENERGIZADOR DE PERIMETROS POWER SHOCK MICROPROCESADO 7800V, 0,65 JOULE</v>
      </c>
      <c r="C1928" s="4" t="str">
        <f>IFERROR(__xludf.DUMMYFUNCTION("""COMPUTED_VALUE"""),"Energizador de Perimetros POWER SHOCK Microprocesado 7800V, 0,65 Joule, 2 Rele, Gabinete para Exterios. 12V")</f>
        <v>Energizador de Perimetros POWER SHOCK Microprocesado 7800V, 0,65 Joule, 2 Rele, Gabinete para Exterios. 12V</v>
      </c>
      <c r="D1928" s="4" t="str">
        <f>IFERROR(__xludf.DUMMYFUNCTION("""COMPUTED_VALUE"""),"ALIARA")</f>
        <v>ALIARA</v>
      </c>
      <c r="E1928" s="4" t="str">
        <f>IFERROR(__xludf.DUMMYFUNCTION("""COMPUTED_VALUE"""),"PWS12V")</f>
        <v>PWS12V</v>
      </c>
      <c r="F1928" s="4" t="str">
        <f>IFERROR(__xludf.DUMMYFUNCTION("""COMPUTED_VALUE"""),"SEGURIDAD PERIMETRAL &gt; ENERGIZADORES PARA CERCO ELECTRICO")</f>
        <v>SEGURIDAD PERIMETRAL &gt; ENERGIZADORES PARA CERCO ELECTRICO</v>
      </c>
      <c r="G1928" s="5"/>
      <c r="H1928" s="6">
        <f>IFERROR(__xludf.DUMMYFUNCTION("""COMPUTED_VALUE"""),237.6)</f>
        <v>237.6</v>
      </c>
      <c r="I1928" s="7">
        <f>IFERROR(__xludf.DUMMYFUNCTION("""COMPUTED_VALUE"""),21.0)</f>
        <v>21</v>
      </c>
      <c r="J1928" s="6">
        <f>IFERROR(__xludf.DUMMYFUNCTION("""COMPUTED_VALUE"""),285.12)</f>
        <v>285.12</v>
      </c>
      <c r="K1928" s="6">
        <f>IFERROR(__xludf.DUMMYFUNCTION("""COMPUTED_VALUE"""),332.64)</f>
        <v>332.64</v>
      </c>
      <c r="L1928" s="3"/>
      <c r="M1928" s="3"/>
    </row>
    <row r="1929" ht="48.0" customHeight="1">
      <c r="A1929" s="3" t="str">
        <f>IFERROR(__xludf.DUMMYFUNCTION("""COMPUTED_VALUE"""),"ALARICONTROL")</f>
        <v>ALARICONTROL</v>
      </c>
      <c r="B1929" s="4" t="str">
        <f>IFERROR(__xludf.DUMMYFUNCTION("""COMPUTED_VALUE"""),"CONTROL REMOTO 4 FUNCIONES PARA ENERGIZADOR ALARIJ01-02")</f>
        <v>CONTROL REMOTO 4 FUNCIONES PARA ENERGIZADOR ALARIJ01-02</v>
      </c>
      <c r="C1929" s="4" t="str">
        <f>IFERROR(__xludf.DUMMYFUNCTION("""COMPUTED_VALUE"""),"Control remoto 4 Funciones para energizador ALARIJ01-02")</f>
        <v>Control remoto 4 Funciones para energizador ALARIJ01-02</v>
      </c>
      <c r="D1929" s="4" t="str">
        <f>IFERROR(__xludf.DUMMYFUNCTION("""COMPUTED_VALUE"""),"ALARI")</f>
        <v>ALARI</v>
      </c>
      <c r="E1929" s="4" t="str">
        <f>IFERROR(__xludf.DUMMYFUNCTION("""COMPUTED_VALUE"""),"ALARICONTROL")</f>
        <v>ALARICONTROL</v>
      </c>
      <c r="F1929" s="4" t="str">
        <f>IFERROR(__xludf.DUMMYFUNCTION("""COMPUTED_VALUE"""),"SEGURIDAD PERIMETRAL &gt; ENERGIZADORES PARA CERCO ELECTRICO")</f>
        <v>SEGURIDAD PERIMETRAL &gt; ENERGIZADORES PARA CERCO ELECTRICO</v>
      </c>
      <c r="G1929" s="5"/>
      <c r="H1929" s="6">
        <f>IFERROR(__xludf.DUMMYFUNCTION("""COMPUTED_VALUE"""),11.97)</f>
        <v>11.97</v>
      </c>
      <c r="I1929" s="7">
        <f>IFERROR(__xludf.DUMMYFUNCTION("""COMPUTED_VALUE"""),21.0)</f>
        <v>21</v>
      </c>
      <c r="J1929" s="6">
        <f>IFERROR(__xludf.DUMMYFUNCTION("""COMPUTED_VALUE"""),14.36)</f>
        <v>14.36</v>
      </c>
      <c r="K1929" s="6">
        <f>IFERROR(__xludf.DUMMYFUNCTION("""COMPUTED_VALUE"""),16.76)</f>
        <v>16.76</v>
      </c>
      <c r="L1929" s="3"/>
      <c r="M1929" s="3"/>
    </row>
    <row r="1930" ht="48.0" customHeight="1">
      <c r="A1930" s="3" t="str">
        <f>IFERROR(__xludf.DUMMYFUNCTION("""COMPUTED_VALUE"""),"PWSAPC")</f>
        <v>PWSAPC</v>
      </c>
      <c r="B1930" s="4" t="str">
        <f>IFERROR(__xludf.DUMMYFUNCTION("""COMPUTED_VALUE"""),"AISLADOR PLÁSTICO CIRCULAR, PARA VARILLA INTERMEDIA")</f>
        <v>AISLADOR PLÁSTICO CIRCULAR, PARA VARILLA INTERMEDIA</v>
      </c>
      <c r="C1930" s="4" t="str">
        <f>IFERROR(__xludf.DUMMYFUNCTION("""COMPUTED_VALUE"""),"Aislador Plástico Circular, para varilla intermedia.")</f>
        <v>Aislador Plástico Circular, para varilla intermedia.</v>
      </c>
      <c r="D1930" s="4" t="str">
        <f>IFERROR(__xludf.DUMMYFUNCTION("""COMPUTED_VALUE"""),"GENERICO")</f>
        <v>GENERICO</v>
      </c>
      <c r="E1930" s="4" t="str">
        <f>IFERROR(__xludf.DUMMYFUNCTION("""COMPUTED_VALUE"""),"PWSAPC")</f>
        <v>PWSAPC</v>
      </c>
      <c r="F1930" s="4" t="str">
        <f>IFERROR(__xludf.DUMMYFUNCTION("""COMPUTED_VALUE"""),"SEGURIDAD PERIMETRAL &gt; ACCESORIOS DE MONTAJE")</f>
        <v>SEGURIDAD PERIMETRAL &gt; ACCESORIOS DE MONTAJE</v>
      </c>
      <c r="G1930" s="5"/>
      <c r="H1930" s="6">
        <f>IFERROR(__xludf.DUMMYFUNCTION("""COMPUTED_VALUE"""),0.31)</f>
        <v>0.31</v>
      </c>
      <c r="I1930" s="7">
        <f>IFERROR(__xludf.DUMMYFUNCTION("""COMPUTED_VALUE"""),21.0)</f>
        <v>21</v>
      </c>
      <c r="J1930" s="6">
        <f>IFERROR(__xludf.DUMMYFUNCTION("""COMPUTED_VALUE"""),0.37)</f>
        <v>0.37</v>
      </c>
      <c r="K1930" s="6">
        <f>IFERROR(__xludf.DUMMYFUNCTION("""COMPUTED_VALUE"""),0.43)</f>
        <v>0.43</v>
      </c>
      <c r="L1930" s="3"/>
      <c r="M1930" s="3"/>
    </row>
    <row r="1931" ht="48.0" customHeight="1">
      <c r="A1931" s="3" t="str">
        <f>IFERROR(__xludf.DUMMYFUNCTION("""COMPUTED_VALUE"""),"PWSAPR")</f>
        <v>PWSAPR</v>
      </c>
      <c r="B1931" s="4" t="str">
        <f>IFERROR(__xludf.DUMMYFUNCTION("""COMPUTED_VALUE"""),"AISLADOR PLÁSTICO ROSCADO, PARA VARILLA INTERMEDIA")</f>
        <v>AISLADOR PLÁSTICO ROSCADO, PARA VARILLA INTERMEDIA</v>
      </c>
      <c r="C1931" s="4" t="str">
        <f>IFERROR(__xludf.DUMMYFUNCTION("""COMPUTED_VALUE"""),"Aislador Plástico Roscado, para varilla intermedia.")</f>
        <v>Aislador Plástico Roscado, para varilla intermedia.</v>
      </c>
      <c r="D1931" s="4" t="str">
        <f>IFERROR(__xludf.DUMMYFUNCTION("""COMPUTED_VALUE"""),"GENERICO")</f>
        <v>GENERICO</v>
      </c>
      <c r="E1931" s="4" t="str">
        <f>IFERROR(__xludf.DUMMYFUNCTION("""COMPUTED_VALUE"""),"PWSAPR")</f>
        <v>PWSAPR</v>
      </c>
      <c r="F1931" s="4" t="str">
        <f>IFERROR(__xludf.DUMMYFUNCTION("""COMPUTED_VALUE"""),"SEGURIDAD PERIMETRAL &gt; ACCESORIOS DE MONTAJE")</f>
        <v>SEGURIDAD PERIMETRAL &gt; ACCESORIOS DE MONTAJE</v>
      </c>
      <c r="G1931" s="5"/>
      <c r="H1931" s="6">
        <f>IFERROR(__xludf.DUMMYFUNCTION("""COMPUTED_VALUE"""),0.31)</f>
        <v>0.31</v>
      </c>
      <c r="I1931" s="7">
        <f>IFERROR(__xludf.DUMMYFUNCTION("""COMPUTED_VALUE"""),21.0)</f>
        <v>21</v>
      </c>
      <c r="J1931" s="6">
        <f>IFERROR(__xludf.DUMMYFUNCTION("""COMPUTED_VALUE"""),0.37)</f>
        <v>0.37</v>
      </c>
      <c r="K1931" s="6">
        <f>IFERROR(__xludf.DUMMYFUNCTION("""COMPUTED_VALUE"""),0.43)</f>
        <v>0.43</v>
      </c>
      <c r="L1931" s="3"/>
      <c r="M1931" s="3"/>
    </row>
    <row r="1932" ht="48.0" customHeight="1">
      <c r="A1932" s="3" t="str">
        <f>IFERROR(__xludf.DUMMYFUNCTION("""COMPUTED_VALUE"""),"PWSAPRX75")</f>
        <v>PWSAPRX75</v>
      </c>
      <c r="B1932" s="4" t="str">
        <f>IFERROR(__xludf.DUMMYFUNCTION("""COMPUTED_VALUE"""),"AISLADOR PLÁSTICO ROSCADO, PARA VARILLA INTERMEDIA (X 75 UNIDADES)")</f>
        <v>AISLADOR PLÁSTICO ROSCADO, PARA VARILLA INTERMEDIA (X 75 UNIDADES)</v>
      </c>
      <c r="C1932" s="4" t="str">
        <f>IFERROR(__xludf.DUMMYFUNCTION("""COMPUTED_VALUE"""),"Aislador Plástico Roscado, para varilla intermedia (x 75 unidades)")</f>
        <v>Aislador Plástico Roscado, para varilla intermedia (x 75 unidades)</v>
      </c>
      <c r="D1932" s="4" t="str">
        <f>IFERROR(__xludf.DUMMYFUNCTION("""COMPUTED_VALUE"""),"GENERICO")</f>
        <v>GENERICO</v>
      </c>
      <c r="E1932" s="4" t="str">
        <f>IFERROR(__xludf.DUMMYFUNCTION("""COMPUTED_VALUE"""),"PWSAPRX75")</f>
        <v>PWSAPRX75</v>
      </c>
      <c r="F1932" s="4" t="str">
        <f>IFERROR(__xludf.DUMMYFUNCTION("""COMPUTED_VALUE"""),"SEGURIDAD PERIMETRAL &gt; ACCESORIOS DE MONTAJE")</f>
        <v>SEGURIDAD PERIMETRAL &gt; ACCESORIOS DE MONTAJE</v>
      </c>
      <c r="G1932" s="5"/>
      <c r="H1932" s="6">
        <f>IFERROR(__xludf.DUMMYFUNCTION("""COMPUTED_VALUE"""),21.95)</f>
        <v>21.95</v>
      </c>
      <c r="I1932" s="7">
        <f>IFERROR(__xludf.DUMMYFUNCTION("""COMPUTED_VALUE"""),21.0)</f>
        <v>21</v>
      </c>
      <c r="J1932" s="6">
        <f>IFERROR(__xludf.DUMMYFUNCTION("""COMPUTED_VALUE"""),26.34)</f>
        <v>26.34</v>
      </c>
      <c r="K1932" s="6">
        <f>IFERROR(__xludf.DUMMYFUNCTION("""COMPUTED_VALUE"""),30.73)</f>
        <v>30.73</v>
      </c>
      <c r="L1932" s="3"/>
      <c r="M1932" s="3"/>
    </row>
    <row r="1933" ht="48.0" customHeight="1">
      <c r="A1933" s="3" t="str">
        <f>IFERROR(__xludf.DUMMYFUNCTION("""COMPUTED_VALUE"""),"PWSAPW")</f>
        <v>PWSAPW</v>
      </c>
      <c r="B1933" s="4" t="str">
        <f>IFERROR(__xludf.DUMMYFUNCTION("""COMPUTED_VALUE"""),"AISLADOR PLÁSTICO W PARA VARILLA INTERMEDIA")</f>
        <v>AISLADOR PLÁSTICO W PARA VARILLA INTERMEDIA</v>
      </c>
      <c r="C1933" s="4" t="str">
        <f>IFERROR(__xludf.DUMMYFUNCTION("""COMPUTED_VALUE"""),"Aislador Plástico W para varilla intermedia.")</f>
        <v>Aislador Plástico W para varilla intermedia.</v>
      </c>
      <c r="D1933" s="4" t="str">
        <f>IFERROR(__xludf.DUMMYFUNCTION("""COMPUTED_VALUE"""),"GENERICO")</f>
        <v>GENERICO</v>
      </c>
      <c r="E1933" s="4" t="str">
        <f>IFERROR(__xludf.DUMMYFUNCTION("""COMPUTED_VALUE"""),"PWSAPW")</f>
        <v>PWSAPW</v>
      </c>
      <c r="F1933" s="4" t="str">
        <f>IFERROR(__xludf.DUMMYFUNCTION("""COMPUTED_VALUE"""),"SEGURIDAD PERIMETRAL &gt; ACCESORIOS DE MONTAJE")</f>
        <v>SEGURIDAD PERIMETRAL &gt; ACCESORIOS DE MONTAJE</v>
      </c>
      <c r="G1933" s="5"/>
      <c r="H1933" s="6">
        <f>IFERROR(__xludf.DUMMYFUNCTION("""COMPUTED_VALUE"""),0.35)</f>
        <v>0.35</v>
      </c>
      <c r="I1933" s="7">
        <f>IFERROR(__xludf.DUMMYFUNCTION("""COMPUTED_VALUE"""),21.0)</f>
        <v>21</v>
      </c>
      <c r="J1933" s="6">
        <f>IFERROR(__xludf.DUMMYFUNCTION("""COMPUTED_VALUE"""),0.42)</f>
        <v>0.42</v>
      </c>
      <c r="K1933" s="6">
        <f>IFERROR(__xludf.DUMMYFUNCTION("""COMPUTED_VALUE"""),0.49)</f>
        <v>0.49</v>
      </c>
      <c r="L1933" s="3"/>
      <c r="M1933" s="3"/>
    </row>
    <row r="1934" ht="48.0" customHeight="1">
      <c r="A1934" s="3" t="str">
        <f>IFERROR(__xludf.DUMMYFUNCTION("""COMPUTED_VALUE"""),"PWSAPT")</f>
        <v>PWSAPT</v>
      </c>
      <c r="B1934" s="4" t="str">
        <f>IFERROR(__xludf.DUMMYFUNCTION("""COMPUTED_VALUE"""),"AISLADOR PLÁSTICO TERMINADOR")</f>
        <v>AISLADOR PLÁSTICO TERMINADOR</v>
      </c>
      <c r="C1934" s="4" t="str">
        <f>IFERROR(__xludf.DUMMYFUNCTION("""COMPUTED_VALUE"""),"Aislador Plástico Terminador.")</f>
        <v>Aislador Plástico Terminador.</v>
      </c>
      <c r="D1934" s="4" t="str">
        <f>IFERROR(__xludf.DUMMYFUNCTION("""COMPUTED_VALUE"""),"GENERICO")</f>
        <v>GENERICO</v>
      </c>
      <c r="E1934" s="4" t="str">
        <f>IFERROR(__xludf.DUMMYFUNCTION("""COMPUTED_VALUE"""),"PWSAPT")</f>
        <v>PWSAPT</v>
      </c>
      <c r="F1934" s="4" t="str">
        <f>IFERROR(__xludf.DUMMYFUNCTION("""COMPUTED_VALUE"""),"SEGURIDAD PERIMETRAL &gt; ACCESORIOS DE MONTAJE")</f>
        <v>SEGURIDAD PERIMETRAL &gt; ACCESORIOS DE MONTAJE</v>
      </c>
      <c r="G1934" s="5"/>
      <c r="H1934" s="6">
        <f>IFERROR(__xludf.DUMMYFUNCTION("""COMPUTED_VALUE"""),0.43)</f>
        <v>0.43</v>
      </c>
      <c r="I1934" s="7">
        <f>IFERROR(__xludf.DUMMYFUNCTION("""COMPUTED_VALUE"""),21.0)</f>
        <v>21</v>
      </c>
      <c r="J1934" s="6">
        <f>IFERROR(__xludf.DUMMYFUNCTION("""COMPUTED_VALUE"""),0.52)</f>
        <v>0.52</v>
      </c>
      <c r="K1934" s="6">
        <f>IFERROR(__xludf.DUMMYFUNCTION("""COMPUTED_VALUE"""),0.6)</f>
        <v>0.6</v>
      </c>
      <c r="L1934" s="3"/>
      <c r="M1934" s="3"/>
    </row>
    <row r="1935" ht="48.0" customHeight="1">
      <c r="A1935" s="3" t="str">
        <f>IFERROR(__xludf.DUMMYFUNCTION("""COMPUTED_VALUE"""),"PWSAPTX75")</f>
        <v>PWSAPTX75</v>
      </c>
      <c r="B1935" s="4" t="str">
        <f>IFERROR(__xludf.DUMMYFUNCTION("""COMPUTED_VALUE"""),"AISLADOR PLÁSTICO TERMINADOR")</f>
        <v>AISLADOR PLÁSTICO TERMINADOR</v>
      </c>
      <c r="C1935" s="4" t="str">
        <f>IFERROR(__xludf.DUMMYFUNCTION("""COMPUTED_VALUE"""),"Aislador Plástico Terminador. (x 75 unidades)")</f>
        <v>Aislador Plástico Terminador. (x 75 unidades)</v>
      </c>
      <c r="D1935" s="4" t="str">
        <f>IFERROR(__xludf.DUMMYFUNCTION("""COMPUTED_VALUE"""),"GENERICO")</f>
        <v>GENERICO</v>
      </c>
      <c r="E1935" s="4" t="str">
        <f>IFERROR(__xludf.DUMMYFUNCTION("""COMPUTED_VALUE"""),"PWSAPTX75")</f>
        <v>PWSAPTX75</v>
      </c>
      <c r="F1935" s="4" t="str">
        <f>IFERROR(__xludf.DUMMYFUNCTION("""COMPUTED_VALUE"""),"SEGURIDAD PERIMETRAL &gt; ACCESORIOS DE MONTAJE")</f>
        <v>SEGURIDAD PERIMETRAL &gt; ACCESORIOS DE MONTAJE</v>
      </c>
      <c r="G1935" s="5"/>
      <c r="H1935" s="6">
        <f>IFERROR(__xludf.DUMMYFUNCTION("""COMPUTED_VALUE"""),30.65)</f>
        <v>30.65</v>
      </c>
      <c r="I1935" s="7">
        <f>IFERROR(__xludf.DUMMYFUNCTION("""COMPUTED_VALUE"""),21.0)</f>
        <v>21</v>
      </c>
      <c r="J1935" s="6">
        <f>IFERROR(__xludf.DUMMYFUNCTION("""COMPUTED_VALUE"""),36.78)</f>
        <v>36.78</v>
      </c>
      <c r="K1935" s="6">
        <f>IFERROR(__xludf.DUMMYFUNCTION("""COMPUTED_VALUE"""),42.91)</f>
        <v>42.91</v>
      </c>
      <c r="L1935" s="3"/>
      <c r="M1935" s="3"/>
    </row>
    <row r="1936" ht="48.0" customHeight="1">
      <c r="A1936" s="3" t="str">
        <f>IFERROR(__xludf.DUMMYFUNCTION("""COMPUTED_VALUE"""),"PWSPIN")</f>
        <v>PWSPIN</v>
      </c>
      <c r="B1936" s="4" t="str">
        <f>IFERROR(__xludf.DUMMYFUNCTION("""COMPUTED_VALUE"""),"AISLADOR PIN LOCK NEGRO")</f>
        <v>AISLADOR PIN LOCK NEGRO</v>
      </c>
      <c r="C1936" s="4" t="str">
        <f>IFERROR(__xludf.DUMMYFUNCTION("""COMPUTED_VALUE"""),"Aislador Pin Lock Negro")</f>
        <v>Aislador Pin Lock Negro</v>
      </c>
      <c r="D1936" s="4" t="str">
        <f>IFERROR(__xludf.DUMMYFUNCTION("""COMPUTED_VALUE"""),"GENERICO")</f>
        <v>GENERICO</v>
      </c>
      <c r="E1936" s="4" t="str">
        <f>IFERROR(__xludf.DUMMYFUNCTION("""COMPUTED_VALUE"""),"PWSPIN")</f>
        <v>PWSPIN</v>
      </c>
      <c r="F1936" s="4" t="str">
        <f>IFERROR(__xludf.DUMMYFUNCTION("""COMPUTED_VALUE"""),"SEGURIDAD PERIMETRAL &gt; ACCESORIOS DE MONTAJE")</f>
        <v>SEGURIDAD PERIMETRAL &gt; ACCESORIOS DE MONTAJE</v>
      </c>
      <c r="G1936" s="5"/>
      <c r="H1936" s="6">
        <f>IFERROR(__xludf.DUMMYFUNCTION("""COMPUTED_VALUE"""),0.45)</f>
        <v>0.45</v>
      </c>
      <c r="I1936" s="7">
        <f>IFERROR(__xludf.DUMMYFUNCTION("""COMPUTED_VALUE"""),21.0)</f>
        <v>21</v>
      </c>
      <c r="J1936" s="6">
        <f>IFERROR(__xludf.DUMMYFUNCTION("""COMPUTED_VALUE"""),0.54)</f>
        <v>0.54</v>
      </c>
      <c r="K1936" s="6">
        <f>IFERROR(__xludf.DUMMYFUNCTION("""COMPUTED_VALUE"""),0.63)</f>
        <v>0.63</v>
      </c>
      <c r="L1936" s="3"/>
      <c r="M1936" s="3"/>
    </row>
    <row r="1937" ht="48.0" customHeight="1">
      <c r="A1937" s="3" t="str">
        <f>IFERROR(__xludf.DUMMYFUNCTION("""COMPUTED_VALUE"""),"PWSPIN50")</f>
        <v>PWSPIN50</v>
      </c>
      <c r="B1937" s="4" t="str">
        <f>IFERROR(__xludf.DUMMYFUNCTION("""COMPUTED_VALUE"""),"AISLADOR PIN LOCK NEGRO (X 50 UNIDADES)")</f>
        <v>AISLADOR PIN LOCK NEGRO (X 50 UNIDADES)</v>
      </c>
      <c r="C1937" s="4" t="str">
        <f>IFERROR(__xludf.DUMMYFUNCTION("""COMPUTED_VALUE"""),"Aislador Pin Lock Negro (x 50 unidades)")</f>
        <v>Aislador Pin Lock Negro (x 50 unidades)</v>
      </c>
      <c r="D1937" s="4" t="str">
        <f>IFERROR(__xludf.DUMMYFUNCTION("""COMPUTED_VALUE"""),"GENERICO")</f>
        <v>GENERICO</v>
      </c>
      <c r="E1937" s="4" t="str">
        <f>IFERROR(__xludf.DUMMYFUNCTION("""COMPUTED_VALUE"""),"PWSPIN50")</f>
        <v>PWSPIN50</v>
      </c>
      <c r="F1937" s="4" t="str">
        <f>IFERROR(__xludf.DUMMYFUNCTION("""COMPUTED_VALUE"""),"SEGURIDAD PERIMETRAL &gt; ACCESORIOS DE MONTAJE")</f>
        <v>SEGURIDAD PERIMETRAL &gt; ACCESORIOS DE MONTAJE</v>
      </c>
      <c r="G1937" s="5"/>
      <c r="H1937" s="6">
        <f>IFERROR(__xludf.DUMMYFUNCTION("""COMPUTED_VALUE"""),21.35)</f>
        <v>21.35</v>
      </c>
      <c r="I1937" s="7">
        <f>IFERROR(__xludf.DUMMYFUNCTION("""COMPUTED_VALUE"""),21.0)</f>
        <v>21</v>
      </c>
      <c r="J1937" s="6">
        <f>IFERROR(__xludf.DUMMYFUNCTION("""COMPUTED_VALUE"""),25.62)</f>
        <v>25.62</v>
      </c>
      <c r="K1937" s="6">
        <f>IFERROR(__xludf.DUMMYFUNCTION("""COMPUTED_VALUE"""),29.89)</f>
        <v>29.89</v>
      </c>
      <c r="L1937" s="3"/>
      <c r="M1937" s="3"/>
    </row>
    <row r="1938" ht="48.0" customHeight="1">
      <c r="A1938" s="3" t="str">
        <f>IFERROR(__xludf.DUMMYFUNCTION("""COMPUTED_VALUE"""),"PWSPIN-DUAL")</f>
        <v>PWSPIN-DUAL</v>
      </c>
      <c r="B1938" s="4" t="str">
        <f>IFERROR(__xludf.DUMMYFUNCTION("""COMPUTED_VALUE"""),"AISLADOR PLÁSTICO TERMINADOR DOBLE PIN LOCK")</f>
        <v>AISLADOR PLÁSTICO TERMINADOR DOBLE PIN LOCK</v>
      </c>
      <c r="C1938" s="4" t="str">
        <f>IFERROR(__xludf.DUMMYFUNCTION("""COMPUTED_VALUE"""),"Aislador Plástico Terminador Doble Pin Lock")</f>
        <v>Aislador Plástico Terminador Doble Pin Lock</v>
      </c>
      <c r="D1938" s="4" t="str">
        <f>IFERROR(__xludf.DUMMYFUNCTION("""COMPUTED_VALUE"""),"GENERICO")</f>
        <v>GENERICO</v>
      </c>
      <c r="E1938" s="4" t="str">
        <f>IFERROR(__xludf.DUMMYFUNCTION("""COMPUTED_VALUE"""),"PWSPIN-DUAL")</f>
        <v>PWSPIN-DUAL</v>
      </c>
      <c r="F1938" s="4" t="str">
        <f>IFERROR(__xludf.DUMMYFUNCTION("""COMPUTED_VALUE"""),"SEGURIDAD PERIMETRAL &gt; ACCESORIOS DE MONTAJE")</f>
        <v>SEGURIDAD PERIMETRAL &gt; ACCESORIOS DE MONTAJE</v>
      </c>
      <c r="G1938" s="5"/>
      <c r="H1938" s="6">
        <f>IFERROR(__xludf.DUMMYFUNCTION("""COMPUTED_VALUE"""),0.41)</f>
        <v>0.41</v>
      </c>
      <c r="I1938" s="7">
        <f>IFERROR(__xludf.DUMMYFUNCTION("""COMPUTED_VALUE"""),21.0)</f>
        <v>21</v>
      </c>
      <c r="J1938" s="6">
        <f>IFERROR(__xludf.DUMMYFUNCTION("""COMPUTED_VALUE"""),0.49)</f>
        <v>0.49</v>
      </c>
      <c r="K1938" s="6">
        <f>IFERROR(__xludf.DUMMYFUNCTION("""COMPUTED_VALUE"""),0.57)</f>
        <v>0.57</v>
      </c>
      <c r="L1938" s="3"/>
      <c r="M1938" s="3"/>
    </row>
    <row r="1939" ht="48.0" customHeight="1">
      <c r="A1939" s="3" t="str">
        <f>IFERROR(__xludf.DUMMYFUNCTION("""COMPUTED_VALUE"""),"PWSPIN-DUALX75")</f>
        <v>PWSPIN-DUALX75</v>
      </c>
      <c r="B1939" s="4" t="str">
        <f>IFERROR(__xludf.DUMMYFUNCTION("""COMPUTED_VALUE"""),"AISLADOR PLÁSTICO TERMINADOR DOBLE PIN LOCK (X 75 UNIDADES)")</f>
        <v>AISLADOR PLÁSTICO TERMINADOR DOBLE PIN LOCK (X 75 UNIDADES)</v>
      </c>
      <c r="C1939" s="4" t="str">
        <f>IFERROR(__xludf.DUMMYFUNCTION("""COMPUTED_VALUE"""),"Aislador Plástico Terminador Doble Pin Lock (x 75 unidades)")</f>
        <v>Aislador Plástico Terminador Doble Pin Lock (x 75 unidades)</v>
      </c>
      <c r="D1939" s="4" t="str">
        <f>IFERROR(__xludf.DUMMYFUNCTION("""COMPUTED_VALUE"""),"GENERICO")</f>
        <v>GENERICO</v>
      </c>
      <c r="E1939" s="4" t="str">
        <f>IFERROR(__xludf.DUMMYFUNCTION("""COMPUTED_VALUE"""),"PWSPIN-DUALX75")</f>
        <v>PWSPIN-DUALX75</v>
      </c>
      <c r="F1939" s="4" t="str">
        <f>IFERROR(__xludf.DUMMYFUNCTION("""COMPUTED_VALUE"""),"SEGURIDAD PERIMETRAL &gt; ACCESORIOS DE MONTAJE")</f>
        <v>SEGURIDAD PERIMETRAL &gt; ACCESORIOS DE MONTAJE</v>
      </c>
      <c r="G1939" s="5"/>
      <c r="H1939" s="6">
        <f>IFERROR(__xludf.DUMMYFUNCTION("""COMPUTED_VALUE"""),29.35)</f>
        <v>29.35</v>
      </c>
      <c r="I1939" s="7">
        <f>IFERROR(__xludf.DUMMYFUNCTION("""COMPUTED_VALUE"""),21.0)</f>
        <v>21</v>
      </c>
      <c r="J1939" s="6">
        <f>IFERROR(__xludf.DUMMYFUNCTION("""COMPUTED_VALUE"""),35.22)</f>
        <v>35.22</v>
      </c>
      <c r="K1939" s="6">
        <f>IFERROR(__xludf.DUMMYFUNCTION("""COMPUTED_VALUE"""),41.09)</f>
        <v>41.09</v>
      </c>
      <c r="L1939" s="3"/>
      <c r="M1939" s="3"/>
    </row>
    <row r="1940" ht="48.0" customHeight="1">
      <c r="A1940" s="3" t="str">
        <f>IFERROR(__xludf.DUMMYFUNCTION("""COMPUTED_VALUE"""),"PWSRAI")</f>
        <v>PWSRAI</v>
      </c>
      <c r="B1940" s="4" t="str">
        <f>IFERROR(__xludf.DUMMYFUNCTION("""COMPUTED_VALUE"""),"RESORTE DE ACERO INOXIDABLE")</f>
        <v>RESORTE DE ACERO INOXIDABLE</v>
      </c>
      <c r="C1940" s="4" t="str">
        <f>IFERROR(__xludf.DUMMYFUNCTION("""COMPUTED_VALUE"""),"Resorte de Acero Inoxidable")</f>
        <v>Resorte de Acero Inoxidable</v>
      </c>
      <c r="D1940" s="4" t="str">
        <f>IFERROR(__xludf.DUMMYFUNCTION("""COMPUTED_VALUE"""),"GENERICO")</f>
        <v>GENERICO</v>
      </c>
      <c r="E1940" s="4" t="str">
        <f>IFERROR(__xludf.DUMMYFUNCTION("""COMPUTED_VALUE"""),"PWSRAI")</f>
        <v>PWSRAI</v>
      </c>
      <c r="F1940" s="4" t="str">
        <f>IFERROR(__xludf.DUMMYFUNCTION("""COMPUTED_VALUE"""),"SEGURIDAD PERIMETRAL &gt; ACCESORIOS DE MONTAJE")</f>
        <v>SEGURIDAD PERIMETRAL &gt; ACCESORIOS DE MONTAJE</v>
      </c>
      <c r="G1940" s="5"/>
      <c r="H1940" s="6">
        <f>IFERROR(__xludf.DUMMYFUNCTION("""COMPUTED_VALUE"""),0.72)</f>
        <v>0.72</v>
      </c>
      <c r="I1940" s="7">
        <f>IFERROR(__xludf.DUMMYFUNCTION("""COMPUTED_VALUE"""),21.0)</f>
        <v>21</v>
      </c>
      <c r="J1940" s="6">
        <f>IFERROR(__xludf.DUMMYFUNCTION("""COMPUTED_VALUE"""),0.86)</f>
        <v>0.86</v>
      </c>
      <c r="K1940" s="6">
        <f>IFERROR(__xludf.DUMMYFUNCTION("""COMPUTED_VALUE"""),1.01)</f>
        <v>1.01</v>
      </c>
      <c r="L1940" s="3"/>
      <c r="M1940" s="3"/>
    </row>
    <row r="1941" ht="48.0" customHeight="1">
      <c r="A1941" s="3" t="str">
        <f>IFERROR(__xludf.DUMMYFUNCTION("""COMPUTED_VALUE"""),"PWSRAI-X-100")</f>
        <v>PWSRAI-X-100</v>
      </c>
      <c r="B1941" s="4" t="str">
        <f>IFERROR(__xludf.DUMMYFUNCTION("""COMPUTED_VALUE"""),"RESORTE DE ACERO INOXIDABLE X 100 UNIDADES")</f>
        <v>RESORTE DE ACERO INOXIDABLE X 100 UNIDADES</v>
      </c>
      <c r="C1941" s="4" t="str">
        <f>IFERROR(__xludf.DUMMYFUNCTION("""COMPUTED_VALUE"""),"Resorte de Acero Inoxidable x 100 unidades")</f>
        <v>Resorte de Acero Inoxidable x 100 unidades</v>
      </c>
      <c r="D1941" s="4" t="str">
        <f>IFERROR(__xludf.DUMMYFUNCTION("""COMPUTED_VALUE"""),"GENERICO")</f>
        <v>GENERICO</v>
      </c>
      <c r="E1941" s="4" t="str">
        <f>IFERROR(__xludf.DUMMYFUNCTION("""COMPUTED_VALUE"""),"PWSRAI-X-100")</f>
        <v>PWSRAI-X-100</v>
      </c>
      <c r="F1941" s="4" t="str">
        <f>IFERROR(__xludf.DUMMYFUNCTION("""COMPUTED_VALUE"""),"SEGURIDAD PERIMETRAL &gt; ACCESORIOS DE MONTAJE")</f>
        <v>SEGURIDAD PERIMETRAL &gt; ACCESORIOS DE MONTAJE</v>
      </c>
      <c r="G1941" s="5"/>
      <c r="H1941" s="6">
        <f>IFERROR(__xludf.DUMMYFUNCTION("""COMPUTED_VALUE"""),66.0)</f>
        <v>66</v>
      </c>
      <c r="I1941" s="7">
        <f>IFERROR(__xludf.DUMMYFUNCTION("""COMPUTED_VALUE"""),21.0)</f>
        <v>21</v>
      </c>
      <c r="J1941" s="6">
        <f>IFERROR(__xludf.DUMMYFUNCTION("""COMPUTED_VALUE"""),79.2)</f>
        <v>79.2</v>
      </c>
      <c r="K1941" s="6">
        <f>IFERROR(__xludf.DUMMYFUNCTION("""COMPUTED_VALUE"""),92.4)</f>
        <v>92.4</v>
      </c>
      <c r="L1941" s="3"/>
      <c r="M1941" s="3"/>
    </row>
    <row r="1942" ht="48.0" customHeight="1">
      <c r="A1942" s="3" t="str">
        <f>IFERROR(__xludf.DUMMYFUNCTION("""COMPUTED_VALUE"""),"EUCR")</f>
        <v>EUCR</v>
      </c>
      <c r="B1942" s="4" t="str">
        <f>IFERROR(__xludf.DUMMYFUNCTION("""COMPUTED_VALUE"""),"RESORTE DE ACERO INOXIDABLE")</f>
        <v>RESORTE DE ACERO INOXIDABLE</v>
      </c>
      <c r="C1942" s="4" t="str">
        <f>IFERROR(__xludf.DUMMYFUNCTION("""COMPUTED_VALUE"""),"Resorte de Acero Inoxidable")</f>
        <v>Resorte de Acero Inoxidable</v>
      </c>
      <c r="D1942" s="4" t="str">
        <f>IFERROR(__xludf.DUMMYFUNCTION("""COMPUTED_VALUE"""),"EUROCERCO")</f>
        <v>EUROCERCO</v>
      </c>
      <c r="E1942" s="4" t="str">
        <f>IFERROR(__xludf.DUMMYFUNCTION("""COMPUTED_VALUE"""),"EUCR")</f>
        <v>EUCR</v>
      </c>
      <c r="F1942" s="4" t="str">
        <f>IFERROR(__xludf.DUMMYFUNCTION("""COMPUTED_VALUE"""),"SEGURIDAD PERIMETRAL &gt; ACCESORIOS DE MONTAJE")</f>
        <v>SEGURIDAD PERIMETRAL &gt; ACCESORIOS DE MONTAJE</v>
      </c>
      <c r="G1942" s="5"/>
      <c r="H1942" s="6">
        <f>IFERROR(__xludf.DUMMYFUNCTION("""COMPUTED_VALUE"""),1.1)</f>
        <v>1.1</v>
      </c>
      <c r="I1942" s="7">
        <f>IFERROR(__xludf.DUMMYFUNCTION("""COMPUTED_VALUE"""),21.0)</f>
        <v>21</v>
      </c>
      <c r="J1942" s="6">
        <f>IFERROR(__xludf.DUMMYFUNCTION("""COMPUTED_VALUE"""),1.32)</f>
        <v>1.32</v>
      </c>
      <c r="K1942" s="6">
        <f>IFERROR(__xludf.DUMMYFUNCTION("""COMPUTED_VALUE"""),1.54)</f>
        <v>1.54</v>
      </c>
      <c r="L1942" s="3"/>
      <c r="M1942" s="3"/>
    </row>
    <row r="1943" ht="48.0" customHeight="1">
      <c r="A1943" s="3" t="str">
        <f>IFERROR(__xludf.DUMMYFUNCTION("""COMPUTED_VALUE"""),"PWSCN")</f>
        <v>PWSCN</v>
      </c>
      <c r="B1943" s="4" t="str">
        <f>IFERROR(__xludf.DUMMYFUNCTION("""COMPUTED_VALUE"""),"CARTEL NORMATIZADO CON SEÑAL INDICADORA DE PELIGRO")</f>
        <v>CARTEL NORMATIZADO CON SEÑAL INDICADORA DE PELIGRO</v>
      </c>
      <c r="C1943" s="4" t="str">
        <f>IFERROR(__xludf.DUMMYFUNCTION("""COMPUTED_VALUE"""),"Cartel normatizado con señal Indicadora de Peligro. Se instala 1 cada 10 metros")</f>
        <v>Cartel normatizado con señal Indicadora de Peligro. Se instala 1 cada 10 metros</v>
      </c>
      <c r="D1943" s="4" t="str">
        <f>IFERROR(__xludf.DUMMYFUNCTION("""COMPUTED_VALUE"""),"GENERICO")</f>
        <v>GENERICO</v>
      </c>
      <c r="E1943" s="4" t="str">
        <f>IFERROR(__xludf.DUMMYFUNCTION("""COMPUTED_VALUE"""),"PWSCN")</f>
        <v>PWSCN</v>
      </c>
      <c r="F1943" s="4" t="str">
        <f>IFERROR(__xludf.DUMMYFUNCTION("""COMPUTED_VALUE"""),"SEGURIDAD PERIMETRAL &gt; ACCESORIOS DE MONTAJE")</f>
        <v>SEGURIDAD PERIMETRAL &gt; ACCESORIOS DE MONTAJE</v>
      </c>
      <c r="G1943" s="5"/>
      <c r="H1943" s="6">
        <f>IFERROR(__xludf.DUMMYFUNCTION("""COMPUTED_VALUE"""),1.29)</f>
        <v>1.29</v>
      </c>
      <c r="I1943" s="7">
        <f>IFERROR(__xludf.DUMMYFUNCTION("""COMPUTED_VALUE"""),21.0)</f>
        <v>21</v>
      </c>
      <c r="J1943" s="6">
        <f>IFERROR(__xludf.DUMMYFUNCTION("""COMPUTED_VALUE"""),1.55)</f>
        <v>1.55</v>
      </c>
      <c r="K1943" s="6">
        <f>IFERROR(__xludf.DUMMYFUNCTION("""COMPUTED_VALUE"""),1.81)</f>
        <v>1.81</v>
      </c>
      <c r="L1943" s="3"/>
      <c r="M1943" s="3"/>
    </row>
    <row r="1944" ht="48.0" customHeight="1">
      <c r="A1944" s="3" t="str">
        <f>IFERROR(__xludf.DUMMYFUNCTION("""COMPUTED_VALUE"""),"EUCC")</f>
        <v>EUCC</v>
      </c>
      <c r="B1944" s="4" t="str">
        <f>IFERROR(__xludf.DUMMYFUNCTION("""COMPUTED_VALUE"""),"CARTEL NORMALIZADO DE ALUMINIO CON VINCULOS PLASTICOS")</f>
        <v>CARTEL NORMALIZADO DE ALUMINIO CON VINCULOS PLASTICOS</v>
      </c>
      <c r="C1944" s="4" t="str">
        <f>IFERROR(__xludf.DUMMYFUNCTION("""COMPUTED_VALUE"""),"Cartel normalizado de aluminio con vinculos plasticos. Se instala 1 cada 10 metros")</f>
        <v>Cartel normalizado de aluminio con vinculos plasticos. Se instala 1 cada 10 metros</v>
      </c>
      <c r="D1944" s="4" t="str">
        <f>IFERROR(__xludf.DUMMYFUNCTION("""COMPUTED_VALUE"""),"EUROCERCO")</f>
        <v>EUROCERCO</v>
      </c>
      <c r="E1944" s="4" t="str">
        <f>IFERROR(__xludf.DUMMYFUNCTION("""COMPUTED_VALUE"""),"EUCC")</f>
        <v>EUCC</v>
      </c>
      <c r="F1944" s="4" t="str">
        <f>IFERROR(__xludf.DUMMYFUNCTION("""COMPUTED_VALUE"""),"SEGURIDAD PERIMETRAL &gt; ACCESORIOS DE MONTAJE")</f>
        <v>SEGURIDAD PERIMETRAL &gt; ACCESORIOS DE MONTAJE</v>
      </c>
      <c r="G1944" s="5"/>
      <c r="H1944" s="6">
        <f>IFERROR(__xludf.DUMMYFUNCTION("""COMPUTED_VALUE"""),3.3)</f>
        <v>3.3</v>
      </c>
      <c r="I1944" s="7">
        <f>IFERROR(__xludf.DUMMYFUNCTION("""COMPUTED_VALUE"""),21.0)</f>
        <v>21</v>
      </c>
      <c r="J1944" s="6">
        <f>IFERROR(__xludf.DUMMYFUNCTION("""COMPUTED_VALUE"""),3.96)</f>
        <v>3.96</v>
      </c>
      <c r="K1944" s="6">
        <f>IFERROR(__xludf.DUMMYFUNCTION("""COMPUTED_VALUE"""),4.62)</f>
        <v>4.62</v>
      </c>
      <c r="L1944" s="3"/>
      <c r="M1944" s="3"/>
    </row>
    <row r="1945" ht="48.0" customHeight="1">
      <c r="A1945" s="3" t="str">
        <f>IFERROR(__xludf.DUMMYFUNCTION("""COMPUTED_VALUE"""),"PWSCABALT")</f>
        <v>PWSCABALT</v>
      </c>
      <c r="B1945" s="4" t="str">
        <f>IFERROR(__xludf.DUMMYFUNCTION("""COMPUTED_VALUE"""),"CABLE PARA ALTA TENSIÓN")</f>
        <v>CABLE PARA ALTA TENSIÓN</v>
      </c>
      <c r="C1945" s="4" t="str">
        <f>IFERROR(__xludf.DUMMYFUNCTION("""COMPUTED_VALUE"""),"Cable para Alta Tensión - Rollo por 50 metros")</f>
        <v>Cable para Alta Tensión - Rollo por 50 metros</v>
      </c>
      <c r="D1945" s="4" t="str">
        <f>IFERROR(__xludf.DUMMYFUNCTION("""COMPUTED_VALUE"""),"GENERICO")</f>
        <v>GENERICO</v>
      </c>
      <c r="E1945" s="4" t="str">
        <f>IFERROR(__xludf.DUMMYFUNCTION("""COMPUTED_VALUE"""),"PWSCABALT")</f>
        <v>PWSCABALT</v>
      </c>
      <c r="F1945" s="4" t="str">
        <f>IFERROR(__xludf.DUMMYFUNCTION("""COMPUTED_VALUE"""),"SEGURIDAD PERIMETRAL &gt; ACCESORIOS DE MONTAJE")</f>
        <v>SEGURIDAD PERIMETRAL &gt; ACCESORIOS DE MONTAJE</v>
      </c>
      <c r="G1945" s="5"/>
      <c r="H1945" s="6">
        <f>IFERROR(__xludf.DUMMYFUNCTION("""COMPUTED_VALUE"""),24.2)</f>
        <v>24.2</v>
      </c>
      <c r="I1945" s="7">
        <f>IFERROR(__xludf.DUMMYFUNCTION("""COMPUTED_VALUE"""),21.0)</f>
        <v>21</v>
      </c>
      <c r="J1945" s="6">
        <f>IFERROR(__xludf.DUMMYFUNCTION("""COMPUTED_VALUE"""),29.04)</f>
        <v>29.04</v>
      </c>
      <c r="K1945" s="6">
        <f>IFERROR(__xludf.DUMMYFUNCTION("""COMPUTED_VALUE"""),33.88)</f>
        <v>33.88</v>
      </c>
      <c r="L1945" s="3"/>
      <c r="M1945" s="3"/>
    </row>
    <row r="1946" ht="48.0" customHeight="1">
      <c r="A1946" s="3" t="str">
        <f>IFERROR(__xludf.DUMMYFUNCTION("""COMPUTED_VALUE"""),"PWSAF1")</f>
        <v>PWSAF1</v>
      </c>
      <c r="B1946" s="4" t="str">
        <f>IFERROR(__xludf.DUMMYFUNCTION("""COMPUTED_VALUE"""),"ALAMBRE DE ALUMINIO (AISI 6061) 1,5MM (ROLLO 100 METROS)")</f>
        <v>ALAMBRE DE ALUMINIO (AISI 6061) 1,5MM (ROLLO 100 METROS)</v>
      </c>
      <c r="C1946" s="4" t="str">
        <f>IFERROR(__xludf.DUMMYFUNCTION("""COMPUTED_VALUE"""),"Alambre de Aluminio (aisi 6061) 1,5mm (rollo 100 metros)")</f>
        <v>Alambre de Aluminio (aisi 6061) 1,5mm (rollo 100 metros)</v>
      </c>
      <c r="D1946" s="4" t="str">
        <f>IFERROR(__xludf.DUMMYFUNCTION("""COMPUTED_VALUE"""),"GENERICO")</f>
        <v>GENERICO</v>
      </c>
      <c r="E1946" s="4" t="str">
        <f>IFERROR(__xludf.DUMMYFUNCTION("""COMPUTED_VALUE"""),"PWSAF1")</f>
        <v>PWSAF1</v>
      </c>
      <c r="F1946" s="4" t="str">
        <f>IFERROR(__xludf.DUMMYFUNCTION("""COMPUTED_VALUE"""),"SEGURIDAD PERIMETRAL &gt; ACCESORIOS DE MONTAJE")</f>
        <v>SEGURIDAD PERIMETRAL &gt; ACCESORIOS DE MONTAJE</v>
      </c>
      <c r="G1946" s="5"/>
      <c r="H1946" s="6">
        <f>IFERROR(__xludf.DUMMYFUNCTION("""COMPUTED_VALUE"""),11.44)</f>
        <v>11.44</v>
      </c>
      <c r="I1946" s="7">
        <f>IFERROR(__xludf.DUMMYFUNCTION("""COMPUTED_VALUE"""),21.0)</f>
        <v>21</v>
      </c>
      <c r="J1946" s="6">
        <f>IFERROR(__xludf.DUMMYFUNCTION("""COMPUTED_VALUE"""),13.73)</f>
        <v>13.73</v>
      </c>
      <c r="K1946" s="6">
        <f>IFERROR(__xludf.DUMMYFUNCTION("""COMPUTED_VALUE"""),16.02)</f>
        <v>16.02</v>
      </c>
      <c r="L1946" s="3"/>
      <c r="M1946" s="3"/>
    </row>
    <row r="1947" ht="48.0" customHeight="1">
      <c r="A1947" s="3" t="str">
        <f>IFERROR(__xludf.DUMMYFUNCTION("""COMPUTED_VALUE"""),"PWSALAM")</f>
        <v>PWSALAM</v>
      </c>
      <c r="B1947" s="4" t="str">
        <f>IFERROR(__xludf.DUMMYFUNCTION("""COMPUTED_VALUE"""),"ALAMBRE DE ALUMINIO 1,5MM (BOBINA CERRADA DE 3500 METROS),")</f>
        <v>ALAMBRE DE ALUMINIO 1,5MM (BOBINA CERRADA DE 3500 METROS),</v>
      </c>
      <c r="C1947" s="4" t="str">
        <f>IFERROR(__xludf.DUMMYFUNCTION("""COMPUTED_VALUE"""),"Alambre de Aluminio 1,5mm (bobina cerrada de 3500 metros), Precio x metro")</f>
        <v>Alambre de Aluminio 1,5mm (bobina cerrada de 3500 metros), Precio x metro</v>
      </c>
      <c r="D1947" s="4" t="str">
        <f>IFERROR(__xludf.DUMMYFUNCTION("""COMPUTED_VALUE"""),"GENERICO")</f>
        <v>GENERICO</v>
      </c>
      <c r="E1947" s="4" t="str">
        <f>IFERROR(__xludf.DUMMYFUNCTION("""COMPUTED_VALUE"""),"PWSALAM")</f>
        <v>PWSALAM</v>
      </c>
      <c r="F1947" s="4" t="str">
        <f>IFERROR(__xludf.DUMMYFUNCTION("""COMPUTED_VALUE"""),"SEGURIDAD PERIMETRAL &gt; ACCESORIOS DE MONTAJE")</f>
        <v>SEGURIDAD PERIMETRAL &gt; ACCESORIOS DE MONTAJE</v>
      </c>
      <c r="G1947" s="5"/>
      <c r="H1947" s="6">
        <f>IFERROR(__xludf.DUMMYFUNCTION("""COMPUTED_VALUE"""),0.09)</f>
        <v>0.09</v>
      </c>
      <c r="I1947" s="7">
        <f>IFERROR(__xludf.DUMMYFUNCTION("""COMPUTED_VALUE"""),21.0)</f>
        <v>21</v>
      </c>
      <c r="J1947" s="6">
        <f>IFERROR(__xludf.DUMMYFUNCTION("""COMPUTED_VALUE"""),0.11)</f>
        <v>0.11</v>
      </c>
      <c r="K1947" s="6">
        <f>IFERROR(__xludf.DUMMYFUNCTION("""COMPUTED_VALUE"""),0.13)</f>
        <v>0.13</v>
      </c>
      <c r="L1947" s="3"/>
      <c r="M1947" s="3"/>
    </row>
    <row r="1948" ht="48.0" customHeight="1">
      <c r="A1948" s="3" t="str">
        <f>IFERROR(__xludf.DUMMYFUNCTION("""COMPUTED_VALUE"""),"PWSAF5")</f>
        <v>PWSAF5</v>
      </c>
      <c r="B1948" s="4" t="str">
        <f>IFERROR(__xludf.DUMMYFUNCTION("""COMPUTED_VALUE"""),"ALAMBRE DE ALUMINIO (AISI 6061) 1,5MM (BOBINA CERRADA DE 500 METROS)")</f>
        <v>ALAMBRE DE ALUMINIO (AISI 6061) 1,5MM (BOBINA CERRADA DE 500 METROS)</v>
      </c>
      <c r="C1948" s="4" t="str">
        <f>IFERROR(__xludf.DUMMYFUNCTION("""COMPUTED_VALUE"""),"Alambre de Aluminio (aisi 6061) 1,5mm (bobina cerrada de 500 metros)")</f>
        <v>Alambre de Aluminio (aisi 6061) 1,5mm (bobina cerrada de 500 metros)</v>
      </c>
      <c r="D1948" s="4" t="str">
        <f>IFERROR(__xludf.DUMMYFUNCTION("""COMPUTED_VALUE"""),"GENERICO")</f>
        <v>GENERICO</v>
      </c>
      <c r="E1948" s="4" t="str">
        <f>IFERROR(__xludf.DUMMYFUNCTION("""COMPUTED_VALUE"""),"PWSAF5")</f>
        <v>PWSAF5</v>
      </c>
      <c r="F1948" s="4" t="str">
        <f>IFERROR(__xludf.DUMMYFUNCTION("""COMPUTED_VALUE"""),"SEGURIDAD PERIMETRAL &gt; ACCESORIOS DE MONTAJE")</f>
        <v>SEGURIDAD PERIMETRAL &gt; ACCESORIOS DE MONTAJE</v>
      </c>
      <c r="G1948" s="5"/>
      <c r="H1948" s="6">
        <f>IFERROR(__xludf.DUMMYFUNCTION("""COMPUTED_VALUE"""),42.9)</f>
        <v>42.9</v>
      </c>
      <c r="I1948" s="7">
        <f>IFERROR(__xludf.DUMMYFUNCTION("""COMPUTED_VALUE"""),21.0)</f>
        <v>21</v>
      </c>
      <c r="J1948" s="6">
        <f>IFERROR(__xludf.DUMMYFUNCTION("""COMPUTED_VALUE"""),51.48)</f>
        <v>51.48</v>
      </c>
      <c r="K1948" s="6">
        <f>IFERROR(__xludf.DUMMYFUNCTION("""COMPUTED_VALUE"""),60.06)</f>
        <v>60.06</v>
      </c>
      <c r="L1948" s="3"/>
      <c r="M1948" s="3"/>
    </row>
    <row r="1949" ht="48.0" customHeight="1">
      <c r="A1949" s="3" t="str">
        <f>IFERROR(__xludf.DUMMYFUNCTION("""COMPUTED_VALUE"""),"EUC300")</f>
        <v>EUC300</v>
      </c>
      <c r="B1949" s="4" t="str">
        <f>IFERROR(__xludf.DUMMYFUNCTION("""COMPUTED_VALUE"""),"ALAMBRE DE ALUMINIO (BOBINA CERRADA DE 300 METROS)")</f>
        <v>ALAMBRE DE ALUMINIO (BOBINA CERRADA DE 300 METROS)</v>
      </c>
      <c r="C1949" s="4" t="str">
        <f>IFERROR(__xludf.DUMMYFUNCTION("""COMPUTED_VALUE"""),"Alambre de Aluminio (bobina cerrada de 300 metros)")</f>
        <v>Alambre de Aluminio (bobina cerrada de 300 metros)</v>
      </c>
      <c r="D1949" s="4" t="str">
        <f>IFERROR(__xludf.DUMMYFUNCTION("""COMPUTED_VALUE"""),"EUROCERCO")</f>
        <v>EUROCERCO</v>
      </c>
      <c r="E1949" s="4" t="str">
        <f>IFERROR(__xludf.DUMMYFUNCTION("""COMPUTED_VALUE"""),"EUC300")</f>
        <v>EUC300</v>
      </c>
      <c r="F1949" s="4" t="str">
        <f>IFERROR(__xludf.DUMMYFUNCTION("""COMPUTED_VALUE"""),"SEGURIDAD PERIMETRAL &gt; ACCESORIOS DE MONTAJE")</f>
        <v>SEGURIDAD PERIMETRAL &gt; ACCESORIOS DE MONTAJE</v>
      </c>
      <c r="G1949" s="5"/>
      <c r="H1949" s="6">
        <f>IFERROR(__xludf.DUMMYFUNCTION("""COMPUTED_VALUE"""),44.0)</f>
        <v>44</v>
      </c>
      <c r="I1949" s="7">
        <f>IFERROR(__xludf.DUMMYFUNCTION("""COMPUTED_VALUE"""),21.0)</f>
        <v>21</v>
      </c>
      <c r="J1949" s="6">
        <f>IFERROR(__xludf.DUMMYFUNCTION("""COMPUTED_VALUE"""),52.8)</f>
        <v>52.8</v>
      </c>
      <c r="K1949" s="6">
        <f>IFERROR(__xludf.DUMMYFUNCTION("""COMPUTED_VALUE"""),61.6)</f>
        <v>61.6</v>
      </c>
      <c r="L1949" s="3"/>
      <c r="M1949" s="3"/>
    </row>
    <row r="1950" ht="48.0" customHeight="1">
      <c r="A1950" s="3" t="str">
        <f>IFERROR(__xludf.DUMMYFUNCTION("""COMPUTED_VALUE"""),"PWSACERO")</f>
        <v>PWSACERO</v>
      </c>
      <c r="B1950" s="4" t="str">
        <f>IFERROR(__xludf.DUMMYFUNCTION("""COMPUTED_VALUE"""),"CABLE ACERO GALVANIZADO")</f>
        <v>CABLE ACERO GALVANIZADO</v>
      </c>
      <c r="C1950" s="4" t="str">
        <f>IFERROR(__xludf.DUMMYFUNCTION("""COMPUTED_VALUE"""),"CABLE ACERO GALVANIZADO - 1.2 mm x 500 Mts. Mas flexible y gran resistencia")</f>
        <v>CABLE ACERO GALVANIZADO - 1.2 mm x 500 Mts. Mas flexible y gran resistencia</v>
      </c>
      <c r="D1950" s="4" t="str">
        <f>IFERROR(__xludf.DUMMYFUNCTION("""COMPUTED_VALUE"""),"GENERICO")</f>
        <v>GENERICO</v>
      </c>
      <c r="E1950" s="4" t="str">
        <f>IFERROR(__xludf.DUMMYFUNCTION("""COMPUTED_VALUE"""),"PWSACERO")</f>
        <v>PWSACERO</v>
      </c>
      <c r="F1950" s="4" t="str">
        <f>IFERROR(__xludf.DUMMYFUNCTION("""COMPUTED_VALUE"""),"SEGURIDAD PERIMETRAL &gt; ACCESORIOS DE MONTAJE")</f>
        <v>SEGURIDAD PERIMETRAL &gt; ACCESORIOS DE MONTAJE</v>
      </c>
      <c r="G1950" s="5"/>
      <c r="H1950" s="6">
        <f>IFERROR(__xludf.DUMMYFUNCTION("""COMPUTED_VALUE"""),84.7)</f>
        <v>84.7</v>
      </c>
      <c r="I1950" s="7">
        <f>IFERROR(__xludf.DUMMYFUNCTION("""COMPUTED_VALUE"""),21.0)</f>
        <v>21</v>
      </c>
      <c r="J1950" s="6">
        <f>IFERROR(__xludf.DUMMYFUNCTION("""COMPUTED_VALUE"""),101.64)</f>
        <v>101.64</v>
      </c>
      <c r="K1950" s="6">
        <f>IFERROR(__xludf.DUMMYFUNCTION("""COMPUTED_VALUE"""),118.58)</f>
        <v>118.58</v>
      </c>
      <c r="L1950" s="3"/>
      <c r="M1950" s="3"/>
    </row>
    <row r="1951" ht="48.0" customHeight="1">
      <c r="A1951" s="3" t="str">
        <f>IFERROR(__xludf.DUMMYFUNCTION("""COMPUTED_VALUE"""),"PWSFLEX")</f>
        <v>PWSFLEX</v>
      </c>
      <c r="B1951" s="4" t="str">
        <f>IFERROR(__xludf.DUMMYFUNCTION("""COMPUTED_VALUE"""),"SENSOR DE FLEXIÓN DE ALAMBRES")</f>
        <v>SENSOR DE FLEXIÓN DE ALAMBRES</v>
      </c>
      <c r="C1951" s="4" t="str">
        <f>IFERROR(__xludf.DUMMYFUNCTION("""COMPUTED_VALUE"""),"Sensor de flexión de alambres")</f>
        <v>Sensor de flexión de alambres</v>
      </c>
      <c r="D1951" s="4" t="str">
        <f>IFERROR(__xludf.DUMMYFUNCTION("""COMPUTED_VALUE"""),"GENERICO")</f>
        <v>GENERICO</v>
      </c>
      <c r="E1951" s="4" t="str">
        <f>IFERROR(__xludf.DUMMYFUNCTION("""COMPUTED_VALUE"""),"PWSFLEX")</f>
        <v>PWSFLEX</v>
      </c>
      <c r="F1951" s="4" t="str">
        <f>IFERROR(__xludf.DUMMYFUNCTION("""COMPUTED_VALUE"""),"SEGURIDAD PERIMETRAL &gt; ACCESORIOS DE MONTAJE")</f>
        <v>SEGURIDAD PERIMETRAL &gt; ACCESORIOS DE MONTAJE</v>
      </c>
      <c r="G1951" s="5"/>
      <c r="H1951" s="6">
        <f>IFERROR(__xludf.DUMMYFUNCTION("""COMPUTED_VALUE"""),1.43)</f>
        <v>1.43</v>
      </c>
      <c r="I1951" s="7">
        <f>IFERROR(__xludf.DUMMYFUNCTION("""COMPUTED_VALUE"""),21.0)</f>
        <v>21</v>
      </c>
      <c r="J1951" s="6">
        <f>IFERROR(__xludf.DUMMYFUNCTION("""COMPUTED_VALUE"""),1.72)</f>
        <v>1.72</v>
      </c>
      <c r="K1951" s="6">
        <f>IFERROR(__xludf.DUMMYFUNCTION("""COMPUTED_VALUE"""),2.0)</f>
        <v>2</v>
      </c>
      <c r="L1951" s="3"/>
      <c r="M1951" s="3"/>
    </row>
    <row r="1952" ht="48.0" customHeight="1">
      <c r="A1952" s="3" t="str">
        <f>IFERROR(__xludf.DUMMYFUNCTION("""COMPUTED_VALUE"""),"PWSFLEX25")</f>
        <v>PWSFLEX25</v>
      </c>
      <c r="B1952" s="4" t="str">
        <f>IFERROR(__xludf.DUMMYFUNCTION("""COMPUTED_VALUE"""),"SENSOR DE FLEXIÓN DE ALAMBRES (PACK X 25 UNIDADES)")</f>
        <v>SENSOR DE FLEXIÓN DE ALAMBRES (PACK X 25 UNIDADES)</v>
      </c>
      <c r="C1952" s="4" t="str">
        <f>IFERROR(__xludf.DUMMYFUNCTION("""COMPUTED_VALUE"""),"Sensor de flexión de alambres (Pack x 25 unidades)")</f>
        <v>Sensor de flexión de alambres (Pack x 25 unidades)</v>
      </c>
      <c r="D1952" s="4" t="str">
        <f>IFERROR(__xludf.DUMMYFUNCTION("""COMPUTED_VALUE"""),"GENERICO")</f>
        <v>GENERICO</v>
      </c>
      <c r="E1952" s="4" t="str">
        <f>IFERROR(__xludf.DUMMYFUNCTION("""COMPUTED_VALUE"""),"PWSFLEX25")</f>
        <v>PWSFLEX25</v>
      </c>
      <c r="F1952" s="4" t="str">
        <f>IFERROR(__xludf.DUMMYFUNCTION("""COMPUTED_VALUE"""),"SEGURIDAD PERIMETRAL &gt; ACCESORIOS DE MONTAJE")</f>
        <v>SEGURIDAD PERIMETRAL &gt; ACCESORIOS DE MONTAJE</v>
      </c>
      <c r="G1952" s="5"/>
      <c r="H1952" s="6">
        <f>IFERROR(__xludf.DUMMYFUNCTION("""COMPUTED_VALUE"""),33.94)</f>
        <v>33.94</v>
      </c>
      <c r="I1952" s="7">
        <f>IFERROR(__xludf.DUMMYFUNCTION("""COMPUTED_VALUE"""),21.0)</f>
        <v>21</v>
      </c>
      <c r="J1952" s="6">
        <f>IFERROR(__xludf.DUMMYFUNCTION("""COMPUTED_VALUE"""),40.73)</f>
        <v>40.73</v>
      </c>
      <c r="K1952" s="6">
        <f>IFERROR(__xludf.DUMMYFUNCTION("""COMPUTED_VALUE"""),47.52)</f>
        <v>47.52</v>
      </c>
      <c r="L1952" s="3"/>
      <c r="M1952" s="3"/>
    </row>
    <row r="1953" ht="48.0" customHeight="1">
      <c r="A1953" s="3" t="str">
        <f>IFERROR(__xludf.DUMMYFUNCTION("""COMPUTED_VALUE"""),"EUCPA")</f>
        <v>EUCPA</v>
      </c>
      <c r="B1953" s="4" t="str">
        <f>IFERROR(__xludf.DUMMYFUNCTION("""COMPUTED_VALUE"""),"TERMINADOR DE ALUMINIO PARA EMPALME CERRADO (BOLSA DE 100 UNIDADES)")</f>
        <v>TERMINADOR DE ALUMINIO PARA EMPALME CERRADO (BOLSA DE 100 UNIDADES)</v>
      </c>
      <c r="C1953" s="4" t="str">
        <f>IFERROR(__xludf.DUMMYFUNCTION("""COMPUTED_VALUE"""),"Terminador de Aluminio para empalme cerrado (Bolsa de 100 unidades)")</f>
        <v>Terminador de Aluminio para empalme cerrado (Bolsa de 100 unidades)</v>
      </c>
      <c r="D1953" s="4" t="str">
        <f>IFERROR(__xludf.DUMMYFUNCTION("""COMPUTED_VALUE"""),"GENERICO")</f>
        <v>GENERICO</v>
      </c>
      <c r="E1953" s="4" t="str">
        <f>IFERROR(__xludf.DUMMYFUNCTION("""COMPUTED_VALUE"""),"EUCPA")</f>
        <v>EUCPA</v>
      </c>
      <c r="F1953" s="4" t="str">
        <f>IFERROR(__xludf.DUMMYFUNCTION("""COMPUTED_VALUE"""),"SEGURIDAD PERIMETRAL &gt; ACCESORIOS DE MONTAJE")</f>
        <v>SEGURIDAD PERIMETRAL &gt; ACCESORIOS DE MONTAJE</v>
      </c>
      <c r="G1953" s="5"/>
      <c r="H1953" s="6">
        <f>IFERROR(__xludf.DUMMYFUNCTION("""COMPUTED_VALUE"""),3.85)</f>
        <v>3.85</v>
      </c>
      <c r="I1953" s="7">
        <f>IFERROR(__xludf.DUMMYFUNCTION("""COMPUTED_VALUE"""),21.0)</f>
        <v>21</v>
      </c>
      <c r="J1953" s="6">
        <f>IFERROR(__xludf.DUMMYFUNCTION("""COMPUTED_VALUE"""),4.62)</f>
        <v>4.62</v>
      </c>
      <c r="K1953" s="6">
        <f>IFERROR(__xludf.DUMMYFUNCTION("""COMPUTED_VALUE"""),5.39)</f>
        <v>5.39</v>
      </c>
      <c r="L1953" s="3"/>
      <c r="M1953" s="3"/>
    </row>
    <row r="1954" ht="48.0" customHeight="1">
      <c r="A1954" s="3" t="str">
        <f>IFERROR(__xludf.DUMMYFUNCTION("""COMPUTED_VALUE"""),"PWSEMP")</f>
        <v>PWSEMP</v>
      </c>
      <c r="B1954" s="4" t="str">
        <f>IFERROR(__xludf.DUMMYFUNCTION("""COMPUTED_VALUE"""),"TERMINADOR DE ALUMINIO PARA EMPALME CERRADO (BOLSA DE 100 UNIDADES)")</f>
        <v>TERMINADOR DE ALUMINIO PARA EMPALME CERRADO (BOLSA DE 100 UNIDADES)</v>
      </c>
      <c r="C1954" s="4" t="str">
        <f>IFERROR(__xludf.DUMMYFUNCTION("""COMPUTED_VALUE"""),"Terminador de Aluminio para empalme cerrado (Bolsa de 100 unidades)")</f>
        <v>Terminador de Aluminio para empalme cerrado (Bolsa de 100 unidades)</v>
      </c>
      <c r="D1954" s="4" t="str">
        <f>IFERROR(__xludf.DUMMYFUNCTION("""COMPUTED_VALUE"""),"GENERICO")</f>
        <v>GENERICO</v>
      </c>
      <c r="E1954" s="4" t="str">
        <f>IFERROR(__xludf.DUMMYFUNCTION("""COMPUTED_VALUE"""),"PWSEMP")</f>
        <v>PWSEMP</v>
      </c>
      <c r="F1954" s="4" t="str">
        <f>IFERROR(__xludf.DUMMYFUNCTION("""COMPUTED_VALUE"""),"SEGURIDAD PERIMETRAL &gt; ACCESORIOS DE MONTAJE")</f>
        <v>SEGURIDAD PERIMETRAL &gt; ACCESORIOS DE MONTAJE</v>
      </c>
      <c r="G1954" s="5"/>
      <c r="H1954" s="6">
        <f>IFERROR(__xludf.DUMMYFUNCTION("""COMPUTED_VALUE"""),19.07)</f>
        <v>19.07</v>
      </c>
      <c r="I1954" s="7">
        <f>IFERROR(__xludf.DUMMYFUNCTION("""COMPUTED_VALUE"""),21.0)</f>
        <v>21</v>
      </c>
      <c r="J1954" s="6">
        <f>IFERROR(__xludf.DUMMYFUNCTION("""COMPUTED_VALUE"""),22.88)</f>
        <v>22.88</v>
      </c>
      <c r="K1954" s="6">
        <f>IFERROR(__xludf.DUMMYFUNCTION("""COMPUTED_VALUE"""),26.7)</f>
        <v>26.7</v>
      </c>
      <c r="L1954" s="3"/>
      <c r="M1954" s="3"/>
    </row>
    <row r="1955" ht="48.0" customHeight="1">
      <c r="A1955" s="3" t="str">
        <f>IFERROR(__xludf.DUMMYFUNCTION("""COMPUTED_VALUE"""),"PWSCLIP")</f>
        <v>PWSCLIP</v>
      </c>
      <c r="B1955" s="4" t="str">
        <f>IFERROR(__xludf.DUMMYFUNCTION("""COMPUTED_VALUE"""),"TERMINADOR DE ALUMINIO PARA EMPALME ABIERTO (BOLSA DE 100 UNIDADES)")</f>
        <v>TERMINADOR DE ALUMINIO PARA EMPALME ABIERTO (BOLSA DE 100 UNIDADES)</v>
      </c>
      <c r="C1955" s="4" t="str">
        <f>IFERROR(__xludf.DUMMYFUNCTION("""COMPUTED_VALUE"""),"Terminador de Aluminio para empalme abierto (Bolsa de 100 unidades)")</f>
        <v>Terminador de Aluminio para empalme abierto (Bolsa de 100 unidades)</v>
      </c>
      <c r="D1955" s="4" t="str">
        <f>IFERROR(__xludf.DUMMYFUNCTION("""COMPUTED_VALUE"""),"GENERICO")</f>
        <v>GENERICO</v>
      </c>
      <c r="E1955" s="4" t="str">
        <f>IFERROR(__xludf.DUMMYFUNCTION("""COMPUTED_VALUE"""),"PWSCLIP")</f>
        <v>PWSCLIP</v>
      </c>
      <c r="F1955" s="4" t="str">
        <f>IFERROR(__xludf.DUMMYFUNCTION("""COMPUTED_VALUE"""),"SEGURIDAD PERIMETRAL &gt; ACCESORIOS DE MONTAJE")</f>
        <v>SEGURIDAD PERIMETRAL &gt; ACCESORIOS DE MONTAJE</v>
      </c>
      <c r="G1955" s="5"/>
      <c r="H1955" s="6">
        <f>IFERROR(__xludf.DUMMYFUNCTION("""COMPUTED_VALUE"""),27.23)</f>
        <v>27.23</v>
      </c>
      <c r="I1955" s="7">
        <f>IFERROR(__xludf.DUMMYFUNCTION("""COMPUTED_VALUE"""),21.0)</f>
        <v>21</v>
      </c>
      <c r="J1955" s="6">
        <f>IFERROR(__xludf.DUMMYFUNCTION("""COMPUTED_VALUE"""),32.68)</f>
        <v>32.68</v>
      </c>
      <c r="K1955" s="6">
        <f>IFERROR(__xludf.DUMMYFUNCTION("""COMPUTED_VALUE"""),38.12)</f>
        <v>38.12</v>
      </c>
      <c r="L1955" s="3"/>
      <c r="M1955" s="3"/>
    </row>
    <row r="1956" ht="48.0" customHeight="1">
      <c r="A1956" s="3" t="str">
        <f>IFERROR(__xludf.DUMMYFUNCTION("""COMPUTED_VALUE"""),"INT-VARCH4")</f>
        <v>INT-VARCH4</v>
      </c>
      <c r="B1956" s="4" t="str">
        <f>IFERROR(__xludf.DUMMYFUNCTION("""COMPUTED_VALUE"""),"VARILLA INTERMEDIA DE ALUMINO CHATA CON 4 AISLADORES PLASTICOS")</f>
        <v>VARILLA INTERMEDIA DE ALUMINO CHATA CON 4 AISLADORES PLASTICOS</v>
      </c>
      <c r="C1956" s="4" t="str">
        <f>IFERROR(__xludf.DUMMYFUNCTION("""COMPUTED_VALUE"""),"Varilla Intermedia de alumino chata con 4 aisladores plasticos")</f>
        <v>Varilla Intermedia de alumino chata con 4 aisladores plasticos</v>
      </c>
      <c r="D1956" s="4" t="str">
        <f>IFERROR(__xludf.DUMMYFUNCTION("""COMPUTED_VALUE"""),"INTELBRAS")</f>
        <v>INTELBRAS</v>
      </c>
      <c r="E1956" s="4" t="str">
        <f>IFERROR(__xludf.DUMMYFUNCTION("""COMPUTED_VALUE"""),"INT-VARCH4")</f>
        <v>INT-VARCH4</v>
      </c>
      <c r="F1956" s="4" t="str">
        <f>IFERROR(__xludf.DUMMYFUNCTION("""COMPUTED_VALUE"""),"SEGURIDAD PERIMETRAL &gt; HERRERÍA – EUROCERCO")</f>
        <v>SEGURIDAD PERIMETRAL &gt; HERRERÍA – EUROCERCO</v>
      </c>
      <c r="G1956" s="5"/>
      <c r="H1956" s="6">
        <f>IFERROR(__xludf.DUMMYFUNCTION("""COMPUTED_VALUE"""),4.18)</f>
        <v>4.18</v>
      </c>
      <c r="I1956" s="7">
        <f>IFERROR(__xludf.DUMMYFUNCTION("""COMPUTED_VALUE"""),21.0)</f>
        <v>21</v>
      </c>
      <c r="J1956" s="6">
        <f>IFERROR(__xludf.DUMMYFUNCTION("""COMPUTED_VALUE"""),5.02)</f>
        <v>5.02</v>
      </c>
      <c r="K1956" s="6">
        <f>IFERROR(__xludf.DUMMYFUNCTION("""COMPUTED_VALUE"""),5.85)</f>
        <v>5.85</v>
      </c>
      <c r="L1956" s="3"/>
      <c r="M1956" s="3"/>
    </row>
    <row r="1957" ht="48.0" customHeight="1">
      <c r="A1957" s="3" t="str">
        <f>IFERROR(__xludf.DUMMYFUNCTION("""COMPUTED_VALUE"""),"INT-VARES4")</f>
        <v>INT-VARES4</v>
      </c>
      <c r="B1957" s="4" t="str">
        <f>IFERROR(__xludf.DUMMYFUNCTION("""COMPUTED_VALUE"""),"VARILLA INTERMEDIA DE ALUMINO ESTRELLA CON 4 AISLADORES PLASTICOS")</f>
        <v>VARILLA INTERMEDIA DE ALUMINO ESTRELLA CON 4 AISLADORES PLASTICOS</v>
      </c>
      <c r="C1957" s="4" t="str">
        <f>IFERROR(__xludf.DUMMYFUNCTION("""COMPUTED_VALUE"""),"Varilla Intermedia de alumino estrella con 4 aisladores plasticos")</f>
        <v>Varilla Intermedia de alumino estrella con 4 aisladores plasticos</v>
      </c>
      <c r="D1957" s="4" t="str">
        <f>IFERROR(__xludf.DUMMYFUNCTION("""COMPUTED_VALUE"""),"INTELBRAS")</f>
        <v>INTELBRAS</v>
      </c>
      <c r="E1957" s="4" t="str">
        <f>IFERROR(__xludf.DUMMYFUNCTION("""COMPUTED_VALUE"""),"INT-VARES4")</f>
        <v>INT-VARES4</v>
      </c>
      <c r="F1957" s="4" t="str">
        <f>IFERROR(__xludf.DUMMYFUNCTION("""COMPUTED_VALUE"""),"SEGURIDAD PERIMETRAL &gt; HERRERÍA – EUROCERCO")</f>
        <v>SEGURIDAD PERIMETRAL &gt; HERRERÍA – EUROCERCO</v>
      </c>
      <c r="G1957" s="5"/>
      <c r="H1957" s="6">
        <f>IFERROR(__xludf.DUMMYFUNCTION("""COMPUTED_VALUE"""),4.18)</f>
        <v>4.18</v>
      </c>
      <c r="I1957" s="7">
        <f>IFERROR(__xludf.DUMMYFUNCTION("""COMPUTED_VALUE"""),21.0)</f>
        <v>21</v>
      </c>
      <c r="J1957" s="6">
        <f>IFERROR(__xludf.DUMMYFUNCTION("""COMPUTED_VALUE"""),5.02)</f>
        <v>5.02</v>
      </c>
      <c r="K1957" s="6">
        <f>IFERROR(__xludf.DUMMYFUNCTION("""COMPUTED_VALUE"""),5.85)</f>
        <v>5.85</v>
      </c>
      <c r="L1957" s="3"/>
      <c r="M1957" s="3"/>
    </row>
    <row r="1958" ht="48.0" customHeight="1">
      <c r="A1958" s="3" t="str">
        <f>IFERROR(__xludf.DUMMYFUNCTION("""COMPUTED_VALUE"""),"INT-VARCH6")</f>
        <v>INT-VARCH6</v>
      </c>
      <c r="B1958" s="4" t="str">
        <f>IFERROR(__xludf.DUMMYFUNCTION("""COMPUTED_VALUE"""),"VARILLA INTERMEDIA DE ALUMINO CHATA CON 6 AISLADORES PLASTICOS")</f>
        <v>VARILLA INTERMEDIA DE ALUMINO CHATA CON 6 AISLADORES PLASTICOS</v>
      </c>
      <c r="C1958" s="4" t="str">
        <f>IFERROR(__xludf.DUMMYFUNCTION("""COMPUTED_VALUE"""),"Varilla Intermedia de alumino chata con 6 aisladores plasticos")</f>
        <v>Varilla Intermedia de alumino chata con 6 aisladores plasticos</v>
      </c>
      <c r="D1958" s="4" t="str">
        <f>IFERROR(__xludf.DUMMYFUNCTION("""COMPUTED_VALUE"""),"INTELBRAS")</f>
        <v>INTELBRAS</v>
      </c>
      <c r="E1958" s="4" t="str">
        <f>IFERROR(__xludf.DUMMYFUNCTION("""COMPUTED_VALUE"""),"INT-VARCH6")</f>
        <v>INT-VARCH6</v>
      </c>
      <c r="F1958" s="4" t="str">
        <f>IFERROR(__xludf.DUMMYFUNCTION("""COMPUTED_VALUE"""),"SEGURIDAD PERIMETRAL &gt; HERRERÍA – EUROCERCO")</f>
        <v>SEGURIDAD PERIMETRAL &gt; HERRERÍA – EUROCERCO</v>
      </c>
      <c r="G1958" s="5"/>
      <c r="H1958" s="6">
        <f>IFERROR(__xludf.DUMMYFUNCTION("""COMPUTED_VALUE"""),5.94)</f>
        <v>5.94</v>
      </c>
      <c r="I1958" s="7">
        <f>IFERROR(__xludf.DUMMYFUNCTION("""COMPUTED_VALUE"""),21.0)</f>
        <v>21</v>
      </c>
      <c r="J1958" s="6">
        <f>IFERROR(__xludf.DUMMYFUNCTION("""COMPUTED_VALUE"""),7.13)</f>
        <v>7.13</v>
      </c>
      <c r="K1958" s="6">
        <f>IFERROR(__xludf.DUMMYFUNCTION("""COMPUTED_VALUE"""),8.32)</f>
        <v>8.32</v>
      </c>
      <c r="L1958" s="3"/>
      <c r="M1958" s="3"/>
    </row>
    <row r="1959" ht="48.0" customHeight="1">
      <c r="A1959" s="3" t="str">
        <f>IFERROR(__xludf.DUMMYFUNCTION("""COMPUTED_VALUE"""),"INT-VARES6")</f>
        <v>INT-VARES6</v>
      </c>
      <c r="B1959" s="4" t="str">
        <f>IFERROR(__xludf.DUMMYFUNCTION("""COMPUTED_VALUE"""),"VARILLA INTERMEDIA DE ALUMINO ESTRELLA CON 6 AISLADORES PLASTICOS")</f>
        <v>VARILLA INTERMEDIA DE ALUMINO ESTRELLA CON 6 AISLADORES PLASTICOS</v>
      </c>
      <c r="C1959" s="4" t="str">
        <f>IFERROR(__xludf.DUMMYFUNCTION("""COMPUTED_VALUE"""),"Varilla Intermedia de alumino estrella con 6 aisladores plasticos")</f>
        <v>Varilla Intermedia de alumino estrella con 6 aisladores plasticos</v>
      </c>
      <c r="D1959" s="4" t="str">
        <f>IFERROR(__xludf.DUMMYFUNCTION("""COMPUTED_VALUE"""),"INTELBRAS")</f>
        <v>INTELBRAS</v>
      </c>
      <c r="E1959" s="4" t="str">
        <f>IFERROR(__xludf.DUMMYFUNCTION("""COMPUTED_VALUE"""),"INT-VARES6")</f>
        <v>INT-VARES6</v>
      </c>
      <c r="F1959" s="4" t="str">
        <f>IFERROR(__xludf.DUMMYFUNCTION("""COMPUTED_VALUE"""),"SEGURIDAD PERIMETRAL &gt; HERRERÍA – EUROCERCO")</f>
        <v>SEGURIDAD PERIMETRAL &gt; HERRERÍA – EUROCERCO</v>
      </c>
      <c r="G1959" s="5"/>
      <c r="H1959" s="6">
        <f>IFERROR(__xludf.DUMMYFUNCTION("""COMPUTED_VALUE"""),5.94)</f>
        <v>5.94</v>
      </c>
      <c r="I1959" s="7">
        <f>IFERROR(__xludf.DUMMYFUNCTION("""COMPUTED_VALUE"""),21.0)</f>
        <v>21</v>
      </c>
      <c r="J1959" s="6">
        <f>IFERROR(__xludf.DUMMYFUNCTION("""COMPUTED_VALUE"""),7.13)</f>
        <v>7.13</v>
      </c>
      <c r="K1959" s="6">
        <f>IFERROR(__xludf.DUMMYFUNCTION("""COMPUTED_VALUE"""),8.32)</f>
        <v>8.32</v>
      </c>
      <c r="L1959" s="3"/>
      <c r="M1959" s="3"/>
    </row>
    <row r="1960" ht="48.0" customHeight="1">
      <c r="A1960" s="3" t="str">
        <f>IFERROR(__xludf.DUMMYFUNCTION("""COMPUTED_VALUE"""),"EUCKIT60F")</f>
        <v>EUCKIT60F</v>
      </c>
      <c r="B1960" s="4" t="str">
        <f>IFERROR(__xludf.DUMMYFUNCTION("""COMPUTED_VALUE"""),"KIT FRENTE DE 10MTS DE 4 HILOS INCLUYE: 3")</f>
        <v>KIT FRENTE DE 10MTS DE 4 HILOS INCLUYE: 3</v>
      </c>
      <c r="C1960" s="4" t="str">
        <f>IFERROR(__xludf.DUMMYFUNCTION("""COMPUTED_VALUE"""),"Kit FRENTE de 10mts de 4 hilos incluye: 3 varillas EUCV60, 3 tapas p/varilla EUCTV, 4 aisladores varillas EUCAV, 1 base varilla EUCBV90, 1 cartel EUCC, 8 aisladores poste EUCAP, 8 resortes PWSRAI y 15 prensacables EUCPA. (NO INCLUYE ALAMBRE NI CABLE ALTA)")</f>
        <v>Kit FRENTE de 10mts de 4 hilos incluye: 3 varillas EUCV60, 3 tapas p/varilla EUCTV, 4 aisladores varillas EUCAV, 1 base varilla EUCBV90, 1 cartel EUCC, 8 aisladores poste EUCAP, 8 resortes PWSRAI y 15 prensacables EUCPA. (NO INCLUYE ALAMBRE NI CABLE ALTA)</v>
      </c>
      <c r="D1960" s="4" t="str">
        <f>IFERROR(__xludf.DUMMYFUNCTION("""COMPUTED_VALUE"""),"EUROCERCO")</f>
        <v>EUROCERCO</v>
      </c>
      <c r="E1960" s="4" t="str">
        <f>IFERROR(__xludf.DUMMYFUNCTION("""COMPUTED_VALUE"""),"EUCKIT60F")</f>
        <v>EUCKIT60F</v>
      </c>
      <c r="F1960" s="4" t="str">
        <f>IFERROR(__xludf.DUMMYFUNCTION("""COMPUTED_VALUE"""),"SEGURIDAD PERIMETRAL &gt; HERRERÍA – EUROCERCO")</f>
        <v>SEGURIDAD PERIMETRAL &gt; HERRERÍA – EUROCERCO</v>
      </c>
      <c r="G1960" s="5"/>
      <c r="H1960" s="6">
        <f>IFERROR(__xludf.DUMMYFUNCTION("""COMPUTED_VALUE"""),61.6)</f>
        <v>61.6</v>
      </c>
      <c r="I1960" s="7">
        <f>IFERROR(__xludf.DUMMYFUNCTION("""COMPUTED_VALUE"""),21.0)</f>
        <v>21</v>
      </c>
      <c r="J1960" s="6">
        <f>IFERROR(__xludf.DUMMYFUNCTION("""COMPUTED_VALUE"""),73.92)</f>
        <v>73.92</v>
      </c>
      <c r="K1960" s="6">
        <f>IFERROR(__xludf.DUMMYFUNCTION("""COMPUTED_VALUE"""),86.24)</f>
        <v>86.24</v>
      </c>
      <c r="L1960" s="3"/>
      <c r="M1960" s="3"/>
    </row>
    <row r="1961" ht="48.0" customHeight="1">
      <c r="A1961" s="3" t="str">
        <f>IFERROR(__xludf.DUMMYFUNCTION("""COMPUTED_VALUE"""),"EUCKIT60L")</f>
        <v>EUCKIT60L</v>
      </c>
      <c r="B1961" s="4" t="str">
        <f>IFERROR(__xludf.DUMMYFUNCTION("""COMPUTED_VALUE"""),"KIT LATERAL ""L"" DE 20MTS DE 4 HILOS INCLUYE:")</f>
        <v>KIT LATERAL "L" DE 20MTS DE 4 HILOS INCLUYE:</v>
      </c>
      <c r="C1961" s="4" t="str">
        <f>IFERROR(__xludf.DUMMYFUNCTION("""COMPUTED_VALUE"""),"Kit LATERAL ""L"" de 20mts de 4 hilos incluye: 1 poste EUCP60, 1 base poste EUCBP90, 1 tapa poste EUCTP, 2 puntales EUCPE15, 4 accesorios EUFUM45, 4 varillas EUCV60, 4 tapas p/varilla EUCTV, 8 aisladores varillas EUCAV, 2 base varilla EUCBV90, 2 carteles "&amp;"EUCC, 16 aisladores poste EUCAP, 16 resortes PWSRAI, 25 prensacables EUCPA. (NO INCLUYE ALAMBRE NI CABLE ALTA)")</f>
        <v>Kit LATERAL "L" de 20mts de 4 hilos incluye: 1 poste EUCP60, 1 base poste EUCBP90, 1 tapa poste EUCTP, 2 puntales EUCPE15, 4 accesorios EUFUM45, 4 varillas EUCV60, 4 tapas p/varilla EUCTV, 8 aisladores varillas EUCAV, 2 base varilla EUCBV90, 2 carteles EUCC, 16 aisladores poste EUCAP, 16 resortes PWSRAI, 25 prensacables EUCPA. (NO INCLUYE ALAMBRE NI CABLE ALTA)</v>
      </c>
      <c r="D1961" s="4" t="str">
        <f>IFERROR(__xludf.DUMMYFUNCTION("""COMPUTED_VALUE"""),"EUROCERCO")</f>
        <v>EUROCERCO</v>
      </c>
      <c r="E1961" s="4" t="str">
        <f>IFERROR(__xludf.DUMMYFUNCTION("""COMPUTED_VALUE"""),"EUCKIT60L")</f>
        <v>EUCKIT60L</v>
      </c>
      <c r="F1961" s="4" t="str">
        <f>IFERROR(__xludf.DUMMYFUNCTION("""COMPUTED_VALUE"""),"SEGURIDAD PERIMETRAL &gt; HERRERÍA – EUROCERCO")</f>
        <v>SEGURIDAD PERIMETRAL &gt; HERRERÍA – EUROCERCO</v>
      </c>
      <c r="G1961" s="5"/>
      <c r="H1961" s="6">
        <f>IFERROR(__xludf.DUMMYFUNCTION("""COMPUTED_VALUE"""),165.0)</f>
        <v>165</v>
      </c>
      <c r="I1961" s="7">
        <f>IFERROR(__xludf.DUMMYFUNCTION("""COMPUTED_VALUE"""),21.0)</f>
        <v>21</v>
      </c>
      <c r="J1961" s="6">
        <f>IFERROR(__xludf.DUMMYFUNCTION("""COMPUTED_VALUE"""),198.0)</f>
        <v>198</v>
      </c>
      <c r="K1961" s="6">
        <f>IFERROR(__xludf.DUMMYFUNCTION("""COMPUTED_VALUE"""),231.0)</f>
        <v>231</v>
      </c>
      <c r="L1961" s="3"/>
      <c r="M1961" s="3"/>
    </row>
    <row r="1962" ht="48.0" customHeight="1">
      <c r="A1962" s="3" t="str">
        <f>IFERROR(__xludf.DUMMYFUNCTION("""COMPUTED_VALUE"""),"EUCKIT60U")</f>
        <v>EUCKIT60U</v>
      </c>
      <c r="B1962" s="4" t="str">
        <f>IFERROR(__xludf.DUMMYFUNCTION("""COMPUTED_VALUE"""),"KIT PERIMETRO ""U"" DE 30MTS DE 4 HILOS INCLUYE:")</f>
        <v>KIT PERIMETRO "U" DE 30MTS DE 4 HILOS INCLUYE:</v>
      </c>
      <c r="C1962" s="4" t="str">
        <f>IFERROR(__xludf.DUMMYFUNCTION("""COMPUTED_VALUE"""),"Kit PERIMETRO ""U"" de 30mts de 4 hilos incluye: 2 poste EUCP60, 2 base poste EUCBP90, 2 tapa poste EUCTP, 4 puntales EUCPE15, 8 accesorios EUFUM45, 5 varillas EUCV60, 5 tapas p/varilla EUCTV, 12 aisladores varillas EUCAV, 3 base varilla EUCBV90, 3 cartel"&amp;"es EUCC, 24 aisladores poste EUCAP, 24 resortes PWSRAI, 35 prensacables EUCPA. (NO INCLUYE ALAMBRE NI CABLE ALTA)")</f>
        <v>Kit PERIMETRO "U" de 30mts de 4 hilos incluye: 2 poste EUCP60, 2 base poste EUCBP90, 2 tapa poste EUCTP, 4 puntales EUCPE15, 8 accesorios EUFUM45, 5 varillas EUCV60, 5 tapas p/varilla EUCTV, 12 aisladores varillas EUCAV, 3 base varilla EUCBV90, 3 carteles EUCC, 24 aisladores poste EUCAP, 24 resortes PWSRAI, 35 prensacables EUCPA. (NO INCLUYE ALAMBRE NI CABLE ALTA)</v>
      </c>
      <c r="D1962" s="4" t="str">
        <f>IFERROR(__xludf.DUMMYFUNCTION("""COMPUTED_VALUE"""),"EUROCERCO")</f>
        <v>EUROCERCO</v>
      </c>
      <c r="E1962" s="4" t="str">
        <f>IFERROR(__xludf.DUMMYFUNCTION("""COMPUTED_VALUE"""),"EUCKIT60U")</f>
        <v>EUCKIT60U</v>
      </c>
      <c r="F1962" s="4" t="str">
        <f>IFERROR(__xludf.DUMMYFUNCTION("""COMPUTED_VALUE"""),"SEGURIDAD PERIMETRAL &gt; HERRERÍA – EUROCERCO")</f>
        <v>SEGURIDAD PERIMETRAL &gt; HERRERÍA – EUROCERCO</v>
      </c>
      <c r="G1962" s="5"/>
      <c r="H1962" s="6">
        <f>IFERROR(__xludf.DUMMYFUNCTION("""COMPUTED_VALUE"""),269.5)</f>
        <v>269.5</v>
      </c>
      <c r="I1962" s="7">
        <f>IFERROR(__xludf.DUMMYFUNCTION("""COMPUTED_VALUE"""),21.0)</f>
        <v>21</v>
      </c>
      <c r="J1962" s="6">
        <f>IFERROR(__xludf.DUMMYFUNCTION("""COMPUTED_VALUE"""),323.4)</f>
        <v>323.4</v>
      </c>
      <c r="K1962" s="6">
        <f>IFERROR(__xludf.DUMMYFUNCTION("""COMPUTED_VALUE"""),377.3)</f>
        <v>377.3</v>
      </c>
      <c r="L1962" s="3"/>
      <c r="M1962" s="3"/>
    </row>
    <row r="1963" ht="48.0" customHeight="1">
      <c r="A1963" s="3" t="str">
        <f>IFERROR(__xludf.DUMMYFUNCTION("""COMPUTED_VALUE"""),"EUCKIT90F")</f>
        <v>EUCKIT90F</v>
      </c>
      <c r="B1963" s="4" t="str">
        <f>IFERROR(__xludf.DUMMYFUNCTION("""COMPUTED_VALUE"""),"KIT FRENTE DE 10MTS DE 6 HILOS INCLUYE: 3")</f>
        <v>KIT FRENTE DE 10MTS DE 6 HILOS INCLUYE: 3</v>
      </c>
      <c r="C1963" s="4" t="str">
        <f>IFERROR(__xludf.DUMMYFUNCTION("""COMPUTED_VALUE"""),"Kit FRENTE de 10mts de 6 hilos incluye: 3 varillas EUCV90, 3 tapas para varilla EUCTV, 6 aisladores varillas EUCAV, 1 base varilla EUCBV90, 1 cartel EUCC, 12 aisladores poste EUCAP, 12 resortes PWSRAI y 20 prensacables EUCPA. (NO INCLUYE ALAMBRE NI CABLE "&amp;"ALTA)")</f>
        <v>Kit FRENTE de 10mts de 6 hilos incluye: 3 varillas EUCV90, 3 tapas para varilla EUCTV, 6 aisladores varillas EUCAV, 1 base varilla EUCBV90, 1 cartel EUCC, 12 aisladores poste EUCAP, 12 resortes PWSRAI y 20 prensacables EUCPA. (NO INCLUYE ALAMBRE NI CABLE ALTA)</v>
      </c>
      <c r="D1963" s="4" t="str">
        <f>IFERROR(__xludf.DUMMYFUNCTION("""COMPUTED_VALUE"""),"EUROCERCO")</f>
        <v>EUROCERCO</v>
      </c>
      <c r="E1963" s="4" t="str">
        <f>IFERROR(__xludf.DUMMYFUNCTION("""COMPUTED_VALUE"""),"EUCKIT90F")</f>
        <v>EUCKIT90F</v>
      </c>
      <c r="F1963" s="4" t="str">
        <f>IFERROR(__xludf.DUMMYFUNCTION("""COMPUTED_VALUE"""),"SEGURIDAD PERIMETRAL &gt; HERRERÍA – EUROCERCO")</f>
        <v>SEGURIDAD PERIMETRAL &gt; HERRERÍA – EUROCERCO</v>
      </c>
      <c r="G1963" s="5"/>
      <c r="H1963" s="6">
        <f>IFERROR(__xludf.DUMMYFUNCTION("""COMPUTED_VALUE"""),77.0)</f>
        <v>77</v>
      </c>
      <c r="I1963" s="7">
        <f>IFERROR(__xludf.DUMMYFUNCTION("""COMPUTED_VALUE"""),21.0)</f>
        <v>21</v>
      </c>
      <c r="J1963" s="6">
        <f>IFERROR(__xludf.DUMMYFUNCTION("""COMPUTED_VALUE"""),92.4)</f>
        <v>92.4</v>
      </c>
      <c r="K1963" s="6">
        <f>IFERROR(__xludf.DUMMYFUNCTION("""COMPUTED_VALUE"""),107.8)</f>
        <v>107.8</v>
      </c>
      <c r="L1963" s="3"/>
      <c r="M1963" s="3"/>
    </row>
    <row r="1964" ht="48.0" customHeight="1">
      <c r="A1964" s="3" t="str">
        <f>IFERROR(__xludf.DUMMYFUNCTION("""COMPUTED_VALUE"""),"EUCKIT90L")</f>
        <v>EUCKIT90L</v>
      </c>
      <c r="B1964" s="4" t="str">
        <f>IFERROR(__xludf.DUMMYFUNCTION("""COMPUTED_VALUE"""),"KIT LATERAL ""L"" DE 20MTS DE 6 HILOS INCLUYE:")</f>
        <v>KIT LATERAL "L" DE 20MTS DE 6 HILOS INCLUYE:</v>
      </c>
      <c r="C1964" s="4" t="str">
        <f>IFERROR(__xludf.DUMMYFUNCTION("""COMPUTED_VALUE"""),"Kit LATERAL ""L"" de 20mts de 6 hilos incluye: 1 poste EUCP90, 1 base poste EUCBP90, 1 tapa poste EUCTP, 2 puntales EUCPE30, 4 accesorios EUFUM45, 4 varillas EUCV90, 4 tapas p/varilla EUCTV, 12 aisladores varillas EUCAV, 2 base varilla EUCBV90, 2 carteles"&amp;" EUCC, 24 aisladores poste EUCAP, 24 resortes PWSRAI, 30 prensacables EUCPA. (NO INCLUYE ALAMBRE NI CABLE ALTA)")</f>
        <v>Kit LATERAL "L" de 20mts de 6 hilos incluye: 1 poste EUCP90, 1 base poste EUCBP90, 1 tapa poste EUCTP, 2 puntales EUCPE30, 4 accesorios EUFUM45, 4 varillas EUCV90, 4 tapas p/varilla EUCTV, 12 aisladores varillas EUCAV, 2 base varilla EUCBV90, 2 carteles EUCC, 24 aisladores poste EUCAP, 24 resortes PWSRAI, 30 prensacables EUCPA. (NO INCLUYE ALAMBRE NI CABLE ALTA)</v>
      </c>
      <c r="D1964" s="4" t="str">
        <f>IFERROR(__xludf.DUMMYFUNCTION("""COMPUTED_VALUE"""),"EUROCERCO")</f>
        <v>EUROCERCO</v>
      </c>
      <c r="E1964" s="4" t="str">
        <f>IFERROR(__xludf.DUMMYFUNCTION("""COMPUTED_VALUE"""),"EUCKIT90L")</f>
        <v>EUCKIT90L</v>
      </c>
      <c r="F1964" s="4" t="str">
        <f>IFERROR(__xludf.DUMMYFUNCTION("""COMPUTED_VALUE"""),"SEGURIDAD PERIMETRAL &gt; HERRERÍA – EUROCERCO")</f>
        <v>SEGURIDAD PERIMETRAL &gt; HERRERÍA – EUROCERCO</v>
      </c>
      <c r="G1964" s="5"/>
      <c r="H1964" s="6">
        <f>IFERROR(__xludf.DUMMYFUNCTION("""COMPUTED_VALUE"""),209.0)</f>
        <v>209</v>
      </c>
      <c r="I1964" s="7">
        <f>IFERROR(__xludf.DUMMYFUNCTION("""COMPUTED_VALUE"""),21.0)</f>
        <v>21</v>
      </c>
      <c r="J1964" s="6">
        <f>IFERROR(__xludf.DUMMYFUNCTION("""COMPUTED_VALUE"""),250.8)</f>
        <v>250.8</v>
      </c>
      <c r="K1964" s="6">
        <f>IFERROR(__xludf.DUMMYFUNCTION("""COMPUTED_VALUE"""),292.6)</f>
        <v>292.6</v>
      </c>
      <c r="L1964" s="3"/>
      <c r="M1964" s="3"/>
    </row>
    <row r="1965" ht="48.0" customHeight="1">
      <c r="A1965" s="3" t="str">
        <f>IFERROR(__xludf.DUMMYFUNCTION("""COMPUTED_VALUE"""),"EUCKIT90U")</f>
        <v>EUCKIT90U</v>
      </c>
      <c r="B1965" s="4" t="str">
        <f>IFERROR(__xludf.DUMMYFUNCTION("""COMPUTED_VALUE"""),"KIT PERIMETRO ""U"" DE 30MTS DE 6 HILOS INCLUYE:")</f>
        <v>KIT PERIMETRO "U" DE 30MTS DE 6 HILOS INCLUYE:</v>
      </c>
      <c r="C1965" s="4" t="str">
        <f>IFERROR(__xludf.DUMMYFUNCTION("""COMPUTED_VALUE"""),"Kit PERIMETRO ""U"" de 30mts de 6 hilos incluye: 2 poste EUCP90, 2 base poste EUCBP90, 2 tapa poste EUCTP, 4 puntales EUCPE30, 8 accesorios EUFUM45, 5 varillas EUCV90, 5 tapas p/varilla EUCTV, 18 aisladores varillas EUCAV, 3 base varilla EUCBV90, 3 cartel"&amp;"es EUCC, 36 aisladores poste EUCAP, 36 resortes PWSRAI, 50 prensacables EUCPA. (NO INCLUYE ALAMBRE NI CABLE ALTA)")</f>
        <v>Kit PERIMETRO "U" de 30mts de 6 hilos incluye: 2 poste EUCP90, 2 base poste EUCBP90, 2 tapa poste EUCTP, 4 puntales EUCPE30, 8 accesorios EUFUM45, 5 varillas EUCV90, 5 tapas p/varilla EUCTV, 18 aisladores varillas EUCAV, 3 base varilla EUCBV90, 3 carteles EUCC, 36 aisladores poste EUCAP, 36 resortes PWSRAI, 50 prensacables EUCPA. (NO INCLUYE ALAMBRE NI CABLE ALTA)</v>
      </c>
      <c r="D1965" s="4" t="str">
        <f>IFERROR(__xludf.DUMMYFUNCTION("""COMPUTED_VALUE"""),"EUROCERCO")</f>
        <v>EUROCERCO</v>
      </c>
      <c r="E1965" s="4" t="str">
        <f>IFERROR(__xludf.DUMMYFUNCTION("""COMPUTED_VALUE"""),"EUCKIT90U")</f>
        <v>EUCKIT90U</v>
      </c>
      <c r="F1965" s="4" t="str">
        <f>IFERROR(__xludf.DUMMYFUNCTION("""COMPUTED_VALUE"""),"SEGURIDAD PERIMETRAL &gt; HERRERÍA – EUROCERCO")</f>
        <v>SEGURIDAD PERIMETRAL &gt; HERRERÍA – EUROCERCO</v>
      </c>
      <c r="G1965" s="5"/>
      <c r="H1965" s="6">
        <f>IFERROR(__xludf.DUMMYFUNCTION("""COMPUTED_VALUE"""),335.5)</f>
        <v>335.5</v>
      </c>
      <c r="I1965" s="7">
        <f>IFERROR(__xludf.DUMMYFUNCTION("""COMPUTED_VALUE"""),21.0)</f>
        <v>21</v>
      </c>
      <c r="J1965" s="6">
        <f>IFERROR(__xludf.DUMMYFUNCTION("""COMPUTED_VALUE"""),402.6)</f>
        <v>402.6</v>
      </c>
      <c r="K1965" s="6">
        <f>IFERROR(__xludf.DUMMYFUNCTION("""COMPUTED_VALUE"""),469.7)</f>
        <v>469.7</v>
      </c>
      <c r="L1965" s="3"/>
      <c r="M1965" s="3"/>
    </row>
    <row r="1966" ht="48.0" customHeight="1">
      <c r="A1966" s="3" t="str">
        <f>IFERROR(__xludf.DUMMYFUNCTION("""COMPUTED_VALUE"""),"EUCP300")</f>
        <v>EUCP300</v>
      </c>
      <c r="B1966" s="4" t="str">
        <f>IFERROR(__xludf.DUMMYFUNCTION("""COMPUTED_VALUE"""),"POSTE X 3 MTS (16 HILOS) AUTOSOSTENIDO")</f>
        <v>POSTE X 3 MTS (16 HILOS) AUTOSOSTENIDO</v>
      </c>
      <c r="C1966" s="4" t="str">
        <f>IFERROR(__xludf.DUMMYFUNCTION("""COMPUTED_VALUE"""),"Poste x 3 mts (16 hilos) AUTOSOSTENIDO")</f>
        <v>Poste x 3 mts (16 hilos) AUTOSOSTENIDO</v>
      </c>
      <c r="D1966" s="4" t="str">
        <f>IFERROR(__xludf.DUMMYFUNCTION("""COMPUTED_VALUE"""),"EUROCERCO")</f>
        <v>EUROCERCO</v>
      </c>
      <c r="E1966" s="4" t="str">
        <f>IFERROR(__xludf.DUMMYFUNCTION("""COMPUTED_VALUE"""),"EUCP300")</f>
        <v>EUCP300</v>
      </c>
      <c r="F1966" s="4" t="str">
        <f>IFERROR(__xludf.DUMMYFUNCTION("""COMPUTED_VALUE"""),"SEGURIDAD PERIMETRAL &gt; HERRERÍA – EUROCERCO")</f>
        <v>SEGURIDAD PERIMETRAL &gt; HERRERÍA – EUROCERCO</v>
      </c>
      <c r="G1966" s="5"/>
      <c r="H1966" s="6">
        <f>IFERROR(__xludf.DUMMYFUNCTION("""COMPUTED_VALUE"""),132.0)</f>
        <v>132</v>
      </c>
      <c r="I1966" s="7">
        <f>IFERROR(__xludf.DUMMYFUNCTION("""COMPUTED_VALUE"""),21.0)</f>
        <v>21</v>
      </c>
      <c r="J1966" s="6">
        <f>IFERROR(__xludf.DUMMYFUNCTION("""COMPUTED_VALUE"""),158.4)</f>
        <v>158.4</v>
      </c>
      <c r="K1966" s="6">
        <f>IFERROR(__xludf.DUMMYFUNCTION("""COMPUTED_VALUE"""),184.8)</f>
        <v>184.8</v>
      </c>
      <c r="L1966" s="3"/>
      <c r="M1966" s="3"/>
    </row>
    <row r="1967" ht="48.0" customHeight="1">
      <c r="A1967" s="3" t="str">
        <f>IFERROR(__xludf.DUMMYFUNCTION("""COMPUTED_VALUE"""),"EUCP120")</f>
        <v>EUCP120</v>
      </c>
      <c r="B1967" s="4" t="str">
        <f>IFERROR(__xludf.DUMMYFUNCTION("""COMPUTED_VALUE"""),"POSTE 1,20 M")</f>
        <v>POSTE 1,20 M</v>
      </c>
      <c r="C1967" s="4" t="str">
        <f>IFERROR(__xludf.DUMMYFUNCTION("""COMPUTED_VALUE"""),"Poste 1,20 m. (8 hilos) SOBRE MURO")</f>
        <v>Poste 1,20 m. (8 hilos) SOBRE MURO</v>
      </c>
      <c r="D1967" s="4" t="str">
        <f>IFERROR(__xludf.DUMMYFUNCTION("""COMPUTED_VALUE"""),"EUROCERCO")</f>
        <v>EUROCERCO</v>
      </c>
      <c r="E1967" s="4" t="str">
        <f>IFERROR(__xludf.DUMMYFUNCTION("""COMPUTED_VALUE"""),"EUCP120")</f>
        <v>EUCP120</v>
      </c>
      <c r="F1967" s="4" t="str">
        <f>IFERROR(__xludf.DUMMYFUNCTION("""COMPUTED_VALUE"""),"SEGURIDAD PERIMETRAL &gt; HERRERÍA – EUROCERCO")</f>
        <v>SEGURIDAD PERIMETRAL &gt; HERRERÍA – EUROCERCO</v>
      </c>
      <c r="G1967" s="5"/>
      <c r="H1967" s="6">
        <f>IFERROR(__xludf.DUMMYFUNCTION("""COMPUTED_VALUE"""),44.0)</f>
        <v>44</v>
      </c>
      <c r="I1967" s="7">
        <f>IFERROR(__xludf.DUMMYFUNCTION("""COMPUTED_VALUE"""),21.0)</f>
        <v>21</v>
      </c>
      <c r="J1967" s="6">
        <f>IFERROR(__xludf.DUMMYFUNCTION("""COMPUTED_VALUE"""),52.8)</f>
        <v>52.8</v>
      </c>
      <c r="K1967" s="6">
        <f>IFERROR(__xludf.DUMMYFUNCTION("""COMPUTED_VALUE"""),61.6)</f>
        <v>61.6</v>
      </c>
      <c r="L1967" s="3"/>
      <c r="M1967" s="3"/>
    </row>
    <row r="1968" ht="48.0" customHeight="1">
      <c r="A1968" s="3" t="str">
        <f>IFERROR(__xludf.DUMMYFUNCTION("""COMPUTED_VALUE"""),"EUCP90")</f>
        <v>EUCP90</v>
      </c>
      <c r="B1968" s="4" t="str">
        <f>IFERROR(__xludf.DUMMYFUNCTION("""COMPUTED_VALUE"""),"POSTE 0,90 M")</f>
        <v>POSTE 0,90 M</v>
      </c>
      <c r="C1968" s="4" t="str">
        <f>IFERROR(__xludf.DUMMYFUNCTION("""COMPUTED_VALUE"""),"Poste 0,90 m. (6 hilos) SOBRE MURO")</f>
        <v>Poste 0,90 m. (6 hilos) SOBRE MURO</v>
      </c>
      <c r="D1968" s="4" t="str">
        <f>IFERROR(__xludf.DUMMYFUNCTION("""COMPUTED_VALUE"""),"EUROCERCO")</f>
        <v>EUROCERCO</v>
      </c>
      <c r="E1968" s="4" t="str">
        <f>IFERROR(__xludf.DUMMYFUNCTION("""COMPUTED_VALUE"""),"EUCP90")</f>
        <v>EUCP90</v>
      </c>
      <c r="F1968" s="4" t="str">
        <f>IFERROR(__xludf.DUMMYFUNCTION("""COMPUTED_VALUE"""),"SEGURIDAD PERIMETRAL &gt; HERRERÍA – EUROCERCO")</f>
        <v>SEGURIDAD PERIMETRAL &gt; HERRERÍA – EUROCERCO</v>
      </c>
      <c r="G1968" s="5"/>
      <c r="H1968" s="6">
        <f>IFERROR(__xludf.DUMMYFUNCTION("""COMPUTED_VALUE"""),33.0)</f>
        <v>33</v>
      </c>
      <c r="I1968" s="7">
        <f>IFERROR(__xludf.DUMMYFUNCTION("""COMPUTED_VALUE"""),21.0)</f>
        <v>21</v>
      </c>
      <c r="J1968" s="6">
        <f>IFERROR(__xludf.DUMMYFUNCTION("""COMPUTED_VALUE"""),39.6)</f>
        <v>39.6</v>
      </c>
      <c r="K1968" s="6">
        <f>IFERROR(__xludf.DUMMYFUNCTION("""COMPUTED_VALUE"""),46.2)</f>
        <v>46.2</v>
      </c>
      <c r="L1968" s="3"/>
      <c r="M1968" s="3"/>
    </row>
    <row r="1969" ht="48.0" customHeight="1">
      <c r="A1969" s="3" t="str">
        <f>IFERROR(__xludf.DUMMYFUNCTION("""COMPUTED_VALUE"""),"EUCP60")</f>
        <v>EUCP60</v>
      </c>
      <c r="B1969" s="4" t="str">
        <f>IFERROR(__xludf.DUMMYFUNCTION("""COMPUTED_VALUE"""),"POSTE 0,60 M")</f>
        <v>POSTE 0,60 M</v>
      </c>
      <c r="C1969" s="4" t="str">
        <f>IFERROR(__xludf.DUMMYFUNCTION("""COMPUTED_VALUE"""),"Poste 0,60 m. (4 hilos) SOBRE MURO")</f>
        <v>Poste 0,60 m. (4 hilos) SOBRE MURO</v>
      </c>
      <c r="D1969" s="4" t="str">
        <f>IFERROR(__xludf.DUMMYFUNCTION("""COMPUTED_VALUE"""),"EUROCERCO")</f>
        <v>EUROCERCO</v>
      </c>
      <c r="E1969" s="4" t="str">
        <f>IFERROR(__xludf.DUMMYFUNCTION("""COMPUTED_VALUE"""),"EUCP60")</f>
        <v>EUCP60</v>
      </c>
      <c r="F1969" s="4" t="str">
        <f>IFERROR(__xludf.DUMMYFUNCTION("""COMPUTED_VALUE"""),"SEGURIDAD PERIMETRAL &gt; HERRERÍA – EUROCERCO")</f>
        <v>SEGURIDAD PERIMETRAL &gt; HERRERÍA – EUROCERCO</v>
      </c>
      <c r="G1969" s="5"/>
      <c r="H1969" s="6">
        <f>IFERROR(__xludf.DUMMYFUNCTION("""COMPUTED_VALUE"""),22.0)</f>
        <v>22</v>
      </c>
      <c r="I1969" s="7">
        <f>IFERROR(__xludf.DUMMYFUNCTION("""COMPUTED_VALUE"""),21.0)</f>
        <v>21</v>
      </c>
      <c r="J1969" s="6">
        <f>IFERROR(__xludf.DUMMYFUNCTION("""COMPUTED_VALUE"""),26.4)</f>
        <v>26.4</v>
      </c>
      <c r="K1969" s="6">
        <f>IFERROR(__xludf.DUMMYFUNCTION("""COMPUTED_VALUE"""),30.8)</f>
        <v>30.8</v>
      </c>
      <c r="L1969" s="3"/>
      <c r="M1969" s="3"/>
    </row>
    <row r="1970" ht="48.0" customHeight="1">
      <c r="A1970" s="3" t="str">
        <f>IFERROR(__xludf.DUMMYFUNCTION("""COMPUTED_VALUE"""),"EUCV60")</f>
        <v>EUCV60</v>
      </c>
      <c r="B1970" s="4" t="str">
        <f>IFERROR(__xludf.DUMMYFUNCTION("""COMPUTED_VALUE"""),"VARILLA 0,60 M")</f>
        <v>VARILLA 0,60 M</v>
      </c>
      <c r="C1970" s="4" t="str">
        <f>IFERROR(__xludf.DUMMYFUNCTION("""COMPUTED_VALUE"""),"Varilla 0,60 m. (4 hilos) SOBRE MURO")</f>
        <v>Varilla 0,60 m. (4 hilos) SOBRE MURO</v>
      </c>
      <c r="D1970" s="4" t="str">
        <f>IFERROR(__xludf.DUMMYFUNCTION("""COMPUTED_VALUE"""),"EUROCERCO")</f>
        <v>EUROCERCO</v>
      </c>
      <c r="E1970" s="4" t="str">
        <f>IFERROR(__xludf.DUMMYFUNCTION("""COMPUTED_VALUE"""),"EUCV60")</f>
        <v>EUCV60</v>
      </c>
      <c r="F1970" s="4" t="str">
        <f>IFERROR(__xludf.DUMMYFUNCTION("""COMPUTED_VALUE"""),"SEGURIDAD PERIMETRAL &gt; HERRERÍA – EUROCERCO")</f>
        <v>SEGURIDAD PERIMETRAL &gt; HERRERÍA – EUROCERCO</v>
      </c>
      <c r="G1970" s="5"/>
      <c r="H1970" s="6">
        <f>IFERROR(__xludf.DUMMYFUNCTION("""COMPUTED_VALUE"""),9.35)</f>
        <v>9.35</v>
      </c>
      <c r="I1970" s="7">
        <f>IFERROR(__xludf.DUMMYFUNCTION("""COMPUTED_VALUE"""),21.0)</f>
        <v>21</v>
      </c>
      <c r="J1970" s="6">
        <f>IFERROR(__xludf.DUMMYFUNCTION("""COMPUTED_VALUE"""),11.22)</f>
        <v>11.22</v>
      </c>
      <c r="K1970" s="6">
        <f>IFERROR(__xludf.DUMMYFUNCTION("""COMPUTED_VALUE"""),13.09)</f>
        <v>13.09</v>
      </c>
      <c r="L1970" s="3"/>
      <c r="M1970" s="3"/>
    </row>
    <row r="1971" ht="48.0" customHeight="1">
      <c r="A1971" s="3" t="str">
        <f>IFERROR(__xludf.DUMMYFUNCTION("""COMPUTED_VALUE"""),"EUCV90")</f>
        <v>EUCV90</v>
      </c>
      <c r="B1971" s="4" t="str">
        <f>IFERROR(__xludf.DUMMYFUNCTION("""COMPUTED_VALUE"""),"VARILLA 0,90 M")</f>
        <v>VARILLA 0,90 M</v>
      </c>
      <c r="C1971" s="4" t="str">
        <f>IFERROR(__xludf.DUMMYFUNCTION("""COMPUTED_VALUE"""),"Varilla 0,90 m. (6 hilos) SOBRE MURO")</f>
        <v>Varilla 0,90 m. (6 hilos) SOBRE MURO</v>
      </c>
      <c r="D1971" s="4" t="str">
        <f>IFERROR(__xludf.DUMMYFUNCTION("""COMPUTED_VALUE"""),"EUROCERCO")</f>
        <v>EUROCERCO</v>
      </c>
      <c r="E1971" s="4" t="str">
        <f>IFERROR(__xludf.DUMMYFUNCTION("""COMPUTED_VALUE"""),"EUCV90")</f>
        <v>EUCV90</v>
      </c>
      <c r="F1971" s="4" t="str">
        <f>IFERROR(__xludf.DUMMYFUNCTION("""COMPUTED_VALUE"""),"SEGURIDAD PERIMETRAL &gt; HERRERÍA – EUROCERCO")</f>
        <v>SEGURIDAD PERIMETRAL &gt; HERRERÍA – EUROCERCO</v>
      </c>
      <c r="G1971" s="5"/>
      <c r="H1971" s="6">
        <f>IFERROR(__xludf.DUMMYFUNCTION("""COMPUTED_VALUE"""),11.55)</f>
        <v>11.55</v>
      </c>
      <c r="I1971" s="7">
        <f>IFERROR(__xludf.DUMMYFUNCTION("""COMPUTED_VALUE"""),21.0)</f>
        <v>21</v>
      </c>
      <c r="J1971" s="6">
        <f>IFERROR(__xludf.DUMMYFUNCTION("""COMPUTED_VALUE"""),13.86)</f>
        <v>13.86</v>
      </c>
      <c r="K1971" s="6">
        <f>IFERROR(__xludf.DUMMYFUNCTION("""COMPUTED_VALUE"""),16.17)</f>
        <v>16.17</v>
      </c>
      <c r="L1971" s="3"/>
      <c r="M1971" s="3"/>
    </row>
    <row r="1972" ht="48.0" customHeight="1">
      <c r="A1972" s="3" t="str">
        <f>IFERROR(__xludf.DUMMYFUNCTION("""COMPUTED_VALUE"""),"EUCV120")</f>
        <v>EUCV120</v>
      </c>
      <c r="B1972" s="4" t="str">
        <f>IFERROR(__xludf.DUMMYFUNCTION("""COMPUTED_VALUE"""),"VARILLA 1,20 M")</f>
        <v>VARILLA 1,20 M</v>
      </c>
      <c r="C1972" s="4" t="str">
        <f>IFERROR(__xludf.DUMMYFUNCTION("""COMPUTED_VALUE"""),"Varilla 1,20 m. (8 hilos) SOBRE MURO")</f>
        <v>Varilla 1,20 m. (8 hilos) SOBRE MURO</v>
      </c>
      <c r="D1972" s="4" t="str">
        <f>IFERROR(__xludf.DUMMYFUNCTION("""COMPUTED_VALUE"""),"EUROCERCO")</f>
        <v>EUROCERCO</v>
      </c>
      <c r="E1972" s="4" t="str">
        <f>IFERROR(__xludf.DUMMYFUNCTION("""COMPUTED_VALUE"""),"EUCV120")</f>
        <v>EUCV120</v>
      </c>
      <c r="F1972" s="4" t="str">
        <f>IFERROR(__xludf.DUMMYFUNCTION("""COMPUTED_VALUE"""),"SEGURIDAD PERIMETRAL &gt; HERRERÍA – EUROCERCO")</f>
        <v>SEGURIDAD PERIMETRAL &gt; HERRERÍA – EUROCERCO</v>
      </c>
      <c r="G1972" s="5"/>
      <c r="H1972" s="6">
        <f>IFERROR(__xludf.DUMMYFUNCTION("""COMPUTED_VALUE"""),13.75)</f>
        <v>13.75</v>
      </c>
      <c r="I1972" s="7">
        <f>IFERROR(__xludf.DUMMYFUNCTION("""COMPUTED_VALUE"""),21.0)</f>
        <v>21</v>
      </c>
      <c r="J1972" s="6">
        <f>IFERROR(__xludf.DUMMYFUNCTION("""COMPUTED_VALUE"""),16.5)</f>
        <v>16.5</v>
      </c>
      <c r="K1972" s="6">
        <f>IFERROR(__xludf.DUMMYFUNCTION("""COMPUTED_VALUE"""),19.25)</f>
        <v>19.25</v>
      </c>
      <c r="L1972" s="3"/>
      <c r="M1972" s="3"/>
    </row>
    <row r="1973" ht="48.0" customHeight="1">
      <c r="A1973" s="3" t="str">
        <f>IFERROR(__xludf.DUMMYFUNCTION("""COMPUTED_VALUE"""),"EUCV240")</f>
        <v>EUCV240</v>
      </c>
      <c r="B1973" s="4" t="str">
        <f>IFERROR(__xludf.DUMMYFUNCTION("""COMPUTED_VALUE"""),"VARILLA X 2,4 M")</f>
        <v>VARILLA X 2,4 M</v>
      </c>
      <c r="C1973" s="4" t="str">
        <f>IFERROR(__xludf.DUMMYFUNCTION("""COMPUTED_VALUE"""),"Varilla x 2,4 m. (16 hilos) AUTOSOSTENIDO")</f>
        <v>Varilla x 2,4 m. (16 hilos) AUTOSOSTENIDO</v>
      </c>
      <c r="D1973" s="4" t="str">
        <f>IFERROR(__xludf.DUMMYFUNCTION("""COMPUTED_VALUE"""),"EUROCERCO")</f>
        <v>EUROCERCO</v>
      </c>
      <c r="E1973" s="4" t="str">
        <f>IFERROR(__xludf.DUMMYFUNCTION("""COMPUTED_VALUE"""),"EUCV240")</f>
        <v>EUCV240</v>
      </c>
      <c r="F1973" s="4" t="str">
        <f>IFERROR(__xludf.DUMMYFUNCTION("""COMPUTED_VALUE"""),"SEGURIDAD PERIMETRAL &gt; HERRERÍA – EUROCERCO")</f>
        <v>SEGURIDAD PERIMETRAL &gt; HERRERÍA – EUROCERCO</v>
      </c>
      <c r="G1973" s="5"/>
      <c r="H1973" s="6">
        <f>IFERROR(__xludf.DUMMYFUNCTION("""COMPUTED_VALUE"""),27.5)</f>
        <v>27.5</v>
      </c>
      <c r="I1973" s="7">
        <f>IFERROR(__xludf.DUMMYFUNCTION("""COMPUTED_VALUE"""),21.0)</f>
        <v>21</v>
      </c>
      <c r="J1973" s="6">
        <f>IFERROR(__xludf.DUMMYFUNCTION("""COMPUTED_VALUE"""),33.0)</f>
        <v>33</v>
      </c>
      <c r="K1973" s="6">
        <f>IFERROR(__xludf.DUMMYFUNCTION("""COMPUTED_VALUE"""),38.5)</f>
        <v>38.5</v>
      </c>
      <c r="L1973" s="3"/>
      <c r="M1973" s="3"/>
    </row>
    <row r="1974" ht="48.0" customHeight="1">
      <c r="A1974" s="3" t="str">
        <f>IFERROR(__xludf.DUMMYFUNCTION("""COMPUTED_VALUE"""),"EUCV60D")</f>
        <v>EUCV60D</v>
      </c>
      <c r="B1974" s="4" t="str">
        <f>IFERROR(__xludf.DUMMYFUNCTION("""COMPUTED_VALUE"""),"VARILLA 0,60 MTS")</f>
        <v>VARILLA 0,60 MTS</v>
      </c>
      <c r="C1974" s="4" t="str">
        <f>IFERROR(__xludf.DUMMYFUNCTION("""COMPUTED_VALUE"""),"Varilla 0,60 mts.(4 hilos) SOBRE MURO a 45º")</f>
        <v>Varilla 0,60 mts.(4 hilos) SOBRE MURO a 45º</v>
      </c>
      <c r="D1974" s="4" t="str">
        <f>IFERROR(__xludf.DUMMYFUNCTION("""COMPUTED_VALUE"""),"EUROCERCO")</f>
        <v>EUROCERCO</v>
      </c>
      <c r="E1974" s="4" t="str">
        <f>IFERROR(__xludf.DUMMYFUNCTION("""COMPUTED_VALUE"""),"EUCV60D")</f>
        <v>EUCV60D</v>
      </c>
      <c r="F1974" s="4" t="str">
        <f>IFERROR(__xludf.DUMMYFUNCTION("""COMPUTED_VALUE"""),"SEGURIDAD PERIMETRAL &gt; HERRERÍA – EUROCERCO")</f>
        <v>SEGURIDAD PERIMETRAL &gt; HERRERÍA – EUROCERCO</v>
      </c>
      <c r="G1974" s="5"/>
      <c r="H1974" s="6">
        <f>IFERROR(__xludf.DUMMYFUNCTION("""COMPUTED_VALUE"""),9.35)</f>
        <v>9.35</v>
      </c>
      <c r="I1974" s="7">
        <f>IFERROR(__xludf.DUMMYFUNCTION("""COMPUTED_VALUE"""),21.0)</f>
        <v>21</v>
      </c>
      <c r="J1974" s="6">
        <f>IFERROR(__xludf.DUMMYFUNCTION("""COMPUTED_VALUE"""),11.22)</f>
        <v>11.22</v>
      </c>
      <c r="K1974" s="6">
        <f>IFERROR(__xludf.DUMMYFUNCTION("""COMPUTED_VALUE"""),13.09)</f>
        <v>13.09</v>
      </c>
      <c r="L1974" s="3"/>
      <c r="M1974" s="3"/>
    </row>
    <row r="1975" ht="48.0" customHeight="1">
      <c r="A1975" s="3" t="str">
        <f>IFERROR(__xludf.DUMMYFUNCTION("""COMPUTED_VALUE"""),"EUCV90D")</f>
        <v>EUCV90D</v>
      </c>
      <c r="B1975" s="4" t="str">
        <f>IFERROR(__xludf.DUMMYFUNCTION("""COMPUTED_VALUE"""),"VARILLA 0,90 MTS")</f>
        <v>VARILLA 0,90 MTS</v>
      </c>
      <c r="C1975" s="4" t="str">
        <f>IFERROR(__xludf.DUMMYFUNCTION("""COMPUTED_VALUE"""),"Varilla 0,90 mts.(6 hilos) SOBRE MURO a 45º")</f>
        <v>Varilla 0,90 mts.(6 hilos) SOBRE MURO a 45º</v>
      </c>
      <c r="D1975" s="4" t="str">
        <f>IFERROR(__xludf.DUMMYFUNCTION("""COMPUTED_VALUE"""),"EUROCERCO")</f>
        <v>EUROCERCO</v>
      </c>
      <c r="E1975" s="4" t="str">
        <f>IFERROR(__xludf.DUMMYFUNCTION("""COMPUTED_VALUE"""),"EUCV90D")</f>
        <v>EUCV90D</v>
      </c>
      <c r="F1975" s="4" t="str">
        <f>IFERROR(__xludf.DUMMYFUNCTION("""COMPUTED_VALUE"""),"SEGURIDAD PERIMETRAL &gt; HERRERÍA – EUROCERCO")</f>
        <v>SEGURIDAD PERIMETRAL &gt; HERRERÍA – EUROCERCO</v>
      </c>
      <c r="G1975" s="5"/>
      <c r="H1975" s="6">
        <f>IFERROR(__xludf.DUMMYFUNCTION("""COMPUTED_VALUE"""),11.55)</f>
        <v>11.55</v>
      </c>
      <c r="I1975" s="7">
        <f>IFERROR(__xludf.DUMMYFUNCTION("""COMPUTED_VALUE"""),21.0)</f>
        <v>21</v>
      </c>
      <c r="J1975" s="6">
        <f>IFERROR(__xludf.DUMMYFUNCTION("""COMPUTED_VALUE"""),13.86)</f>
        <v>13.86</v>
      </c>
      <c r="K1975" s="6">
        <f>IFERROR(__xludf.DUMMYFUNCTION("""COMPUTED_VALUE"""),16.17)</f>
        <v>16.17</v>
      </c>
      <c r="L1975" s="3"/>
      <c r="M1975" s="3"/>
    </row>
    <row r="1976" ht="48.0" customHeight="1">
      <c r="A1976" s="3" t="str">
        <f>IFERROR(__xludf.DUMMYFUNCTION("""COMPUTED_VALUE"""),"EUCV120D")</f>
        <v>EUCV120D</v>
      </c>
      <c r="B1976" s="4" t="str">
        <f>IFERROR(__xludf.DUMMYFUNCTION("""COMPUTED_VALUE"""),"VARILLA 1,20 MTS")</f>
        <v>VARILLA 1,20 MTS</v>
      </c>
      <c r="C1976" s="4" t="str">
        <f>IFERROR(__xludf.DUMMYFUNCTION("""COMPUTED_VALUE"""),"Varilla 1,20 mts. (8 hilos) SOBRE MURO a 45º")</f>
        <v>Varilla 1,20 mts. (8 hilos) SOBRE MURO a 45º</v>
      </c>
      <c r="D1976" s="4" t="str">
        <f>IFERROR(__xludf.DUMMYFUNCTION("""COMPUTED_VALUE"""),"EUROCERCO")</f>
        <v>EUROCERCO</v>
      </c>
      <c r="E1976" s="4" t="str">
        <f>IFERROR(__xludf.DUMMYFUNCTION("""COMPUTED_VALUE"""),"EUCV120D")</f>
        <v>EUCV120D</v>
      </c>
      <c r="F1976" s="4" t="str">
        <f>IFERROR(__xludf.DUMMYFUNCTION("""COMPUTED_VALUE"""),"SEGURIDAD PERIMETRAL &gt; HERRERÍA – EUROCERCO")</f>
        <v>SEGURIDAD PERIMETRAL &gt; HERRERÍA – EUROCERCO</v>
      </c>
      <c r="G1976" s="5"/>
      <c r="H1976" s="6">
        <f>IFERROR(__xludf.DUMMYFUNCTION("""COMPUTED_VALUE"""),13.75)</f>
        <v>13.75</v>
      </c>
      <c r="I1976" s="7">
        <f>IFERROR(__xludf.DUMMYFUNCTION("""COMPUTED_VALUE"""),21.0)</f>
        <v>21</v>
      </c>
      <c r="J1976" s="6">
        <f>IFERROR(__xludf.DUMMYFUNCTION("""COMPUTED_VALUE"""),16.5)</f>
        <v>16.5</v>
      </c>
      <c r="K1976" s="6">
        <f>IFERROR(__xludf.DUMMYFUNCTION("""COMPUTED_VALUE"""),19.25)</f>
        <v>19.25</v>
      </c>
      <c r="L1976" s="3"/>
      <c r="M1976" s="3"/>
    </row>
    <row r="1977" ht="48.0" customHeight="1">
      <c r="A1977" s="3" t="str">
        <f>IFERROR(__xludf.DUMMYFUNCTION("""COMPUTED_VALUE"""),"EUCVAFP")</f>
        <v>EUCVAFP</v>
      </c>
      <c r="B1977" s="4" t="str">
        <f>IFERROR(__xludf.DUMMYFUNCTION("""COMPUTED_VALUE"""),"POSTE PUNTAL ANTIFOSO 45º DE 1,20 MTS")</f>
        <v>POSTE PUNTAL ANTIFOSO 45º DE 1,20 MTS</v>
      </c>
      <c r="C1977" s="4" t="str">
        <f>IFERROR(__xludf.DUMMYFUNCTION("""COMPUTED_VALUE"""),"Poste puntal ANTIFOSO 45º de 1,20 mts. para POSTE con módulo para cementar y FUM AUTOSOSTENIDO")</f>
        <v>Poste puntal ANTIFOSO 45º de 1,20 mts. para POSTE con módulo para cementar y FUM AUTOSOSTENIDO</v>
      </c>
      <c r="D1977" s="4" t="str">
        <f>IFERROR(__xludf.DUMMYFUNCTION("""COMPUTED_VALUE"""),"EUROCERCO")</f>
        <v>EUROCERCO</v>
      </c>
      <c r="E1977" s="4" t="str">
        <f>IFERROR(__xludf.DUMMYFUNCTION("""COMPUTED_VALUE"""),"EUCVAFP")</f>
        <v>EUCVAFP</v>
      </c>
      <c r="F1977" s="4" t="str">
        <f>IFERROR(__xludf.DUMMYFUNCTION("""COMPUTED_VALUE"""),"SEGURIDAD PERIMETRAL &gt; HERRERÍA – EUROCERCO")</f>
        <v>SEGURIDAD PERIMETRAL &gt; HERRERÍA – EUROCERCO</v>
      </c>
      <c r="G1977" s="5"/>
      <c r="H1977" s="6">
        <f>IFERROR(__xludf.DUMMYFUNCTION("""COMPUTED_VALUE"""),66.0)</f>
        <v>66</v>
      </c>
      <c r="I1977" s="7">
        <f>IFERROR(__xludf.DUMMYFUNCTION("""COMPUTED_VALUE"""),21.0)</f>
        <v>21</v>
      </c>
      <c r="J1977" s="6">
        <f>IFERROR(__xludf.DUMMYFUNCTION("""COMPUTED_VALUE"""),79.2)</f>
        <v>79.2</v>
      </c>
      <c r="K1977" s="6">
        <f>IFERROR(__xludf.DUMMYFUNCTION("""COMPUTED_VALUE"""),92.4)</f>
        <v>92.4</v>
      </c>
      <c r="L1977" s="3"/>
      <c r="M1977" s="3"/>
    </row>
    <row r="1978" ht="48.0" customHeight="1">
      <c r="A1978" s="3" t="str">
        <f>IFERROR(__xludf.DUMMYFUNCTION("""COMPUTED_VALUE"""),"EUCVAFV")</f>
        <v>EUCVAFV</v>
      </c>
      <c r="B1978" s="4" t="str">
        <f>IFERROR(__xludf.DUMMYFUNCTION("""COMPUTED_VALUE"""),"VARILLA PUNTAL ANTIFOSO 45º DE 1,20MTS")</f>
        <v>VARILLA PUNTAL ANTIFOSO 45º DE 1,20MTS</v>
      </c>
      <c r="C1978" s="4" t="str">
        <f>IFERROR(__xludf.DUMMYFUNCTION("""COMPUTED_VALUE"""),"Varilla puntal ANTIFOSO 45º de 1,20mts. para VARILLA con estaca y FUM AUTOSOSTENIDO")</f>
        <v>Varilla puntal ANTIFOSO 45º de 1,20mts. para VARILLA con estaca y FUM AUTOSOSTENIDO</v>
      </c>
      <c r="D1978" s="4" t="str">
        <f>IFERROR(__xludf.DUMMYFUNCTION("""COMPUTED_VALUE"""),"EUROCERCO")</f>
        <v>EUROCERCO</v>
      </c>
      <c r="E1978" s="4" t="str">
        <f>IFERROR(__xludf.DUMMYFUNCTION("""COMPUTED_VALUE"""),"EUCVAFV")</f>
        <v>EUCVAFV</v>
      </c>
      <c r="F1978" s="4" t="str">
        <f>IFERROR(__xludf.DUMMYFUNCTION("""COMPUTED_VALUE"""),"SEGURIDAD PERIMETRAL &gt; HERRERÍA – EUROCERCO")</f>
        <v>SEGURIDAD PERIMETRAL &gt; HERRERÍA – EUROCERCO</v>
      </c>
      <c r="G1978" s="5"/>
      <c r="H1978" s="6">
        <f>IFERROR(__xludf.DUMMYFUNCTION("""COMPUTED_VALUE"""),22.0)</f>
        <v>22</v>
      </c>
      <c r="I1978" s="7">
        <f>IFERROR(__xludf.DUMMYFUNCTION("""COMPUTED_VALUE"""),21.0)</f>
        <v>21</v>
      </c>
      <c r="J1978" s="6">
        <f>IFERROR(__xludf.DUMMYFUNCTION("""COMPUTED_VALUE"""),26.4)</f>
        <v>26.4</v>
      </c>
      <c r="K1978" s="6">
        <f>IFERROR(__xludf.DUMMYFUNCTION("""COMPUTED_VALUE"""),30.8)</f>
        <v>30.8</v>
      </c>
      <c r="L1978" s="3"/>
      <c r="M1978" s="3"/>
    </row>
    <row r="1979" ht="48.0" customHeight="1">
      <c r="A1979" s="3" t="str">
        <f>IFERROR(__xludf.DUMMYFUNCTION("""COMPUTED_VALUE"""),"EUCPE45")</f>
        <v>EUCPE45</v>
      </c>
      <c r="B1979" s="4" t="str">
        <f>IFERROR(__xludf.DUMMYFUNCTION("""COMPUTED_VALUE"""),"VARILLA PUNTAL DE ESQUINA 45º PARA POSTE SIN FIJACIONES (45CM")</f>
        <v>VARILLA PUNTAL DE ESQUINA 45º PARA POSTE SIN FIJACIONES (45CM</v>
      </c>
      <c r="C1979" s="4" t="str">
        <f>IFERROR(__xludf.DUMMYFUNCTION("""COMPUTED_VALUE"""),"Varilla Puntal de esquina 45º para poste sin fijaciones (45cm.) Para poste 8 hilos (requiere como opcional de montaje dos EUCFUM45, se venden por separado) SOBRE MURO")</f>
        <v>Varilla Puntal de esquina 45º para poste sin fijaciones (45cm.) Para poste 8 hilos (requiere como opcional de montaje dos EUCFUM45, se venden por separado) SOBRE MURO</v>
      </c>
      <c r="D1979" s="4" t="str">
        <f>IFERROR(__xludf.DUMMYFUNCTION("""COMPUTED_VALUE"""),"EUROCERCO")</f>
        <v>EUROCERCO</v>
      </c>
      <c r="E1979" s="4" t="str">
        <f>IFERROR(__xludf.DUMMYFUNCTION("""COMPUTED_VALUE"""),"EUCPE45")</f>
        <v>EUCPE45</v>
      </c>
      <c r="F1979" s="4" t="str">
        <f>IFERROR(__xludf.DUMMYFUNCTION("""COMPUTED_VALUE"""),"SEGURIDAD PERIMETRAL &gt; HERRERÍA – EUROCERCO")</f>
        <v>SEGURIDAD PERIMETRAL &gt; HERRERÍA – EUROCERCO</v>
      </c>
      <c r="G1979" s="5"/>
      <c r="H1979" s="6">
        <f>IFERROR(__xludf.DUMMYFUNCTION("""COMPUTED_VALUE"""),7.15)</f>
        <v>7.15</v>
      </c>
      <c r="I1979" s="7">
        <f>IFERROR(__xludf.DUMMYFUNCTION("""COMPUTED_VALUE"""),21.0)</f>
        <v>21</v>
      </c>
      <c r="J1979" s="6">
        <f>IFERROR(__xludf.DUMMYFUNCTION("""COMPUTED_VALUE"""),8.58)</f>
        <v>8.58</v>
      </c>
      <c r="K1979" s="6">
        <f>IFERROR(__xludf.DUMMYFUNCTION("""COMPUTED_VALUE"""),10.01)</f>
        <v>10.01</v>
      </c>
      <c r="L1979" s="3"/>
      <c r="M1979" s="3"/>
    </row>
    <row r="1980" ht="48.0" customHeight="1">
      <c r="A1980" s="3" t="str">
        <f>IFERROR(__xludf.DUMMYFUNCTION("""COMPUTED_VALUE"""),"EUCPE30")</f>
        <v>EUCPE30</v>
      </c>
      <c r="B1980" s="4" t="str">
        <f>IFERROR(__xludf.DUMMYFUNCTION("""COMPUTED_VALUE"""),"VARILLA PUNTAL DE ESQUINA 45º PARA POSTE SIN FIJACIONES (30CM")</f>
        <v>VARILLA PUNTAL DE ESQUINA 45º PARA POSTE SIN FIJACIONES (30CM</v>
      </c>
      <c r="C1980" s="4" t="str">
        <f>IFERROR(__xludf.DUMMYFUNCTION("""COMPUTED_VALUE"""),"Varilla Puntal de esquina 45º para poste sin fijaciones (30cm.) Para poste 6 hilos (requiere como opcional de montaje dos EUCFUM45, se venden por separado) SOBRE MURO")</f>
        <v>Varilla Puntal de esquina 45º para poste sin fijaciones (30cm.) Para poste 6 hilos (requiere como opcional de montaje dos EUCFUM45, se venden por separado) SOBRE MURO</v>
      </c>
      <c r="D1980" s="4" t="str">
        <f>IFERROR(__xludf.DUMMYFUNCTION("""COMPUTED_VALUE"""),"EUROCERCO")</f>
        <v>EUROCERCO</v>
      </c>
      <c r="E1980" s="4" t="str">
        <f>IFERROR(__xludf.DUMMYFUNCTION("""COMPUTED_VALUE"""),"EUCPE30")</f>
        <v>EUCPE30</v>
      </c>
      <c r="F1980" s="4" t="str">
        <f>IFERROR(__xludf.DUMMYFUNCTION("""COMPUTED_VALUE"""),"SEGURIDAD PERIMETRAL &gt; HERRERÍA – EUROCERCO")</f>
        <v>SEGURIDAD PERIMETRAL &gt; HERRERÍA – EUROCERCO</v>
      </c>
      <c r="G1980" s="5"/>
      <c r="H1980" s="6">
        <f>IFERROR(__xludf.DUMMYFUNCTION("""COMPUTED_VALUE"""),4.95)</f>
        <v>4.95</v>
      </c>
      <c r="I1980" s="7">
        <f>IFERROR(__xludf.DUMMYFUNCTION("""COMPUTED_VALUE"""),21.0)</f>
        <v>21</v>
      </c>
      <c r="J1980" s="6">
        <f>IFERROR(__xludf.DUMMYFUNCTION("""COMPUTED_VALUE"""),5.94)</f>
        <v>5.94</v>
      </c>
      <c r="K1980" s="6">
        <f>IFERROR(__xludf.DUMMYFUNCTION("""COMPUTED_VALUE"""),6.93)</f>
        <v>6.93</v>
      </c>
      <c r="L1980" s="3"/>
      <c r="M1980" s="3"/>
    </row>
    <row r="1981" ht="48.0" customHeight="1">
      <c r="A1981" s="3" t="str">
        <f>IFERROR(__xludf.DUMMYFUNCTION("""COMPUTED_VALUE"""),"EUCPE15")</f>
        <v>EUCPE15</v>
      </c>
      <c r="B1981" s="4" t="str">
        <f>IFERROR(__xludf.DUMMYFUNCTION("""COMPUTED_VALUE"""),"VARILLA PUNTAL DE ESQUINA 45º PARA POSTE SIN FIJACIONES (15CM")</f>
        <v>VARILLA PUNTAL DE ESQUINA 45º PARA POSTE SIN FIJACIONES (15CM</v>
      </c>
      <c r="C1981" s="4" t="str">
        <f>IFERROR(__xludf.DUMMYFUNCTION("""COMPUTED_VALUE"""),"Varilla Puntal de esquina 45º para poste sin fijaciones (15cm.) Para poste 4 hilos (requiere como opcional de montaje dos EUCFUM45, se venden por separado) SOBRE MURO")</f>
        <v>Varilla Puntal de esquina 45º para poste sin fijaciones (15cm.) Para poste 4 hilos (requiere como opcional de montaje dos EUCFUM45, se venden por separado) SOBRE MURO</v>
      </c>
      <c r="D1981" s="4" t="str">
        <f>IFERROR(__xludf.DUMMYFUNCTION("""COMPUTED_VALUE"""),"EUROCERCO")</f>
        <v>EUROCERCO</v>
      </c>
      <c r="E1981" s="4" t="str">
        <f>IFERROR(__xludf.DUMMYFUNCTION("""COMPUTED_VALUE"""),"EUCPE15")</f>
        <v>EUCPE15</v>
      </c>
      <c r="F1981" s="4" t="str">
        <f>IFERROR(__xludf.DUMMYFUNCTION("""COMPUTED_VALUE"""),"SEGURIDAD PERIMETRAL &gt; HERRERÍA – EUROCERCO")</f>
        <v>SEGURIDAD PERIMETRAL &gt; HERRERÍA – EUROCERCO</v>
      </c>
      <c r="G1981" s="5"/>
      <c r="H1981" s="6">
        <f>IFERROR(__xludf.DUMMYFUNCTION("""COMPUTED_VALUE"""),2.75)</f>
        <v>2.75</v>
      </c>
      <c r="I1981" s="7">
        <f>IFERROR(__xludf.DUMMYFUNCTION("""COMPUTED_VALUE"""),21.0)</f>
        <v>21</v>
      </c>
      <c r="J1981" s="6">
        <f>IFERROR(__xludf.DUMMYFUNCTION("""COMPUTED_VALUE"""),3.3)</f>
        <v>3.3</v>
      </c>
      <c r="K1981" s="6">
        <f>IFERROR(__xludf.DUMMYFUNCTION("""COMPUTED_VALUE"""),3.85)</f>
        <v>3.85</v>
      </c>
      <c r="L1981" s="3"/>
      <c r="M1981" s="3"/>
    </row>
    <row r="1982" ht="48.0" customHeight="1">
      <c r="A1982" s="3" t="str">
        <f>IFERROR(__xludf.DUMMYFUNCTION("""COMPUTED_VALUE"""),"EUFUM")</f>
        <v>EUFUM</v>
      </c>
      <c r="B1982" s="4" t="str">
        <f>IFERROR(__xludf.DUMMYFUNCTION("""COMPUTED_VALUE"""),"FIJACION DE UNION Y MONTAJE 0º ACERO INOXIDABLE 1,9 MM")</f>
        <v>FIJACION DE UNION Y MONTAJE 0º ACERO INOXIDABLE 1,9 MM</v>
      </c>
      <c r="C1982" s="4" t="str">
        <f>IFERROR(__xludf.DUMMYFUNCTION("""COMPUTED_VALUE"""),"Fijacion de union y montaje 0º acero inoxidable 1,9 mm. Con anclajes")</f>
        <v>Fijacion de union y montaje 0º acero inoxidable 1,9 mm. Con anclajes</v>
      </c>
      <c r="D1982" s="4" t="str">
        <f>IFERROR(__xludf.DUMMYFUNCTION("""COMPUTED_VALUE"""),"EUROCERCO")</f>
        <v>EUROCERCO</v>
      </c>
      <c r="E1982" s="4" t="str">
        <f>IFERROR(__xludf.DUMMYFUNCTION("""COMPUTED_VALUE"""),"EUFUM")</f>
        <v>EUFUM</v>
      </c>
      <c r="F1982" s="4" t="str">
        <f>IFERROR(__xludf.DUMMYFUNCTION("""COMPUTED_VALUE"""),"SEGURIDAD PERIMETRAL &gt; HERRERÍA – EUROCERCO")</f>
        <v>SEGURIDAD PERIMETRAL &gt; HERRERÍA – EUROCERCO</v>
      </c>
      <c r="G1982" s="5"/>
      <c r="H1982" s="6">
        <f>IFERROR(__xludf.DUMMYFUNCTION("""COMPUTED_VALUE"""),3.3)</f>
        <v>3.3</v>
      </c>
      <c r="I1982" s="7">
        <f>IFERROR(__xludf.DUMMYFUNCTION("""COMPUTED_VALUE"""),21.0)</f>
        <v>21</v>
      </c>
      <c r="J1982" s="6">
        <f>IFERROR(__xludf.DUMMYFUNCTION("""COMPUTED_VALUE"""),3.96)</f>
        <v>3.96</v>
      </c>
      <c r="K1982" s="6">
        <f>IFERROR(__xludf.DUMMYFUNCTION("""COMPUTED_VALUE"""),4.62)</f>
        <v>4.62</v>
      </c>
      <c r="L1982" s="3"/>
      <c r="M1982" s="3"/>
    </row>
    <row r="1983" ht="48.0" customHeight="1">
      <c r="A1983" s="3" t="str">
        <f>IFERROR(__xludf.DUMMYFUNCTION("""COMPUTED_VALUE"""),"EUFUM45")</f>
        <v>EUFUM45</v>
      </c>
      <c r="B1983" s="4" t="str">
        <f>IFERROR(__xludf.DUMMYFUNCTION("""COMPUTED_VALUE"""),"FIJACION DE UNION Y MONTAJE 45º ACERO INOXIDABLE 1,9 MM")</f>
        <v>FIJACION DE UNION Y MONTAJE 45º ACERO INOXIDABLE 1,9 MM</v>
      </c>
      <c r="C1983" s="4" t="str">
        <f>IFERROR(__xludf.DUMMYFUNCTION("""COMPUTED_VALUE"""),"Fijacion de union y montaje 45º acero inoxidable 1,9 mm. Con anclajes")</f>
        <v>Fijacion de union y montaje 45º acero inoxidable 1,9 mm. Con anclajes</v>
      </c>
      <c r="D1983" s="4" t="str">
        <f>IFERROR(__xludf.DUMMYFUNCTION("""COMPUTED_VALUE"""),"EUROCERCO")</f>
        <v>EUROCERCO</v>
      </c>
      <c r="E1983" s="4" t="str">
        <f>IFERROR(__xludf.DUMMYFUNCTION("""COMPUTED_VALUE"""),"EUFUM45")</f>
        <v>EUFUM45</v>
      </c>
      <c r="F1983" s="4" t="str">
        <f>IFERROR(__xludf.DUMMYFUNCTION("""COMPUTED_VALUE"""),"SEGURIDAD PERIMETRAL &gt; HERRERÍA – EUROCERCO")</f>
        <v>SEGURIDAD PERIMETRAL &gt; HERRERÍA – EUROCERCO</v>
      </c>
      <c r="G1983" s="5"/>
      <c r="H1983" s="6">
        <f>IFERROR(__xludf.DUMMYFUNCTION("""COMPUTED_VALUE"""),3.3)</f>
        <v>3.3</v>
      </c>
      <c r="I1983" s="7">
        <f>IFERROR(__xludf.DUMMYFUNCTION("""COMPUTED_VALUE"""),21.0)</f>
        <v>21</v>
      </c>
      <c r="J1983" s="6">
        <f>IFERROR(__xludf.DUMMYFUNCTION("""COMPUTED_VALUE"""),3.96)</f>
        <v>3.96</v>
      </c>
      <c r="K1983" s="6">
        <f>IFERROR(__xludf.DUMMYFUNCTION("""COMPUTED_VALUE"""),4.62)</f>
        <v>4.62</v>
      </c>
      <c r="L1983" s="3"/>
      <c r="M1983" s="3"/>
    </row>
    <row r="1984" ht="48.0" customHeight="1">
      <c r="A1984" s="3" t="str">
        <f>IFERROR(__xludf.DUMMYFUNCTION("""COMPUTED_VALUE"""),"EUCKA240")</f>
        <v>EUCKA240</v>
      </c>
      <c r="B1984" s="4" t="str">
        <f>IFERROR(__xludf.DUMMYFUNCTION("""COMPUTED_VALUE"""),"KIT ACCESORIOS PARA VARILLAS DE 2,40 MTS")</f>
        <v>KIT ACCESORIOS PARA VARILLAS DE 2,40 MTS</v>
      </c>
      <c r="C1984" s="4" t="str">
        <f>IFERROR(__xludf.DUMMYFUNCTION("""COMPUTED_VALUE"""),"Kit accesorios para Varillas de 2,40 mts. (Incluye por varilla: 16 aisladores EUCAV, 1 tapa EUCTV y 1 estaca EUCEV) AUTOSOSTENIDO")</f>
        <v>Kit accesorios para Varillas de 2,40 mts. (Incluye por varilla: 16 aisladores EUCAV, 1 tapa EUCTV y 1 estaca EUCEV) AUTOSOSTENIDO</v>
      </c>
      <c r="D1984" s="4" t="str">
        <f>IFERROR(__xludf.DUMMYFUNCTION("""COMPUTED_VALUE"""),"EUROCERCO")</f>
        <v>EUROCERCO</v>
      </c>
      <c r="E1984" s="4" t="str">
        <f>IFERROR(__xludf.DUMMYFUNCTION("""COMPUTED_VALUE"""),"EUCKA240")</f>
        <v>EUCKA240</v>
      </c>
      <c r="F1984" s="4" t="str">
        <f>IFERROR(__xludf.DUMMYFUNCTION("""COMPUTED_VALUE"""),"SEGURIDAD PERIMETRAL &gt; HERRERÍA – EUROCERCO")</f>
        <v>SEGURIDAD PERIMETRAL &gt; HERRERÍA – EUROCERCO</v>
      </c>
      <c r="G1984" s="5"/>
      <c r="H1984" s="6">
        <f>IFERROR(__xludf.DUMMYFUNCTION("""COMPUTED_VALUE"""),15.4)</f>
        <v>15.4</v>
      </c>
      <c r="I1984" s="7">
        <f>IFERROR(__xludf.DUMMYFUNCTION("""COMPUTED_VALUE"""),21.0)</f>
        <v>21</v>
      </c>
      <c r="J1984" s="6">
        <f>IFERROR(__xludf.DUMMYFUNCTION("""COMPUTED_VALUE"""),18.48)</f>
        <v>18.48</v>
      </c>
      <c r="K1984" s="6">
        <f>IFERROR(__xludf.DUMMYFUNCTION("""COMPUTED_VALUE"""),21.56)</f>
        <v>21.56</v>
      </c>
      <c r="L1984" s="3"/>
      <c r="M1984" s="3"/>
    </row>
    <row r="1985" ht="48.0" customHeight="1">
      <c r="A1985" s="3" t="str">
        <f>IFERROR(__xludf.DUMMYFUNCTION("""COMPUTED_VALUE"""),"EUCKA120")</f>
        <v>EUCKA120</v>
      </c>
      <c r="B1985" s="4" t="str">
        <f>IFERROR(__xludf.DUMMYFUNCTION("""COMPUTED_VALUE"""),"KIT ACCESORIOS PARA VARILLAS DE 1,20 MTS")</f>
        <v>KIT ACCESORIOS PARA VARILLAS DE 1,20 MTS</v>
      </c>
      <c r="C1985" s="4" t="str">
        <f>IFERROR(__xludf.DUMMYFUNCTION("""COMPUTED_VALUE"""),"Kit accesorios para Varillas de 1,20 mts. (Incluye por varilla: 8 aisladores EUCAV, 1 tapa EUCTV y 1 base EUCBV90) SOBRE MURO")</f>
        <v>Kit accesorios para Varillas de 1,20 mts. (Incluye por varilla: 8 aisladores EUCAV, 1 tapa EUCTV y 1 base EUCBV90) SOBRE MURO</v>
      </c>
      <c r="D1985" s="4" t="str">
        <f>IFERROR(__xludf.DUMMYFUNCTION("""COMPUTED_VALUE"""),"EUROCERCO")</f>
        <v>EUROCERCO</v>
      </c>
      <c r="E1985" s="4" t="str">
        <f>IFERROR(__xludf.DUMMYFUNCTION("""COMPUTED_VALUE"""),"EUCKA120")</f>
        <v>EUCKA120</v>
      </c>
      <c r="F1985" s="4" t="str">
        <f>IFERROR(__xludf.DUMMYFUNCTION("""COMPUTED_VALUE"""),"SEGURIDAD PERIMETRAL &gt; HERRERÍA – EUROCERCO")</f>
        <v>SEGURIDAD PERIMETRAL &gt; HERRERÍA – EUROCERCO</v>
      </c>
      <c r="G1985" s="5"/>
      <c r="H1985" s="6">
        <f>IFERROR(__xludf.DUMMYFUNCTION("""COMPUTED_VALUE"""),12.1)</f>
        <v>12.1</v>
      </c>
      <c r="I1985" s="7">
        <f>IFERROR(__xludf.DUMMYFUNCTION("""COMPUTED_VALUE"""),21.0)</f>
        <v>21</v>
      </c>
      <c r="J1985" s="6">
        <f>IFERROR(__xludf.DUMMYFUNCTION("""COMPUTED_VALUE"""),14.52)</f>
        <v>14.52</v>
      </c>
      <c r="K1985" s="6">
        <f>IFERROR(__xludf.DUMMYFUNCTION("""COMPUTED_VALUE"""),16.94)</f>
        <v>16.94</v>
      </c>
      <c r="L1985" s="3"/>
      <c r="M1985" s="3"/>
    </row>
    <row r="1986" ht="48.0" customHeight="1">
      <c r="A1986" s="3" t="str">
        <f>IFERROR(__xludf.DUMMYFUNCTION("""COMPUTED_VALUE"""),"EUCKA90")</f>
        <v>EUCKA90</v>
      </c>
      <c r="B1986" s="4" t="str">
        <f>IFERROR(__xludf.DUMMYFUNCTION("""COMPUTED_VALUE"""),"KIT ACCESORIOS PARA VARILLAS DE 0,90 MTS")</f>
        <v>KIT ACCESORIOS PARA VARILLAS DE 0,90 MTS</v>
      </c>
      <c r="C1986" s="4" t="str">
        <f>IFERROR(__xludf.DUMMYFUNCTION("""COMPUTED_VALUE"""),"Kit accesorios para Varillas de 0,90 mts. (Incluye por varilla: 6 aisladores EUCAV, 1 tapa EUCTV y 1 base EUCBV90) SOBRE MURO")</f>
        <v>Kit accesorios para Varillas de 0,90 mts. (Incluye por varilla: 6 aisladores EUCAV, 1 tapa EUCTV y 1 base EUCBV90) SOBRE MURO</v>
      </c>
      <c r="D1986" s="4" t="str">
        <f>IFERROR(__xludf.DUMMYFUNCTION("""COMPUTED_VALUE"""),"EUROCERCO")</f>
        <v>EUROCERCO</v>
      </c>
      <c r="E1986" s="4" t="str">
        <f>IFERROR(__xludf.DUMMYFUNCTION("""COMPUTED_VALUE"""),"EUCKA90")</f>
        <v>EUCKA90</v>
      </c>
      <c r="F1986" s="4" t="str">
        <f>IFERROR(__xludf.DUMMYFUNCTION("""COMPUTED_VALUE"""),"SEGURIDAD PERIMETRAL &gt; HERRERÍA – EUROCERCO")</f>
        <v>SEGURIDAD PERIMETRAL &gt; HERRERÍA – EUROCERCO</v>
      </c>
      <c r="G1986" s="5"/>
      <c r="H1986" s="6">
        <f>IFERROR(__xludf.DUMMYFUNCTION("""COMPUTED_VALUE"""),11.0)</f>
        <v>11</v>
      </c>
      <c r="I1986" s="7">
        <f>IFERROR(__xludf.DUMMYFUNCTION("""COMPUTED_VALUE"""),21.0)</f>
        <v>21</v>
      </c>
      <c r="J1986" s="6">
        <f>IFERROR(__xludf.DUMMYFUNCTION("""COMPUTED_VALUE"""),13.2)</f>
        <v>13.2</v>
      </c>
      <c r="K1986" s="6">
        <f>IFERROR(__xludf.DUMMYFUNCTION("""COMPUTED_VALUE"""),15.4)</f>
        <v>15.4</v>
      </c>
      <c r="L1986" s="3"/>
      <c r="M1986" s="3"/>
    </row>
    <row r="1987" ht="48.0" customHeight="1">
      <c r="A1987" s="3" t="str">
        <f>IFERROR(__xludf.DUMMYFUNCTION("""COMPUTED_VALUE"""),"EUCKA60")</f>
        <v>EUCKA60</v>
      </c>
      <c r="B1987" s="4" t="str">
        <f>IFERROR(__xludf.DUMMYFUNCTION("""COMPUTED_VALUE"""),"KIT ACCESORIOS PARA VARILLAS DE 0,60 MTS")</f>
        <v>KIT ACCESORIOS PARA VARILLAS DE 0,60 MTS</v>
      </c>
      <c r="C1987" s="4" t="str">
        <f>IFERROR(__xludf.DUMMYFUNCTION("""COMPUTED_VALUE"""),"Kit accesorios para Varillas de 0,60 mts. (Incluye por varilla: 4 aisladores EUCAV, 1 tapa EUCTV y 1 base EUCBV90) SOBRE MURO")</f>
        <v>Kit accesorios para Varillas de 0,60 mts. (Incluye por varilla: 4 aisladores EUCAV, 1 tapa EUCTV y 1 base EUCBV90) SOBRE MURO</v>
      </c>
      <c r="D1987" s="4" t="str">
        <f>IFERROR(__xludf.DUMMYFUNCTION("""COMPUTED_VALUE"""),"EUROCERCO")</f>
        <v>EUROCERCO</v>
      </c>
      <c r="E1987" s="4" t="str">
        <f>IFERROR(__xludf.DUMMYFUNCTION("""COMPUTED_VALUE"""),"EUCKA60")</f>
        <v>EUCKA60</v>
      </c>
      <c r="F1987" s="4" t="str">
        <f>IFERROR(__xludf.DUMMYFUNCTION("""COMPUTED_VALUE"""),"SEGURIDAD PERIMETRAL &gt; HERRERÍA – EUROCERCO")</f>
        <v>SEGURIDAD PERIMETRAL &gt; HERRERÍA – EUROCERCO</v>
      </c>
      <c r="G1987" s="5"/>
      <c r="H1987" s="6">
        <f>IFERROR(__xludf.DUMMYFUNCTION("""COMPUTED_VALUE"""),9.9)</f>
        <v>9.9</v>
      </c>
      <c r="I1987" s="7">
        <f>IFERROR(__xludf.DUMMYFUNCTION("""COMPUTED_VALUE"""),21.0)</f>
        <v>21</v>
      </c>
      <c r="J1987" s="6">
        <f>IFERROR(__xludf.DUMMYFUNCTION("""COMPUTED_VALUE"""),11.88)</f>
        <v>11.88</v>
      </c>
      <c r="K1987" s="6">
        <f>IFERROR(__xludf.DUMMYFUNCTION("""COMPUTED_VALUE"""),13.86)</f>
        <v>13.86</v>
      </c>
      <c r="L1987" s="3"/>
      <c r="M1987" s="3"/>
    </row>
    <row r="1988" ht="48.0" customHeight="1">
      <c r="A1988" s="3" t="str">
        <f>IFERROR(__xludf.DUMMYFUNCTION("""COMPUTED_VALUE"""),"EUCPT130")</f>
        <v>EUCPT130</v>
      </c>
      <c r="B1988" s="4" t="str">
        <f>IFERROR(__xludf.DUMMYFUNCTION("""COMPUTED_VALUE"""),"PUNTAL TELESCOPICO CON TERMINALES HASTA 130 CM")</f>
        <v>PUNTAL TELESCOPICO CON TERMINALES HASTA 130 CM</v>
      </c>
      <c r="C1988" s="4" t="str">
        <f>IFERROR(__xludf.DUMMYFUNCTION("""COMPUTED_VALUE"""),"Puntal telescopico con terminales hasta 130 cm.")</f>
        <v>Puntal telescopico con terminales hasta 130 cm.</v>
      </c>
      <c r="D1988" s="4" t="str">
        <f>IFERROR(__xludf.DUMMYFUNCTION("""COMPUTED_VALUE"""),"EUROCERCO")</f>
        <v>EUROCERCO</v>
      </c>
      <c r="E1988" s="4" t="str">
        <f>IFERROR(__xludf.DUMMYFUNCTION("""COMPUTED_VALUE"""),"EUCPT130")</f>
        <v>EUCPT130</v>
      </c>
      <c r="F1988" s="4" t="str">
        <f>IFERROR(__xludf.DUMMYFUNCTION("""COMPUTED_VALUE"""),"SEGURIDAD PERIMETRAL &gt; HERRERÍA – EUROCERCO")</f>
        <v>SEGURIDAD PERIMETRAL &gt; HERRERÍA – EUROCERCO</v>
      </c>
      <c r="G1988" s="5"/>
      <c r="H1988" s="6">
        <f>IFERROR(__xludf.DUMMYFUNCTION("""COMPUTED_VALUE"""),13.2)</f>
        <v>13.2</v>
      </c>
      <c r="I1988" s="7">
        <f>IFERROR(__xludf.DUMMYFUNCTION("""COMPUTED_VALUE"""),21.0)</f>
        <v>21</v>
      </c>
      <c r="J1988" s="6">
        <f>IFERROR(__xludf.DUMMYFUNCTION("""COMPUTED_VALUE"""),15.84)</f>
        <v>15.84</v>
      </c>
      <c r="K1988" s="6">
        <f>IFERROR(__xludf.DUMMYFUNCTION("""COMPUTED_VALUE"""),18.48)</f>
        <v>18.48</v>
      </c>
      <c r="L1988" s="3"/>
      <c r="M1988" s="3"/>
    </row>
    <row r="1989" ht="48.0" customHeight="1">
      <c r="A1989" s="3" t="str">
        <f>IFERROR(__xludf.DUMMYFUNCTION("""COMPUTED_VALUE"""),"EUCPT70")</f>
        <v>EUCPT70</v>
      </c>
      <c r="B1989" s="4" t="str">
        <f>IFERROR(__xludf.DUMMYFUNCTION("""COMPUTED_VALUE"""),"PUNTAL TELESCOPICO CON TERMINALES HASTA 70 CM")</f>
        <v>PUNTAL TELESCOPICO CON TERMINALES HASTA 70 CM</v>
      </c>
      <c r="C1989" s="4" t="str">
        <f>IFERROR(__xludf.DUMMYFUNCTION("""COMPUTED_VALUE"""),"Puntal telescopico con terminales hasta 70 cm.")</f>
        <v>Puntal telescopico con terminales hasta 70 cm.</v>
      </c>
      <c r="D1989" s="4" t="str">
        <f>IFERROR(__xludf.DUMMYFUNCTION("""COMPUTED_VALUE"""),"EUROCERCO")</f>
        <v>EUROCERCO</v>
      </c>
      <c r="E1989" s="4" t="str">
        <f>IFERROR(__xludf.DUMMYFUNCTION("""COMPUTED_VALUE"""),"EUCPT70")</f>
        <v>EUCPT70</v>
      </c>
      <c r="F1989" s="4" t="str">
        <f>IFERROR(__xludf.DUMMYFUNCTION("""COMPUTED_VALUE"""),"SEGURIDAD PERIMETRAL &gt; HERRERÍA – EUROCERCO")</f>
        <v>SEGURIDAD PERIMETRAL &gt; HERRERÍA – EUROCERCO</v>
      </c>
      <c r="G1989" s="5"/>
      <c r="H1989" s="6">
        <f>IFERROR(__xludf.DUMMYFUNCTION("""COMPUTED_VALUE"""),8.8)</f>
        <v>8.8</v>
      </c>
      <c r="I1989" s="7">
        <f>IFERROR(__xludf.DUMMYFUNCTION("""COMPUTED_VALUE"""),21.0)</f>
        <v>21</v>
      </c>
      <c r="J1989" s="6">
        <f>IFERROR(__xludf.DUMMYFUNCTION("""COMPUTED_VALUE"""),10.56)</f>
        <v>10.56</v>
      </c>
      <c r="K1989" s="6">
        <f>IFERROR(__xludf.DUMMYFUNCTION("""COMPUTED_VALUE"""),12.32)</f>
        <v>12.32</v>
      </c>
      <c r="L1989" s="3"/>
      <c r="M1989" s="3"/>
    </row>
    <row r="1990" ht="48.0" customHeight="1">
      <c r="A1990" s="3" t="str">
        <f>IFERROR(__xludf.DUMMYFUNCTION("""COMPUTED_VALUE"""),"EUCPT40")</f>
        <v>EUCPT40</v>
      </c>
      <c r="B1990" s="4" t="str">
        <f>IFERROR(__xludf.DUMMYFUNCTION("""COMPUTED_VALUE"""),"PUNTAL TELESCOPICO CON TERMINALES HASTA 40 CM")</f>
        <v>PUNTAL TELESCOPICO CON TERMINALES HASTA 40 CM</v>
      </c>
      <c r="C1990" s="4" t="str">
        <f>IFERROR(__xludf.DUMMYFUNCTION("""COMPUTED_VALUE"""),"Puntal telescopico con terminales hasta 40 cm.")</f>
        <v>Puntal telescopico con terminales hasta 40 cm.</v>
      </c>
      <c r="D1990" s="4" t="str">
        <f>IFERROR(__xludf.DUMMYFUNCTION("""COMPUTED_VALUE"""),"EUROCERCO")</f>
        <v>EUROCERCO</v>
      </c>
      <c r="E1990" s="4" t="str">
        <f>IFERROR(__xludf.DUMMYFUNCTION("""COMPUTED_VALUE"""),"EUCPT40")</f>
        <v>EUCPT40</v>
      </c>
      <c r="F1990" s="4" t="str">
        <f>IFERROR(__xludf.DUMMYFUNCTION("""COMPUTED_VALUE"""),"SEGURIDAD PERIMETRAL &gt; HERRERÍA – EUROCERCO")</f>
        <v>SEGURIDAD PERIMETRAL &gt; HERRERÍA – EUROCERCO</v>
      </c>
      <c r="G1990" s="5"/>
      <c r="H1990" s="6">
        <f>IFERROR(__xludf.DUMMYFUNCTION("""COMPUTED_VALUE"""),6.6)</f>
        <v>6.6</v>
      </c>
      <c r="I1990" s="7">
        <f>IFERROR(__xludf.DUMMYFUNCTION("""COMPUTED_VALUE"""),21.0)</f>
        <v>21</v>
      </c>
      <c r="J1990" s="6">
        <f>IFERROR(__xludf.DUMMYFUNCTION("""COMPUTED_VALUE"""),7.92)</f>
        <v>7.92</v>
      </c>
      <c r="K1990" s="6">
        <f>IFERROR(__xludf.DUMMYFUNCTION("""COMPUTED_VALUE"""),9.24)</f>
        <v>9.24</v>
      </c>
      <c r="L1990" s="3"/>
      <c r="M1990" s="3"/>
    </row>
    <row r="1991" ht="48.0" customHeight="1">
      <c r="A1991" s="3" t="str">
        <f>IFERROR(__xludf.DUMMYFUNCTION("""COMPUTED_VALUE"""),"EUCAP")</f>
        <v>EUCAP</v>
      </c>
      <c r="B1991" s="4" t="str">
        <f>IFERROR(__xludf.DUMMYFUNCTION("""COMPUTED_VALUE"""),"AISLADOR POSTE")</f>
        <v>AISLADOR POSTE</v>
      </c>
      <c r="C1991" s="4" t="str">
        <f>IFERROR(__xludf.DUMMYFUNCTION("""COMPUTED_VALUE"""),"Aislador poste")</f>
        <v>Aislador poste</v>
      </c>
      <c r="D1991" s="4" t="str">
        <f>IFERROR(__xludf.DUMMYFUNCTION("""COMPUTED_VALUE"""),"EUROCERCO")</f>
        <v>EUROCERCO</v>
      </c>
      <c r="E1991" s="4" t="str">
        <f>IFERROR(__xludf.DUMMYFUNCTION("""COMPUTED_VALUE"""),"EUCAP")</f>
        <v>EUCAP</v>
      </c>
      <c r="F1991" s="4" t="str">
        <f>IFERROR(__xludf.DUMMYFUNCTION("""COMPUTED_VALUE"""),"SEGURIDAD PERIMETRAL &gt; HERRERÍA – EUROCERCO")</f>
        <v>SEGURIDAD PERIMETRAL &gt; HERRERÍA – EUROCERCO</v>
      </c>
      <c r="G1991" s="5"/>
      <c r="H1991" s="6">
        <f>IFERROR(__xludf.DUMMYFUNCTION("""COMPUTED_VALUE"""),0.55)</f>
        <v>0.55</v>
      </c>
      <c r="I1991" s="7">
        <f>IFERROR(__xludf.DUMMYFUNCTION("""COMPUTED_VALUE"""),21.0)</f>
        <v>21</v>
      </c>
      <c r="J1991" s="6">
        <f>IFERROR(__xludf.DUMMYFUNCTION("""COMPUTED_VALUE"""),0.66)</f>
        <v>0.66</v>
      </c>
      <c r="K1991" s="6">
        <f>IFERROR(__xludf.DUMMYFUNCTION("""COMPUTED_VALUE"""),0.77)</f>
        <v>0.77</v>
      </c>
      <c r="L1991" s="3"/>
      <c r="M1991" s="3"/>
    </row>
    <row r="1992" ht="48.0" customHeight="1">
      <c r="A1992" s="3" t="str">
        <f>IFERROR(__xludf.DUMMYFUNCTION("""COMPUTED_VALUE"""),"EUCAV")</f>
        <v>EUCAV</v>
      </c>
      <c r="B1992" s="4" t="str">
        <f>IFERROR(__xludf.DUMMYFUNCTION("""COMPUTED_VALUE"""),"AISLADOR VARILLA")</f>
        <v>AISLADOR VARILLA</v>
      </c>
      <c r="C1992" s="4" t="str">
        <f>IFERROR(__xludf.DUMMYFUNCTION("""COMPUTED_VALUE"""),"Aislador varilla")</f>
        <v>Aislador varilla</v>
      </c>
      <c r="D1992" s="4" t="str">
        <f>IFERROR(__xludf.DUMMYFUNCTION("""COMPUTED_VALUE"""),"EUROCERCO")</f>
        <v>EUROCERCO</v>
      </c>
      <c r="E1992" s="4" t="str">
        <f>IFERROR(__xludf.DUMMYFUNCTION("""COMPUTED_VALUE"""),"EUCAV")</f>
        <v>EUCAV</v>
      </c>
      <c r="F1992" s="4" t="str">
        <f>IFERROR(__xludf.DUMMYFUNCTION("""COMPUTED_VALUE"""),"SEGURIDAD PERIMETRAL &gt; HERRERÍA – EUROCERCO")</f>
        <v>SEGURIDAD PERIMETRAL &gt; HERRERÍA – EUROCERCO</v>
      </c>
      <c r="G1992" s="5"/>
      <c r="H1992" s="6">
        <f>IFERROR(__xludf.DUMMYFUNCTION("""COMPUTED_VALUE"""),0.55)</f>
        <v>0.55</v>
      </c>
      <c r="I1992" s="7">
        <f>IFERROR(__xludf.DUMMYFUNCTION("""COMPUTED_VALUE"""),21.0)</f>
        <v>21</v>
      </c>
      <c r="J1992" s="6">
        <f>IFERROR(__xludf.DUMMYFUNCTION("""COMPUTED_VALUE"""),0.66)</f>
        <v>0.66</v>
      </c>
      <c r="K1992" s="6">
        <f>IFERROR(__xludf.DUMMYFUNCTION("""COMPUTED_VALUE"""),0.77)</f>
        <v>0.77</v>
      </c>
      <c r="L1992" s="3"/>
      <c r="M1992" s="3"/>
    </row>
    <row r="1993" ht="48.0" customHeight="1">
      <c r="A1993" s="3" t="str">
        <f>IFERROR(__xludf.DUMMYFUNCTION("""COMPUTED_VALUE"""),"EUCTV")</f>
        <v>EUCTV</v>
      </c>
      <c r="B1993" s="4" t="str">
        <f>IFERROR(__xludf.DUMMYFUNCTION("""COMPUTED_VALUE"""),"TAPA PARA VARILLA")</f>
        <v>TAPA PARA VARILLA</v>
      </c>
      <c r="C1993" s="4" t="str">
        <f>IFERROR(__xludf.DUMMYFUNCTION("""COMPUTED_VALUE"""),"Tapa para varilla")</f>
        <v>Tapa para varilla</v>
      </c>
      <c r="D1993" s="4" t="str">
        <f>IFERROR(__xludf.DUMMYFUNCTION("""COMPUTED_VALUE"""),"EUROCERCO")</f>
        <v>EUROCERCO</v>
      </c>
      <c r="E1993" s="4" t="str">
        <f>IFERROR(__xludf.DUMMYFUNCTION("""COMPUTED_VALUE"""),"EUCTV")</f>
        <v>EUCTV</v>
      </c>
      <c r="F1993" s="4" t="str">
        <f>IFERROR(__xludf.DUMMYFUNCTION("""COMPUTED_VALUE"""),"SEGURIDAD PERIMETRAL &gt; HERRERÍA – EUROCERCO")</f>
        <v>SEGURIDAD PERIMETRAL &gt; HERRERÍA – EUROCERCO</v>
      </c>
      <c r="G1993" s="5"/>
      <c r="H1993" s="6">
        <f>IFERROR(__xludf.DUMMYFUNCTION("""COMPUTED_VALUE"""),0.77)</f>
        <v>0.77</v>
      </c>
      <c r="I1993" s="7">
        <f>IFERROR(__xludf.DUMMYFUNCTION("""COMPUTED_VALUE"""),21.0)</f>
        <v>21</v>
      </c>
      <c r="J1993" s="6">
        <f>IFERROR(__xludf.DUMMYFUNCTION("""COMPUTED_VALUE"""),0.92)</f>
        <v>0.92</v>
      </c>
      <c r="K1993" s="6">
        <f>IFERROR(__xludf.DUMMYFUNCTION("""COMPUTED_VALUE"""),1.08)</f>
        <v>1.08</v>
      </c>
      <c r="L1993" s="3"/>
      <c r="M1993" s="3"/>
    </row>
    <row r="1994" ht="48.0" customHeight="1">
      <c r="A1994" s="3" t="str">
        <f>IFERROR(__xludf.DUMMYFUNCTION("""COMPUTED_VALUE"""),"EUCTP")</f>
        <v>EUCTP</v>
      </c>
      <c r="B1994" s="4" t="str">
        <f>IFERROR(__xludf.DUMMYFUNCTION("""COMPUTED_VALUE"""),"TAPA SUPERIOR POSTE")</f>
        <v>TAPA SUPERIOR POSTE</v>
      </c>
      <c r="C1994" s="4" t="str">
        <f>IFERROR(__xludf.DUMMYFUNCTION("""COMPUTED_VALUE"""),"Tapa superior poste")</f>
        <v>Tapa superior poste</v>
      </c>
      <c r="D1994" s="4" t="str">
        <f>IFERROR(__xludf.DUMMYFUNCTION("""COMPUTED_VALUE"""),"EUROCERCO")</f>
        <v>EUROCERCO</v>
      </c>
      <c r="E1994" s="4" t="str">
        <f>IFERROR(__xludf.DUMMYFUNCTION("""COMPUTED_VALUE"""),"EUCTP")</f>
        <v>EUCTP</v>
      </c>
      <c r="F1994" s="4" t="str">
        <f>IFERROR(__xludf.DUMMYFUNCTION("""COMPUTED_VALUE"""),"SEGURIDAD PERIMETRAL &gt; HERRERÍA – EUROCERCO")</f>
        <v>SEGURIDAD PERIMETRAL &gt; HERRERÍA – EUROCERCO</v>
      </c>
      <c r="G1994" s="5"/>
      <c r="H1994" s="6">
        <f>IFERROR(__xludf.DUMMYFUNCTION("""COMPUTED_VALUE"""),2.53)</f>
        <v>2.53</v>
      </c>
      <c r="I1994" s="7">
        <f>IFERROR(__xludf.DUMMYFUNCTION("""COMPUTED_VALUE"""),21.0)</f>
        <v>21</v>
      </c>
      <c r="J1994" s="6">
        <f>IFERROR(__xludf.DUMMYFUNCTION("""COMPUTED_VALUE"""),3.04)</f>
        <v>3.04</v>
      </c>
      <c r="K1994" s="6">
        <f>IFERROR(__xludf.DUMMYFUNCTION("""COMPUTED_VALUE"""),3.54)</f>
        <v>3.54</v>
      </c>
      <c r="L1994" s="3"/>
      <c r="M1994" s="3"/>
    </row>
    <row r="1995" ht="48.0" customHeight="1">
      <c r="A1995" s="3" t="str">
        <f>IFERROR(__xludf.DUMMYFUNCTION("""COMPUTED_VALUE"""),"EUCEV")</f>
        <v>EUCEV</v>
      </c>
      <c r="B1995" s="4" t="str">
        <f>IFERROR(__xludf.DUMMYFUNCTION("""COMPUTED_VALUE"""),"ESTACA PARA VARILLA")</f>
        <v>ESTACA PARA VARILLA</v>
      </c>
      <c r="C1995" s="4" t="str">
        <f>IFERROR(__xludf.DUMMYFUNCTION("""COMPUTED_VALUE"""),"Estaca para varilla")</f>
        <v>Estaca para varilla</v>
      </c>
      <c r="D1995" s="4" t="str">
        <f>IFERROR(__xludf.DUMMYFUNCTION("""COMPUTED_VALUE"""),"EUROCERCO")</f>
        <v>EUROCERCO</v>
      </c>
      <c r="E1995" s="4" t="str">
        <f>IFERROR(__xludf.DUMMYFUNCTION("""COMPUTED_VALUE"""),"EUCEV")</f>
        <v>EUCEV</v>
      </c>
      <c r="F1995" s="4" t="str">
        <f>IFERROR(__xludf.DUMMYFUNCTION("""COMPUTED_VALUE"""),"SEGURIDAD PERIMETRAL &gt; HERRERÍA – EUROCERCO")</f>
        <v>SEGURIDAD PERIMETRAL &gt; HERRERÍA – EUROCERCO</v>
      </c>
      <c r="G1995" s="5"/>
      <c r="H1995" s="6">
        <f>IFERROR(__xludf.DUMMYFUNCTION("""COMPUTED_VALUE"""),3.3)</f>
        <v>3.3</v>
      </c>
      <c r="I1995" s="7">
        <f>IFERROR(__xludf.DUMMYFUNCTION("""COMPUTED_VALUE"""),21.0)</f>
        <v>21</v>
      </c>
      <c r="J1995" s="6">
        <f>IFERROR(__xludf.DUMMYFUNCTION("""COMPUTED_VALUE"""),3.96)</f>
        <v>3.96</v>
      </c>
      <c r="K1995" s="6">
        <f>IFERROR(__xludf.DUMMYFUNCTION("""COMPUTED_VALUE"""),4.62)</f>
        <v>4.62</v>
      </c>
      <c r="L1995" s="3"/>
      <c r="M1995" s="3"/>
    </row>
    <row r="1996" ht="48.0" customHeight="1">
      <c r="A1996" s="3" t="str">
        <f>IFERROR(__xludf.DUMMYFUNCTION("""COMPUTED_VALUE"""),"EUCBP90")</f>
        <v>EUCBP90</v>
      </c>
      <c r="B1996" s="4" t="str">
        <f>IFERROR(__xludf.DUMMYFUNCTION("""COMPUTED_VALUE"""),"BASE POSTE PARA FIJACION A MURO 90º ACERO INOXIDABLE 1,9 MM")</f>
        <v>BASE POSTE PARA FIJACION A MURO 90º ACERO INOXIDABLE 1,9 MM</v>
      </c>
      <c r="C1996" s="4" t="str">
        <f>IFERROR(__xludf.DUMMYFUNCTION("""COMPUTED_VALUE"""),"Base poste para fijacion a muro 90º acero inoxidable 1,9 mm. Con anclajes")</f>
        <v>Base poste para fijacion a muro 90º acero inoxidable 1,9 mm. Con anclajes</v>
      </c>
      <c r="D1996" s="4" t="str">
        <f>IFERROR(__xludf.DUMMYFUNCTION("""COMPUTED_VALUE"""),"EUROCERCO")</f>
        <v>EUROCERCO</v>
      </c>
      <c r="E1996" s="4" t="str">
        <f>IFERROR(__xludf.DUMMYFUNCTION("""COMPUTED_VALUE"""),"EUCBP90")</f>
        <v>EUCBP90</v>
      </c>
      <c r="F1996" s="4" t="str">
        <f>IFERROR(__xludf.DUMMYFUNCTION("""COMPUTED_VALUE"""),"SEGURIDAD PERIMETRAL &gt; HERRERÍA – EUROCERCO")</f>
        <v>SEGURIDAD PERIMETRAL &gt; HERRERÍA – EUROCERCO</v>
      </c>
      <c r="G1996" s="5"/>
      <c r="H1996" s="6">
        <f>IFERROR(__xludf.DUMMYFUNCTION("""COMPUTED_VALUE"""),16.5)</f>
        <v>16.5</v>
      </c>
      <c r="I1996" s="7">
        <f>IFERROR(__xludf.DUMMYFUNCTION("""COMPUTED_VALUE"""),21.0)</f>
        <v>21</v>
      </c>
      <c r="J1996" s="6">
        <f>IFERROR(__xludf.DUMMYFUNCTION("""COMPUTED_VALUE"""),19.8)</f>
        <v>19.8</v>
      </c>
      <c r="K1996" s="6">
        <f>IFERROR(__xludf.DUMMYFUNCTION("""COMPUTED_VALUE"""),23.1)</f>
        <v>23.1</v>
      </c>
      <c r="L1996" s="3"/>
      <c r="M1996" s="3"/>
    </row>
    <row r="1997" ht="48.0" customHeight="1">
      <c r="A1997" s="3" t="str">
        <f>IFERROR(__xludf.DUMMYFUNCTION("""COMPUTED_VALUE"""),"EUCBP45")</f>
        <v>EUCBP45</v>
      </c>
      <c r="B1997" s="4" t="str">
        <f>IFERROR(__xludf.DUMMYFUNCTION("""COMPUTED_VALUE"""),"BASE POSTE PARA FIJACION A MURO 45º ACERO INOXIDABLE 1,9 MM")</f>
        <v>BASE POSTE PARA FIJACION A MURO 45º ACERO INOXIDABLE 1,9 MM</v>
      </c>
      <c r="C1997" s="4" t="str">
        <f>IFERROR(__xludf.DUMMYFUNCTION("""COMPUTED_VALUE"""),"Base poste para fijacion a muro 45º acero inoxidable 1,9 mm. Con anclajes (Incluye EUCBP90)")</f>
        <v>Base poste para fijacion a muro 45º acero inoxidable 1,9 mm. Con anclajes (Incluye EUCBP90)</v>
      </c>
      <c r="D1997" s="4" t="str">
        <f>IFERROR(__xludf.DUMMYFUNCTION("""COMPUTED_VALUE"""),"EUROCERCO")</f>
        <v>EUROCERCO</v>
      </c>
      <c r="E1997" s="4" t="str">
        <f>IFERROR(__xludf.DUMMYFUNCTION("""COMPUTED_VALUE"""),"EUCBP45")</f>
        <v>EUCBP45</v>
      </c>
      <c r="F1997" s="4" t="str">
        <f>IFERROR(__xludf.DUMMYFUNCTION("""COMPUTED_VALUE"""),"SEGURIDAD PERIMETRAL &gt; HERRERÍA – EUROCERCO")</f>
        <v>SEGURIDAD PERIMETRAL &gt; HERRERÍA – EUROCERCO</v>
      </c>
      <c r="G1997" s="5"/>
      <c r="H1997" s="6">
        <f>IFERROR(__xludf.DUMMYFUNCTION("""COMPUTED_VALUE"""),27.5)</f>
        <v>27.5</v>
      </c>
      <c r="I1997" s="7">
        <f>IFERROR(__xludf.DUMMYFUNCTION("""COMPUTED_VALUE"""),21.0)</f>
        <v>21</v>
      </c>
      <c r="J1997" s="6">
        <f>IFERROR(__xludf.DUMMYFUNCTION("""COMPUTED_VALUE"""),33.0)</f>
        <v>33</v>
      </c>
      <c r="K1997" s="6">
        <f>IFERROR(__xludf.DUMMYFUNCTION("""COMPUTED_VALUE"""),38.5)</f>
        <v>38.5</v>
      </c>
      <c r="L1997" s="3"/>
      <c r="M1997" s="3"/>
    </row>
    <row r="1998" ht="48.0" customHeight="1">
      <c r="A1998" s="3" t="str">
        <f>IFERROR(__xludf.DUMMYFUNCTION("""COMPUTED_VALUE"""),"EUCBPED")</f>
        <v>EUCBPED</v>
      </c>
      <c r="B1998" s="4" t="str">
        <f>IFERROR(__xludf.DUMMYFUNCTION("""COMPUTED_VALUE"""),"BASE PEDESTAL DE 20X20CM ACERO INOXIDABLE 3 MM DE")</f>
        <v>BASE PEDESTAL DE 20X20CM ACERO INOXIDABLE 3 MM DE</v>
      </c>
      <c r="C1998" s="4" t="str">
        <f>IFERROR(__xludf.DUMMYFUNCTION("""COMPUTED_VALUE"""),"Base PEDESTAL de 20x20cm acero inoxidable 3 mm de esesor para montaje de poste, incluye base EUCBP90 fijacion poste. Ideal para armar pedestales con postes para control de accesos, porterías y barreras perimetrales")</f>
        <v>Base PEDESTAL de 20x20cm acero inoxidable 3 mm de esesor para montaje de poste, incluye base EUCBP90 fijacion poste. Ideal para armar pedestales con postes para control de accesos, porterías y barreras perimetrales</v>
      </c>
      <c r="D1998" s="4" t="str">
        <f>IFERROR(__xludf.DUMMYFUNCTION("""COMPUTED_VALUE"""),"EUROCERCO")</f>
        <v>EUROCERCO</v>
      </c>
      <c r="E1998" s="4" t="str">
        <f>IFERROR(__xludf.DUMMYFUNCTION("""COMPUTED_VALUE"""),"EUCBPED")</f>
        <v>EUCBPED</v>
      </c>
      <c r="F1998" s="4" t="str">
        <f>IFERROR(__xludf.DUMMYFUNCTION("""COMPUTED_VALUE"""),"SEGURIDAD PERIMETRAL &gt; HERRERÍA – EUROCERCO")</f>
        <v>SEGURIDAD PERIMETRAL &gt; HERRERÍA – EUROCERCO</v>
      </c>
      <c r="G1998" s="5"/>
      <c r="H1998" s="6">
        <f>IFERROR(__xludf.DUMMYFUNCTION("""COMPUTED_VALUE"""),45.38)</f>
        <v>45.38</v>
      </c>
      <c r="I1998" s="7">
        <f>IFERROR(__xludf.DUMMYFUNCTION("""COMPUTED_VALUE"""),21.0)</f>
        <v>21</v>
      </c>
      <c r="J1998" s="6">
        <f>IFERROR(__xludf.DUMMYFUNCTION("""COMPUTED_VALUE"""),54.46)</f>
        <v>54.46</v>
      </c>
      <c r="K1998" s="6">
        <f>IFERROR(__xludf.DUMMYFUNCTION("""COMPUTED_VALUE"""),63.53)</f>
        <v>63.53</v>
      </c>
      <c r="L1998" s="3"/>
      <c r="M1998" s="3"/>
    </row>
    <row r="1999" ht="48.0" customHeight="1">
      <c r="A1999" s="3" t="str">
        <f>IFERROR(__xludf.DUMMYFUNCTION("""COMPUTED_VALUE"""),"EUCBV90")</f>
        <v>EUCBV90</v>
      </c>
      <c r="B1999" s="4" t="str">
        <f>IFERROR(__xludf.DUMMYFUNCTION("""COMPUTED_VALUE"""),"BASE VARILLA PARA FIJACION A MURO 90º ACERO INOXIDABLE 1,9 MM")</f>
        <v>BASE VARILLA PARA FIJACION A MURO 90º ACERO INOXIDABLE 1,9 MM</v>
      </c>
      <c r="C1999" s="4" t="str">
        <f>IFERROR(__xludf.DUMMYFUNCTION("""COMPUTED_VALUE"""),"Base varilla para fijacion a muro 90º acero inoxidable 1,9 mm. Con anclajes")</f>
        <v>Base varilla para fijacion a muro 90º acero inoxidable 1,9 mm. Con anclajes</v>
      </c>
      <c r="D1999" s="4" t="str">
        <f>IFERROR(__xludf.DUMMYFUNCTION("""COMPUTED_VALUE"""),"EUROCERCO")</f>
        <v>EUROCERCO</v>
      </c>
      <c r="E1999" s="4" t="str">
        <f>IFERROR(__xludf.DUMMYFUNCTION("""COMPUTED_VALUE"""),"EUCBV90")</f>
        <v>EUCBV90</v>
      </c>
      <c r="F1999" s="4" t="str">
        <f>IFERROR(__xludf.DUMMYFUNCTION("""COMPUTED_VALUE"""),"SEGURIDAD PERIMETRAL &gt; HERRERÍA – EUROCERCO")</f>
        <v>SEGURIDAD PERIMETRAL &gt; HERRERÍA – EUROCERCO</v>
      </c>
      <c r="G1999" s="5"/>
      <c r="H1999" s="6">
        <f>IFERROR(__xludf.DUMMYFUNCTION("""COMPUTED_VALUE"""),7.7)</f>
        <v>7.7</v>
      </c>
      <c r="I1999" s="7">
        <f>IFERROR(__xludf.DUMMYFUNCTION("""COMPUTED_VALUE"""),21.0)</f>
        <v>21</v>
      </c>
      <c r="J1999" s="6">
        <f>IFERROR(__xludf.DUMMYFUNCTION("""COMPUTED_VALUE"""),9.24)</f>
        <v>9.24</v>
      </c>
      <c r="K1999" s="6">
        <f>IFERROR(__xludf.DUMMYFUNCTION("""COMPUTED_VALUE"""),10.78)</f>
        <v>10.78</v>
      </c>
      <c r="L1999" s="3"/>
      <c r="M1999" s="3"/>
    </row>
    <row r="2000" ht="48.0" customHeight="1">
      <c r="A2000" s="3" t="str">
        <f>IFERROR(__xludf.DUMMYFUNCTION("""COMPUTED_VALUE"""),"EUCBV45")</f>
        <v>EUCBV45</v>
      </c>
      <c r="B2000" s="4" t="str">
        <f>IFERROR(__xludf.DUMMYFUNCTION("""COMPUTED_VALUE"""),"BASE VARILLA PARA FIJACION A MURO 45º ACERO INOXIDABLE 1,9 MM")</f>
        <v>BASE VARILLA PARA FIJACION A MURO 45º ACERO INOXIDABLE 1,9 MM</v>
      </c>
      <c r="C2000" s="4" t="str">
        <f>IFERROR(__xludf.DUMMYFUNCTION("""COMPUTED_VALUE"""),"Base varilla para fijacion a muro 45º acero inoxidable 1,9 mm. Con anclajes")</f>
        <v>Base varilla para fijacion a muro 45º acero inoxidable 1,9 mm. Con anclajes</v>
      </c>
      <c r="D2000" s="4" t="str">
        <f>IFERROR(__xludf.DUMMYFUNCTION("""COMPUTED_VALUE"""),"EUROCERCO")</f>
        <v>EUROCERCO</v>
      </c>
      <c r="E2000" s="4" t="str">
        <f>IFERROR(__xludf.DUMMYFUNCTION("""COMPUTED_VALUE"""),"EUCBV45")</f>
        <v>EUCBV45</v>
      </c>
      <c r="F2000" s="4" t="str">
        <f>IFERROR(__xludf.DUMMYFUNCTION("""COMPUTED_VALUE"""),"SEGURIDAD PERIMETRAL &gt; HERRERÍA – EUROCERCO")</f>
        <v>SEGURIDAD PERIMETRAL &gt; HERRERÍA – EUROCERCO</v>
      </c>
      <c r="G2000" s="5"/>
      <c r="H2000" s="6">
        <f>IFERROR(__xludf.DUMMYFUNCTION("""COMPUTED_VALUE"""),7.7)</f>
        <v>7.7</v>
      </c>
      <c r="I2000" s="7">
        <f>IFERROR(__xludf.DUMMYFUNCTION("""COMPUTED_VALUE"""),21.0)</f>
        <v>21</v>
      </c>
      <c r="J2000" s="6">
        <f>IFERROR(__xludf.DUMMYFUNCTION("""COMPUTED_VALUE"""),9.24)</f>
        <v>9.24</v>
      </c>
      <c r="K2000" s="6">
        <f>IFERROR(__xludf.DUMMYFUNCTION("""COMPUTED_VALUE"""),10.78)</f>
        <v>10.78</v>
      </c>
      <c r="L2000" s="3"/>
      <c r="M2000" s="3"/>
    </row>
    <row r="2001" ht="48.0" customHeight="1">
      <c r="A2001" s="3" t="str">
        <f>IFERROR(__xludf.DUMMYFUNCTION("""COMPUTED_VALUE"""),"EUCGM6")</f>
        <v>EUCGM6</v>
      </c>
      <c r="B2001" s="4" t="str">
        <f>IFERROR(__xludf.DUMMYFUNCTION("""COMPUTED_VALUE"""),"GUSANO DE FIJACION ALLEN INOX M6X6")</f>
        <v>GUSANO DE FIJACION ALLEN INOX M6X6</v>
      </c>
      <c r="C2001" s="4" t="str">
        <f>IFERROR(__xludf.DUMMYFUNCTION("""COMPUTED_VALUE"""),"Gusano de fijacion allen inox M6x6")</f>
        <v>Gusano de fijacion allen inox M6x6</v>
      </c>
      <c r="D2001" s="4" t="str">
        <f>IFERROR(__xludf.DUMMYFUNCTION("""COMPUTED_VALUE"""),"EUROCERCO")</f>
        <v>EUROCERCO</v>
      </c>
      <c r="E2001" s="4" t="str">
        <f>IFERROR(__xludf.DUMMYFUNCTION("""COMPUTED_VALUE"""),"EUCGM6")</f>
        <v>EUCGM6</v>
      </c>
      <c r="F2001" s="4" t="str">
        <f>IFERROR(__xludf.DUMMYFUNCTION("""COMPUTED_VALUE"""),"SEGURIDAD PERIMETRAL &gt; HERRERÍA – EUROCERCO")</f>
        <v>SEGURIDAD PERIMETRAL &gt; HERRERÍA – EUROCERCO</v>
      </c>
      <c r="G2001" s="5"/>
      <c r="H2001" s="6">
        <f>IFERROR(__xludf.DUMMYFUNCTION("""COMPUTED_VALUE"""),0.0)</f>
        <v>0</v>
      </c>
      <c r="I2001" s="7">
        <f>IFERROR(__xludf.DUMMYFUNCTION("""COMPUTED_VALUE"""),21.0)</f>
        <v>21</v>
      </c>
      <c r="J2001" s="6">
        <f>IFERROR(__xludf.DUMMYFUNCTION("""COMPUTED_VALUE"""),0.0)</f>
        <v>0</v>
      </c>
      <c r="K2001" s="6">
        <f>IFERROR(__xludf.DUMMYFUNCTION("""COMPUTED_VALUE"""),0.0)</f>
        <v>0</v>
      </c>
      <c r="L2001" s="3"/>
      <c r="M2001" s="3"/>
    </row>
    <row r="2002" ht="48.0" customHeight="1">
      <c r="A2002" s="3" t="str">
        <f>IFERROR(__xludf.DUMMYFUNCTION("""COMPUTED_VALUE"""),"EUCPMA")</f>
        <v>EUCPMA</v>
      </c>
      <c r="B2002" s="4" t="str">
        <f>IFERROR(__xludf.DUMMYFUNCTION("""COMPUTED_VALUE"""),"PUERTA MANTENIMIENTO DE ALUMINIO DE 2,4MTS (INCLUYE AISLADORES, RESORT")</f>
        <v>PUERTA MANTENIMIENTO DE ALUMINIO DE 2,4MTS (INCLUYE AISLADORES, RESORT</v>
      </c>
      <c r="C2002" s="4" t="str">
        <f>IFERROR(__xludf.DUMMYFUNCTION("""COMPUTED_VALUE"""),"Puerta Mantenimiento de Aluminio de 2,4mts (incluye aisladores, resortes y 16 hilos)")</f>
        <v>Puerta Mantenimiento de Aluminio de 2,4mts (incluye aisladores, resortes y 16 hilos)</v>
      </c>
      <c r="D2002" s="4" t="str">
        <f>IFERROR(__xludf.DUMMYFUNCTION("""COMPUTED_VALUE"""),"EUROCERCO")</f>
        <v>EUROCERCO</v>
      </c>
      <c r="E2002" s="4" t="str">
        <f>IFERROR(__xludf.DUMMYFUNCTION("""COMPUTED_VALUE"""),"EUCPMA")</f>
        <v>EUCPMA</v>
      </c>
      <c r="F2002" s="4" t="str">
        <f>IFERROR(__xludf.DUMMYFUNCTION("""COMPUTED_VALUE"""),"SEGURIDAD PERIMETRAL &gt; HERRERÍA – EUROCERCO")</f>
        <v>SEGURIDAD PERIMETRAL &gt; HERRERÍA – EUROCERCO</v>
      </c>
      <c r="G2002" s="5"/>
      <c r="H2002" s="6">
        <f>IFERROR(__xludf.DUMMYFUNCTION("""COMPUTED_VALUE"""),770.0)</f>
        <v>770</v>
      </c>
      <c r="I2002" s="7">
        <f>IFERROR(__xludf.DUMMYFUNCTION("""COMPUTED_VALUE"""),21.0)</f>
        <v>21</v>
      </c>
      <c r="J2002" s="6">
        <f>IFERROR(__xludf.DUMMYFUNCTION("""COMPUTED_VALUE"""),924.0)</f>
        <v>924</v>
      </c>
      <c r="K2002" s="6">
        <f>IFERROR(__xludf.DUMMYFUNCTION("""COMPUTED_VALUE"""),1078.0)</f>
        <v>1078</v>
      </c>
      <c r="L2002" s="3"/>
      <c r="M2002" s="3"/>
    </row>
    <row r="2003" ht="48.0" customHeight="1">
      <c r="A2003" s="3" t="str">
        <f>IFERROR(__xludf.DUMMYFUNCTION("""COMPUTED_VALUE"""),"PWSJAB")</f>
        <v>PWSJAB</v>
      </c>
      <c r="B2003" s="4" t="str">
        <f>IFERROR(__xludf.DUMMYFUNCTION("""COMPUTED_VALUE"""),"JABALINA DE COBRE 1 METRO")</f>
        <v>JABALINA DE COBRE 1 METRO</v>
      </c>
      <c r="C2003" s="4" t="str">
        <f>IFERROR(__xludf.DUMMYFUNCTION("""COMPUTED_VALUE"""),"Jabalina de cobre 1 metro")</f>
        <v>Jabalina de cobre 1 metro</v>
      </c>
      <c r="D2003" s="4" t="str">
        <f>IFERROR(__xludf.DUMMYFUNCTION("""COMPUTED_VALUE"""),"GENERICO")</f>
        <v>GENERICO</v>
      </c>
      <c r="E2003" s="4" t="str">
        <f>IFERROR(__xludf.DUMMYFUNCTION("""COMPUTED_VALUE"""),"PWSJAB")</f>
        <v>PWSJAB</v>
      </c>
      <c r="F2003" s="4" t="str">
        <f>IFERROR(__xludf.DUMMYFUNCTION("""COMPUTED_VALUE"""),"SEGURIDAD PERIMETRAL &gt; ACCESORIOS")</f>
        <v>SEGURIDAD PERIMETRAL &gt; ACCESORIOS</v>
      </c>
      <c r="G2003" s="5"/>
      <c r="H2003" s="6">
        <f>IFERROR(__xludf.DUMMYFUNCTION("""COMPUTED_VALUE"""),8.58)</f>
        <v>8.58</v>
      </c>
      <c r="I2003" s="7">
        <f>IFERROR(__xludf.DUMMYFUNCTION("""COMPUTED_VALUE"""),21.0)</f>
        <v>21</v>
      </c>
      <c r="J2003" s="6">
        <f>IFERROR(__xludf.DUMMYFUNCTION("""COMPUTED_VALUE"""),10.3)</f>
        <v>10.3</v>
      </c>
      <c r="K2003" s="6">
        <f>IFERROR(__xludf.DUMMYFUNCTION("""COMPUTED_VALUE"""),12.01)</f>
        <v>12.01</v>
      </c>
      <c r="L2003" s="3"/>
      <c r="M2003" s="3"/>
    </row>
    <row r="2004" ht="48.0" customHeight="1">
      <c r="A2004" s="3" t="str">
        <f>IFERROR(__xludf.DUMMYFUNCTION("""COMPUTED_VALUE"""),"PWS3A08")</f>
        <v>PWS3A08</v>
      </c>
      <c r="B2004" s="4" t="str">
        <f>IFERROR(__xludf.DUMMYFUNCTION("""COMPUTED_VALUE"""),"KIT DE DETECCIÓN PARA PERÍMETROS CON SALIDA DE RELAY,")</f>
        <v>KIT DE DETECCIÓN PARA PERÍMETROS CON SALIDA DE RELAY,</v>
      </c>
      <c r="C2004" s="4" t="str">
        <f>IFERROR(__xludf.DUMMYFUNCTION("""COMPUTED_VALUE"""),"Kit de detección para perímetros con salida de relay, para proteger Cercos, Rejas y Muros de 80 mts. Compuesto por: Central Microprocesada de una zona y salida relay, Gabinete Estanco para exterior, Anemómetro, 180 mts de cable sensor microfónico, 600 pre"&amp;"cintos ultraresistentes para sujeción(protecion UV)")</f>
        <v>Kit de detección para perímetros con salida de relay, para proteger Cercos, Rejas y Muros de 80 mts. Compuesto por: Central Microprocesada de una zona y salida relay, Gabinete Estanco para exterior, Anemómetro, 180 mts de cable sensor microfónico, 600 precintos ultraresistentes para sujeción(protecion UV)</v>
      </c>
      <c r="D2004" s="4" t="str">
        <f>IFERROR(__xludf.DUMMYFUNCTION("""COMPUTED_VALUE"""),"ALIARA")</f>
        <v>ALIARA</v>
      </c>
      <c r="E2004" s="4" t="str">
        <f>IFERROR(__xludf.DUMMYFUNCTION("""COMPUTED_VALUE"""),"PWS3A08")</f>
        <v>PWS3A08</v>
      </c>
      <c r="F2004" s="4" t="str">
        <f>IFERROR(__xludf.DUMMYFUNCTION("""COMPUTED_VALUE"""),"SEGURIDAD PERIMETRAL &gt; KIT CABLE SENSOR MICROFÓNICO")</f>
        <v>SEGURIDAD PERIMETRAL &gt; KIT CABLE SENSOR MICROFÓNICO</v>
      </c>
      <c r="G2004" s="5"/>
      <c r="H2004" s="6">
        <f>IFERROR(__xludf.DUMMYFUNCTION("""COMPUTED_VALUE"""),1722.6)</f>
        <v>1722.6</v>
      </c>
      <c r="I2004" s="7">
        <f>IFERROR(__xludf.DUMMYFUNCTION("""COMPUTED_VALUE"""),21.0)</f>
        <v>21</v>
      </c>
      <c r="J2004" s="6">
        <f>IFERROR(__xludf.DUMMYFUNCTION("""COMPUTED_VALUE"""),2067.12)</f>
        <v>2067.12</v>
      </c>
      <c r="K2004" s="6">
        <f>IFERROR(__xludf.DUMMYFUNCTION("""COMPUTED_VALUE"""),2411.64)</f>
        <v>2411.64</v>
      </c>
      <c r="L2004" s="3"/>
      <c r="M2004" s="3"/>
    </row>
    <row r="2005" ht="48.0" customHeight="1">
      <c r="A2005" s="3" t="str">
        <f>IFERROR(__xludf.DUMMYFUNCTION("""COMPUTED_VALUE"""),"PWS3A12")</f>
        <v>PWS3A12</v>
      </c>
      <c r="B2005" s="4" t="str">
        <f>IFERROR(__xludf.DUMMYFUNCTION("""COMPUTED_VALUE"""),"KIT DE DETECCIÓN PARA PERÍMETROS CON SALIDA DE RELAY,")</f>
        <v>KIT DE DETECCIÓN PARA PERÍMETROS CON SALIDA DE RELAY,</v>
      </c>
      <c r="C2005" s="4" t="str">
        <f>IFERROR(__xludf.DUMMYFUNCTION("""COMPUTED_VALUE"""),"Kit de detección para perímetros con salida de relay, para proteger Cercos, Rejas y Muros de 120 mts. Compuesto por: Central Microprocesada de una zona y salida relay, Gabinete Estanco para exterior, Anemómetro, 270 mts de cable sensor microfónico, 900 pr"&amp;"ecintos ultraresistentes para sujeción(protecion UV)")</f>
        <v>Kit de detección para perímetros con salida de relay, para proteger Cercos, Rejas y Muros de 120 mts. Compuesto por: Central Microprocesada de una zona y salida relay, Gabinete Estanco para exterior, Anemómetro, 270 mts de cable sensor microfónico, 900 precintos ultraresistentes para sujeción(protecion UV)</v>
      </c>
      <c r="D2005" s="4" t="str">
        <f>IFERROR(__xludf.DUMMYFUNCTION("""COMPUTED_VALUE"""),"ALIARA")</f>
        <v>ALIARA</v>
      </c>
      <c r="E2005" s="4" t="str">
        <f>IFERROR(__xludf.DUMMYFUNCTION("""COMPUTED_VALUE"""),"PWS3A12")</f>
        <v>PWS3A12</v>
      </c>
      <c r="F2005" s="4" t="str">
        <f>IFERROR(__xludf.DUMMYFUNCTION("""COMPUTED_VALUE"""),"SEGURIDAD PERIMETRAL &gt; KIT CABLE SENSOR MICROFÓNICO")</f>
        <v>SEGURIDAD PERIMETRAL &gt; KIT CABLE SENSOR MICROFÓNICO</v>
      </c>
      <c r="G2005" s="5"/>
      <c r="H2005" s="6">
        <f>IFERROR(__xludf.DUMMYFUNCTION("""COMPUTED_VALUE"""),2239.38)</f>
        <v>2239.38</v>
      </c>
      <c r="I2005" s="7">
        <f>IFERROR(__xludf.DUMMYFUNCTION("""COMPUTED_VALUE"""),21.0)</f>
        <v>21</v>
      </c>
      <c r="J2005" s="6">
        <f>IFERROR(__xludf.DUMMYFUNCTION("""COMPUTED_VALUE"""),2687.26)</f>
        <v>2687.26</v>
      </c>
      <c r="K2005" s="6">
        <f>IFERROR(__xludf.DUMMYFUNCTION("""COMPUTED_VALUE"""),3135.13)</f>
        <v>3135.13</v>
      </c>
      <c r="L2005" s="3"/>
      <c r="M2005" s="3"/>
    </row>
    <row r="2006" ht="48.0" customHeight="1">
      <c r="A2006" s="3" t="str">
        <f>IFERROR(__xludf.DUMMYFUNCTION("""COMPUTED_VALUE"""),"PWS3A16")</f>
        <v>PWS3A16</v>
      </c>
      <c r="B2006" s="4" t="str">
        <f>IFERROR(__xludf.DUMMYFUNCTION("""COMPUTED_VALUE"""),"KIT DE DETECCIÓN PARA PERÍMETROS CON SALIDA DE RELAY,")</f>
        <v>KIT DE DETECCIÓN PARA PERÍMETROS CON SALIDA DE RELAY,</v>
      </c>
      <c r="C2006" s="4" t="str">
        <f>IFERROR(__xludf.DUMMYFUNCTION("""COMPUTED_VALUE"""),"Kit de detección para perímetros con salida de relay, para proteger Cercos, Rejas y Muros de 160 mts. Compuesto por: Central Microprocesada de una zona y salida relay, Gabinete Estanco para exterior, Anemómetro, 360 mts de cable sensor microfónico, 1200 p"&amp;"recintos ultraresistentes para sujeción(protecion UV)")</f>
        <v>Kit de detección para perímetros con salida de relay, para proteger Cercos, Rejas y Muros de 160 mts. Compuesto por: Central Microprocesada de una zona y salida relay, Gabinete Estanco para exterior, Anemómetro, 360 mts de cable sensor microfónico, 1200 precintos ultraresistentes para sujeción(protecion UV)</v>
      </c>
      <c r="D2006" s="4" t="str">
        <f>IFERROR(__xludf.DUMMYFUNCTION("""COMPUTED_VALUE"""),"ALIARA")</f>
        <v>ALIARA</v>
      </c>
      <c r="E2006" s="4" t="str">
        <f>IFERROR(__xludf.DUMMYFUNCTION("""COMPUTED_VALUE"""),"PWS3A16")</f>
        <v>PWS3A16</v>
      </c>
      <c r="F2006" s="4" t="str">
        <f>IFERROR(__xludf.DUMMYFUNCTION("""COMPUTED_VALUE"""),"SEGURIDAD PERIMETRAL &gt; KIT CABLE SENSOR MICROFÓNICO")</f>
        <v>SEGURIDAD PERIMETRAL &gt; KIT CABLE SENSOR MICROFÓNICO</v>
      </c>
      <c r="G2006" s="5"/>
      <c r="H2006" s="6">
        <f>IFERROR(__xludf.DUMMYFUNCTION("""COMPUTED_VALUE"""),2583.9)</f>
        <v>2583.9</v>
      </c>
      <c r="I2006" s="7">
        <f>IFERROR(__xludf.DUMMYFUNCTION("""COMPUTED_VALUE"""),21.0)</f>
        <v>21</v>
      </c>
      <c r="J2006" s="6">
        <f>IFERROR(__xludf.DUMMYFUNCTION("""COMPUTED_VALUE"""),3100.68)</f>
        <v>3100.68</v>
      </c>
      <c r="K2006" s="6">
        <f>IFERROR(__xludf.DUMMYFUNCTION("""COMPUTED_VALUE"""),3617.46)</f>
        <v>3617.46</v>
      </c>
      <c r="L2006" s="3"/>
      <c r="M2006" s="3"/>
    </row>
    <row r="2007" ht="48.0" customHeight="1">
      <c r="A2007" s="3" t="str">
        <f>IFERROR(__xludf.DUMMYFUNCTION("""COMPUTED_VALUE"""),"ASWIGATE")</f>
        <v>ASWIGATE</v>
      </c>
      <c r="B2007" s="4" t="str">
        <f>IFERROR(__xludf.DUMMYFUNCTION("""COMPUTED_VALUE"""),"MODULO WIFI PARA PORTONES MANEJA TU PORTÓN DESDE DONDE ESTÉS")</f>
        <v>MODULO WIFI PARA PORTONES MANEJA TU PORTÓN DESDE DONDE ESTÉS</v>
      </c>
      <c r="C2007" s="4" t="str">
        <f>IFERROR(__xludf.DUMMYFUNCTION("""COMPUTED_VALUE"""),"Modulo WIFI para portones Maneja tu portón desde donde estés. Verifica en que estado está y controlá el historial de sus movimientos. Compatible APP Smart Life")</f>
        <v>Modulo WIFI para portones Maneja tu portón desde donde estés. Verifica en que estado está y controlá el historial de sus movimientos. Compatible APP Smart Life</v>
      </c>
      <c r="D2007" s="4" t="str">
        <f>IFERROR(__xludf.DUMMYFUNCTION("""COMPUTED_VALUE"""),"ALSE")</f>
        <v>ALSE</v>
      </c>
      <c r="E2007" s="4" t="str">
        <f>IFERROR(__xludf.DUMMYFUNCTION("""COMPUTED_VALUE"""),"ASWIGATE")</f>
        <v>ASWIGATE</v>
      </c>
      <c r="F2007" s="4" t="str">
        <f>IFERROR(__xludf.DUMMYFUNCTION("""COMPUTED_VALUE"""),"AUTOMATIZACION &gt; CONTROL Y AUTOMATIZACIÓN IOT")</f>
        <v>AUTOMATIZACION &gt; CONTROL Y AUTOMATIZACIÓN IOT</v>
      </c>
      <c r="G2007" s="5"/>
      <c r="H2007" s="6">
        <f>IFERROR(__xludf.DUMMYFUNCTION("""COMPUTED_VALUE"""),63.14)</f>
        <v>63.14</v>
      </c>
      <c r="I2007" s="7">
        <f>IFERROR(__xludf.DUMMYFUNCTION("""COMPUTED_VALUE"""),21.0)</f>
        <v>21</v>
      </c>
      <c r="J2007" s="6">
        <f>IFERROR(__xludf.DUMMYFUNCTION("""COMPUTED_VALUE"""),75.77)</f>
        <v>75.77</v>
      </c>
      <c r="K2007" s="6">
        <f>IFERROR(__xludf.DUMMYFUNCTION("""COMPUTED_VALUE"""),88.4)</f>
        <v>88.4</v>
      </c>
      <c r="L2007" s="3"/>
      <c r="M2007" s="3"/>
    </row>
    <row r="2008" ht="48.0" customHeight="1">
      <c r="A2008" s="3" t="str">
        <f>IFERROR(__xludf.DUMMYFUNCTION("""COMPUTED_VALUE"""),"GFSMBOX")</f>
        <v>GFSMBOX</v>
      </c>
      <c r="B2008" s="4" t="str">
        <f>IFERROR(__xludf.DUMMYFUNCTION("""COMPUTED_VALUE"""),"INTERRUPTOR INTELIGENTE WIFI CORRIENTE MÁXIMA 10A SOPORTE DE APLICACIÓ")</f>
        <v>INTERRUPTOR INTELIGENTE WIFI CORRIENTE MÁXIMA 10A SOPORTE DE APLICACIÓ</v>
      </c>
      <c r="C2008" s="4" t="str">
        <f>IFERROR(__xludf.DUMMYFUNCTION("""COMPUTED_VALUE"""),"Interruptor inteligente WIFI corriente máxima 10a soporte de aplicación: android 4.0 ios 8.0 o superior Compatible APP Smart Life")</f>
        <v>Interruptor inteligente WIFI corriente máxima 10a soporte de aplicación: android 4.0 ios 8.0 o superior Compatible APP Smart Life</v>
      </c>
      <c r="D2008" s="4" t="str">
        <f>IFERROR(__xludf.DUMMYFUNCTION("""COMPUTED_VALUE"""),"GRALF")</f>
        <v>GRALF</v>
      </c>
      <c r="E2008" s="4" t="str">
        <f>IFERROR(__xludf.DUMMYFUNCTION("""COMPUTED_VALUE"""),"GFSMBOX")</f>
        <v>GFSMBOX</v>
      </c>
      <c r="F2008" s="4" t="str">
        <f>IFERROR(__xludf.DUMMYFUNCTION("""COMPUTED_VALUE"""),"AUTOMATIZACION &gt; CONTROL Y AUTOMATIZACIÓN IOT")</f>
        <v>AUTOMATIZACION &gt; CONTROL Y AUTOMATIZACIÓN IOT</v>
      </c>
      <c r="G2008" s="5"/>
      <c r="H2008" s="6">
        <f>IFERROR(__xludf.DUMMYFUNCTION("""COMPUTED_VALUE"""),12.38)</f>
        <v>12.38</v>
      </c>
      <c r="I2008" s="7">
        <f>IFERROR(__xludf.DUMMYFUNCTION("""COMPUTED_VALUE"""),10.5)</f>
        <v>10.5</v>
      </c>
      <c r="J2008" s="6">
        <f>IFERROR(__xludf.DUMMYFUNCTION("""COMPUTED_VALUE"""),14.86)</f>
        <v>14.86</v>
      </c>
      <c r="K2008" s="6">
        <f>IFERROR(__xludf.DUMMYFUNCTION("""COMPUTED_VALUE"""),17.33)</f>
        <v>17.33</v>
      </c>
      <c r="L2008" s="3"/>
      <c r="M2008" s="3"/>
    </row>
    <row r="2009" ht="48.0" customHeight="1">
      <c r="A2009" s="3" t="str">
        <f>IFERROR(__xludf.DUMMYFUNCTION("""COMPUTED_VALUE"""),"GFSMBOXPLUS")</f>
        <v>GFSMBOXPLUS</v>
      </c>
      <c r="B2009" s="4" t="str">
        <f>IFERROR(__xludf.DUMMYFUNCTION("""COMPUTED_VALUE"""),"INTERRUPTOR INTELIGENTE WIFI CORRIENTE MÁXIMA 16A/SOPORTE DE APLICACIÓ")</f>
        <v>INTERRUPTOR INTELIGENTE WIFI CORRIENTE MÁXIMA 16A/SOPORTE DE APLICACIÓ</v>
      </c>
      <c r="C2009" s="4" t="str">
        <f>IFERROR(__xludf.DUMMYFUNCTION("""COMPUTED_VALUE"""),"Interruptor inteligente WIFI corriente máxima 16a/soporte de aplicación: android 4.0 ios 8.0 o superior Compatible APP Smart Life")</f>
        <v>Interruptor inteligente WIFI corriente máxima 16a/soporte de aplicación: android 4.0 ios 8.0 o superior Compatible APP Smart Life</v>
      </c>
      <c r="D2009" s="4" t="str">
        <f>IFERROR(__xludf.DUMMYFUNCTION("""COMPUTED_VALUE"""),"GRALF")</f>
        <v>GRALF</v>
      </c>
      <c r="E2009" s="4" t="str">
        <f>IFERROR(__xludf.DUMMYFUNCTION("""COMPUTED_VALUE"""),"GFSMBOXPLUS")</f>
        <v>GFSMBOXPLUS</v>
      </c>
      <c r="F2009" s="4" t="str">
        <f>IFERROR(__xludf.DUMMYFUNCTION("""COMPUTED_VALUE"""),"AUTOMATIZACION &gt; CONTROL Y AUTOMATIZACIÓN IOT")</f>
        <v>AUTOMATIZACION &gt; CONTROL Y AUTOMATIZACIÓN IOT</v>
      </c>
      <c r="G2009" s="5"/>
      <c r="H2009" s="6">
        <f>IFERROR(__xludf.DUMMYFUNCTION("""COMPUTED_VALUE"""),15.35)</f>
        <v>15.35</v>
      </c>
      <c r="I2009" s="7">
        <f>IFERROR(__xludf.DUMMYFUNCTION("""COMPUTED_VALUE"""),21.0)</f>
        <v>21</v>
      </c>
      <c r="J2009" s="6">
        <f>IFERROR(__xludf.DUMMYFUNCTION("""COMPUTED_VALUE"""),18.42)</f>
        <v>18.42</v>
      </c>
      <c r="K2009" s="6">
        <f>IFERROR(__xludf.DUMMYFUNCTION("""COMPUTED_VALUE"""),21.49)</f>
        <v>21.49</v>
      </c>
      <c r="L2009" s="3"/>
      <c r="M2009" s="3"/>
    </row>
    <row r="2010" ht="48.0" customHeight="1">
      <c r="A2010" s="3" t="str">
        <f>IFERROR(__xludf.DUMMYFUNCTION("""COMPUTED_VALUE"""),"GFSMBOXDUAL")</f>
        <v>GFSMBOXDUAL</v>
      </c>
      <c r="B2010" s="4" t="str">
        <f>IFERROR(__xludf.DUMMYFUNCTION("""COMPUTED_VALUE"""),"INTERRUPTOR INTELIGENTE DUAL DOS SALIDAS WIFI CORRIENTE MÁXIMA 16A/SOP")</f>
        <v>INTERRUPTOR INTELIGENTE DUAL DOS SALIDAS WIFI CORRIENTE MÁXIMA 16A/SOP</v>
      </c>
      <c r="C2010" s="4" t="str">
        <f>IFERROR(__xludf.DUMMYFUNCTION("""COMPUTED_VALUE"""),"Interruptor inteligente DUAL dos salidas WIFI corriente máxima 16a/soporte de aplicación: android 4.0 ios 8.0 o superior Compatible APP Smart Life")</f>
        <v>Interruptor inteligente DUAL dos salidas WIFI corriente máxima 16a/soporte de aplicación: android 4.0 ios 8.0 o superior Compatible APP Smart Life</v>
      </c>
      <c r="D2010" s="4" t="str">
        <f>IFERROR(__xludf.DUMMYFUNCTION("""COMPUTED_VALUE"""),"GRALF")</f>
        <v>GRALF</v>
      </c>
      <c r="E2010" s="4" t="str">
        <f>IFERROR(__xludf.DUMMYFUNCTION("""COMPUTED_VALUE"""),"GFSMBOXDUAL")</f>
        <v>GFSMBOXDUAL</v>
      </c>
      <c r="F2010" s="4" t="str">
        <f>IFERROR(__xludf.DUMMYFUNCTION("""COMPUTED_VALUE"""),"AUTOMATIZACION &gt; CONTROL Y AUTOMATIZACIÓN IOT")</f>
        <v>AUTOMATIZACION &gt; CONTROL Y AUTOMATIZACIÓN IOT</v>
      </c>
      <c r="G2010" s="5"/>
      <c r="H2010" s="6">
        <f>IFERROR(__xludf.DUMMYFUNCTION("""COMPUTED_VALUE"""),17.73)</f>
        <v>17.73</v>
      </c>
      <c r="I2010" s="7">
        <f>IFERROR(__xludf.DUMMYFUNCTION("""COMPUTED_VALUE"""),21.0)</f>
        <v>21</v>
      </c>
      <c r="J2010" s="6">
        <f>IFERROR(__xludf.DUMMYFUNCTION("""COMPUTED_VALUE"""),21.28)</f>
        <v>21.28</v>
      </c>
      <c r="K2010" s="6">
        <f>IFERROR(__xludf.DUMMYFUNCTION("""COMPUTED_VALUE"""),24.82)</f>
        <v>24.82</v>
      </c>
      <c r="L2010" s="3"/>
      <c r="M2010" s="3"/>
    </row>
    <row r="2011" ht="48.0" customHeight="1">
      <c r="A2011" s="3" t="str">
        <f>IFERROR(__xludf.DUMMYFUNCTION("""COMPUTED_VALUE"""),"GFTH")</f>
        <v>GFTH</v>
      </c>
      <c r="B2011" s="4" t="str">
        <f>IFERROR(__xludf.DUMMYFUNCTION("""COMPUTED_VALUE"""),"RELAY DE TIEMPO INTELIGENTE COMPACTO WI-FI 1 SALIDA")</f>
        <v>RELAY DE TIEMPO INTELIGENTE COMPACTO WI-FI 1 SALIDA</v>
      </c>
      <c r="C2011" s="4" t="str">
        <f>IFERROR(__xludf.DUMMYFUNCTION("""COMPUTED_VALUE"""),"Relay de tiempo inteligente compacto Wi-Fi 1 Salida. Compatible APP Smart Life")</f>
        <v>Relay de tiempo inteligente compacto Wi-Fi 1 Salida. Compatible APP Smart Life</v>
      </c>
      <c r="D2011" s="4" t="str">
        <f>IFERROR(__xludf.DUMMYFUNCTION("""COMPUTED_VALUE"""),"GRALF")</f>
        <v>GRALF</v>
      </c>
      <c r="E2011" s="4" t="str">
        <f>IFERROR(__xludf.DUMMYFUNCTION("""COMPUTED_VALUE"""),"GFTH")</f>
        <v>GFTH</v>
      </c>
      <c r="F2011" s="4" t="str">
        <f>IFERROR(__xludf.DUMMYFUNCTION("""COMPUTED_VALUE"""),"AUTOMATIZACION &gt; CONTROL Y AUTOMATIZACIÓN IOT")</f>
        <v>AUTOMATIZACION &gt; CONTROL Y AUTOMATIZACIÓN IOT</v>
      </c>
      <c r="G2011" s="5"/>
      <c r="H2011" s="6">
        <f>IFERROR(__xludf.DUMMYFUNCTION("""COMPUTED_VALUE"""),13.31)</f>
        <v>13.31</v>
      </c>
      <c r="I2011" s="7">
        <f>IFERROR(__xludf.DUMMYFUNCTION("""COMPUTED_VALUE"""),10.5)</f>
        <v>10.5</v>
      </c>
      <c r="J2011" s="6">
        <f>IFERROR(__xludf.DUMMYFUNCTION("""COMPUTED_VALUE"""),15.97)</f>
        <v>15.97</v>
      </c>
      <c r="K2011" s="6">
        <f>IFERROR(__xludf.DUMMYFUNCTION("""COMPUTED_VALUE"""),18.63)</f>
        <v>18.63</v>
      </c>
      <c r="L2011" s="3"/>
      <c r="M2011" s="3"/>
    </row>
    <row r="2012" ht="48.0" customHeight="1">
      <c r="A2012" s="3" t="str">
        <f>IFERROR(__xludf.DUMMYFUNCTION("""COMPUTED_VALUE"""),"GFTJ")</f>
        <v>GFTJ</v>
      </c>
      <c r="B2012" s="4" t="str">
        <f>IFERROR(__xludf.DUMMYFUNCTION("""COMPUTED_VALUE"""),"RELAY DE TIEMPO INTELIGENTE COMPACTO WI-FI 2 SALIDAS")</f>
        <v>RELAY DE TIEMPO INTELIGENTE COMPACTO WI-FI 2 SALIDAS</v>
      </c>
      <c r="C2012" s="4" t="str">
        <f>IFERROR(__xludf.DUMMYFUNCTION("""COMPUTED_VALUE"""),"Relay de tiempo inteligente compacto Wi-Fi 2 Salidas. Compatible APP Smart Life")</f>
        <v>Relay de tiempo inteligente compacto Wi-Fi 2 Salidas. Compatible APP Smart Life</v>
      </c>
      <c r="D2012" s="4" t="str">
        <f>IFERROR(__xludf.DUMMYFUNCTION("""COMPUTED_VALUE"""),"GRALF")</f>
        <v>GRALF</v>
      </c>
      <c r="E2012" s="4" t="str">
        <f>IFERROR(__xludf.DUMMYFUNCTION("""COMPUTED_VALUE"""),"GFTJ")</f>
        <v>GFTJ</v>
      </c>
      <c r="F2012" s="4" t="str">
        <f>IFERROR(__xludf.DUMMYFUNCTION("""COMPUTED_VALUE"""),"AUTOMATIZACION &gt; CONTROL Y AUTOMATIZACIÓN IOT")</f>
        <v>AUTOMATIZACION &gt; CONTROL Y AUTOMATIZACIÓN IOT</v>
      </c>
      <c r="G2012" s="5"/>
      <c r="H2012" s="6">
        <f>IFERROR(__xludf.DUMMYFUNCTION("""COMPUTED_VALUE"""),15.6)</f>
        <v>15.6</v>
      </c>
      <c r="I2012" s="7">
        <f>IFERROR(__xludf.DUMMYFUNCTION("""COMPUTED_VALUE"""),10.5)</f>
        <v>10.5</v>
      </c>
      <c r="J2012" s="6">
        <f>IFERROR(__xludf.DUMMYFUNCTION("""COMPUTED_VALUE"""),18.72)</f>
        <v>18.72</v>
      </c>
      <c r="K2012" s="6">
        <f>IFERROR(__xludf.DUMMYFUNCTION("""COMPUTED_VALUE"""),21.84)</f>
        <v>21.84</v>
      </c>
      <c r="L2012" s="3"/>
      <c r="M2012" s="3"/>
    </row>
    <row r="2013" ht="48.0" customHeight="1">
      <c r="A2013" s="3" t="str">
        <f>IFERROR(__xludf.DUMMYFUNCTION("""COMPUTED_VALUE"""),"GFSMSOCKET")</f>
        <v>GFSMSOCKET</v>
      </c>
      <c r="B2013" s="4" t="str">
        <f>IFERROR(__xludf.DUMMYFUNCTION("""COMPUTED_VALUE"""),"ENCHUFE INTELIGENTE WIFI CORRIENTE MÁXIMA 10A/SOPORTE DE APLICACIÓN: A")</f>
        <v>ENCHUFE INTELIGENTE WIFI CORRIENTE MÁXIMA 10A/SOPORTE DE APLICACIÓN: A</v>
      </c>
      <c r="C2013" s="4" t="str">
        <f>IFERROR(__xludf.DUMMYFUNCTION("""COMPUTED_VALUE"""),"Enchufe inteligente WIFI corriente máxima 10a/soporte de aplicación: android 4.0 ios 8.0 o superior Compatible APP Smart Life")</f>
        <v>Enchufe inteligente WIFI corriente máxima 10a/soporte de aplicación: android 4.0 ios 8.0 o superior Compatible APP Smart Life</v>
      </c>
      <c r="D2013" s="4" t="str">
        <f>IFERROR(__xludf.DUMMYFUNCTION("""COMPUTED_VALUE"""),"GRALF")</f>
        <v>GRALF</v>
      </c>
      <c r="E2013" s="4" t="str">
        <f>IFERROR(__xludf.DUMMYFUNCTION("""COMPUTED_VALUE"""),"GFSMSOCKET")</f>
        <v>GFSMSOCKET</v>
      </c>
      <c r="F2013" s="4" t="str">
        <f>IFERROR(__xludf.DUMMYFUNCTION("""COMPUTED_VALUE"""),"AUTOMATIZACION &gt; CONTROL Y AUTOMATIZACIÓN IOT")</f>
        <v>AUTOMATIZACION &gt; CONTROL Y AUTOMATIZACIÓN IOT</v>
      </c>
      <c r="G2013" s="5"/>
      <c r="H2013" s="6">
        <f>IFERROR(__xludf.DUMMYFUNCTION("""COMPUTED_VALUE"""),18.14)</f>
        <v>18.14</v>
      </c>
      <c r="I2013" s="7">
        <f>IFERROR(__xludf.DUMMYFUNCTION("""COMPUTED_VALUE"""),21.0)</f>
        <v>21</v>
      </c>
      <c r="J2013" s="6">
        <f>IFERROR(__xludf.DUMMYFUNCTION("""COMPUTED_VALUE"""),21.77)</f>
        <v>21.77</v>
      </c>
      <c r="K2013" s="6">
        <f>IFERROR(__xludf.DUMMYFUNCTION("""COMPUTED_VALUE"""),25.4)</f>
        <v>25.4</v>
      </c>
      <c r="L2013" s="3"/>
      <c r="M2013" s="3"/>
    </row>
    <row r="2014" ht="48.0" customHeight="1">
      <c r="A2014" s="3" t="str">
        <f>IFERROR(__xludf.DUMMYFUNCTION("""COMPUTED_VALUE"""),"GFSMIR")</f>
        <v>GFSMIR</v>
      </c>
      <c r="B2014" s="4" t="str">
        <f>IFERROR(__xludf.DUMMYFUNCTION("""COMPUTED_VALUE"""),"CONTROL REMOTO INTELIGENTE WIFI PODER DE ENTRADA: 5V/1A DC")</f>
        <v>CONTROL REMOTO INTELIGENTE WIFI PODER DE ENTRADA: 5V/1A DC</v>
      </c>
      <c r="C2014" s="4" t="str">
        <f>IFERROR(__xludf.DUMMYFUNCTION("""COMPUTED_VALUE"""),"Control remoto inteligente WIFI poder de entrada: 5v/1a dc (micro usb2.0) soporte de aplicación: android 4.0 Compatible APP Smart Life")</f>
        <v>Control remoto inteligente WIFI poder de entrada: 5v/1a dc (micro usb2.0) soporte de aplicación: android 4.0 Compatible APP Smart Life</v>
      </c>
      <c r="D2014" s="4" t="str">
        <f>IFERROR(__xludf.DUMMYFUNCTION("""COMPUTED_VALUE"""),"GRALF")</f>
        <v>GRALF</v>
      </c>
      <c r="E2014" s="4" t="str">
        <f>IFERROR(__xludf.DUMMYFUNCTION("""COMPUTED_VALUE"""),"GFSMIR")</f>
        <v>GFSMIR</v>
      </c>
      <c r="F2014" s="4" t="str">
        <f>IFERROR(__xludf.DUMMYFUNCTION("""COMPUTED_VALUE"""),"AUTOMATIZACION &gt; CONTROL Y AUTOMATIZACIÓN IOT")</f>
        <v>AUTOMATIZACION &gt; CONTROL Y AUTOMATIZACIÓN IOT</v>
      </c>
      <c r="G2014" s="5"/>
      <c r="H2014" s="6">
        <f>IFERROR(__xludf.DUMMYFUNCTION("""COMPUTED_VALUE"""),17.88)</f>
        <v>17.88</v>
      </c>
      <c r="I2014" s="7">
        <f>IFERROR(__xludf.DUMMYFUNCTION("""COMPUTED_VALUE"""),10.5)</f>
        <v>10.5</v>
      </c>
      <c r="J2014" s="6">
        <f>IFERROR(__xludf.DUMMYFUNCTION("""COMPUTED_VALUE"""),21.46)</f>
        <v>21.46</v>
      </c>
      <c r="K2014" s="6">
        <f>IFERROR(__xludf.DUMMYFUNCTION("""COMPUTED_VALUE"""),25.03)</f>
        <v>25.03</v>
      </c>
      <c r="L2014" s="3"/>
      <c r="M2014" s="3"/>
    </row>
    <row r="2015" ht="48.0" customHeight="1">
      <c r="A2015" s="3" t="str">
        <f>IFERROR(__xludf.DUMMYFUNCTION("""COMPUTED_VALUE"""),"TBCCRST")</f>
        <v>TBCCRST</v>
      </c>
      <c r="B2015" s="4" t="str">
        <f>IFERROR(__xludf.DUMMYFUNCTION("""COMPUTED_VALUE"""),"CONTROL REMOTO INTELIGENTE WIFI PODER DE ENTRADA: 5V/1A DC")</f>
        <v>CONTROL REMOTO INTELIGENTE WIFI PODER DE ENTRADA: 5V/1A DC</v>
      </c>
      <c r="C2015" s="4" t="str">
        <f>IFERROR(__xludf.DUMMYFUNCTION("""COMPUTED_VALUE"""),"Control remoto inteligente WIFI poder de entrada: 5v/1a dc (micro usb2.0) soporte de aplicación: android 4.0. Compatible APP Smart Life")</f>
        <v>Control remoto inteligente WIFI poder de entrada: 5v/1a dc (micro usb2.0) soporte de aplicación: android 4.0. Compatible APP Smart Life</v>
      </c>
      <c r="D2015" s="4" t="str">
        <f>IFERROR(__xludf.DUMMYFUNCTION("""COMPUTED_VALUE"""),"TBCIN")</f>
        <v>TBCIN</v>
      </c>
      <c r="E2015" s="4" t="str">
        <f>IFERROR(__xludf.DUMMYFUNCTION("""COMPUTED_VALUE"""),"TBCCRST")</f>
        <v>TBCCRST</v>
      </c>
      <c r="F2015" s="4" t="str">
        <f>IFERROR(__xludf.DUMMYFUNCTION("""COMPUTED_VALUE"""),"AUTOMATIZACION &gt; CONTROL Y AUTOMATIZACIÓN IOT")</f>
        <v>AUTOMATIZACION &gt; CONTROL Y AUTOMATIZACIÓN IOT</v>
      </c>
      <c r="G2015" s="5"/>
      <c r="H2015" s="6">
        <f>IFERROR(__xludf.DUMMYFUNCTION("""COMPUTED_VALUE"""),16.39)</f>
        <v>16.39</v>
      </c>
      <c r="I2015" s="7">
        <f>IFERROR(__xludf.DUMMYFUNCTION("""COMPUTED_VALUE"""),21.0)</f>
        <v>21</v>
      </c>
      <c r="J2015" s="6">
        <f>IFERROR(__xludf.DUMMYFUNCTION("""COMPUTED_VALUE"""),19.67)</f>
        <v>19.67</v>
      </c>
      <c r="K2015" s="6">
        <f>IFERROR(__xludf.DUMMYFUNCTION("""COMPUTED_VALUE"""),22.95)</f>
        <v>22.95</v>
      </c>
      <c r="L2015" s="3"/>
      <c r="M2015" s="3"/>
    </row>
    <row r="2016" ht="48.0" customHeight="1">
      <c r="A2016" s="3" t="str">
        <f>IFERROR(__xludf.DUMMYFUNCTION("""COMPUTED_VALUE"""),"TBCMGK-W1")</f>
        <v>TBCMGK-W1</v>
      </c>
      <c r="B2016" s="4" t="str">
        <f>IFERROR(__xludf.DUMMYFUNCTION("""COMPUTED_VALUE"""),"INTERRUPTOR INTELIGENTE WIFI DE UN CONTACTO PARA PARED TOUCH")</f>
        <v>INTERRUPTOR INTELIGENTE WIFI DE UN CONTACTO PARA PARED TOUCH</v>
      </c>
      <c r="C2016" s="4" t="str">
        <f>IFERROR(__xludf.DUMMYFUNCTION("""COMPUTED_VALUE"""),"Interruptor inteligente WIFI de un contacto para pared touch 10*5 blanco. Compatible APP Smart Life")</f>
        <v>Interruptor inteligente WIFI de un contacto para pared touch 10*5 blanco. Compatible APP Smart Life</v>
      </c>
      <c r="D2016" s="4" t="str">
        <f>IFERROR(__xludf.DUMMYFUNCTION("""COMPUTED_VALUE"""),"TBCIN")</f>
        <v>TBCIN</v>
      </c>
      <c r="E2016" s="4" t="str">
        <f>IFERROR(__xludf.DUMMYFUNCTION("""COMPUTED_VALUE"""),"TBCMGK-W1")</f>
        <v>TBCMGK-W1</v>
      </c>
      <c r="F2016" s="4" t="str">
        <f>IFERROR(__xludf.DUMMYFUNCTION("""COMPUTED_VALUE"""),"AUTOMATIZACION &gt; CONTROL Y AUTOMATIZACIÓN IOT")</f>
        <v>AUTOMATIZACION &gt; CONTROL Y AUTOMATIZACIÓN IOT</v>
      </c>
      <c r="G2016" s="5"/>
      <c r="H2016" s="6">
        <f>IFERROR(__xludf.DUMMYFUNCTION("""COMPUTED_VALUE"""),23.32)</f>
        <v>23.32</v>
      </c>
      <c r="I2016" s="7">
        <f>IFERROR(__xludf.DUMMYFUNCTION("""COMPUTED_VALUE"""),21.0)</f>
        <v>21</v>
      </c>
      <c r="J2016" s="6">
        <f>IFERROR(__xludf.DUMMYFUNCTION("""COMPUTED_VALUE"""),27.98)</f>
        <v>27.98</v>
      </c>
      <c r="K2016" s="6">
        <f>IFERROR(__xludf.DUMMYFUNCTION("""COMPUTED_VALUE"""),32.65)</f>
        <v>32.65</v>
      </c>
      <c r="L2016" s="3"/>
      <c r="M2016" s="3"/>
    </row>
    <row r="2017" ht="48.0" customHeight="1">
      <c r="A2017" s="3" t="str">
        <f>IFERROR(__xludf.DUMMYFUNCTION("""COMPUTED_VALUE"""),"TBCMGK-W1S")</f>
        <v>TBCMGK-W1S</v>
      </c>
      <c r="B2017" s="4" t="str">
        <f>IFERROR(__xludf.DUMMYFUNCTION("""COMPUTED_VALUE"""),"INTERRUPTOR INTELIGENTE WIFI DE UN CONTACTO CON Y SIN")</f>
        <v>INTERRUPTOR INTELIGENTE WIFI DE UN CONTACTO CON Y SIN</v>
      </c>
      <c r="C2017" s="4" t="str">
        <f>IFERROR(__xludf.DUMMYFUNCTION("""COMPUTED_VALUE"""),"Interruptor inteligente WIFI de un contacto Con y sin neutro para pared touch 10*5 blanco. Compatible APP Smart Life")</f>
        <v>Interruptor inteligente WIFI de un contacto Con y sin neutro para pared touch 10*5 blanco. Compatible APP Smart Life</v>
      </c>
      <c r="D2017" s="4" t="str">
        <f>IFERROR(__xludf.DUMMYFUNCTION("""COMPUTED_VALUE"""),"TBCIN")</f>
        <v>TBCIN</v>
      </c>
      <c r="E2017" s="4" t="str">
        <f>IFERROR(__xludf.DUMMYFUNCTION("""COMPUTED_VALUE"""),"TBCMGK-W1S")</f>
        <v>TBCMGK-W1S</v>
      </c>
      <c r="F2017" s="4" t="str">
        <f>IFERROR(__xludf.DUMMYFUNCTION("""COMPUTED_VALUE"""),"AUTOMATIZACION &gt; CONTROL Y AUTOMATIZACIÓN IOT")</f>
        <v>AUTOMATIZACION &gt; CONTROL Y AUTOMATIZACIÓN IOT</v>
      </c>
      <c r="G2017" s="5"/>
      <c r="H2017" s="6">
        <f>IFERROR(__xludf.DUMMYFUNCTION("""COMPUTED_VALUE"""),25.85)</f>
        <v>25.85</v>
      </c>
      <c r="I2017" s="7">
        <f>IFERROR(__xludf.DUMMYFUNCTION("""COMPUTED_VALUE"""),21.0)</f>
        <v>21</v>
      </c>
      <c r="J2017" s="6">
        <f>IFERROR(__xludf.DUMMYFUNCTION("""COMPUTED_VALUE"""),31.02)</f>
        <v>31.02</v>
      </c>
      <c r="K2017" s="6">
        <f>IFERROR(__xludf.DUMMYFUNCTION("""COMPUTED_VALUE"""),36.19)</f>
        <v>36.19</v>
      </c>
      <c r="L2017" s="3"/>
      <c r="M2017" s="3"/>
    </row>
    <row r="2018" ht="48.0" customHeight="1">
      <c r="A2018" s="3" t="str">
        <f>IFERROR(__xludf.DUMMYFUNCTION("""COMPUTED_VALUE"""),"TBCMGK-W1M")</f>
        <v>TBCMGK-W1M</v>
      </c>
      <c r="B2018" s="4" t="str">
        <f>IFERROR(__xludf.DUMMYFUNCTION("""COMPUTED_VALUE"""),"INTERRUPTOR INTELIGENTE WIFI DE UN CONTACTO DIMERIZABLE PARA PARED")</f>
        <v>INTERRUPTOR INTELIGENTE WIFI DE UN CONTACTO DIMERIZABLE PARA PARED</v>
      </c>
      <c r="C2018" s="4" t="str">
        <f>IFERROR(__xludf.DUMMYFUNCTION("""COMPUTED_VALUE"""),"Interruptor inteligente WIFI de un contacto DIMERIZABLE para pared touch 10*5 blanco. Compatible APP Smart Life")</f>
        <v>Interruptor inteligente WIFI de un contacto DIMERIZABLE para pared touch 10*5 blanco. Compatible APP Smart Life</v>
      </c>
      <c r="D2018" s="4" t="str">
        <f>IFERROR(__xludf.DUMMYFUNCTION("""COMPUTED_VALUE"""),"TBCIN")</f>
        <v>TBCIN</v>
      </c>
      <c r="E2018" s="4" t="str">
        <f>IFERROR(__xludf.DUMMYFUNCTION("""COMPUTED_VALUE"""),"TBCMGK-W1M")</f>
        <v>TBCMGK-W1M</v>
      </c>
      <c r="F2018" s="4" t="str">
        <f>IFERROR(__xludf.DUMMYFUNCTION("""COMPUTED_VALUE"""),"AUTOMATIZACION &gt; CONTROL Y AUTOMATIZACIÓN IOT")</f>
        <v>AUTOMATIZACION &gt; CONTROL Y AUTOMATIZACIÓN IOT</v>
      </c>
      <c r="G2018" s="5"/>
      <c r="H2018" s="6">
        <f>IFERROR(__xludf.DUMMYFUNCTION("""COMPUTED_VALUE"""),33.55)</f>
        <v>33.55</v>
      </c>
      <c r="I2018" s="7">
        <f>IFERROR(__xludf.DUMMYFUNCTION("""COMPUTED_VALUE"""),21.0)</f>
        <v>21</v>
      </c>
      <c r="J2018" s="6">
        <f>IFERROR(__xludf.DUMMYFUNCTION("""COMPUTED_VALUE"""),40.26)</f>
        <v>40.26</v>
      </c>
      <c r="K2018" s="6">
        <f>IFERROR(__xludf.DUMMYFUNCTION("""COMPUTED_VALUE"""),46.97)</f>
        <v>46.97</v>
      </c>
      <c r="L2018" s="3"/>
      <c r="M2018" s="3"/>
    </row>
    <row r="2019" ht="48.0" customHeight="1">
      <c r="A2019" s="3" t="str">
        <f>IFERROR(__xludf.DUMMYFUNCTION("""COMPUTED_VALUE"""),"TBCMGK-B1")</f>
        <v>TBCMGK-B1</v>
      </c>
      <c r="B2019" s="4" t="str">
        <f>IFERROR(__xludf.DUMMYFUNCTION("""COMPUTED_VALUE"""),"INTERRUPTOR INTELIGENTE WIFI DE UN CONTACTO PARA PARED TOUCH")</f>
        <v>INTERRUPTOR INTELIGENTE WIFI DE UN CONTACTO PARA PARED TOUCH</v>
      </c>
      <c r="C2019" s="4" t="str">
        <f>IFERROR(__xludf.DUMMYFUNCTION("""COMPUTED_VALUE"""),"Interruptor inteligente WIFI de un contacto para pared touch 10*5 negro. Compatible APP Smart Life")</f>
        <v>Interruptor inteligente WIFI de un contacto para pared touch 10*5 negro. Compatible APP Smart Life</v>
      </c>
      <c r="D2019" s="4" t="str">
        <f>IFERROR(__xludf.DUMMYFUNCTION("""COMPUTED_VALUE"""),"TBCIN")</f>
        <v>TBCIN</v>
      </c>
      <c r="E2019" s="4" t="str">
        <f>IFERROR(__xludf.DUMMYFUNCTION("""COMPUTED_VALUE"""),"TBCMGK-B1")</f>
        <v>TBCMGK-B1</v>
      </c>
      <c r="F2019" s="4" t="str">
        <f>IFERROR(__xludf.DUMMYFUNCTION("""COMPUTED_VALUE"""),"AUTOMATIZACION &gt; CONTROL Y AUTOMATIZACIÓN IOT")</f>
        <v>AUTOMATIZACION &gt; CONTROL Y AUTOMATIZACIÓN IOT</v>
      </c>
      <c r="G2019" s="5"/>
      <c r="H2019" s="6">
        <f>IFERROR(__xludf.DUMMYFUNCTION("""COMPUTED_VALUE"""),22.99)</f>
        <v>22.99</v>
      </c>
      <c r="I2019" s="7">
        <f>IFERROR(__xludf.DUMMYFUNCTION("""COMPUTED_VALUE"""),21.0)</f>
        <v>21</v>
      </c>
      <c r="J2019" s="6">
        <f>IFERROR(__xludf.DUMMYFUNCTION("""COMPUTED_VALUE"""),27.59)</f>
        <v>27.59</v>
      </c>
      <c r="K2019" s="6">
        <f>IFERROR(__xludf.DUMMYFUNCTION("""COMPUTED_VALUE"""),32.19)</f>
        <v>32.19</v>
      </c>
      <c r="L2019" s="3"/>
      <c r="M2019" s="3"/>
    </row>
    <row r="2020" ht="48.0" customHeight="1">
      <c r="A2020" s="3" t="str">
        <f>IFERROR(__xludf.DUMMYFUNCTION("""COMPUTED_VALUE"""),"TBCMGK-B1S")</f>
        <v>TBCMGK-B1S</v>
      </c>
      <c r="B2020" s="4" t="str">
        <f>IFERROR(__xludf.DUMMYFUNCTION("""COMPUTED_VALUE"""),"INTERRUPTOR INTELIGENTE WIFI DE UN CONTACTO CON Y SIN")</f>
        <v>INTERRUPTOR INTELIGENTE WIFI DE UN CONTACTO CON Y SIN</v>
      </c>
      <c r="C2020" s="4" t="str">
        <f>IFERROR(__xludf.DUMMYFUNCTION("""COMPUTED_VALUE"""),"Interruptor inteligente WIFI de un contacto Con y sin neutro para pared touch 10*5 negro. Compatible APP Smart Life")</f>
        <v>Interruptor inteligente WIFI de un contacto Con y sin neutro para pared touch 10*5 negro. Compatible APP Smart Life</v>
      </c>
      <c r="D2020" s="4" t="str">
        <f>IFERROR(__xludf.DUMMYFUNCTION("""COMPUTED_VALUE"""),"TBCIN")</f>
        <v>TBCIN</v>
      </c>
      <c r="E2020" s="4" t="str">
        <f>IFERROR(__xludf.DUMMYFUNCTION("""COMPUTED_VALUE"""),"TBCMGK-B1S")</f>
        <v>TBCMGK-B1S</v>
      </c>
      <c r="F2020" s="4" t="str">
        <f>IFERROR(__xludf.DUMMYFUNCTION("""COMPUTED_VALUE"""),"AUTOMATIZACION &gt; CONTROL Y AUTOMATIZACIÓN IOT")</f>
        <v>AUTOMATIZACION &gt; CONTROL Y AUTOMATIZACIÓN IOT</v>
      </c>
      <c r="G2020" s="5"/>
      <c r="H2020" s="6">
        <f>IFERROR(__xludf.DUMMYFUNCTION("""COMPUTED_VALUE"""),24.2)</f>
        <v>24.2</v>
      </c>
      <c r="I2020" s="7">
        <f>IFERROR(__xludf.DUMMYFUNCTION("""COMPUTED_VALUE"""),21.0)</f>
        <v>21</v>
      </c>
      <c r="J2020" s="6">
        <f>IFERROR(__xludf.DUMMYFUNCTION("""COMPUTED_VALUE"""),29.04)</f>
        <v>29.04</v>
      </c>
      <c r="K2020" s="6">
        <f>IFERROR(__xludf.DUMMYFUNCTION("""COMPUTED_VALUE"""),33.88)</f>
        <v>33.88</v>
      </c>
      <c r="L2020" s="3"/>
      <c r="M2020" s="3"/>
    </row>
    <row r="2021" ht="48.0" customHeight="1">
      <c r="A2021" s="3" t="str">
        <f>IFERROR(__xludf.DUMMYFUNCTION("""COMPUTED_VALUE"""),"TBCMGK-B1M")</f>
        <v>TBCMGK-B1M</v>
      </c>
      <c r="B2021" s="4" t="str">
        <f>IFERROR(__xludf.DUMMYFUNCTION("""COMPUTED_VALUE"""),"INTERRUPTOR INTELIGENTE WIFI DE UN CONTACTO DIMERIZABLE PARA PARED")</f>
        <v>INTERRUPTOR INTELIGENTE WIFI DE UN CONTACTO DIMERIZABLE PARA PARED</v>
      </c>
      <c r="C2021" s="4" t="str">
        <f>IFERROR(__xludf.DUMMYFUNCTION("""COMPUTED_VALUE"""),"Interruptor inteligente WIFI de un contacto DIMERIZABLE para pared touch 10*5 Negro. Compatible APP Smart Life")</f>
        <v>Interruptor inteligente WIFI de un contacto DIMERIZABLE para pared touch 10*5 Negro. Compatible APP Smart Life</v>
      </c>
      <c r="D2021" s="4" t="str">
        <f>IFERROR(__xludf.DUMMYFUNCTION("""COMPUTED_VALUE"""),"TBCIN")</f>
        <v>TBCIN</v>
      </c>
      <c r="E2021" s="4" t="str">
        <f>IFERROR(__xludf.DUMMYFUNCTION("""COMPUTED_VALUE"""),"TBCMGK-B1M")</f>
        <v>TBCMGK-B1M</v>
      </c>
      <c r="F2021" s="4" t="str">
        <f>IFERROR(__xludf.DUMMYFUNCTION("""COMPUTED_VALUE"""),"AUTOMATIZACION &gt; CONTROL Y AUTOMATIZACIÓN IOT")</f>
        <v>AUTOMATIZACION &gt; CONTROL Y AUTOMATIZACIÓN IOT</v>
      </c>
      <c r="G2021" s="5"/>
      <c r="H2021" s="6">
        <f>IFERROR(__xludf.DUMMYFUNCTION("""COMPUTED_VALUE"""),34.65)</f>
        <v>34.65</v>
      </c>
      <c r="I2021" s="7">
        <f>IFERROR(__xludf.DUMMYFUNCTION("""COMPUTED_VALUE"""),21.0)</f>
        <v>21</v>
      </c>
      <c r="J2021" s="6">
        <f>IFERROR(__xludf.DUMMYFUNCTION("""COMPUTED_VALUE"""),41.58)</f>
        <v>41.58</v>
      </c>
      <c r="K2021" s="6">
        <f>IFERROR(__xludf.DUMMYFUNCTION("""COMPUTED_VALUE"""),48.51)</f>
        <v>48.51</v>
      </c>
      <c r="L2021" s="3"/>
      <c r="M2021" s="3"/>
    </row>
    <row r="2022" ht="48.0" customHeight="1">
      <c r="A2022" s="3" t="str">
        <f>IFERROR(__xludf.DUMMYFUNCTION("""COMPUTED_VALUE"""),"TBCMGK-W2")</f>
        <v>TBCMGK-W2</v>
      </c>
      <c r="B2022" s="4" t="str">
        <f>IFERROR(__xludf.DUMMYFUNCTION("""COMPUTED_VALUE"""),"INTERRUPTOR INTELIGENTE WIFI DE DOS CONTACTOS PARA PARED TOUCH")</f>
        <v>INTERRUPTOR INTELIGENTE WIFI DE DOS CONTACTOS PARA PARED TOUCH</v>
      </c>
      <c r="C2022" s="4" t="str">
        <f>IFERROR(__xludf.DUMMYFUNCTION("""COMPUTED_VALUE"""),"Interruptor inteligente WIFI de dos contactos para pared touch 10*5 blanco. Compatible APP Smart Life")</f>
        <v>Interruptor inteligente WIFI de dos contactos para pared touch 10*5 blanco. Compatible APP Smart Life</v>
      </c>
      <c r="D2022" s="4" t="str">
        <f>IFERROR(__xludf.DUMMYFUNCTION("""COMPUTED_VALUE"""),"TBCIN")</f>
        <v>TBCIN</v>
      </c>
      <c r="E2022" s="4" t="str">
        <f>IFERROR(__xludf.DUMMYFUNCTION("""COMPUTED_VALUE"""),"TBCMGK-W2")</f>
        <v>TBCMGK-W2</v>
      </c>
      <c r="F2022" s="4" t="str">
        <f>IFERROR(__xludf.DUMMYFUNCTION("""COMPUTED_VALUE"""),"AUTOMATIZACION &gt; CONTROL Y AUTOMATIZACIÓN IOT")</f>
        <v>AUTOMATIZACION &gt; CONTROL Y AUTOMATIZACIÓN IOT</v>
      </c>
      <c r="G2022" s="5"/>
      <c r="H2022" s="6">
        <f>IFERROR(__xludf.DUMMYFUNCTION("""COMPUTED_VALUE"""),26.29)</f>
        <v>26.29</v>
      </c>
      <c r="I2022" s="7">
        <f>IFERROR(__xludf.DUMMYFUNCTION("""COMPUTED_VALUE"""),21.0)</f>
        <v>21</v>
      </c>
      <c r="J2022" s="6">
        <f>IFERROR(__xludf.DUMMYFUNCTION("""COMPUTED_VALUE"""),31.55)</f>
        <v>31.55</v>
      </c>
      <c r="K2022" s="6">
        <f>IFERROR(__xludf.DUMMYFUNCTION("""COMPUTED_VALUE"""),36.81)</f>
        <v>36.81</v>
      </c>
      <c r="L2022" s="3"/>
      <c r="M2022" s="3"/>
    </row>
    <row r="2023" ht="48.0" customHeight="1">
      <c r="A2023" s="3" t="str">
        <f>IFERROR(__xludf.DUMMYFUNCTION("""COMPUTED_VALUE"""),"TBCMGK-W2S")</f>
        <v>TBCMGK-W2S</v>
      </c>
      <c r="B2023" s="4" t="str">
        <f>IFERROR(__xludf.DUMMYFUNCTION("""COMPUTED_VALUE"""),"INTERRUPTOR INTELIGENTE WIFI DE DOS CONTACTOS CON Y SIN")</f>
        <v>INTERRUPTOR INTELIGENTE WIFI DE DOS CONTACTOS CON Y SIN</v>
      </c>
      <c r="C2023" s="4" t="str">
        <f>IFERROR(__xludf.DUMMYFUNCTION("""COMPUTED_VALUE"""),"Interruptor inteligente WIFI de dos contactos Con y sin neutro para pared touch 10*5 blanco. Compatible APP Smart Life")</f>
        <v>Interruptor inteligente WIFI de dos contactos Con y sin neutro para pared touch 10*5 blanco. Compatible APP Smart Life</v>
      </c>
      <c r="D2023" s="4" t="str">
        <f>IFERROR(__xludf.DUMMYFUNCTION("""COMPUTED_VALUE"""),"TBCIN")</f>
        <v>TBCIN</v>
      </c>
      <c r="E2023" s="4" t="str">
        <f>IFERROR(__xludf.DUMMYFUNCTION("""COMPUTED_VALUE"""),"TBCMGK-W2S")</f>
        <v>TBCMGK-W2S</v>
      </c>
      <c r="F2023" s="4" t="str">
        <f>IFERROR(__xludf.DUMMYFUNCTION("""COMPUTED_VALUE"""),"AUTOMATIZACION &gt; CONTROL Y AUTOMATIZACIÓN IOT")</f>
        <v>AUTOMATIZACION &gt; CONTROL Y AUTOMATIZACIÓN IOT</v>
      </c>
      <c r="G2023" s="5"/>
      <c r="H2023" s="6">
        <f>IFERROR(__xludf.DUMMYFUNCTION("""COMPUTED_VALUE"""),28.05)</f>
        <v>28.05</v>
      </c>
      <c r="I2023" s="7">
        <f>IFERROR(__xludf.DUMMYFUNCTION("""COMPUTED_VALUE"""),21.0)</f>
        <v>21</v>
      </c>
      <c r="J2023" s="6">
        <f>IFERROR(__xludf.DUMMYFUNCTION("""COMPUTED_VALUE"""),33.66)</f>
        <v>33.66</v>
      </c>
      <c r="K2023" s="6">
        <f>IFERROR(__xludf.DUMMYFUNCTION("""COMPUTED_VALUE"""),39.27)</f>
        <v>39.27</v>
      </c>
      <c r="L2023" s="3"/>
      <c r="M2023" s="3"/>
    </row>
    <row r="2024" ht="48.0" customHeight="1">
      <c r="A2024" s="3" t="str">
        <f>IFERROR(__xludf.DUMMYFUNCTION("""COMPUTED_VALUE"""),"TBCMGK-B2")</f>
        <v>TBCMGK-B2</v>
      </c>
      <c r="B2024" s="4" t="str">
        <f>IFERROR(__xludf.DUMMYFUNCTION("""COMPUTED_VALUE"""),"INTERRUPTOR INTELIGENTE WIFI DE DOS CONTACTOS PARA PARED TOUCH")</f>
        <v>INTERRUPTOR INTELIGENTE WIFI DE DOS CONTACTOS PARA PARED TOUCH</v>
      </c>
      <c r="C2024" s="4" t="str">
        <f>IFERROR(__xludf.DUMMYFUNCTION("""COMPUTED_VALUE"""),"Interruptor inteligente WIFI de dos contactos para pared touch 10*5 negro. Compatible APP Smart Life")</f>
        <v>Interruptor inteligente WIFI de dos contactos para pared touch 10*5 negro. Compatible APP Smart Life</v>
      </c>
      <c r="D2024" s="4" t="str">
        <f>IFERROR(__xludf.DUMMYFUNCTION("""COMPUTED_VALUE"""),"TBCIN")</f>
        <v>TBCIN</v>
      </c>
      <c r="E2024" s="4" t="str">
        <f>IFERROR(__xludf.DUMMYFUNCTION("""COMPUTED_VALUE"""),"TBCMGK-B2")</f>
        <v>TBCMGK-B2</v>
      </c>
      <c r="F2024" s="4" t="str">
        <f>IFERROR(__xludf.DUMMYFUNCTION("""COMPUTED_VALUE"""),"AUTOMATIZACION &gt; CONTROL Y AUTOMATIZACIÓN IOT")</f>
        <v>AUTOMATIZACION &gt; CONTROL Y AUTOMATIZACIÓN IOT</v>
      </c>
      <c r="G2024" s="5"/>
      <c r="H2024" s="6">
        <f>IFERROR(__xludf.DUMMYFUNCTION("""COMPUTED_VALUE"""),24.97)</f>
        <v>24.97</v>
      </c>
      <c r="I2024" s="7">
        <f>IFERROR(__xludf.DUMMYFUNCTION("""COMPUTED_VALUE"""),21.0)</f>
        <v>21</v>
      </c>
      <c r="J2024" s="6">
        <f>IFERROR(__xludf.DUMMYFUNCTION("""COMPUTED_VALUE"""),29.96)</f>
        <v>29.96</v>
      </c>
      <c r="K2024" s="6">
        <f>IFERROR(__xludf.DUMMYFUNCTION("""COMPUTED_VALUE"""),34.96)</f>
        <v>34.96</v>
      </c>
      <c r="L2024" s="3"/>
      <c r="M2024" s="3"/>
    </row>
    <row r="2025" ht="48.0" customHeight="1">
      <c r="A2025" s="3" t="str">
        <f>IFERROR(__xludf.DUMMYFUNCTION("""COMPUTED_VALUE"""),"TBCMGK-B2S")</f>
        <v>TBCMGK-B2S</v>
      </c>
      <c r="B2025" s="4" t="str">
        <f>IFERROR(__xludf.DUMMYFUNCTION("""COMPUTED_VALUE"""),"INTERRUPTOR INTELIGENTE WIFI DE DOS CONTACTOS CON Y SIN")</f>
        <v>INTERRUPTOR INTELIGENTE WIFI DE DOS CONTACTOS CON Y SIN</v>
      </c>
      <c r="C2025" s="4" t="str">
        <f>IFERROR(__xludf.DUMMYFUNCTION("""COMPUTED_VALUE"""),"Interruptor inteligente WIFI de dos contactos Con y sin neutro para pared touch 10*5 negro. Compatible APP Smart Life")</f>
        <v>Interruptor inteligente WIFI de dos contactos Con y sin neutro para pared touch 10*5 negro. Compatible APP Smart Life</v>
      </c>
      <c r="D2025" s="4" t="str">
        <f>IFERROR(__xludf.DUMMYFUNCTION("""COMPUTED_VALUE"""),"TBCIN")</f>
        <v>TBCIN</v>
      </c>
      <c r="E2025" s="4" t="str">
        <f>IFERROR(__xludf.DUMMYFUNCTION("""COMPUTED_VALUE"""),"TBCMGK-B2S")</f>
        <v>TBCMGK-B2S</v>
      </c>
      <c r="F2025" s="4" t="str">
        <f>IFERROR(__xludf.DUMMYFUNCTION("""COMPUTED_VALUE"""),"AUTOMATIZACION &gt; CONTROL Y AUTOMATIZACIÓN IOT")</f>
        <v>AUTOMATIZACION &gt; CONTROL Y AUTOMATIZACIÓN IOT</v>
      </c>
      <c r="G2025" s="5"/>
      <c r="H2025" s="6">
        <f>IFERROR(__xludf.DUMMYFUNCTION("""COMPUTED_VALUE"""),25.85)</f>
        <v>25.85</v>
      </c>
      <c r="I2025" s="7">
        <f>IFERROR(__xludf.DUMMYFUNCTION("""COMPUTED_VALUE"""),21.0)</f>
        <v>21</v>
      </c>
      <c r="J2025" s="6">
        <f>IFERROR(__xludf.DUMMYFUNCTION("""COMPUTED_VALUE"""),31.02)</f>
        <v>31.02</v>
      </c>
      <c r="K2025" s="6">
        <f>IFERROR(__xludf.DUMMYFUNCTION("""COMPUTED_VALUE"""),36.19)</f>
        <v>36.19</v>
      </c>
      <c r="L2025" s="3"/>
      <c r="M2025" s="3"/>
    </row>
    <row r="2026" ht="48.0" customHeight="1">
      <c r="A2026" s="3" t="str">
        <f>IFERROR(__xludf.DUMMYFUNCTION("""COMPUTED_VALUE"""),"TBCMGK-W3")</f>
        <v>TBCMGK-W3</v>
      </c>
      <c r="B2026" s="4" t="str">
        <f>IFERROR(__xludf.DUMMYFUNCTION("""COMPUTED_VALUE"""),"INTERRUPTOR INTELIGENTE WIFI DE TRES CONTACTOS PARA PARED TOUCH")</f>
        <v>INTERRUPTOR INTELIGENTE WIFI DE TRES CONTACTOS PARA PARED TOUCH</v>
      </c>
      <c r="C2026" s="4" t="str">
        <f>IFERROR(__xludf.DUMMYFUNCTION("""COMPUTED_VALUE"""),"Interruptor inteligente WIFI de tres contactos para pared touch 10*5 blanco. Compatible APP Smart Life")</f>
        <v>Interruptor inteligente WIFI de tres contactos para pared touch 10*5 blanco. Compatible APP Smart Life</v>
      </c>
      <c r="D2026" s="4" t="str">
        <f>IFERROR(__xludf.DUMMYFUNCTION("""COMPUTED_VALUE"""),"TBCIN")</f>
        <v>TBCIN</v>
      </c>
      <c r="E2026" s="4" t="str">
        <f>IFERROR(__xludf.DUMMYFUNCTION("""COMPUTED_VALUE"""),"TBCMGK-W3")</f>
        <v>TBCMGK-W3</v>
      </c>
      <c r="F2026" s="4" t="str">
        <f>IFERROR(__xludf.DUMMYFUNCTION("""COMPUTED_VALUE"""),"AUTOMATIZACION &gt; CONTROL Y AUTOMATIZACIÓN IOT")</f>
        <v>AUTOMATIZACION &gt; CONTROL Y AUTOMATIZACIÓN IOT</v>
      </c>
      <c r="G2026" s="5"/>
      <c r="H2026" s="6">
        <f>IFERROR(__xludf.DUMMYFUNCTION("""COMPUTED_VALUE"""),29.15)</f>
        <v>29.15</v>
      </c>
      <c r="I2026" s="7">
        <f>IFERROR(__xludf.DUMMYFUNCTION("""COMPUTED_VALUE"""),21.0)</f>
        <v>21</v>
      </c>
      <c r="J2026" s="6">
        <f>IFERROR(__xludf.DUMMYFUNCTION("""COMPUTED_VALUE"""),34.98)</f>
        <v>34.98</v>
      </c>
      <c r="K2026" s="6">
        <f>IFERROR(__xludf.DUMMYFUNCTION("""COMPUTED_VALUE"""),40.81)</f>
        <v>40.81</v>
      </c>
      <c r="L2026" s="3"/>
      <c r="M2026" s="3"/>
    </row>
    <row r="2027" ht="48.0" customHeight="1">
      <c r="A2027" s="3" t="str">
        <f>IFERROR(__xludf.DUMMYFUNCTION("""COMPUTED_VALUE"""),"TBCMGK-W3S")</f>
        <v>TBCMGK-W3S</v>
      </c>
      <c r="B2027" s="4" t="str">
        <f>IFERROR(__xludf.DUMMYFUNCTION("""COMPUTED_VALUE"""),"INTERRUPTOR INTELIGENTE WIFI DE TRES CONTACTOS CON Y SIN")</f>
        <v>INTERRUPTOR INTELIGENTE WIFI DE TRES CONTACTOS CON Y SIN</v>
      </c>
      <c r="C2027" s="4" t="str">
        <f>IFERROR(__xludf.DUMMYFUNCTION("""COMPUTED_VALUE"""),"Interruptor inteligente WIFI de tres contactos Con y sin neutro para pared touch 10*5 blanco. Compatible APP Smart Life")</f>
        <v>Interruptor inteligente WIFI de tres contactos Con y sin neutro para pared touch 10*5 blanco. Compatible APP Smart Life</v>
      </c>
      <c r="D2027" s="4" t="str">
        <f>IFERROR(__xludf.DUMMYFUNCTION("""COMPUTED_VALUE"""),"TBCIN")</f>
        <v>TBCIN</v>
      </c>
      <c r="E2027" s="4" t="str">
        <f>IFERROR(__xludf.DUMMYFUNCTION("""COMPUTED_VALUE"""),"TBCMGK-W3S")</f>
        <v>TBCMGK-W3S</v>
      </c>
      <c r="F2027" s="4" t="str">
        <f>IFERROR(__xludf.DUMMYFUNCTION("""COMPUTED_VALUE"""),"AUTOMATIZACION &gt; CONTROL Y AUTOMATIZACIÓN IOT")</f>
        <v>AUTOMATIZACION &gt; CONTROL Y AUTOMATIZACIÓN IOT</v>
      </c>
      <c r="G2027" s="5"/>
      <c r="H2027" s="6">
        <f>IFERROR(__xludf.DUMMYFUNCTION("""COMPUTED_VALUE"""),30.8)</f>
        <v>30.8</v>
      </c>
      <c r="I2027" s="7">
        <f>IFERROR(__xludf.DUMMYFUNCTION("""COMPUTED_VALUE"""),21.0)</f>
        <v>21</v>
      </c>
      <c r="J2027" s="6">
        <f>IFERROR(__xludf.DUMMYFUNCTION("""COMPUTED_VALUE"""),36.96)</f>
        <v>36.96</v>
      </c>
      <c r="K2027" s="6">
        <f>IFERROR(__xludf.DUMMYFUNCTION("""COMPUTED_VALUE"""),43.12)</f>
        <v>43.12</v>
      </c>
      <c r="L2027" s="3"/>
      <c r="M2027" s="3"/>
    </row>
    <row r="2028" ht="48.0" customHeight="1">
      <c r="A2028" s="3" t="str">
        <f>IFERROR(__xludf.DUMMYFUNCTION("""COMPUTED_VALUE"""),"TBCMGK-B3")</f>
        <v>TBCMGK-B3</v>
      </c>
      <c r="B2028" s="4" t="str">
        <f>IFERROR(__xludf.DUMMYFUNCTION("""COMPUTED_VALUE"""),"INTERRUPTOR INTELIGENTE WIFI DE TRES CONTACTOS PARA PARED TOUCH")</f>
        <v>INTERRUPTOR INTELIGENTE WIFI DE TRES CONTACTOS PARA PARED TOUCH</v>
      </c>
      <c r="C2028" s="4" t="str">
        <f>IFERROR(__xludf.DUMMYFUNCTION("""COMPUTED_VALUE"""),"Interruptor inteligente WIFI de tres contactos para pared touch 10*5 negro. Compatible APP Smart Life")</f>
        <v>Interruptor inteligente WIFI de tres contactos para pared touch 10*5 negro. Compatible APP Smart Life</v>
      </c>
      <c r="D2028" s="4" t="str">
        <f>IFERROR(__xludf.DUMMYFUNCTION("""COMPUTED_VALUE"""),"TBCIN")</f>
        <v>TBCIN</v>
      </c>
      <c r="E2028" s="4" t="str">
        <f>IFERROR(__xludf.DUMMYFUNCTION("""COMPUTED_VALUE"""),"TBCMGK-B3")</f>
        <v>TBCMGK-B3</v>
      </c>
      <c r="F2028" s="4" t="str">
        <f>IFERROR(__xludf.DUMMYFUNCTION("""COMPUTED_VALUE"""),"AUTOMATIZACION &gt; CONTROL Y AUTOMATIZACIÓN IOT")</f>
        <v>AUTOMATIZACION &gt; CONTROL Y AUTOMATIZACIÓN IOT</v>
      </c>
      <c r="G2028" s="5"/>
      <c r="H2028" s="6">
        <f>IFERROR(__xludf.DUMMYFUNCTION("""COMPUTED_VALUE"""),25.3)</f>
        <v>25.3</v>
      </c>
      <c r="I2028" s="7">
        <f>IFERROR(__xludf.DUMMYFUNCTION("""COMPUTED_VALUE"""),21.0)</f>
        <v>21</v>
      </c>
      <c r="J2028" s="6">
        <f>IFERROR(__xludf.DUMMYFUNCTION("""COMPUTED_VALUE"""),30.36)</f>
        <v>30.36</v>
      </c>
      <c r="K2028" s="6">
        <f>IFERROR(__xludf.DUMMYFUNCTION("""COMPUTED_VALUE"""),35.42)</f>
        <v>35.42</v>
      </c>
      <c r="L2028" s="3"/>
      <c r="M2028" s="3"/>
    </row>
    <row r="2029" ht="48.0" customHeight="1">
      <c r="A2029" s="3" t="str">
        <f>IFERROR(__xludf.DUMMYFUNCTION("""COMPUTED_VALUE"""),"TBCMGK-B3S")</f>
        <v>TBCMGK-B3S</v>
      </c>
      <c r="B2029" s="4" t="str">
        <f>IFERROR(__xludf.DUMMYFUNCTION("""COMPUTED_VALUE"""),"INTERRUPTOR INTELIGENTE WIFI DE TRES CONTACTOS CON Y SIN")</f>
        <v>INTERRUPTOR INTELIGENTE WIFI DE TRES CONTACTOS CON Y SIN</v>
      </c>
      <c r="C2029" s="4" t="str">
        <f>IFERROR(__xludf.DUMMYFUNCTION("""COMPUTED_VALUE"""),"Interruptor inteligente WIFI de tres contactos Con y sin neutro para pared touch 10*5 negro. Compatible APP Smart Life")</f>
        <v>Interruptor inteligente WIFI de tres contactos Con y sin neutro para pared touch 10*5 negro. Compatible APP Smart Life</v>
      </c>
      <c r="D2029" s="4" t="str">
        <f>IFERROR(__xludf.DUMMYFUNCTION("""COMPUTED_VALUE"""),"TBCIN")</f>
        <v>TBCIN</v>
      </c>
      <c r="E2029" s="4" t="str">
        <f>IFERROR(__xludf.DUMMYFUNCTION("""COMPUTED_VALUE"""),"TBCMGK-B3S")</f>
        <v>TBCMGK-B3S</v>
      </c>
      <c r="F2029" s="4" t="str">
        <f>IFERROR(__xludf.DUMMYFUNCTION("""COMPUTED_VALUE"""),"AUTOMATIZACION &gt; CONTROL Y AUTOMATIZACIÓN IOT")</f>
        <v>AUTOMATIZACION &gt; CONTROL Y AUTOMATIZACIÓN IOT</v>
      </c>
      <c r="G2029" s="5"/>
      <c r="H2029" s="6">
        <f>IFERROR(__xludf.DUMMYFUNCTION("""COMPUTED_VALUE"""),26.29)</f>
        <v>26.29</v>
      </c>
      <c r="I2029" s="7">
        <f>IFERROR(__xludf.DUMMYFUNCTION("""COMPUTED_VALUE"""),21.0)</f>
        <v>21</v>
      </c>
      <c r="J2029" s="6">
        <f>IFERROR(__xludf.DUMMYFUNCTION("""COMPUTED_VALUE"""),31.55)</f>
        <v>31.55</v>
      </c>
      <c r="K2029" s="6">
        <f>IFERROR(__xludf.DUMMYFUNCTION("""COMPUTED_VALUE"""),36.81)</f>
        <v>36.81</v>
      </c>
      <c r="L2029" s="3"/>
      <c r="M2029" s="3"/>
    </row>
    <row r="2030" ht="48.0" customHeight="1">
      <c r="A2030" s="3" t="str">
        <f>IFERROR(__xludf.DUMMYFUNCTION("""COMPUTED_VALUE"""),"TBCMGK-B1M-DUP1")</f>
        <v>TBCMGK-B1M-DUP1</v>
      </c>
      <c r="B2030" s="4" t="str">
        <f>IFERROR(__xludf.DUMMYFUNCTION("""COMPUTED_VALUE"""),"INTERRUPTOR INTELIGENTE WIFI DIMERIZABLE")</f>
        <v>INTERRUPTOR INTELIGENTE WIFI DIMERIZABLE</v>
      </c>
      <c r="C2030" s="4" t="str">
        <f>IFERROR(__xludf.DUMMYFUNCTION("""COMPUTED_VALUE"""),"Interruptor inteligente WIFI Dimerizable - Color Negro - 220Vca. Compatible APP Smart Life")</f>
        <v>Interruptor inteligente WIFI Dimerizable - Color Negro - 220Vca. Compatible APP Smart Life</v>
      </c>
      <c r="D2030" s="4" t="str">
        <f>IFERROR(__xludf.DUMMYFUNCTION("""COMPUTED_VALUE"""),"TBCIN")</f>
        <v>TBCIN</v>
      </c>
      <c r="E2030" s="4" t="str">
        <f>IFERROR(__xludf.DUMMYFUNCTION("""COMPUTED_VALUE"""),"TBCMGK-B1M")</f>
        <v>TBCMGK-B1M</v>
      </c>
      <c r="F2030" s="4" t="str">
        <f>IFERROR(__xludf.DUMMYFUNCTION("""COMPUTED_VALUE"""),"AUTOMATIZACION &gt; CONTROL Y AUTOMATIZACIÓN IOT")</f>
        <v>AUTOMATIZACION &gt; CONTROL Y AUTOMATIZACIÓN IOT</v>
      </c>
      <c r="G2030" s="5"/>
      <c r="H2030" s="6">
        <f>IFERROR(__xludf.DUMMYFUNCTION("""COMPUTED_VALUE"""),34.65)</f>
        <v>34.65</v>
      </c>
      <c r="I2030" s="7">
        <f>IFERROR(__xludf.DUMMYFUNCTION("""COMPUTED_VALUE"""),21.0)</f>
        <v>21</v>
      </c>
      <c r="J2030" s="6">
        <f>IFERROR(__xludf.DUMMYFUNCTION("""COMPUTED_VALUE"""),41.58)</f>
        <v>41.58</v>
      </c>
      <c r="K2030" s="6">
        <f>IFERROR(__xludf.DUMMYFUNCTION("""COMPUTED_VALUE"""),48.51)</f>
        <v>48.51</v>
      </c>
      <c r="L2030" s="3"/>
      <c r="M2030" s="3"/>
    </row>
    <row r="2031" ht="48.0" customHeight="1">
      <c r="A2031" s="3" t="str">
        <f>IFERROR(__xludf.DUMMYFUNCTION("""COMPUTED_VALUE"""),"TBCMGK-F1")</f>
        <v>TBCMGK-F1</v>
      </c>
      <c r="B2031" s="4" t="str">
        <f>IFERROR(__xludf.DUMMYFUNCTION("""COMPUTED_VALUE"""),"INTERRUPTOR INTELIGENTE WIFI")</f>
        <v>INTERRUPTOR INTELIGENTE WIFI</v>
      </c>
      <c r="C2031" s="4" t="str">
        <f>IFERROR(__xludf.DUMMYFUNCTION("""COMPUTED_VALUE"""),"Interruptor inteligente WIFI . Ventilador y Luz - Color Blanco - 220Vca. Compatible APP Smart Life")</f>
        <v>Interruptor inteligente WIFI . Ventilador y Luz - Color Blanco - 220Vca. Compatible APP Smart Life</v>
      </c>
      <c r="D2031" s="4" t="str">
        <f>IFERROR(__xludf.DUMMYFUNCTION("""COMPUTED_VALUE"""),"TBCIN")</f>
        <v>TBCIN</v>
      </c>
      <c r="E2031" s="4" t="str">
        <f>IFERROR(__xludf.DUMMYFUNCTION("""COMPUTED_VALUE"""),"TBCMGK-F1")</f>
        <v>TBCMGK-F1</v>
      </c>
      <c r="F2031" s="4" t="str">
        <f>IFERROR(__xludf.DUMMYFUNCTION("""COMPUTED_VALUE"""),"AUTOMATIZACION &gt; CONTROL Y AUTOMATIZACIÓN IOT")</f>
        <v>AUTOMATIZACION &gt; CONTROL Y AUTOMATIZACIÓN IOT</v>
      </c>
      <c r="G2031" s="5"/>
      <c r="H2031" s="6">
        <f>IFERROR(__xludf.DUMMYFUNCTION("""COMPUTED_VALUE"""),34.65)</f>
        <v>34.65</v>
      </c>
      <c r="I2031" s="7">
        <f>IFERROR(__xludf.DUMMYFUNCTION("""COMPUTED_VALUE"""),21.0)</f>
        <v>21</v>
      </c>
      <c r="J2031" s="6">
        <f>IFERROR(__xludf.DUMMYFUNCTION("""COMPUTED_VALUE"""),41.58)</f>
        <v>41.58</v>
      </c>
      <c r="K2031" s="6">
        <f>IFERROR(__xludf.DUMMYFUNCTION("""COMPUTED_VALUE"""),48.51)</f>
        <v>48.51</v>
      </c>
      <c r="L2031" s="3"/>
      <c r="M2031" s="3"/>
    </row>
    <row r="2032" ht="48.0" customHeight="1">
      <c r="A2032" s="3" t="str">
        <f>IFERROR(__xludf.DUMMYFUNCTION("""COMPUTED_VALUE"""),"TBCMGK-F1U")</f>
        <v>TBCMGK-F1U</v>
      </c>
      <c r="B2032" s="4" t="str">
        <f>IFERROR(__xludf.DUMMYFUNCTION("""COMPUTED_VALUE"""),"INTERRUPTOR INTELIGENTE WIFI VENTILADOR Y LUZ")</f>
        <v>INTERRUPTOR INTELIGENTE WIFI VENTILADOR Y LUZ</v>
      </c>
      <c r="C2032" s="4" t="str">
        <f>IFERROR(__xludf.DUMMYFUNCTION("""COMPUTED_VALUE"""),"Interruptor inteligente WIFI Ventilador y Luz - Color Negro - 220Vca. Compatible APP Smart Life")</f>
        <v>Interruptor inteligente WIFI Ventilador y Luz - Color Negro - 220Vca. Compatible APP Smart Life</v>
      </c>
      <c r="D2032" s="4" t="str">
        <f>IFERROR(__xludf.DUMMYFUNCTION("""COMPUTED_VALUE"""),"TBCIN")</f>
        <v>TBCIN</v>
      </c>
      <c r="E2032" s="4" t="str">
        <f>IFERROR(__xludf.DUMMYFUNCTION("""COMPUTED_VALUE"""),"TBCMGK-F1U")</f>
        <v>TBCMGK-F1U</v>
      </c>
      <c r="F2032" s="4" t="str">
        <f>IFERROR(__xludf.DUMMYFUNCTION("""COMPUTED_VALUE"""),"AUTOMATIZACION &gt; CONTROL Y AUTOMATIZACIÓN IOT")</f>
        <v>AUTOMATIZACION &gt; CONTROL Y AUTOMATIZACIÓN IOT</v>
      </c>
      <c r="G2032" s="5"/>
      <c r="H2032" s="6">
        <f>IFERROR(__xludf.DUMMYFUNCTION("""COMPUTED_VALUE"""),34.65)</f>
        <v>34.65</v>
      </c>
      <c r="I2032" s="7">
        <f>IFERROR(__xludf.DUMMYFUNCTION("""COMPUTED_VALUE"""),21.0)</f>
        <v>21</v>
      </c>
      <c r="J2032" s="6">
        <f>IFERROR(__xludf.DUMMYFUNCTION("""COMPUTED_VALUE"""),41.58)</f>
        <v>41.58</v>
      </c>
      <c r="K2032" s="6">
        <f>IFERROR(__xludf.DUMMYFUNCTION("""COMPUTED_VALUE"""),48.51)</f>
        <v>48.51</v>
      </c>
      <c r="L2032" s="3"/>
      <c r="M2032" s="3"/>
    </row>
    <row r="2033" ht="48.0" customHeight="1">
      <c r="A2033" s="3" t="str">
        <f>IFERROR(__xludf.DUMMYFUNCTION("""COMPUTED_VALUE"""),"TBCMGK-T1")</f>
        <v>TBCMGK-T1</v>
      </c>
      <c r="B2033" s="4" t="str">
        <f>IFERROR(__xludf.DUMMYFUNCTION("""COMPUTED_VALUE"""),"INTERRUPTOR INTELIGENTE WIFI CORTINAS")</f>
        <v>INTERRUPTOR INTELIGENTE WIFI CORTINAS</v>
      </c>
      <c r="C2033" s="4" t="str">
        <f>IFERROR(__xludf.DUMMYFUNCTION("""COMPUTED_VALUE"""),"Interruptor inteligente WIFI Cortinas - Color Blanco - 220Vca. Compatible APP Smart Life")</f>
        <v>Interruptor inteligente WIFI Cortinas - Color Blanco - 220Vca. Compatible APP Smart Life</v>
      </c>
      <c r="D2033" s="4" t="str">
        <f>IFERROR(__xludf.DUMMYFUNCTION("""COMPUTED_VALUE"""),"TBCIN")</f>
        <v>TBCIN</v>
      </c>
      <c r="E2033" s="4" t="str">
        <f>IFERROR(__xludf.DUMMYFUNCTION("""COMPUTED_VALUE"""),"TBCMGK-T1")</f>
        <v>TBCMGK-T1</v>
      </c>
      <c r="F2033" s="4" t="str">
        <f>IFERROR(__xludf.DUMMYFUNCTION("""COMPUTED_VALUE"""),"AUTOMATIZACION &gt; CONTROL Y AUTOMATIZACIÓN IOT")</f>
        <v>AUTOMATIZACION &gt; CONTROL Y AUTOMATIZACIÓN IOT</v>
      </c>
      <c r="G2033" s="5"/>
      <c r="H2033" s="6">
        <f>IFERROR(__xludf.DUMMYFUNCTION("""COMPUTED_VALUE"""),29.7)</f>
        <v>29.7</v>
      </c>
      <c r="I2033" s="7">
        <f>IFERROR(__xludf.DUMMYFUNCTION("""COMPUTED_VALUE"""),21.0)</f>
        <v>21</v>
      </c>
      <c r="J2033" s="6">
        <f>IFERROR(__xludf.DUMMYFUNCTION("""COMPUTED_VALUE"""),35.64)</f>
        <v>35.64</v>
      </c>
      <c r="K2033" s="6">
        <f>IFERROR(__xludf.DUMMYFUNCTION("""COMPUTED_VALUE"""),41.58)</f>
        <v>41.58</v>
      </c>
      <c r="L2033" s="3"/>
      <c r="M2033" s="3"/>
    </row>
    <row r="2034" ht="48.0" customHeight="1">
      <c r="A2034" s="3" t="str">
        <f>IFERROR(__xludf.DUMMYFUNCTION("""COMPUTED_VALUE"""),"TBCMGK-T1U")</f>
        <v>TBCMGK-T1U</v>
      </c>
      <c r="B2034" s="4" t="str">
        <f>IFERROR(__xludf.DUMMYFUNCTION("""COMPUTED_VALUE"""),"INTERRUPTOR INTELIGENTE WIFI CORTINAS")</f>
        <v>INTERRUPTOR INTELIGENTE WIFI CORTINAS</v>
      </c>
      <c r="C2034" s="4" t="str">
        <f>IFERROR(__xludf.DUMMYFUNCTION("""COMPUTED_VALUE"""),"Interruptor inteligente WIFI Cortinas - Color Negro - 220Vca. Compatible APP Smart Life")</f>
        <v>Interruptor inteligente WIFI Cortinas - Color Negro - 220Vca. Compatible APP Smart Life</v>
      </c>
      <c r="D2034" s="4" t="str">
        <f>IFERROR(__xludf.DUMMYFUNCTION("""COMPUTED_VALUE"""),"TBCIN")</f>
        <v>TBCIN</v>
      </c>
      <c r="E2034" s="4" t="str">
        <f>IFERROR(__xludf.DUMMYFUNCTION("""COMPUTED_VALUE"""),"TBCMGK-T1U")</f>
        <v>TBCMGK-T1U</v>
      </c>
      <c r="F2034" s="4" t="str">
        <f>IFERROR(__xludf.DUMMYFUNCTION("""COMPUTED_VALUE"""),"AUTOMATIZACION &gt; CONTROL Y AUTOMATIZACIÓN IOT")</f>
        <v>AUTOMATIZACION &gt; CONTROL Y AUTOMATIZACIÓN IOT</v>
      </c>
      <c r="G2034" s="5"/>
      <c r="H2034" s="6">
        <f>IFERROR(__xludf.DUMMYFUNCTION("""COMPUTED_VALUE"""),29.7)</f>
        <v>29.7</v>
      </c>
      <c r="I2034" s="7">
        <f>IFERROR(__xludf.DUMMYFUNCTION("""COMPUTED_VALUE"""),21.0)</f>
        <v>21</v>
      </c>
      <c r="J2034" s="6">
        <f>IFERROR(__xludf.DUMMYFUNCTION("""COMPUTED_VALUE"""),35.64)</f>
        <v>35.64</v>
      </c>
      <c r="K2034" s="6">
        <f>IFERROR(__xludf.DUMMYFUNCTION("""COMPUTED_VALUE"""),41.58)</f>
        <v>41.58</v>
      </c>
      <c r="L2034" s="3"/>
      <c r="M2034" s="3"/>
    </row>
    <row r="2035" ht="48.0" customHeight="1">
      <c r="A2035" s="3" t="str">
        <f>IFERROR(__xludf.DUMMYFUNCTION("""COMPUTED_VALUE"""),"TBCMGK-TW2")</f>
        <v>TBCMGK-TW2</v>
      </c>
      <c r="B2035" s="4" t="str">
        <f>IFERROR(__xludf.DUMMYFUNCTION("""COMPUTED_VALUE"""),"TOMA CORRIENTES INTELIGENTE WIFI 2 TOMAS")</f>
        <v>TOMA CORRIENTES INTELIGENTE WIFI 2 TOMAS</v>
      </c>
      <c r="C2035" s="4" t="str">
        <f>IFERROR(__xludf.DUMMYFUNCTION("""COMPUTED_VALUE"""),"Toma corrientes inteligente WIFI 2 Tomas - 10A - 2200W - Color Blanco. Compatible APP Smart Life")</f>
        <v>Toma corrientes inteligente WIFI 2 Tomas - 10A - 2200W - Color Blanco. Compatible APP Smart Life</v>
      </c>
      <c r="D2035" s="4" t="str">
        <f>IFERROR(__xludf.DUMMYFUNCTION("""COMPUTED_VALUE"""),"TBCIN")</f>
        <v>TBCIN</v>
      </c>
      <c r="E2035" s="4" t="str">
        <f>IFERROR(__xludf.DUMMYFUNCTION("""COMPUTED_VALUE"""),"TBCMGK-TW2")</f>
        <v>TBCMGK-TW2</v>
      </c>
      <c r="F2035" s="4" t="str">
        <f>IFERROR(__xludf.DUMMYFUNCTION("""COMPUTED_VALUE"""),"AUTOMATIZACION &gt; CONTROL Y AUTOMATIZACIÓN IOT")</f>
        <v>AUTOMATIZACION &gt; CONTROL Y AUTOMATIZACIÓN IOT</v>
      </c>
      <c r="G2035" s="5"/>
      <c r="H2035" s="6">
        <f>IFERROR(__xludf.DUMMYFUNCTION("""COMPUTED_VALUE"""),34.65)</f>
        <v>34.65</v>
      </c>
      <c r="I2035" s="7">
        <f>IFERROR(__xludf.DUMMYFUNCTION("""COMPUTED_VALUE"""),21.0)</f>
        <v>21</v>
      </c>
      <c r="J2035" s="6">
        <f>IFERROR(__xludf.DUMMYFUNCTION("""COMPUTED_VALUE"""),41.58)</f>
        <v>41.58</v>
      </c>
      <c r="K2035" s="6">
        <f>IFERROR(__xludf.DUMMYFUNCTION("""COMPUTED_VALUE"""),48.51)</f>
        <v>48.51</v>
      </c>
      <c r="L2035" s="3"/>
      <c r="M2035" s="3"/>
    </row>
    <row r="2036" ht="48.0" customHeight="1">
      <c r="A2036" s="3" t="str">
        <f>IFERROR(__xludf.DUMMYFUNCTION("""COMPUTED_VALUE"""),"TBCMGK-TB2")</f>
        <v>TBCMGK-TB2</v>
      </c>
      <c r="B2036" s="4" t="str">
        <f>IFERROR(__xludf.DUMMYFUNCTION("""COMPUTED_VALUE"""),"TOMA CORRIENTES INTELIGENTE WIFI 2 TOMAS")</f>
        <v>TOMA CORRIENTES INTELIGENTE WIFI 2 TOMAS</v>
      </c>
      <c r="C2036" s="4" t="str">
        <f>IFERROR(__xludf.DUMMYFUNCTION("""COMPUTED_VALUE"""),"Toma corrientes inteligente WIFI 2 Tomas - 10A - 2200W - Color Negro. Compatible APP Smart Life")</f>
        <v>Toma corrientes inteligente WIFI 2 Tomas - 10A - 2200W - Color Negro. Compatible APP Smart Life</v>
      </c>
      <c r="D2036" s="4" t="str">
        <f>IFERROR(__xludf.DUMMYFUNCTION("""COMPUTED_VALUE"""),"TBCIN")</f>
        <v>TBCIN</v>
      </c>
      <c r="E2036" s="4" t="str">
        <f>IFERROR(__xludf.DUMMYFUNCTION("""COMPUTED_VALUE"""),"TBCMGK-TB2")</f>
        <v>TBCMGK-TB2</v>
      </c>
      <c r="F2036" s="4" t="str">
        <f>IFERROR(__xludf.DUMMYFUNCTION("""COMPUTED_VALUE"""),"AUTOMATIZACION &gt; CONTROL Y AUTOMATIZACIÓN IOT")</f>
        <v>AUTOMATIZACION &gt; CONTROL Y AUTOMATIZACIÓN IOT</v>
      </c>
      <c r="G2036" s="5"/>
      <c r="H2036" s="6">
        <f>IFERROR(__xludf.DUMMYFUNCTION("""COMPUTED_VALUE"""),40.7)</f>
        <v>40.7</v>
      </c>
      <c r="I2036" s="7">
        <f>IFERROR(__xludf.DUMMYFUNCTION("""COMPUTED_VALUE"""),21.0)</f>
        <v>21</v>
      </c>
      <c r="J2036" s="6">
        <f>IFERROR(__xludf.DUMMYFUNCTION("""COMPUTED_VALUE"""),48.84)</f>
        <v>48.84</v>
      </c>
      <c r="K2036" s="6">
        <f>IFERROR(__xludf.DUMMYFUNCTION("""COMPUTED_VALUE"""),56.98)</f>
        <v>56.98</v>
      </c>
      <c r="L2036" s="3"/>
      <c r="M2036" s="3"/>
    </row>
    <row r="2037" ht="48.0" customHeight="1">
      <c r="A2037" s="3" t="str">
        <f>IFERROR(__xludf.DUMMYFUNCTION("""COMPUTED_VALUE"""),"TBCY7111000T")</f>
        <v>TBCY7111000T</v>
      </c>
      <c r="B2037" s="4" t="str">
        <f>IFERROR(__xludf.DUMMYFUNCTION("""COMPUTED_VALUE"""),"DETECTOR DE MOVIMIETO INTELIGENTE WIFI CON LUZ Y SONIDO")</f>
        <v>DETECTOR DE MOVIMIETO INTELIGENTE WIFI CON LUZ Y SONIDO</v>
      </c>
      <c r="C2037" s="4" t="str">
        <f>IFERROR(__xludf.DUMMYFUNCTION("""COMPUTED_VALUE"""),"Detector de Movimieto inteligente WIFI Con Luz y sonido - Alimentacion USB: 5Vcc. Compatible APP Smart Life")</f>
        <v>Detector de Movimieto inteligente WIFI Con Luz y sonido - Alimentacion USB: 5Vcc. Compatible APP Smart Life</v>
      </c>
      <c r="D2037" s="4" t="str">
        <f>IFERROR(__xludf.DUMMYFUNCTION("""COMPUTED_VALUE"""),"TBCIN")</f>
        <v>TBCIN</v>
      </c>
      <c r="E2037" s="4" t="str">
        <f>IFERROR(__xludf.DUMMYFUNCTION("""COMPUTED_VALUE"""),"TBCY7111000T")</f>
        <v>TBCY7111000T</v>
      </c>
      <c r="F2037" s="4" t="str">
        <f>IFERROR(__xludf.DUMMYFUNCTION("""COMPUTED_VALUE"""),"AUTOMATIZACION &gt; CONTROL Y AUTOMATIZACIÓN IOT")</f>
        <v>AUTOMATIZACION &gt; CONTROL Y AUTOMATIZACIÓN IOT</v>
      </c>
      <c r="G2037" s="5"/>
      <c r="H2037" s="6">
        <f>IFERROR(__xludf.DUMMYFUNCTION("""COMPUTED_VALUE"""),32.89)</f>
        <v>32.89</v>
      </c>
      <c r="I2037" s="7">
        <f>IFERROR(__xludf.DUMMYFUNCTION("""COMPUTED_VALUE"""),21.0)</f>
        <v>21</v>
      </c>
      <c r="J2037" s="6">
        <f>IFERROR(__xludf.DUMMYFUNCTION("""COMPUTED_VALUE"""),39.47)</f>
        <v>39.47</v>
      </c>
      <c r="K2037" s="6">
        <f>IFERROR(__xludf.DUMMYFUNCTION("""COMPUTED_VALUE"""),46.05)</f>
        <v>46.05</v>
      </c>
      <c r="L2037" s="3"/>
      <c r="M2037" s="3"/>
    </row>
    <row r="2038" ht="48.0" customHeight="1">
      <c r="A2038" s="3" t="str">
        <f>IFERROR(__xludf.DUMMYFUNCTION("""COMPUTED_VALUE"""),"TBC007T")</f>
        <v>TBC007T</v>
      </c>
      <c r="B2038" s="4" t="str">
        <f>IFERROR(__xludf.DUMMYFUNCTION("""COMPUTED_VALUE"""),"MAGNÉTICO DE APERTURA DE PUERTA O VENTANA INTELIGENTE WIFI")</f>
        <v>MAGNÉTICO DE APERTURA DE PUERTA O VENTANA INTELIGENTE WIFI</v>
      </c>
      <c r="C2038" s="4" t="str">
        <f>IFERROR(__xludf.DUMMYFUNCTION("""COMPUTED_VALUE"""),"Magnético de apertura de puerta o ventana inteligente WIFI - 2 pilas AAA. Compatible APP Smart Life")</f>
        <v>Magnético de apertura de puerta o ventana inteligente WIFI - 2 pilas AAA. Compatible APP Smart Life</v>
      </c>
      <c r="D2038" s="4" t="str">
        <f>IFERROR(__xludf.DUMMYFUNCTION("""COMPUTED_VALUE"""),"TBCIN")</f>
        <v>TBCIN</v>
      </c>
      <c r="E2038" s="4" t="str">
        <f>IFERROR(__xludf.DUMMYFUNCTION("""COMPUTED_VALUE"""),"TBC007T")</f>
        <v>TBC007T</v>
      </c>
      <c r="F2038" s="4" t="str">
        <f>IFERROR(__xludf.DUMMYFUNCTION("""COMPUTED_VALUE"""),"AUTOMATIZACION &gt; CONTROL Y AUTOMATIZACIÓN IOT")</f>
        <v>AUTOMATIZACION &gt; CONTROL Y AUTOMATIZACIÓN IOT</v>
      </c>
      <c r="G2038" s="5"/>
      <c r="H2038" s="6">
        <f>IFERROR(__xludf.DUMMYFUNCTION("""COMPUTED_VALUE"""),15.95)</f>
        <v>15.95</v>
      </c>
      <c r="I2038" s="7">
        <f>IFERROR(__xludf.DUMMYFUNCTION("""COMPUTED_VALUE"""),21.0)</f>
        <v>21</v>
      </c>
      <c r="J2038" s="6">
        <f>IFERROR(__xludf.DUMMYFUNCTION("""COMPUTED_VALUE"""),19.14)</f>
        <v>19.14</v>
      </c>
      <c r="K2038" s="6">
        <f>IFERROR(__xludf.DUMMYFUNCTION("""COMPUTED_VALUE"""),22.33)</f>
        <v>22.33</v>
      </c>
      <c r="L2038" s="3"/>
      <c r="M2038" s="3"/>
    </row>
    <row r="2039" ht="48.0" customHeight="1">
      <c r="A2039" s="3" t="str">
        <f>IFERROR(__xludf.DUMMYFUNCTION("""COMPUTED_VALUE"""),"TBC007ST")</f>
        <v>TBC007ST</v>
      </c>
      <c r="B2039" s="4" t="str">
        <f>IFERROR(__xludf.DUMMYFUNCTION("""COMPUTED_VALUE"""),"MAGNÉTICO DE APERTURA DE PUERTA O VENTANA INTELIGENTE WIFI")</f>
        <v>MAGNÉTICO DE APERTURA DE PUERTA O VENTANA INTELIGENTE WIFI</v>
      </c>
      <c r="C2039" s="4" t="str">
        <f>IFERROR(__xludf.DUMMYFUNCTION("""COMPUTED_VALUE"""),"Magnético de apertura de puerta o ventana inteligente WIFI - Luz y Sonido. Compatible APP Smart Life")</f>
        <v>Magnético de apertura de puerta o ventana inteligente WIFI - Luz y Sonido. Compatible APP Smart Life</v>
      </c>
      <c r="D2039" s="4" t="str">
        <f>IFERROR(__xludf.DUMMYFUNCTION("""COMPUTED_VALUE"""),"TBCIN")</f>
        <v>TBCIN</v>
      </c>
      <c r="E2039" s="4" t="str">
        <f>IFERROR(__xludf.DUMMYFUNCTION("""COMPUTED_VALUE"""),"TBC007ST")</f>
        <v>TBC007ST</v>
      </c>
      <c r="F2039" s="4" t="str">
        <f>IFERROR(__xludf.DUMMYFUNCTION("""COMPUTED_VALUE"""),"AUTOMATIZACION &gt; CONTROL Y AUTOMATIZACIÓN IOT")</f>
        <v>AUTOMATIZACION &gt; CONTROL Y AUTOMATIZACIÓN IOT</v>
      </c>
      <c r="G2039" s="5"/>
      <c r="H2039" s="6">
        <f>IFERROR(__xludf.DUMMYFUNCTION("""COMPUTED_VALUE"""),21.89)</f>
        <v>21.89</v>
      </c>
      <c r="I2039" s="7">
        <f>IFERROR(__xludf.DUMMYFUNCTION("""COMPUTED_VALUE"""),21.0)</f>
        <v>21</v>
      </c>
      <c r="J2039" s="6">
        <f>IFERROR(__xludf.DUMMYFUNCTION("""COMPUTED_VALUE"""),26.27)</f>
        <v>26.27</v>
      </c>
      <c r="K2039" s="6">
        <f>IFERROR(__xludf.DUMMYFUNCTION("""COMPUTED_VALUE"""),30.65)</f>
        <v>30.65</v>
      </c>
      <c r="L2039" s="3"/>
      <c r="M2039" s="3"/>
    </row>
    <row r="2040" ht="48.0" customHeight="1">
      <c r="A2040" s="3" t="str">
        <f>IFERROR(__xludf.DUMMYFUNCTION("""COMPUTED_VALUE"""),"TBCST81T")</f>
        <v>TBCST81T</v>
      </c>
      <c r="B2040" s="4" t="str">
        <f>IFERROR(__xludf.DUMMYFUNCTION("""COMPUTED_VALUE"""),"DETECTOR HUMO INTELIGENTE WIFI- BATERIA 9V")</f>
        <v>DETECTOR HUMO INTELIGENTE WIFI- BATERIA 9V</v>
      </c>
      <c r="C2040" s="4" t="str">
        <f>IFERROR(__xludf.DUMMYFUNCTION("""COMPUTED_VALUE"""),"Detector humo inteligente WIFI- Bateria 9V - 110db. Compatible APP Smart Life")</f>
        <v>Detector humo inteligente WIFI- Bateria 9V - 110db. Compatible APP Smart Life</v>
      </c>
      <c r="D2040" s="4" t="str">
        <f>IFERROR(__xludf.DUMMYFUNCTION("""COMPUTED_VALUE"""),"TBCIN")</f>
        <v>TBCIN</v>
      </c>
      <c r="E2040" s="4" t="str">
        <f>IFERROR(__xludf.DUMMYFUNCTION("""COMPUTED_VALUE"""),"TBCST81T")</f>
        <v>TBCST81T</v>
      </c>
      <c r="F2040" s="4" t="str">
        <f>IFERROR(__xludf.DUMMYFUNCTION("""COMPUTED_VALUE"""),"AUTOMATIZACION &gt; CONTROL Y AUTOMATIZACIÓN IOT")</f>
        <v>AUTOMATIZACION &gt; CONTROL Y AUTOMATIZACIÓN IOT</v>
      </c>
      <c r="G2040" s="5"/>
      <c r="H2040" s="6">
        <f>IFERROR(__xludf.DUMMYFUNCTION("""COMPUTED_VALUE"""),28.6)</f>
        <v>28.6</v>
      </c>
      <c r="I2040" s="7">
        <f>IFERROR(__xludf.DUMMYFUNCTION("""COMPUTED_VALUE"""),21.0)</f>
        <v>21</v>
      </c>
      <c r="J2040" s="6">
        <f>IFERROR(__xludf.DUMMYFUNCTION("""COMPUTED_VALUE"""),34.32)</f>
        <v>34.32</v>
      </c>
      <c r="K2040" s="6">
        <f>IFERROR(__xludf.DUMMYFUNCTION("""COMPUTED_VALUE"""),40.04)</f>
        <v>40.04</v>
      </c>
      <c r="L2040" s="3"/>
      <c r="M2040" s="3"/>
    </row>
    <row r="2041" ht="48.0" customHeight="1">
      <c r="A2041" s="3" t="str">
        <f>IFERROR(__xludf.DUMMYFUNCTION("""COMPUTED_VALUE"""),"TBCS007WT")</f>
        <v>TBCS007WT</v>
      </c>
      <c r="B2041" s="4" t="str">
        <f>IFERROR(__xludf.DUMMYFUNCTION("""COMPUTED_VALUE"""),"SENSOR SMART")</f>
        <v>SENSOR SMART</v>
      </c>
      <c r="C2041" s="4" t="str">
        <f>IFERROR(__xludf.DUMMYFUNCTION("""COMPUTED_VALUE"""),"Sensor smart - De fuga y nivel de agua. Compatible APP Smart Life")</f>
        <v>Sensor smart - De fuga y nivel de agua. Compatible APP Smart Life</v>
      </c>
      <c r="D2041" s="4" t="str">
        <f>IFERROR(__xludf.DUMMYFUNCTION("""COMPUTED_VALUE"""),"TBCIN")</f>
        <v>TBCIN</v>
      </c>
      <c r="E2041" s="4" t="str">
        <f>IFERROR(__xludf.DUMMYFUNCTION("""COMPUTED_VALUE"""),"TBCS007WT")</f>
        <v>TBCS007WT</v>
      </c>
      <c r="F2041" s="4" t="str">
        <f>IFERROR(__xludf.DUMMYFUNCTION("""COMPUTED_VALUE"""),"AUTOMATIZACION &gt; CONTROL Y AUTOMATIZACIÓN IOT")</f>
        <v>AUTOMATIZACION &gt; CONTROL Y AUTOMATIZACIÓN IOT</v>
      </c>
      <c r="G2041" s="5"/>
      <c r="H2041" s="6">
        <f>IFERROR(__xludf.DUMMYFUNCTION("""COMPUTED_VALUE"""),19.69)</f>
        <v>19.69</v>
      </c>
      <c r="I2041" s="7">
        <f>IFERROR(__xludf.DUMMYFUNCTION("""COMPUTED_VALUE"""),21.0)</f>
        <v>21</v>
      </c>
      <c r="J2041" s="6">
        <f>IFERROR(__xludf.DUMMYFUNCTION("""COMPUTED_VALUE"""),23.63)</f>
        <v>23.63</v>
      </c>
      <c r="K2041" s="6">
        <f>IFERROR(__xludf.DUMMYFUNCTION("""COMPUTED_VALUE"""),27.57)</f>
        <v>27.57</v>
      </c>
      <c r="L2041" s="3"/>
      <c r="M2041" s="3"/>
    </row>
    <row r="2042" ht="48.0" customHeight="1">
      <c r="A2042" s="3" t="str">
        <f>IFERROR(__xludf.DUMMYFUNCTION("""COMPUTED_VALUE"""),"TBCS007THT")</f>
        <v>TBCS007THT</v>
      </c>
      <c r="B2042" s="4" t="str">
        <f>IFERROR(__xludf.DUMMYFUNCTION("""COMPUTED_VALUE"""),"SENSOR SMART")</f>
        <v>SENSOR SMART</v>
      </c>
      <c r="C2042" s="4" t="str">
        <f>IFERROR(__xludf.DUMMYFUNCTION("""COMPUTED_VALUE"""),"Sensor smart - De temperatura y humedad. Compatible APP Smart Life")</f>
        <v>Sensor smart - De temperatura y humedad. Compatible APP Smart Life</v>
      </c>
      <c r="D2042" s="4" t="str">
        <f>IFERROR(__xludf.DUMMYFUNCTION("""COMPUTED_VALUE"""),"TBCIN")</f>
        <v>TBCIN</v>
      </c>
      <c r="E2042" s="4" t="str">
        <f>IFERROR(__xludf.DUMMYFUNCTION("""COMPUTED_VALUE"""),"TBCS007THT")</f>
        <v>TBCS007THT</v>
      </c>
      <c r="F2042" s="4" t="str">
        <f>IFERROR(__xludf.DUMMYFUNCTION("""COMPUTED_VALUE"""),"AUTOMATIZACION &gt; CONTROL Y AUTOMATIZACIÓN IOT")</f>
        <v>AUTOMATIZACION &gt; CONTROL Y AUTOMATIZACIÓN IOT</v>
      </c>
      <c r="G2042" s="5"/>
      <c r="H2042" s="6">
        <f>IFERROR(__xludf.DUMMYFUNCTION("""COMPUTED_VALUE"""),26.95)</f>
        <v>26.95</v>
      </c>
      <c r="I2042" s="7">
        <f>IFERROR(__xludf.DUMMYFUNCTION("""COMPUTED_VALUE"""),21.0)</f>
        <v>21</v>
      </c>
      <c r="J2042" s="6">
        <f>IFERROR(__xludf.DUMMYFUNCTION("""COMPUTED_VALUE"""),32.34)</f>
        <v>32.34</v>
      </c>
      <c r="K2042" s="6">
        <f>IFERROR(__xludf.DUMMYFUNCTION("""COMPUTED_VALUE"""),37.73)</f>
        <v>37.73</v>
      </c>
      <c r="L2042" s="3"/>
      <c r="M2042" s="3"/>
    </row>
    <row r="2043" ht="48.0" customHeight="1">
      <c r="A2043" s="3" t="str">
        <f>IFERROR(__xludf.DUMMYFUNCTION("""COMPUTED_VALUE"""),"TBCEVP1T")</f>
        <v>TBCEVP1T</v>
      </c>
      <c r="B2043" s="4" t="str">
        <f>IFERROR(__xludf.DUMMYFUNCTION("""COMPUTED_VALUE"""),"PROLONGADOR INTELIGENTE WIFI UN TOMACORRIENTES")</f>
        <v>PROLONGADOR INTELIGENTE WIFI UN TOMACORRIENTES</v>
      </c>
      <c r="C2043" s="4" t="str">
        <f>IFERROR(__xludf.DUMMYFUNCTION("""COMPUTED_VALUE"""),"Prolongador inteligente WIFI un tomacorrientes. Compatible APP Smart Life")</f>
        <v>Prolongador inteligente WIFI un tomacorrientes. Compatible APP Smart Life</v>
      </c>
      <c r="D2043" s="4" t="str">
        <f>IFERROR(__xludf.DUMMYFUNCTION("""COMPUTED_VALUE"""),"TBCIN")</f>
        <v>TBCIN</v>
      </c>
      <c r="E2043" s="4" t="str">
        <f>IFERROR(__xludf.DUMMYFUNCTION("""COMPUTED_VALUE"""),"TBCEVP1T")</f>
        <v>TBCEVP1T</v>
      </c>
      <c r="F2043" s="4" t="str">
        <f>IFERROR(__xludf.DUMMYFUNCTION("""COMPUTED_VALUE"""),"AUTOMATIZACION &gt; CONTROL Y AUTOMATIZACIÓN IOT")</f>
        <v>AUTOMATIZACION &gt; CONTROL Y AUTOMATIZACIÓN IOT</v>
      </c>
      <c r="G2043" s="5"/>
      <c r="H2043" s="6">
        <f>IFERROR(__xludf.DUMMYFUNCTION("""COMPUTED_VALUE"""),12.87)</f>
        <v>12.87</v>
      </c>
      <c r="I2043" s="7">
        <f>IFERROR(__xludf.DUMMYFUNCTION("""COMPUTED_VALUE"""),21.0)</f>
        <v>21</v>
      </c>
      <c r="J2043" s="6">
        <f>IFERROR(__xludf.DUMMYFUNCTION("""COMPUTED_VALUE"""),15.44)</f>
        <v>15.44</v>
      </c>
      <c r="K2043" s="6">
        <f>IFERROR(__xludf.DUMMYFUNCTION("""COMPUTED_VALUE"""),18.02)</f>
        <v>18.02</v>
      </c>
      <c r="L2043" s="3"/>
      <c r="M2043" s="3"/>
    </row>
    <row r="2044" ht="48.0" customHeight="1">
      <c r="A2044" s="3" t="str">
        <f>IFERROR(__xludf.DUMMYFUNCTION("""COMPUTED_VALUE"""),"TBCEVP1U2T")</f>
        <v>TBCEVP1U2T</v>
      </c>
      <c r="B2044" s="4" t="str">
        <f>IFERROR(__xludf.DUMMYFUNCTION("""COMPUTED_VALUE"""),"PROLONGADOR INTELIGENTE WIFI UN TOMACORRIENTES Y DOS USB")</f>
        <v>PROLONGADOR INTELIGENTE WIFI UN TOMACORRIENTES Y DOS USB</v>
      </c>
      <c r="C2044" s="4" t="str">
        <f>IFERROR(__xludf.DUMMYFUNCTION("""COMPUTED_VALUE"""),"Prolongador inteligente WIFI un tomacorrientes y dos USB. Compatible APP Smart Life")</f>
        <v>Prolongador inteligente WIFI un tomacorrientes y dos USB. Compatible APP Smart Life</v>
      </c>
      <c r="D2044" s="4" t="str">
        <f>IFERROR(__xludf.DUMMYFUNCTION("""COMPUTED_VALUE"""),"TBCIN")</f>
        <v>TBCIN</v>
      </c>
      <c r="E2044" s="4" t="str">
        <f>IFERROR(__xludf.DUMMYFUNCTION("""COMPUTED_VALUE"""),"TBCEVP1U2T")</f>
        <v>TBCEVP1U2T</v>
      </c>
      <c r="F2044" s="4" t="str">
        <f>IFERROR(__xludf.DUMMYFUNCTION("""COMPUTED_VALUE"""),"AUTOMATIZACION &gt; CONTROL Y AUTOMATIZACIÓN IOT")</f>
        <v>AUTOMATIZACION &gt; CONTROL Y AUTOMATIZACIÓN IOT</v>
      </c>
      <c r="G2044" s="5"/>
      <c r="H2044" s="6">
        <f>IFERROR(__xludf.DUMMYFUNCTION("""COMPUTED_VALUE"""),18.7)</f>
        <v>18.7</v>
      </c>
      <c r="I2044" s="7">
        <f>IFERROR(__xludf.DUMMYFUNCTION("""COMPUTED_VALUE"""),21.0)</f>
        <v>21</v>
      </c>
      <c r="J2044" s="6">
        <f>IFERROR(__xludf.DUMMYFUNCTION("""COMPUTED_VALUE"""),22.44)</f>
        <v>22.44</v>
      </c>
      <c r="K2044" s="6">
        <f>IFERROR(__xludf.DUMMYFUNCTION("""COMPUTED_VALUE"""),26.18)</f>
        <v>26.18</v>
      </c>
      <c r="L2044" s="3"/>
      <c r="M2044" s="3"/>
    </row>
    <row r="2045" ht="48.0" customHeight="1">
      <c r="A2045" s="3" t="str">
        <f>IFERROR(__xludf.DUMMYFUNCTION("""COMPUTED_VALUE"""),"TBCMGK-TS1")</f>
        <v>TBCMGK-TS1</v>
      </c>
      <c r="B2045" s="4" t="str">
        <f>IFERROR(__xludf.DUMMYFUNCTION("""COMPUTED_VALUE"""),"TOMACORRIENTE SMART DE EXTERIOR PARA APLICAR")</f>
        <v>TOMACORRIENTE SMART DE EXTERIOR PARA APLICAR</v>
      </c>
      <c r="C2045" s="4" t="str">
        <f>IFERROR(__xludf.DUMMYFUNCTION("""COMPUTED_VALUE"""),"Tomacorriente smart De exterior para aplicar - 16a- ip65 . Compatible APP Smart Life")</f>
        <v>Tomacorriente smart De exterior para aplicar - 16a- ip65 . Compatible APP Smart Life</v>
      </c>
      <c r="D2045" s="4" t="str">
        <f>IFERROR(__xludf.DUMMYFUNCTION("""COMPUTED_VALUE"""),"TBCIN")</f>
        <v>TBCIN</v>
      </c>
      <c r="E2045" s="4" t="str">
        <f>IFERROR(__xludf.DUMMYFUNCTION("""COMPUTED_VALUE"""),"TBCMGK-TS1")</f>
        <v>TBCMGK-TS1</v>
      </c>
      <c r="F2045" s="4" t="str">
        <f>IFERROR(__xludf.DUMMYFUNCTION("""COMPUTED_VALUE"""),"AUTOMATIZACION &gt; CONTROL Y AUTOMATIZACIÓN IOT")</f>
        <v>AUTOMATIZACION &gt; CONTROL Y AUTOMATIZACIÓN IOT</v>
      </c>
      <c r="G2045" s="5"/>
      <c r="H2045" s="6">
        <f>IFERROR(__xludf.DUMMYFUNCTION("""COMPUTED_VALUE"""),37.95)</f>
        <v>37.95</v>
      </c>
      <c r="I2045" s="7">
        <f>IFERROR(__xludf.DUMMYFUNCTION("""COMPUTED_VALUE"""),21.0)</f>
        <v>21</v>
      </c>
      <c r="J2045" s="6">
        <f>IFERROR(__xludf.DUMMYFUNCTION("""COMPUTED_VALUE"""),45.54)</f>
        <v>45.54</v>
      </c>
      <c r="K2045" s="6">
        <f>IFERROR(__xludf.DUMMYFUNCTION("""COMPUTED_VALUE"""),53.13)</f>
        <v>53.13</v>
      </c>
      <c r="L2045" s="3"/>
      <c r="M2045" s="3"/>
    </row>
    <row r="2046" ht="48.0" customHeight="1">
      <c r="A2046" s="3" t="str">
        <f>IFERROR(__xludf.DUMMYFUNCTION("""COMPUTED_VALUE"""),"TBCTW101")</f>
        <v>TBCTW101</v>
      </c>
      <c r="B2046" s="4" t="str">
        <f>IFERROR(__xludf.DUMMYFUNCTION("""COMPUTED_VALUE"""),"INTERRUPTOR INTELIGENTE WIFI CORRIENTE MÁXIMA 10A SOPORTE")</f>
        <v>INTERRUPTOR INTELIGENTE WIFI CORRIENTE MÁXIMA 10A SOPORTE</v>
      </c>
      <c r="C2046" s="4" t="str">
        <f>IFERROR(__xludf.DUMMYFUNCTION("""COMPUTED_VALUE"""),"Interruptor inteligente WIFI corriente máxima 10a soporte. Compatible APP Smart Life")</f>
        <v>Interruptor inteligente WIFI corriente máxima 10a soporte. Compatible APP Smart Life</v>
      </c>
      <c r="D2046" s="4" t="str">
        <f>IFERROR(__xludf.DUMMYFUNCTION("""COMPUTED_VALUE"""),"TBCIN")</f>
        <v>TBCIN</v>
      </c>
      <c r="E2046" s="4" t="str">
        <f>IFERROR(__xludf.DUMMYFUNCTION("""COMPUTED_VALUE"""),"TBCTW101")</f>
        <v>TBCTW101</v>
      </c>
      <c r="F2046" s="4" t="str">
        <f>IFERROR(__xludf.DUMMYFUNCTION("""COMPUTED_VALUE"""),"AUTOMATIZACION &gt; CONTROL Y AUTOMATIZACIÓN IOT")</f>
        <v>AUTOMATIZACION &gt; CONTROL Y AUTOMATIZACIÓN IOT</v>
      </c>
      <c r="G2046" s="5"/>
      <c r="H2046" s="6">
        <f>IFERROR(__xludf.DUMMYFUNCTION("""COMPUTED_VALUE"""),14.63)</f>
        <v>14.63</v>
      </c>
      <c r="I2046" s="7">
        <f>IFERROR(__xludf.DUMMYFUNCTION("""COMPUTED_VALUE"""),21.0)</f>
        <v>21</v>
      </c>
      <c r="J2046" s="6">
        <f>IFERROR(__xludf.DUMMYFUNCTION("""COMPUTED_VALUE"""),17.56)</f>
        <v>17.56</v>
      </c>
      <c r="K2046" s="6">
        <f>IFERROR(__xludf.DUMMYFUNCTION("""COMPUTED_VALUE"""),20.48)</f>
        <v>20.48</v>
      </c>
      <c r="L2046" s="3"/>
      <c r="M2046" s="3"/>
    </row>
    <row r="2047" ht="48.0" customHeight="1">
      <c r="A2047" s="3" t="str">
        <f>IFERROR(__xludf.DUMMYFUNCTION("""COMPUTED_VALUE"""),"TBCTW102")</f>
        <v>TBCTW102</v>
      </c>
      <c r="B2047" s="4" t="str">
        <f>IFERROR(__xludf.DUMMYFUNCTION("""COMPUTED_VALUE"""),"INTERRUPTOR MINI INTELIGENTE WIFI CORRIENTE MÁXIMA 10A SOPORTE")</f>
        <v>INTERRUPTOR MINI INTELIGENTE WIFI CORRIENTE MÁXIMA 10A SOPORTE</v>
      </c>
      <c r="C2047" s="4" t="str">
        <f>IFERROR(__xludf.DUMMYFUNCTION("""COMPUTED_VALUE"""),"Interruptor mini inteligente WIFI corriente máxima 10a soporte. Compatible APP Smart Life")</f>
        <v>Interruptor mini inteligente WIFI corriente máxima 10a soporte. Compatible APP Smart Life</v>
      </c>
      <c r="D2047" s="4" t="str">
        <f>IFERROR(__xludf.DUMMYFUNCTION("""COMPUTED_VALUE"""),"TBCIN")</f>
        <v>TBCIN</v>
      </c>
      <c r="E2047" s="4" t="str">
        <f>IFERROR(__xludf.DUMMYFUNCTION("""COMPUTED_VALUE"""),"TBCTW102")</f>
        <v>TBCTW102</v>
      </c>
      <c r="F2047" s="4" t="str">
        <f>IFERROR(__xludf.DUMMYFUNCTION("""COMPUTED_VALUE"""),"AUTOMATIZACION &gt; CONTROL Y AUTOMATIZACIÓN IOT")</f>
        <v>AUTOMATIZACION &gt; CONTROL Y AUTOMATIZACIÓN IOT</v>
      </c>
      <c r="G2047" s="5"/>
      <c r="H2047" s="6">
        <f>IFERROR(__xludf.DUMMYFUNCTION("""COMPUTED_VALUE"""),14.41)</f>
        <v>14.41</v>
      </c>
      <c r="I2047" s="7">
        <f>IFERROR(__xludf.DUMMYFUNCTION("""COMPUTED_VALUE"""),21.0)</f>
        <v>21</v>
      </c>
      <c r="J2047" s="6">
        <f>IFERROR(__xludf.DUMMYFUNCTION("""COMPUTED_VALUE"""),17.29)</f>
        <v>17.29</v>
      </c>
      <c r="K2047" s="6">
        <f>IFERROR(__xludf.DUMMYFUNCTION("""COMPUTED_VALUE"""),20.17)</f>
        <v>20.17</v>
      </c>
      <c r="L2047" s="3"/>
      <c r="M2047" s="3"/>
    </row>
    <row r="2048" ht="48.0" customHeight="1">
      <c r="A2048" s="3" t="str">
        <f>IFERROR(__xludf.DUMMYFUNCTION("""COMPUTED_VALUE"""),"TBCMT2P50")</f>
        <v>TBCMT2P50</v>
      </c>
      <c r="B2048" s="4" t="str">
        <f>IFERROR(__xludf.DUMMYFUNCTION("""COMPUTED_VALUE"""),"MODULAR SMART")</f>
        <v>MODULAR SMART</v>
      </c>
      <c r="C2048" s="4" t="str">
        <f>IFERROR(__xludf.DUMMYFUNCTION("""COMPUTED_VALUE"""),"Modular smart - Interruptor - 1 polo + neutro 50a. Compatible APP Smart Life")</f>
        <v>Modular smart - Interruptor - 1 polo + neutro 50a. Compatible APP Smart Life</v>
      </c>
      <c r="D2048" s="4" t="str">
        <f>IFERROR(__xludf.DUMMYFUNCTION("""COMPUTED_VALUE"""),"TBCIN")</f>
        <v>TBCIN</v>
      </c>
      <c r="E2048" s="4" t="str">
        <f>IFERROR(__xludf.DUMMYFUNCTION("""COMPUTED_VALUE"""),"TBCMT2P50")</f>
        <v>TBCMT2P50</v>
      </c>
      <c r="F2048" s="4" t="str">
        <f>IFERROR(__xludf.DUMMYFUNCTION("""COMPUTED_VALUE"""),"AUTOMATIZACION &gt; CONTROL Y AUTOMATIZACIÓN IOT")</f>
        <v>AUTOMATIZACION &gt; CONTROL Y AUTOMATIZACIÓN IOT</v>
      </c>
      <c r="G2048" s="5"/>
      <c r="H2048" s="6">
        <f>IFERROR(__xludf.DUMMYFUNCTION("""COMPUTED_VALUE"""),41.8)</f>
        <v>41.8</v>
      </c>
      <c r="I2048" s="7">
        <f>IFERROR(__xludf.DUMMYFUNCTION("""COMPUTED_VALUE"""),21.0)</f>
        <v>21</v>
      </c>
      <c r="J2048" s="6">
        <f>IFERROR(__xludf.DUMMYFUNCTION("""COMPUTED_VALUE"""),50.16)</f>
        <v>50.16</v>
      </c>
      <c r="K2048" s="6">
        <f>IFERROR(__xludf.DUMMYFUNCTION("""COMPUTED_VALUE"""),58.52)</f>
        <v>58.52</v>
      </c>
      <c r="L2048" s="3"/>
      <c r="M2048" s="3"/>
    </row>
    <row r="2049" ht="48.0" customHeight="1">
      <c r="A2049" s="3" t="str">
        <f>IFERROR(__xludf.DUMMYFUNCTION("""COMPUTED_VALUE"""),"TDP-263T")</f>
        <v>TDP-263T</v>
      </c>
      <c r="B2049" s="4" t="str">
        <f>IFERROR(__xludf.DUMMYFUNCTION("""COMPUTED_VALUE"""),"MODULAR SMART")</f>
        <v>MODULAR SMART</v>
      </c>
      <c r="C2049" s="4" t="str">
        <f>IFERROR(__xludf.DUMMYFUNCTION("""COMPUTED_VALUE"""),"Modular smart - Protector por sobre y baja tension - monofasico - 63a. Compatible APP Smart Life")</f>
        <v>Modular smart - Protector por sobre y baja tension - monofasico - 63a. Compatible APP Smart Life</v>
      </c>
      <c r="D2049" s="4" t="str">
        <f>IFERROR(__xludf.DUMMYFUNCTION("""COMPUTED_VALUE"""),"TBCIN")</f>
        <v>TBCIN</v>
      </c>
      <c r="E2049" s="4" t="str">
        <f>IFERROR(__xludf.DUMMYFUNCTION("""COMPUTED_VALUE"""),"TDP-263T")</f>
        <v>TDP-263T</v>
      </c>
      <c r="F2049" s="4" t="str">
        <f>IFERROR(__xludf.DUMMYFUNCTION("""COMPUTED_VALUE"""),"AUTOMATIZACION &gt; CONTROL Y AUTOMATIZACIÓN IOT")</f>
        <v>AUTOMATIZACION &gt; CONTROL Y AUTOMATIZACIÓN IOT</v>
      </c>
      <c r="G2049" s="5"/>
      <c r="H2049" s="6">
        <f>IFERROR(__xludf.DUMMYFUNCTION("""COMPUTED_VALUE"""),74.8)</f>
        <v>74.8</v>
      </c>
      <c r="I2049" s="7">
        <f>IFERROR(__xludf.DUMMYFUNCTION("""COMPUTED_VALUE"""),21.0)</f>
        <v>21</v>
      </c>
      <c r="J2049" s="6">
        <f>IFERROR(__xludf.DUMMYFUNCTION("""COMPUTED_VALUE"""),89.76)</f>
        <v>89.76</v>
      </c>
      <c r="K2049" s="6">
        <f>IFERROR(__xludf.DUMMYFUNCTION("""COMPUTED_VALUE"""),104.72)</f>
        <v>104.72</v>
      </c>
      <c r="L2049" s="3"/>
      <c r="M2049" s="3"/>
    </row>
    <row r="2050" ht="48.0" customHeight="1">
      <c r="A2050" s="3" t="str">
        <f>IFERROR(__xludf.DUMMYFUNCTION("""COMPUTED_VALUE"""),"TBCA60SMD10T")</f>
        <v>TBCA60SMD10T</v>
      </c>
      <c r="B2050" s="4" t="str">
        <f>IFERROR(__xludf.DUMMYFUNCTION("""COMPUTED_VALUE"""),"LÁMPARA LED RGB+ CCT INTELIGENTE WIFI 10W BULBO ZÓCALO E27")</f>
        <v>LÁMPARA LED RGB+ CCT INTELIGENTE WIFI 10W BULBO ZÓCALO E27</v>
      </c>
      <c r="C2050" s="4" t="str">
        <f>IFERROR(__xludf.DUMMYFUNCTION("""COMPUTED_VALUE"""),"Lámpara LED RGB+ CCT inteligente WIFI 10W Bulbo Zócalo E27. Compatible APP Smart Life")</f>
        <v>Lámpara LED RGB+ CCT inteligente WIFI 10W Bulbo Zócalo E27. Compatible APP Smart Life</v>
      </c>
      <c r="D2050" s="4" t="str">
        <f>IFERROR(__xludf.DUMMYFUNCTION("""COMPUTED_VALUE"""),"TBCIN")</f>
        <v>TBCIN</v>
      </c>
      <c r="E2050" s="4" t="str">
        <f>IFERROR(__xludf.DUMMYFUNCTION("""COMPUTED_VALUE"""),"TBCA60SMD10T")</f>
        <v>TBCA60SMD10T</v>
      </c>
      <c r="F2050" s="4" t="str">
        <f>IFERROR(__xludf.DUMMYFUNCTION("""COMPUTED_VALUE"""),"AUTOMATIZACION &gt; CONTROL Y AUTOMATIZACIÓN IOT")</f>
        <v>AUTOMATIZACION &gt; CONTROL Y AUTOMATIZACIÓN IOT</v>
      </c>
      <c r="G2050" s="5"/>
      <c r="H2050" s="6">
        <f>IFERROR(__xludf.DUMMYFUNCTION("""COMPUTED_VALUE"""),8.58)</f>
        <v>8.58</v>
      </c>
      <c r="I2050" s="7">
        <f>IFERROR(__xludf.DUMMYFUNCTION("""COMPUTED_VALUE"""),10.5)</f>
        <v>10.5</v>
      </c>
      <c r="J2050" s="6">
        <f>IFERROR(__xludf.DUMMYFUNCTION("""COMPUTED_VALUE"""),10.3)</f>
        <v>10.3</v>
      </c>
      <c r="K2050" s="6">
        <f>IFERROR(__xludf.DUMMYFUNCTION("""COMPUTED_VALUE"""),12.01)</f>
        <v>12.01</v>
      </c>
      <c r="L2050" s="3"/>
      <c r="M2050" s="3"/>
    </row>
    <row r="2051" ht="48.0" customHeight="1">
      <c r="A2051" s="3" t="str">
        <f>IFERROR(__xludf.DUMMYFUNCTION("""COMPUTED_VALUE"""),"TBCG45SMD5T")</f>
        <v>TBCG45SMD5T</v>
      </c>
      <c r="B2051" s="4" t="str">
        <f>IFERROR(__xludf.DUMMYFUNCTION("""COMPUTED_VALUE"""),"LÁMPARA LED RGB+ CCT INTELIGENTE WIFI 5W GOTA ZÓCALO E28")</f>
        <v>LÁMPARA LED RGB+ CCT INTELIGENTE WIFI 5W GOTA ZÓCALO E28</v>
      </c>
      <c r="C2051" s="4" t="str">
        <f>IFERROR(__xludf.DUMMYFUNCTION("""COMPUTED_VALUE"""),"Lámpara LED RGB+ CCT inteligente WIFI 5W Gota Zócalo E28. Compatible APP Smart Life")</f>
        <v>Lámpara LED RGB+ CCT inteligente WIFI 5W Gota Zócalo E28. Compatible APP Smart Life</v>
      </c>
      <c r="D2051" s="4" t="str">
        <f>IFERROR(__xludf.DUMMYFUNCTION("""COMPUTED_VALUE"""),"TBCIN")</f>
        <v>TBCIN</v>
      </c>
      <c r="E2051" s="4" t="str">
        <f>IFERROR(__xludf.DUMMYFUNCTION("""COMPUTED_VALUE"""),"TBCG45SMD5T")</f>
        <v>TBCG45SMD5T</v>
      </c>
      <c r="F2051" s="4" t="str">
        <f>IFERROR(__xludf.DUMMYFUNCTION("""COMPUTED_VALUE"""),"AUTOMATIZACION &gt; CONTROL Y AUTOMATIZACIÓN IOT")</f>
        <v>AUTOMATIZACION &gt; CONTROL Y AUTOMATIZACIÓN IOT</v>
      </c>
      <c r="G2051" s="5"/>
      <c r="H2051" s="6">
        <f>IFERROR(__xludf.DUMMYFUNCTION("""COMPUTED_VALUE"""),8.14)</f>
        <v>8.14</v>
      </c>
      <c r="I2051" s="7">
        <f>IFERROR(__xludf.DUMMYFUNCTION("""COMPUTED_VALUE"""),10.5)</f>
        <v>10.5</v>
      </c>
      <c r="J2051" s="6">
        <f>IFERROR(__xludf.DUMMYFUNCTION("""COMPUTED_VALUE"""),9.77)</f>
        <v>9.77</v>
      </c>
      <c r="K2051" s="6">
        <f>IFERROR(__xludf.DUMMYFUNCTION("""COMPUTED_VALUE"""),11.4)</f>
        <v>11.4</v>
      </c>
      <c r="L2051" s="3"/>
      <c r="M2051" s="3"/>
    </row>
    <row r="2052" ht="48.0" customHeight="1">
      <c r="A2052" s="3" t="str">
        <f>IFERROR(__xludf.DUMMYFUNCTION("""COMPUTED_VALUE"""),"TBCGU10SMD5T")</f>
        <v>TBCGU10SMD5T</v>
      </c>
      <c r="B2052" s="4" t="str">
        <f>IFERROR(__xludf.DUMMYFUNCTION("""COMPUTED_VALUE"""),"LÁMPARA LED RGB+ CCT INTELIGENTE WIFI 5W DICRO ZÓCALO GU10")</f>
        <v>LÁMPARA LED RGB+ CCT INTELIGENTE WIFI 5W DICRO ZÓCALO GU10</v>
      </c>
      <c r="C2052" s="4" t="str">
        <f>IFERROR(__xludf.DUMMYFUNCTION("""COMPUTED_VALUE"""),"Lámpara LED RGB+ CCT inteligente WIFI 5W Dicro Zócalo GU10. Compatible APP Smart Life")</f>
        <v>Lámpara LED RGB+ CCT inteligente WIFI 5W Dicro Zócalo GU10. Compatible APP Smart Life</v>
      </c>
      <c r="D2052" s="4" t="str">
        <f>IFERROR(__xludf.DUMMYFUNCTION("""COMPUTED_VALUE"""),"TBCIN")</f>
        <v>TBCIN</v>
      </c>
      <c r="E2052" s="4" t="str">
        <f>IFERROR(__xludf.DUMMYFUNCTION("""COMPUTED_VALUE"""),"TBCGU10SMD5T")</f>
        <v>TBCGU10SMD5T</v>
      </c>
      <c r="F2052" s="4" t="str">
        <f>IFERROR(__xludf.DUMMYFUNCTION("""COMPUTED_VALUE"""),"AUTOMATIZACION &gt; CONTROL Y AUTOMATIZACIÓN IOT")</f>
        <v>AUTOMATIZACION &gt; CONTROL Y AUTOMATIZACIÓN IOT</v>
      </c>
      <c r="G2052" s="5"/>
      <c r="H2052" s="6">
        <f>IFERROR(__xludf.DUMMYFUNCTION("""COMPUTED_VALUE"""),8.14)</f>
        <v>8.14</v>
      </c>
      <c r="I2052" s="7">
        <f>IFERROR(__xludf.DUMMYFUNCTION("""COMPUTED_VALUE"""),10.5)</f>
        <v>10.5</v>
      </c>
      <c r="J2052" s="6">
        <f>IFERROR(__xludf.DUMMYFUNCTION("""COMPUTED_VALUE"""),9.77)</f>
        <v>9.77</v>
      </c>
      <c r="K2052" s="6">
        <f>IFERROR(__xludf.DUMMYFUNCTION("""COMPUTED_VALUE"""),11.4)</f>
        <v>11.4</v>
      </c>
      <c r="L2052" s="3"/>
      <c r="M2052" s="3"/>
    </row>
    <row r="2053" ht="48.0" customHeight="1">
      <c r="A2053" s="3" t="str">
        <f>IFERROR(__xludf.DUMMYFUNCTION("""COMPUTED_VALUE"""),"TBCC37SMD5T")</f>
        <v>TBCC37SMD5T</v>
      </c>
      <c r="B2053" s="4" t="str">
        <f>IFERROR(__xludf.DUMMYFUNCTION("""COMPUTED_VALUE"""),"LÁMPARA LED RGB+ CCT INTELIGENTE WIFI 5W VELA ZÓCALO E14")</f>
        <v>LÁMPARA LED RGB+ CCT INTELIGENTE WIFI 5W VELA ZÓCALO E14</v>
      </c>
      <c r="C2053" s="4" t="str">
        <f>IFERROR(__xludf.DUMMYFUNCTION("""COMPUTED_VALUE"""),"Lámpara LED RGB+ CCT inteligente WIFI 5W Vela Zócalo E14. Compatible APP Smart Life")</f>
        <v>Lámpara LED RGB+ CCT inteligente WIFI 5W Vela Zócalo E14. Compatible APP Smart Life</v>
      </c>
      <c r="D2053" s="4" t="str">
        <f>IFERROR(__xludf.DUMMYFUNCTION("""COMPUTED_VALUE"""),"TBCIN")</f>
        <v>TBCIN</v>
      </c>
      <c r="E2053" s="4" t="str">
        <f>IFERROR(__xludf.DUMMYFUNCTION("""COMPUTED_VALUE"""),"TBCC37SMD5T")</f>
        <v>TBCC37SMD5T</v>
      </c>
      <c r="F2053" s="4" t="str">
        <f>IFERROR(__xludf.DUMMYFUNCTION("""COMPUTED_VALUE"""),"AUTOMATIZACION &gt; CONTROL Y AUTOMATIZACIÓN IOT")</f>
        <v>AUTOMATIZACION &gt; CONTROL Y AUTOMATIZACIÓN IOT</v>
      </c>
      <c r="G2053" s="5"/>
      <c r="H2053" s="6">
        <f>IFERROR(__xludf.DUMMYFUNCTION("""COMPUTED_VALUE"""),9.13)</f>
        <v>9.13</v>
      </c>
      <c r="I2053" s="7">
        <f>IFERROR(__xludf.DUMMYFUNCTION("""COMPUTED_VALUE"""),10.5)</f>
        <v>10.5</v>
      </c>
      <c r="J2053" s="6">
        <f>IFERROR(__xludf.DUMMYFUNCTION("""COMPUTED_VALUE"""),10.96)</f>
        <v>10.96</v>
      </c>
      <c r="K2053" s="6">
        <f>IFERROR(__xludf.DUMMYFUNCTION("""COMPUTED_VALUE"""),12.78)</f>
        <v>12.78</v>
      </c>
      <c r="L2053" s="3"/>
      <c r="M2053" s="3"/>
    </row>
    <row r="2054" ht="48.0" customHeight="1">
      <c r="A2054" s="3" t="str">
        <f>IFERROR(__xludf.DUMMYFUNCTION("""COMPUTED_VALUE"""),"TBCSBN020T")</f>
        <v>TBCSBN020T</v>
      </c>
      <c r="B2054" s="4" t="str">
        <f>IFERROR(__xludf.DUMMYFUNCTION("""COMPUTED_VALUE"""),"PROYECTOR LED RGB+ CCT INTELIGENTE WIFI EXTERIOR 20W")</f>
        <v>PROYECTOR LED RGB+ CCT INTELIGENTE WIFI EXTERIOR 20W</v>
      </c>
      <c r="C2054" s="4" t="str">
        <f>IFERROR(__xludf.DUMMYFUNCTION("""COMPUTED_VALUE"""),"Proyector LED RGB+ CCT inteligente WIFI exterior 20W. Compatible APP Smart Life")</f>
        <v>Proyector LED RGB+ CCT inteligente WIFI exterior 20W. Compatible APP Smart Life</v>
      </c>
      <c r="D2054" s="4" t="str">
        <f>IFERROR(__xludf.DUMMYFUNCTION("""COMPUTED_VALUE"""),"TBCIN")</f>
        <v>TBCIN</v>
      </c>
      <c r="E2054" s="4" t="str">
        <f>IFERROR(__xludf.DUMMYFUNCTION("""COMPUTED_VALUE"""),"TBCSBN020T")</f>
        <v>TBCSBN020T</v>
      </c>
      <c r="F2054" s="4" t="str">
        <f>IFERROR(__xludf.DUMMYFUNCTION("""COMPUTED_VALUE"""),"AUTOMATIZACION &gt; CONTROL Y AUTOMATIZACIÓN IOT")</f>
        <v>AUTOMATIZACION &gt; CONTROL Y AUTOMATIZACIÓN IOT</v>
      </c>
      <c r="G2054" s="5"/>
      <c r="H2054" s="6">
        <f>IFERROR(__xludf.DUMMYFUNCTION("""COMPUTED_VALUE"""),31.79)</f>
        <v>31.79</v>
      </c>
      <c r="I2054" s="7">
        <f>IFERROR(__xludf.DUMMYFUNCTION("""COMPUTED_VALUE"""),21.0)</f>
        <v>21</v>
      </c>
      <c r="J2054" s="6">
        <f>IFERROR(__xludf.DUMMYFUNCTION("""COMPUTED_VALUE"""),38.15)</f>
        <v>38.15</v>
      </c>
      <c r="K2054" s="6">
        <f>IFERROR(__xludf.DUMMYFUNCTION("""COMPUTED_VALUE"""),44.51)</f>
        <v>44.51</v>
      </c>
      <c r="L2054" s="3"/>
      <c r="M2054" s="3"/>
    </row>
    <row r="2055" ht="48.0" customHeight="1">
      <c r="A2055" s="3" t="str">
        <f>IFERROR(__xludf.DUMMYFUNCTION("""COMPUTED_VALUE"""),"TBCSBN050T")</f>
        <v>TBCSBN050T</v>
      </c>
      <c r="B2055" s="4" t="str">
        <f>IFERROR(__xludf.DUMMYFUNCTION("""COMPUTED_VALUE"""),"PROYECTOR LED RGB+ CCT INTELIGENTE WIFI EXTERIOR 50W")</f>
        <v>PROYECTOR LED RGB+ CCT INTELIGENTE WIFI EXTERIOR 50W</v>
      </c>
      <c r="C2055" s="4" t="str">
        <f>IFERROR(__xludf.DUMMYFUNCTION("""COMPUTED_VALUE"""),"Proyector LED RGB+ CCT inteligente WIFI exterior 50W. Compatible APP Smart Life")</f>
        <v>Proyector LED RGB+ CCT inteligente WIFI exterior 50W. Compatible APP Smart Life</v>
      </c>
      <c r="D2055" s="4" t="str">
        <f>IFERROR(__xludf.DUMMYFUNCTION("""COMPUTED_VALUE"""),"TBCIN")</f>
        <v>TBCIN</v>
      </c>
      <c r="E2055" s="4" t="str">
        <f>IFERROR(__xludf.DUMMYFUNCTION("""COMPUTED_VALUE"""),"TBCSBN050T")</f>
        <v>TBCSBN050T</v>
      </c>
      <c r="F2055" s="4" t="str">
        <f>IFERROR(__xludf.DUMMYFUNCTION("""COMPUTED_VALUE"""),"AUTOMATIZACION &gt; CONTROL Y AUTOMATIZACIÓN IOT")</f>
        <v>AUTOMATIZACION &gt; CONTROL Y AUTOMATIZACIÓN IOT</v>
      </c>
      <c r="G2055" s="5"/>
      <c r="H2055" s="6">
        <f>IFERROR(__xludf.DUMMYFUNCTION("""COMPUTED_VALUE"""),41.69)</f>
        <v>41.69</v>
      </c>
      <c r="I2055" s="7">
        <f>IFERROR(__xludf.DUMMYFUNCTION("""COMPUTED_VALUE"""),21.0)</f>
        <v>21</v>
      </c>
      <c r="J2055" s="6">
        <f>IFERROR(__xludf.DUMMYFUNCTION("""COMPUTED_VALUE"""),50.03)</f>
        <v>50.03</v>
      </c>
      <c r="K2055" s="6">
        <f>IFERROR(__xludf.DUMMYFUNCTION("""COMPUTED_VALUE"""),58.37)</f>
        <v>58.37</v>
      </c>
      <c r="L2055" s="3"/>
      <c r="M2055" s="3"/>
    </row>
    <row r="2056" ht="48.0" customHeight="1">
      <c r="A2056" s="3" t="str">
        <f>IFERROR(__xludf.DUMMYFUNCTION("""COMPUTED_VALUE"""),"GF32SMART")</f>
        <v>GF32SMART</v>
      </c>
      <c r="B2056" s="4" t="str">
        <f>IFERROR(__xludf.DUMMYFUNCTION("""COMPUTED_VALUE"""),"INTERRUPTOR INTELIGENTE WIFI RIEL DIN INTELIGENTE WI-FI SOPORTE DE")</f>
        <v>INTERRUPTOR INTELIGENTE WIFI RIEL DIN INTELIGENTE WI-FI SOPORTE DE</v>
      </c>
      <c r="C2056" s="4" t="str">
        <f>IFERROR(__xludf.DUMMYFUNCTION("""COMPUTED_VALUE"""),"Interruptor inteligente WIFI riel din inteligente wi-fi soporte de aplicación: android 4.0 ios 8.0 o superior 32a. Compatible APP Smart Life")</f>
        <v>Interruptor inteligente WIFI riel din inteligente wi-fi soporte de aplicación: android 4.0 ios 8.0 o superior 32a. Compatible APP Smart Life</v>
      </c>
      <c r="D2056" s="4" t="str">
        <f>IFERROR(__xludf.DUMMYFUNCTION("""COMPUTED_VALUE"""),"GRALF")</f>
        <v>GRALF</v>
      </c>
      <c r="E2056" s="4" t="str">
        <f>IFERROR(__xludf.DUMMYFUNCTION("""COMPUTED_VALUE"""),"GF32SMART")</f>
        <v>GF32SMART</v>
      </c>
      <c r="F2056" s="4" t="str">
        <f>IFERROR(__xludf.DUMMYFUNCTION("""COMPUTED_VALUE"""),"AUTOMATIZACION &gt; CONTROL Y AUTOMATIZACIÓN IOT")</f>
        <v>AUTOMATIZACION &gt; CONTROL Y AUTOMATIZACIÓN IOT</v>
      </c>
      <c r="G2056" s="5"/>
      <c r="H2056" s="6">
        <f>IFERROR(__xludf.DUMMYFUNCTION("""COMPUTED_VALUE"""),46.19)</f>
        <v>46.19</v>
      </c>
      <c r="I2056" s="7">
        <f>IFERROR(__xludf.DUMMYFUNCTION("""COMPUTED_VALUE"""),10.5)</f>
        <v>10.5</v>
      </c>
      <c r="J2056" s="6">
        <f>IFERROR(__xludf.DUMMYFUNCTION("""COMPUTED_VALUE"""),55.43)</f>
        <v>55.43</v>
      </c>
      <c r="K2056" s="6">
        <f>IFERROR(__xludf.DUMMYFUNCTION("""COMPUTED_VALUE"""),64.67)</f>
        <v>64.67</v>
      </c>
      <c r="L2056" s="3"/>
      <c r="M2056" s="3"/>
    </row>
    <row r="2057" ht="48.0" customHeight="1">
      <c r="A2057" s="3" t="str">
        <f>IFERROR(__xludf.DUMMYFUNCTION("""COMPUTED_VALUE"""),"GF-TMZ")</f>
        <v>GF-TMZ</v>
      </c>
      <c r="B2057" s="4" t="str">
        <f>IFERROR(__xludf.DUMMYFUNCTION("""COMPUTED_VALUE"""),"RELAY DE TIEMPO INTELIGENTE WIFI RIEL DIN SOPORTE DE")</f>
        <v>RELAY DE TIEMPO INTELIGENTE WIFI RIEL DIN SOPORTE DE</v>
      </c>
      <c r="C2057" s="4" t="str">
        <f>IFERROR(__xludf.DUMMYFUNCTION("""COMPUTED_VALUE"""),"Relay de tiempo inteligente WIFI riel din soporte de aplicación: android 4.0 ios 8.0 o superior 16a. Compatible APP Smart Life")</f>
        <v>Relay de tiempo inteligente WIFI riel din soporte de aplicación: android 4.0 ios 8.0 o superior 16a. Compatible APP Smart Life</v>
      </c>
      <c r="D2057" s="4" t="str">
        <f>IFERROR(__xludf.DUMMYFUNCTION("""COMPUTED_VALUE"""),"GRALF")</f>
        <v>GRALF</v>
      </c>
      <c r="E2057" s="4" t="str">
        <f>IFERROR(__xludf.DUMMYFUNCTION("""COMPUTED_VALUE"""),"GF-TMZ")</f>
        <v>GF-TMZ</v>
      </c>
      <c r="F2057" s="4" t="str">
        <f>IFERROR(__xludf.DUMMYFUNCTION("""COMPUTED_VALUE"""),"AUTOMATIZACION &gt; CONTROL Y AUTOMATIZACIÓN IOT")</f>
        <v>AUTOMATIZACION &gt; CONTROL Y AUTOMATIZACIÓN IOT</v>
      </c>
      <c r="G2057" s="5"/>
      <c r="H2057" s="6">
        <f>IFERROR(__xludf.DUMMYFUNCTION("""COMPUTED_VALUE"""),33.74)</f>
        <v>33.74</v>
      </c>
      <c r="I2057" s="7">
        <f>IFERROR(__xludf.DUMMYFUNCTION("""COMPUTED_VALUE"""),10.5)</f>
        <v>10.5</v>
      </c>
      <c r="J2057" s="6">
        <f>IFERROR(__xludf.DUMMYFUNCTION("""COMPUTED_VALUE"""),40.49)</f>
        <v>40.49</v>
      </c>
      <c r="K2057" s="6">
        <f>IFERROR(__xludf.DUMMYFUNCTION("""COMPUTED_VALUE"""),47.24)</f>
        <v>47.24</v>
      </c>
      <c r="L2057" s="3"/>
      <c r="M2057" s="3"/>
    </row>
    <row r="2058" ht="48.0" customHeight="1">
      <c r="A2058" s="3" t="str">
        <f>IFERROR(__xludf.DUMMYFUNCTION("""COMPUTED_VALUE"""),"GFAB63CXL")</f>
        <v>GFAB63CXL</v>
      </c>
      <c r="B2058" s="4" t="str">
        <f>IFERROR(__xludf.DUMMYFUNCTION("""COMPUTED_VALUE"""),"MEDIDOR DE CONSUMO WIFI + PROTECTOR DE TENSIÓN RIEL")</f>
        <v>MEDIDOR DE CONSUMO WIFI + PROTECTOR DE TENSIÓN RIEL</v>
      </c>
      <c r="C2058" s="4" t="str">
        <f>IFERROR(__xludf.DUMMYFUNCTION("""COMPUTED_VALUE"""),"Medidor de consumo WIFI + protector de tensión riel din Corriente máxima: 63A. Compatible APP Smart Life")</f>
        <v>Medidor de consumo WIFI + protector de tensión riel din Corriente máxima: 63A. Compatible APP Smart Life</v>
      </c>
      <c r="D2058" s="4" t="str">
        <f>IFERROR(__xludf.DUMMYFUNCTION("""COMPUTED_VALUE"""),"GRALF")</f>
        <v>GRALF</v>
      </c>
      <c r="E2058" s="4" t="str">
        <f>IFERROR(__xludf.DUMMYFUNCTION("""COMPUTED_VALUE"""),"GFAB63CXL")</f>
        <v>GFAB63CXL</v>
      </c>
      <c r="F2058" s="4" t="str">
        <f>IFERROR(__xludf.DUMMYFUNCTION("""COMPUTED_VALUE"""),"AUTOMATIZACION &gt; CONTROL Y AUTOMATIZACIÓN IOT")</f>
        <v>AUTOMATIZACION &gt; CONTROL Y AUTOMATIZACIÓN IOT</v>
      </c>
      <c r="G2058" s="5"/>
      <c r="H2058" s="6">
        <f>IFERROR(__xludf.DUMMYFUNCTION("""COMPUTED_VALUE"""),81.51)</f>
        <v>81.51</v>
      </c>
      <c r="I2058" s="7">
        <f>IFERROR(__xludf.DUMMYFUNCTION("""COMPUTED_VALUE"""),21.0)</f>
        <v>21</v>
      </c>
      <c r="J2058" s="6">
        <f>IFERROR(__xludf.DUMMYFUNCTION("""COMPUTED_VALUE"""),97.81)</f>
        <v>97.81</v>
      </c>
      <c r="K2058" s="6">
        <f>IFERROR(__xludf.DUMMYFUNCTION("""COMPUTED_VALUE"""),114.11)</f>
        <v>114.11</v>
      </c>
      <c r="L2058" s="3"/>
      <c r="M2058" s="3"/>
    </row>
    <row r="2059" ht="48.0" customHeight="1">
      <c r="A2059" s="3" t="str">
        <f>IFERROR(__xludf.DUMMYFUNCTION("""COMPUTED_VALUE"""),"GFSPDT2S40")</f>
        <v>GFSPDT2S40</v>
      </c>
      <c r="B2059" s="4" t="str">
        <f>IFERROR(__xludf.DUMMYFUNCTION("""COMPUTED_VALUE"""),"PROTECTOR CONTRA SOBRETENSIÓN TRANSITORIA 1P RIEL DIN")</f>
        <v>PROTECTOR CONTRA SOBRETENSIÓN TRANSITORIA 1P RIEL DIN</v>
      </c>
      <c r="C2059" s="4" t="str">
        <f>IFERROR(__xludf.DUMMYFUNCTION("""COMPUTED_VALUE"""),"Protector contra sobretensión transitoria 1p riel din")</f>
        <v>Protector contra sobretensión transitoria 1p riel din</v>
      </c>
      <c r="D2059" s="4" t="str">
        <f>IFERROR(__xludf.DUMMYFUNCTION("""COMPUTED_VALUE"""),"GRALF")</f>
        <v>GRALF</v>
      </c>
      <c r="E2059" s="4" t="str">
        <f>IFERROR(__xludf.DUMMYFUNCTION("""COMPUTED_VALUE"""),"GFSPDT2S40")</f>
        <v>GFSPDT2S40</v>
      </c>
      <c r="F2059" s="4" t="str">
        <f>IFERROR(__xludf.DUMMYFUNCTION("""COMPUTED_VALUE"""),"AUTOMATIZACION &gt; CONTROL Y AUTOMATIZACIÓN IOT")</f>
        <v>AUTOMATIZACION &gt; CONTROL Y AUTOMATIZACIÓN IOT</v>
      </c>
      <c r="G2059" s="5"/>
      <c r="H2059" s="6">
        <f>IFERROR(__xludf.DUMMYFUNCTION("""COMPUTED_VALUE"""),16.6)</f>
        <v>16.6</v>
      </c>
      <c r="I2059" s="7">
        <f>IFERROR(__xludf.DUMMYFUNCTION("""COMPUTED_VALUE"""),21.0)</f>
        <v>21</v>
      </c>
      <c r="J2059" s="6">
        <f>IFERROR(__xludf.DUMMYFUNCTION("""COMPUTED_VALUE"""),19.92)</f>
        <v>19.92</v>
      </c>
      <c r="K2059" s="6">
        <f>IFERROR(__xludf.DUMMYFUNCTION("""COMPUTED_VALUE"""),23.24)</f>
        <v>23.24</v>
      </c>
      <c r="L2059" s="3"/>
      <c r="M2059" s="3"/>
    </row>
    <row r="2060" ht="48.0" customHeight="1">
      <c r="A2060" s="3" t="str">
        <f>IFERROR(__xludf.DUMMYFUNCTION("""COMPUTED_VALUE"""),"GF-SP13-F")</f>
        <v>GF-SP13-F</v>
      </c>
      <c r="B2060" s="4" t="str">
        <f>IFERROR(__xludf.DUMMYFUNCTION("""COMPUTED_VALUE"""),"PROTECTOR DE TENSION ENCHUFABLE FIJO MÁXIMO 13A")</f>
        <v>PROTECTOR DE TENSION ENCHUFABLE FIJO MÁXIMO 13A</v>
      </c>
      <c r="C2060" s="4" t="str">
        <f>IFERROR(__xludf.DUMMYFUNCTION("""COMPUTED_VALUE"""),"Protector de tension enchufable fijo máximo 13A")</f>
        <v>Protector de tension enchufable fijo máximo 13A</v>
      </c>
      <c r="D2060" s="4" t="str">
        <f>IFERROR(__xludf.DUMMYFUNCTION("""COMPUTED_VALUE"""),"GRALF")</f>
        <v>GRALF</v>
      </c>
      <c r="E2060" s="4" t="str">
        <f>IFERROR(__xludf.DUMMYFUNCTION("""COMPUTED_VALUE"""),"GF-SP13-F")</f>
        <v>GF-SP13-F</v>
      </c>
      <c r="F2060" s="4" t="str">
        <f>IFERROR(__xludf.DUMMYFUNCTION("""COMPUTED_VALUE"""),"AUTOMATIZACION &gt; CONTROL Y AUTOMATIZACIÓN IOT")</f>
        <v>AUTOMATIZACION &gt; CONTROL Y AUTOMATIZACIÓN IOT</v>
      </c>
      <c r="G2060" s="5"/>
      <c r="H2060" s="6">
        <f>IFERROR(__xludf.DUMMYFUNCTION("""COMPUTED_VALUE"""),14.27)</f>
        <v>14.27</v>
      </c>
      <c r="I2060" s="7">
        <f>IFERROR(__xludf.DUMMYFUNCTION("""COMPUTED_VALUE"""),21.0)</f>
        <v>21</v>
      </c>
      <c r="J2060" s="6">
        <f>IFERROR(__xludf.DUMMYFUNCTION("""COMPUTED_VALUE"""),17.12)</f>
        <v>17.12</v>
      </c>
      <c r="K2060" s="6">
        <f>IFERROR(__xludf.DUMMYFUNCTION("""COMPUTED_VALUE"""),19.98)</f>
        <v>19.98</v>
      </c>
      <c r="L2060" s="3"/>
      <c r="M2060" s="3"/>
    </row>
    <row r="2061" ht="48.0" customHeight="1">
      <c r="A2061" s="3" t="str">
        <f>IFERROR(__xludf.DUMMYFUNCTION("""COMPUTED_VALUE"""),"GF-SP13-PPLUS")</f>
        <v>GF-SP13-PPLUS</v>
      </c>
      <c r="B2061" s="4" t="str">
        <f>IFERROR(__xludf.DUMMYFUNCTION("""COMPUTED_VALUE"""),"PROTECTOR DE TENSIÓN ENCHUFABLE CONFIGURABLE CON VOLTÍMETRO MÁXIMO 13A")</f>
        <v>PROTECTOR DE TENSIÓN ENCHUFABLE CONFIGURABLE CON VOLTÍMETRO MÁXIMO 13A</v>
      </c>
      <c r="C2061" s="4" t="str">
        <f>IFERROR(__xludf.DUMMYFUNCTION("""COMPUTED_VALUE"""),"Protector de tensión enchufable configurable con voltímetro máximo 13A")</f>
        <v>Protector de tensión enchufable configurable con voltímetro máximo 13A</v>
      </c>
      <c r="D2061" s="4" t="str">
        <f>IFERROR(__xludf.DUMMYFUNCTION("""COMPUTED_VALUE"""),"GRALF")</f>
        <v>GRALF</v>
      </c>
      <c r="E2061" s="4" t="str">
        <f>IFERROR(__xludf.DUMMYFUNCTION("""COMPUTED_VALUE"""),"GF-SP13-PPLUS")</f>
        <v>GF-SP13-PPLUS</v>
      </c>
      <c r="F2061" s="4" t="str">
        <f>IFERROR(__xludf.DUMMYFUNCTION("""COMPUTED_VALUE"""),"AUTOMATIZACION &gt; CONTROL Y AUTOMATIZACIÓN IOT")</f>
        <v>AUTOMATIZACION &gt; CONTROL Y AUTOMATIZACIÓN IOT</v>
      </c>
      <c r="G2061" s="5"/>
      <c r="H2061" s="6">
        <f>IFERROR(__xludf.DUMMYFUNCTION("""COMPUTED_VALUE"""),21.73)</f>
        <v>21.73</v>
      </c>
      <c r="I2061" s="7">
        <f>IFERROR(__xludf.DUMMYFUNCTION("""COMPUTED_VALUE"""),21.0)</f>
        <v>21</v>
      </c>
      <c r="J2061" s="6">
        <f>IFERROR(__xludf.DUMMYFUNCTION("""COMPUTED_VALUE"""),26.08)</f>
        <v>26.08</v>
      </c>
      <c r="K2061" s="6">
        <f>IFERROR(__xludf.DUMMYFUNCTION("""COMPUTED_VALUE"""),30.42)</f>
        <v>30.42</v>
      </c>
      <c r="L2061" s="3"/>
      <c r="M2061" s="3"/>
    </row>
    <row r="2062" ht="48.0" customHeight="1">
      <c r="A2062" s="3" t="str">
        <f>IFERROR(__xludf.DUMMYFUNCTION("""COMPUTED_VALUE"""),"GF-AB63")</f>
        <v>GF-AB63</v>
      </c>
      <c r="B2062" s="4" t="str">
        <f>IFERROR(__xludf.DUMMYFUNCTION("""COMPUTED_VALUE"""),"PROTECTOR DE TENSION CON VOLTIMETRO 63A AC")</f>
        <v>PROTECTOR DE TENSION CON VOLTIMETRO 63A AC</v>
      </c>
      <c r="C2062" s="4" t="str">
        <f>IFERROR(__xludf.DUMMYFUNCTION("""COMPUTED_VALUE"""),"Protector de tension con voltimetro 63A AC")</f>
        <v>Protector de tension con voltimetro 63A AC</v>
      </c>
      <c r="D2062" s="4" t="str">
        <f>IFERROR(__xludf.DUMMYFUNCTION("""COMPUTED_VALUE"""),"GRALF")</f>
        <v>GRALF</v>
      </c>
      <c r="E2062" s="4" t="str">
        <f>IFERROR(__xludf.DUMMYFUNCTION("""COMPUTED_VALUE"""),"GF-AB63")</f>
        <v>GF-AB63</v>
      </c>
      <c r="F2062" s="4" t="str">
        <f>IFERROR(__xludf.DUMMYFUNCTION("""COMPUTED_VALUE"""),"AUTOMATIZACION &gt; CONTROL Y AUTOMATIZACIÓN IOT")</f>
        <v>AUTOMATIZACION &gt; CONTROL Y AUTOMATIZACIÓN IOT</v>
      </c>
      <c r="G2062" s="5"/>
      <c r="H2062" s="6">
        <f>IFERROR(__xludf.DUMMYFUNCTION("""COMPUTED_VALUE"""),51.48)</f>
        <v>51.48</v>
      </c>
      <c r="I2062" s="7">
        <f>IFERROR(__xludf.DUMMYFUNCTION("""COMPUTED_VALUE"""),21.0)</f>
        <v>21</v>
      </c>
      <c r="J2062" s="6">
        <f>IFERROR(__xludf.DUMMYFUNCTION("""COMPUTED_VALUE"""),61.78)</f>
        <v>61.78</v>
      </c>
      <c r="K2062" s="6">
        <f>IFERROR(__xludf.DUMMYFUNCTION("""COMPUTED_VALUE"""),72.07)</f>
        <v>72.07</v>
      </c>
      <c r="L2062" s="3"/>
      <c r="M2062" s="3"/>
    </row>
    <row r="2063" ht="48.0" customHeight="1">
      <c r="A2063" s="3" t="str">
        <f>IFERROR(__xludf.DUMMYFUNCTION("""COMPUTED_VALUE"""),"GF-AB63C")</f>
        <v>GF-AB63C</v>
      </c>
      <c r="B2063" s="4" t="str">
        <f>IFERROR(__xludf.DUMMYFUNCTION("""COMPUTED_VALUE"""),"PROTECTOR DE TENSION CON VOLTIMETRO Y AMPERIMETRO CONFIGURABLE MÁXIMO")</f>
        <v>PROTECTOR DE TENSION CON VOLTIMETRO Y AMPERIMETRO CONFIGURABLE MÁXIMO</v>
      </c>
      <c r="C2063" s="4" t="str">
        <f>IFERROR(__xludf.DUMMYFUNCTION("""COMPUTED_VALUE"""),"Protector de tension con voltimetro y amperimetro configurable máximo 63A Corriente nominal de trabajo: 1A a 63A AC ajustable")</f>
        <v>Protector de tension con voltimetro y amperimetro configurable máximo 63A Corriente nominal de trabajo: 1A a 63A AC ajustable</v>
      </c>
      <c r="D2063" s="4" t="str">
        <f>IFERROR(__xludf.DUMMYFUNCTION("""COMPUTED_VALUE"""),"GRALF")</f>
        <v>GRALF</v>
      </c>
      <c r="E2063" s="4" t="str">
        <f>IFERROR(__xludf.DUMMYFUNCTION("""COMPUTED_VALUE"""),"GF-AB63C")</f>
        <v>GF-AB63C</v>
      </c>
      <c r="F2063" s="4" t="str">
        <f>IFERROR(__xludf.DUMMYFUNCTION("""COMPUTED_VALUE"""),"AUTOMATIZACION &gt; CONTROL Y AUTOMATIZACIÓN IOT")</f>
        <v>AUTOMATIZACION &gt; CONTROL Y AUTOMATIZACIÓN IOT</v>
      </c>
      <c r="G2063" s="5"/>
      <c r="H2063" s="6">
        <f>IFERROR(__xludf.DUMMYFUNCTION("""COMPUTED_VALUE"""),17.05)</f>
        <v>17.05</v>
      </c>
      <c r="I2063" s="7">
        <f>IFERROR(__xludf.DUMMYFUNCTION("""COMPUTED_VALUE"""),21.0)</f>
        <v>21</v>
      </c>
      <c r="J2063" s="6">
        <f>IFERROR(__xludf.DUMMYFUNCTION("""COMPUTED_VALUE"""),20.46)</f>
        <v>20.46</v>
      </c>
      <c r="K2063" s="6">
        <f>IFERROR(__xludf.DUMMYFUNCTION("""COMPUTED_VALUE"""),23.87)</f>
        <v>23.87</v>
      </c>
      <c r="L2063" s="3"/>
      <c r="M2063" s="3"/>
    </row>
    <row r="2064" ht="48.0" customHeight="1">
      <c r="A2064" s="3" t="str">
        <f>IFERROR(__xludf.DUMMYFUNCTION("""COMPUTED_VALUE"""),"GF-AB63T")</f>
        <v>GF-AB63T</v>
      </c>
      <c r="B2064" s="4" t="str">
        <f>IFERROR(__xludf.DUMMYFUNCTION("""COMPUTED_VALUE"""),"PROTECTOR DE TENSION CON VOLTIMETRO CONFIGURABLE CORRIENTE MÁXIMA: 63A")</f>
        <v>PROTECTOR DE TENSION CON VOLTIMETRO CONFIGURABLE CORRIENTE MÁXIMA: 63A</v>
      </c>
      <c r="C2064" s="4" t="str">
        <f>IFERROR(__xludf.DUMMYFUNCTION("""COMPUTED_VALUE"""),"Protector de tension con voltimetro configurable Corriente máxima: 63A AC")</f>
        <v>Protector de tension con voltimetro configurable Corriente máxima: 63A AC</v>
      </c>
      <c r="D2064" s="4" t="str">
        <f>IFERROR(__xludf.DUMMYFUNCTION("""COMPUTED_VALUE"""),"GRALF")</f>
        <v>GRALF</v>
      </c>
      <c r="E2064" s="4" t="str">
        <f>IFERROR(__xludf.DUMMYFUNCTION("""COMPUTED_VALUE"""),"GF-AB63T")</f>
        <v>GF-AB63T</v>
      </c>
      <c r="F2064" s="4" t="str">
        <f>IFERROR(__xludf.DUMMYFUNCTION("""COMPUTED_VALUE"""),"AUTOMATIZACION &gt; CONTROL Y AUTOMATIZACIÓN IOT")</f>
        <v>AUTOMATIZACION &gt; CONTROL Y AUTOMATIZACIÓN IOT</v>
      </c>
      <c r="G2064" s="5"/>
      <c r="H2064" s="6">
        <f>IFERROR(__xludf.DUMMYFUNCTION("""COMPUTED_VALUE"""),43.9)</f>
        <v>43.9</v>
      </c>
      <c r="I2064" s="7">
        <f>IFERROR(__xludf.DUMMYFUNCTION("""COMPUTED_VALUE"""),21.0)</f>
        <v>21</v>
      </c>
      <c r="J2064" s="6">
        <f>IFERROR(__xludf.DUMMYFUNCTION("""COMPUTED_VALUE"""),52.68)</f>
        <v>52.68</v>
      </c>
      <c r="K2064" s="6">
        <f>IFERROR(__xludf.DUMMYFUNCTION("""COMPUTED_VALUE"""),61.46)</f>
        <v>61.46</v>
      </c>
      <c r="L2064" s="3"/>
      <c r="M2064" s="3"/>
    </row>
    <row r="2065" ht="48.0" customHeight="1">
      <c r="A2065" s="3" t="str">
        <f>IFERROR(__xludf.DUMMYFUNCTION("""COMPUTED_VALUE"""),"GFMGF-T3-SMART")</f>
        <v>GFMGF-T3-SMART</v>
      </c>
      <c r="B2065" s="4" t="str">
        <f>IFERROR(__xludf.DUMMYFUNCTION("""COMPUTED_VALUE"""),"PROTECTOR TRIFÁSICO DE SOBRECARGA, ALTA Y BAJA TENSIÓN MGF-T3-SMART")</f>
        <v>PROTECTOR TRIFÁSICO DE SOBRECARGA, ALTA Y BAJA TENSIÓN MGF-T3-SMART</v>
      </c>
      <c r="C2065" s="4" t="str">
        <f>IFERROR(__xludf.DUMMYFUNCTION("""COMPUTED_VALUE"""),"Protector trifásico de sobrecarga, alta y baja tensión MGF-T3-SMART con función de medición de consumo y Wi-Fi. Compatible APP Smart Life")</f>
        <v>Protector trifásico de sobrecarga, alta y baja tensión MGF-T3-SMART con función de medición de consumo y Wi-Fi. Compatible APP Smart Life</v>
      </c>
      <c r="D2065" s="4" t="str">
        <f>IFERROR(__xludf.DUMMYFUNCTION("""COMPUTED_VALUE"""),"GRALF")</f>
        <v>GRALF</v>
      </c>
      <c r="E2065" s="4" t="str">
        <f>IFERROR(__xludf.DUMMYFUNCTION("""COMPUTED_VALUE"""),"GFMGF-T3-SMART")</f>
        <v>GFMGF-T3-SMART</v>
      </c>
      <c r="F2065" s="4" t="str">
        <f>IFERROR(__xludf.DUMMYFUNCTION("""COMPUTED_VALUE"""),"AUTOMATIZACION &gt; CONTROL Y AUTOMATIZACIÓN IOT")</f>
        <v>AUTOMATIZACION &gt; CONTROL Y AUTOMATIZACIÓN IOT</v>
      </c>
      <c r="G2065" s="5"/>
      <c r="H2065" s="6">
        <f>IFERROR(__xludf.DUMMYFUNCTION("""COMPUTED_VALUE"""),268.84)</f>
        <v>268.84</v>
      </c>
      <c r="I2065" s="7">
        <f>IFERROR(__xludf.DUMMYFUNCTION("""COMPUTED_VALUE"""),21.0)</f>
        <v>21</v>
      </c>
      <c r="J2065" s="6">
        <f>IFERROR(__xludf.DUMMYFUNCTION("""COMPUTED_VALUE"""),322.61)</f>
        <v>322.61</v>
      </c>
      <c r="K2065" s="6">
        <f>IFERROR(__xludf.DUMMYFUNCTION("""COMPUTED_VALUE"""),376.38)</f>
        <v>376.38</v>
      </c>
      <c r="L2065" s="3"/>
      <c r="M2065" s="3"/>
    </row>
    <row r="2066" ht="48.0" customHeight="1">
      <c r="A2066" s="3" t="str">
        <f>IFERROR(__xludf.DUMMYFUNCTION("""COMPUTED_VALUE"""),"GFABT80XL")</f>
        <v>GFABT80XL</v>
      </c>
      <c r="B2066" s="4" t="str">
        <f>IFERROR(__xludf.DUMMYFUNCTION("""COMPUTED_VALUE"""),"PROTECTOR DE TENSION TRIFASICO CONFIGURABLE C/ VOLTIMETRO Y NEUTRO")</f>
        <v>PROTECTOR DE TENSION TRIFASICO CONFIGURABLE C/ VOLTIMETRO Y NEUTRO</v>
      </c>
      <c r="C2066" s="4" t="str">
        <f>IFERROR(__xludf.DUMMYFUNCTION("""COMPUTED_VALUE"""),"Protector de tension trifasico configurable c/ voltimetro y neutro")</f>
        <v>Protector de tension trifasico configurable c/ voltimetro y neutro</v>
      </c>
      <c r="D2066" s="4" t="str">
        <f>IFERROR(__xludf.DUMMYFUNCTION("""COMPUTED_VALUE"""),"GRALF")</f>
        <v>GRALF</v>
      </c>
      <c r="E2066" s="4" t="str">
        <f>IFERROR(__xludf.DUMMYFUNCTION("""COMPUTED_VALUE"""),"GFABT80XL")</f>
        <v>GFABT80XL</v>
      </c>
      <c r="F2066" s="4" t="str">
        <f>IFERROR(__xludf.DUMMYFUNCTION("""COMPUTED_VALUE"""),"AUTOMATIZACION &gt; CONTROL Y AUTOMATIZACIÓN IOT")</f>
        <v>AUTOMATIZACION &gt; CONTROL Y AUTOMATIZACIÓN IOT</v>
      </c>
      <c r="G2066" s="5"/>
      <c r="H2066" s="6">
        <f>IFERROR(__xludf.DUMMYFUNCTION("""COMPUTED_VALUE"""),146.72)</f>
        <v>146.72</v>
      </c>
      <c r="I2066" s="7">
        <f>IFERROR(__xludf.DUMMYFUNCTION("""COMPUTED_VALUE"""),21.0)</f>
        <v>21</v>
      </c>
      <c r="J2066" s="6">
        <f>IFERROR(__xludf.DUMMYFUNCTION("""COMPUTED_VALUE"""),176.06)</f>
        <v>176.06</v>
      </c>
      <c r="K2066" s="6">
        <f>IFERROR(__xludf.DUMMYFUNCTION("""COMPUTED_VALUE"""),205.41)</f>
        <v>205.41</v>
      </c>
      <c r="L2066" s="3"/>
      <c r="M2066" s="3"/>
    </row>
    <row r="2067" ht="48.0" customHeight="1">
      <c r="A2067" s="3" t="str">
        <f>IFERROR(__xludf.DUMMYFUNCTION("""COMPUTED_VALUE"""),"GF-TMR")</f>
        <v>GF-TMR</v>
      </c>
      <c r="B2067" s="4" t="str">
        <f>IFERROR(__xludf.DUMMYFUNCTION("""COMPUTED_VALUE"""),"RELE MULTIFUNCIÓN MODULAR RIEL DIN")</f>
        <v>RELE MULTIFUNCIÓN MODULAR RIEL DIN</v>
      </c>
      <c r="C2067" s="4" t="str">
        <f>IFERROR(__xludf.DUMMYFUNCTION("""COMPUTED_VALUE"""),"Rele multifunción modular riel din")</f>
        <v>Rele multifunción modular riel din</v>
      </c>
      <c r="D2067" s="4" t="str">
        <f>IFERROR(__xludf.DUMMYFUNCTION("""COMPUTED_VALUE"""),"GRALF")</f>
        <v>GRALF</v>
      </c>
      <c r="E2067" s="4" t="str">
        <f>IFERROR(__xludf.DUMMYFUNCTION("""COMPUTED_VALUE"""),"GF-TMR")</f>
        <v>GF-TMR</v>
      </c>
      <c r="F2067" s="4" t="str">
        <f>IFERROR(__xludf.DUMMYFUNCTION("""COMPUTED_VALUE"""),"AUTOMATIZACION &gt; CONTROL Y AUTOMATIZACIÓN IOT")</f>
        <v>AUTOMATIZACION &gt; CONTROL Y AUTOMATIZACIÓN IOT</v>
      </c>
      <c r="G2067" s="5"/>
      <c r="H2067" s="6">
        <f>IFERROR(__xludf.DUMMYFUNCTION("""COMPUTED_VALUE"""),59.38)</f>
        <v>59.38</v>
      </c>
      <c r="I2067" s="7">
        <f>IFERROR(__xludf.DUMMYFUNCTION("""COMPUTED_VALUE"""),21.0)</f>
        <v>21</v>
      </c>
      <c r="J2067" s="6">
        <f>IFERROR(__xludf.DUMMYFUNCTION("""COMPUTED_VALUE"""),71.26)</f>
        <v>71.26</v>
      </c>
      <c r="K2067" s="6">
        <f>IFERROR(__xludf.DUMMYFUNCTION("""COMPUTED_VALUE"""),83.13)</f>
        <v>83.13</v>
      </c>
      <c r="L2067" s="3"/>
      <c r="M2067" s="3"/>
    </row>
    <row r="2068" ht="48.0" customHeight="1">
      <c r="A2068" s="3" t="str">
        <f>IFERROR(__xludf.DUMMYFUNCTION("""COMPUTED_VALUE"""),"GF100VAC")</f>
        <v>GF100VAC</v>
      </c>
      <c r="B2068" s="4" t="str">
        <f>IFERROR(__xludf.DUMMYFUNCTION("""COMPUTED_VALUE"""),"VOLTIMETRO AMPERIMETRO RIEL DIN")</f>
        <v>VOLTIMETRO AMPERIMETRO RIEL DIN</v>
      </c>
      <c r="C2068" s="4" t="str">
        <f>IFERROR(__xludf.DUMMYFUNCTION("""COMPUTED_VALUE"""),"Voltimetro amperimetro riel din")</f>
        <v>Voltimetro amperimetro riel din</v>
      </c>
      <c r="D2068" s="4" t="str">
        <f>IFERROR(__xludf.DUMMYFUNCTION("""COMPUTED_VALUE"""),"GRALF")</f>
        <v>GRALF</v>
      </c>
      <c r="E2068" s="4" t="str">
        <f>IFERROR(__xludf.DUMMYFUNCTION("""COMPUTED_VALUE"""),"GF100VAC")</f>
        <v>GF100VAC</v>
      </c>
      <c r="F2068" s="4" t="str">
        <f>IFERROR(__xludf.DUMMYFUNCTION("""COMPUTED_VALUE"""),"AUTOMATIZACION &gt; CONTROL Y AUTOMATIZACIÓN IOT")</f>
        <v>AUTOMATIZACION &gt; CONTROL Y AUTOMATIZACIÓN IOT</v>
      </c>
      <c r="G2068" s="5"/>
      <c r="H2068" s="6">
        <f>IFERROR(__xludf.DUMMYFUNCTION("""COMPUTED_VALUE"""),31.79)</f>
        <v>31.79</v>
      </c>
      <c r="I2068" s="7">
        <f>IFERROR(__xludf.DUMMYFUNCTION("""COMPUTED_VALUE"""),10.5)</f>
        <v>10.5</v>
      </c>
      <c r="J2068" s="6">
        <f>IFERROR(__xludf.DUMMYFUNCTION("""COMPUTED_VALUE"""),38.15)</f>
        <v>38.15</v>
      </c>
      <c r="K2068" s="6">
        <f>IFERROR(__xludf.DUMMYFUNCTION("""COMPUTED_VALUE"""),44.51)</f>
        <v>44.51</v>
      </c>
      <c r="L2068" s="3"/>
      <c r="M2068" s="3"/>
    </row>
    <row r="2069" ht="48.0" customHeight="1">
      <c r="A2069" s="3" t="str">
        <f>IFERROR(__xludf.DUMMYFUNCTION("""COMPUTED_VALUE"""),"ASEGOLOCKIC")</f>
        <v>ASEGOLOCKIC</v>
      </c>
      <c r="B2069" s="4" t="str">
        <f>IFERROR(__xludf.DUMMYFUNCTION("""COMPUTED_VALUE"""),"EGO LOCK IC (TARJETA+ CODIGO+ APP) CILINDRO INTELIGENTE PARA")</f>
        <v>EGO LOCK IC (TARJETA+ CODIGO+ APP) CILINDRO INTELIGENTE PARA</v>
      </c>
      <c r="C2069" s="4" t="str">
        <f>IFERROR(__xludf.DUMMYFUNCTION("""COMPUTED_VALUE"""),"EGO LOCK IC (tarjeta+ codigo+ app) Cilindro inteligente para cerradura. Sistema de apertura Táctil utilizando tarjetas de proximidad y Código mediante una combinación de números digitada en el teclado. Incluye : 1 Destornillador para su correcta instalaci"&amp;"ón, 3 tarjetas de proximidad y 2 llaves tradicionales. El cilindro puede ser de 60, 70, 80,100 y 115mm")</f>
        <v>EGO LOCK IC (tarjeta+ codigo+ app) Cilindro inteligente para cerradura. Sistema de apertura Táctil utilizando tarjetas de proximidad y Código mediante una combinación de números digitada en el teclado. Incluye : 1 Destornillador para su correcta instalación, 3 tarjetas de proximidad y 2 llaves tradicionales. El cilindro puede ser de 60, 70, 80,100 y 115mm</v>
      </c>
      <c r="D2069" s="4" t="str">
        <f>IFERROR(__xludf.DUMMYFUNCTION("""COMPUTED_VALUE"""),"ALSE")</f>
        <v>ALSE</v>
      </c>
      <c r="E2069" s="4" t="str">
        <f>IFERROR(__xludf.DUMMYFUNCTION("""COMPUTED_VALUE"""),"ASEGOLOCKIC")</f>
        <v>ASEGOLOCKIC</v>
      </c>
      <c r="F2069" s="4" t="str">
        <f>IFERROR(__xludf.DUMMYFUNCTION("""COMPUTED_VALUE"""),"AUTOMATIZACION &gt; CONTROL Y AUTOMATIZACIÓN IOT")</f>
        <v>AUTOMATIZACION &gt; CONTROL Y AUTOMATIZACIÓN IOT</v>
      </c>
      <c r="G2069" s="5"/>
      <c r="H2069" s="6">
        <f>IFERROR(__xludf.DUMMYFUNCTION("""COMPUTED_VALUE"""),0.0)</f>
        <v>0</v>
      </c>
      <c r="I2069" s="7">
        <f>IFERROR(__xludf.DUMMYFUNCTION("""COMPUTED_VALUE"""),21.0)</f>
        <v>21</v>
      </c>
      <c r="J2069" s="6">
        <f>IFERROR(__xludf.DUMMYFUNCTION("""COMPUTED_VALUE"""),0.0)</f>
        <v>0</v>
      </c>
      <c r="K2069" s="6">
        <f>IFERROR(__xludf.DUMMYFUNCTION("""COMPUTED_VALUE"""),0.0)</f>
        <v>0</v>
      </c>
      <c r="L2069" s="3"/>
      <c r="M2069" s="3"/>
    </row>
    <row r="2070" ht="48.0" customHeight="1">
      <c r="A2070" s="3" t="str">
        <f>IFERROR(__xludf.DUMMYFUNCTION("""COMPUTED_VALUE"""),"ASKITTICO")</f>
        <v>ASKITTICO</v>
      </c>
      <c r="B2070" s="4" t="str">
        <f>IFERROR(__xludf.DUMMYFUNCTION("""COMPUTED_VALUE"""),"KIT TITTO DE AUTOMATIZACION PARA PORTONES CORREDIZOS HASTA 300K")</f>
        <v>KIT TITTO DE AUTOMATIZACION PARA PORTONES CORREDIZOS HASTA 300K</v>
      </c>
      <c r="C2070" s="4" t="str">
        <f>IFERROR(__xludf.DUMMYFUNCTION("""COMPUTED_VALUE"""),"KIT Titto de automatizacion para portones corredizos hasta 300K incluye 3 mt cremallera, accesorios de montaje, central y 2 controles remotos")</f>
        <v>KIT Titto de automatizacion para portones corredizos hasta 300K incluye 3 mt cremallera, accesorios de montaje, central y 2 controles remotos</v>
      </c>
      <c r="D2070" s="4" t="str">
        <f>IFERROR(__xludf.DUMMYFUNCTION("""COMPUTED_VALUE"""),"ALSE")</f>
        <v>ALSE</v>
      </c>
      <c r="E2070" s="4" t="str">
        <f>IFERROR(__xludf.DUMMYFUNCTION("""COMPUTED_VALUE"""),"ASKITTICO")</f>
        <v>ASKITTICO</v>
      </c>
      <c r="F2070" s="4" t="str">
        <f>IFERROR(__xludf.DUMMYFUNCTION("""COMPUTED_VALUE"""),"AUTOMATIZACION &gt; AUTOMATISMOS PORTONES CORREDIZOS")</f>
        <v>AUTOMATIZACION &gt; AUTOMATISMOS PORTONES CORREDIZOS</v>
      </c>
      <c r="G2070" s="5"/>
      <c r="H2070" s="6">
        <f>IFERROR(__xludf.DUMMYFUNCTION("""COMPUTED_VALUE"""),0.0)</f>
        <v>0</v>
      </c>
      <c r="I2070" s="7">
        <f>IFERROR(__xludf.DUMMYFUNCTION("""COMPUTED_VALUE"""),10.5)</f>
        <v>10.5</v>
      </c>
      <c r="J2070" s="6">
        <f>IFERROR(__xludf.DUMMYFUNCTION("""COMPUTED_VALUE"""),0.0)</f>
        <v>0</v>
      </c>
      <c r="K2070" s="6">
        <f>IFERROR(__xludf.DUMMYFUNCTION("""COMPUTED_VALUE"""),0.0)</f>
        <v>0</v>
      </c>
      <c r="L2070" s="3"/>
      <c r="M2070" s="3"/>
    </row>
    <row r="2071" ht="48.0" customHeight="1">
      <c r="A2071" s="3" t="str">
        <f>IFERROR(__xludf.DUMMYFUNCTION("""COMPUTED_VALUE"""),"ASKITSTOCCO")</f>
        <v>ASKITSTOCCO</v>
      </c>
      <c r="B2071" s="4" t="str">
        <f>IFERROR(__xludf.DUMMYFUNCTION("""COMPUTED_VALUE"""),"KIT STOCCO DE AUTOMATIZACION PARA PORTONES CORREDIZOS HASTA 500K")</f>
        <v>KIT STOCCO DE AUTOMATIZACION PARA PORTONES CORREDIZOS HASTA 500K</v>
      </c>
      <c r="C2071" s="4" t="str">
        <f>IFERROR(__xludf.DUMMYFUNCTION("""COMPUTED_VALUE"""),"KIT Stocco de automatizacion para portones corredizos hasta 500K incluye 3 mt cremallera, accesorios de montaje, central y 2 controles remotos")</f>
        <v>KIT Stocco de automatizacion para portones corredizos hasta 500K incluye 3 mt cremallera, accesorios de montaje, central y 2 controles remotos</v>
      </c>
      <c r="D2071" s="4" t="str">
        <f>IFERROR(__xludf.DUMMYFUNCTION("""COMPUTED_VALUE"""),"ALSE")</f>
        <v>ALSE</v>
      </c>
      <c r="E2071" s="4" t="str">
        <f>IFERROR(__xludf.DUMMYFUNCTION("""COMPUTED_VALUE"""),"ASKITSTOCCO")</f>
        <v>ASKITSTOCCO</v>
      </c>
      <c r="F2071" s="4" t="str">
        <f>IFERROR(__xludf.DUMMYFUNCTION("""COMPUTED_VALUE"""),"AUTOMATIZACION &gt; AUTOMATISMOS PORTONES CORREDIZOS")</f>
        <v>AUTOMATIZACION &gt; AUTOMATISMOS PORTONES CORREDIZOS</v>
      </c>
      <c r="G2071" s="5"/>
      <c r="H2071" s="6">
        <f>IFERROR(__xludf.DUMMYFUNCTION("""COMPUTED_VALUE"""),0.0)</f>
        <v>0</v>
      </c>
      <c r="I2071" s="7">
        <f>IFERROR(__xludf.DUMMYFUNCTION("""COMPUTED_VALUE"""),10.5)</f>
        <v>10.5</v>
      </c>
      <c r="J2071" s="6">
        <f>IFERROR(__xludf.DUMMYFUNCTION("""COMPUTED_VALUE"""),0.0)</f>
        <v>0</v>
      </c>
      <c r="K2071" s="6">
        <f>IFERROR(__xludf.DUMMYFUNCTION("""COMPUTED_VALUE"""),0.0)</f>
        <v>0</v>
      </c>
      <c r="L2071" s="3"/>
      <c r="M2071" s="3"/>
    </row>
    <row r="2072" ht="48.0" customHeight="1">
      <c r="A2072" s="3" t="str">
        <f>IFERROR(__xludf.DUMMYFUNCTION("""COMPUTED_VALUE"""),"ASKITRADIO")</f>
        <v>ASKITRADIO</v>
      </c>
      <c r="B2072" s="4" t="str">
        <f>IFERROR(__xludf.DUMMYFUNCTION("""COMPUTED_VALUE"""),"KIT STOCCO1 DE AUTOMATIZACION PARA PORTONES CORREDIZOS HASTA 800K")</f>
        <v>KIT STOCCO1 DE AUTOMATIZACION PARA PORTONES CORREDIZOS HASTA 800K</v>
      </c>
      <c r="C2072" s="4" t="str">
        <f>IFERROR(__xludf.DUMMYFUNCTION("""COMPUTED_VALUE"""),"KIT Stocco1 de automatizacion para portones corredizos hasta 800K incluye 3 mt cremallera, accesorios de montaje, central y 2 controles remotos")</f>
        <v>KIT Stocco1 de automatizacion para portones corredizos hasta 800K incluye 3 mt cremallera, accesorios de montaje, central y 2 controles remotos</v>
      </c>
      <c r="D2072" s="4" t="str">
        <f>IFERROR(__xludf.DUMMYFUNCTION("""COMPUTED_VALUE"""),"ALSE")</f>
        <v>ALSE</v>
      </c>
      <c r="E2072" s="4" t="str">
        <f>IFERROR(__xludf.DUMMYFUNCTION("""COMPUTED_VALUE"""),"ASKITRADIO")</f>
        <v>ASKITRADIO</v>
      </c>
      <c r="F2072" s="4" t="str">
        <f>IFERROR(__xludf.DUMMYFUNCTION("""COMPUTED_VALUE"""),"AUTOMATIZACION &gt; AUTOMATISMOS PORTONES CORREDIZOS")</f>
        <v>AUTOMATIZACION &gt; AUTOMATISMOS PORTONES CORREDIZOS</v>
      </c>
      <c r="G2072" s="5"/>
      <c r="H2072" s="6">
        <f>IFERROR(__xludf.DUMMYFUNCTION("""COMPUTED_VALUE"""),0.0)</f>
        <v>0</v>
      </c>
      <c r="I2072" s="7">
        <f>IFERROR(__xludf.DUMMYFUNCTION("""COMPUTED_VALUE"""),10.5)</f>
        <v>10.5</v>
      </c>
      <c r="J2072" s="6">
        <f>IFERROR(__xludf.DUMMYFUNCTION("""COMPUTED_VALUE"""),0.0)</f>
        <v>0</v>
      </c>
      <c r="K2072" s="6">
        <f>IFERROR(__xludf.DUMMYFUNCTION("""COMPUTED_VALUE"""),0.0)</f>
        <v>0</v>
      </c>
      <c r="L2072" s="3"/>
      <c r="M2072" s="3"/>
    </row>
    <row r="2073" ht="48.0" customHeight="1">
      <c r="A2073" s="3" t="str">
        <f>IFERROR(__xludf.DUMMYFUNCTION("""COMPUTED_VALUE"""),"ASKITSTOCCO2")</f>
        <v>ASKITSTOCCO2</v>
      </c>
      <c r="B2073" s="4" t="str">
        <f>IFERROR(__xludf.DUMMYFUNCTION("""COMPUTED_VALUE"""),"KIT STOCCO2 DE AUTOMATIZACION PARA PORTONES CORREDIZOS HASTA 1500K")</f>
        <v>KIT STOCCO2 DE AUTOMATIZACION PARA PORTONES CORREDIZOS HASTA 1500K</v>
      </c>
      <c r="C2073" s="4" t="str">
        <f>IFERROR(__xludf.DUMMYFUNCTION("""COMPUTED_VALUE"""),"KIT Stocco2 de automatizacion para portones corredizos hasta 1500K incluye 3 mt cremallera, accesorios de montaje, central y 2 controles remotos")</f>
        <v>KIT Stocco2 de automatizacion para portones corredizos hasta 1500K incluye 3 mt cremallera, accesorios de montaje, central y 2 controles remotos</v>
      </c>
      <c r="D2073" s="4" t="str">
        <f>IFERROR(__xludf.DUMMYFUNCTION("""COMPUTED_VALUE"""),"ALSE")</f>
        <v>ALSE</v>
      </c>
      <c r="E2073" s="4" t="str">
        <f>IFERROR(__xludf.DUMMYFUNCTION("""COMPUTED_VALUE"""),"ASKITSTOCCO2")</f>
        <v>ASKITSTOCCO2</v>
      </c>
      <c r="F2073" s="4" t="str">
        <f>IFERROR(__xludf.DUMMYFUNCTION("""COMPUTED_VALUE"""),"AUTOMATIZACION &gt; AUTOMATISMOS PORTONES CORREDIZOS")</f>
        <v>AUTOMATIZACION &gt; AUTOMATISMOS PORTONES CORREDIZOS</v>
      </c>
      <c r="G2073" s="5"/>
      <c r="H2073" s="6">
        <f>IFERROR(__xludf.DUMMYFUNCTION("""COMPUTED_VALUE"""),0.0)</f>
        <v>0</v>
      </c>
      <c r="I2073" s="7">
        <f>IFERROR(__xludf.DUMMYFUNCTION("""COMPUTED_VALUE"""),10.5)</f>
        <v>10.5</v>
      </c>
      <c r="J2073" s="6">
        <f>IFERROR(__xludf.DUMMYFUNCTION("""COMPUTED_VALUE"""),0.0)</f>
        <v>0</v>
      </c>
      <c r="K2073" s="6">
        <f>IFERROR(__xludf.DUMMYFUNCTION("""COMPUTED_VALUE"""),0.0)</f>
        <v>0</v>
      </c>
      <c r="L2073" s="3"/>
      <c r="M2073" s="3"/>
    </row>
    <row r="2074" ht="48.0" customHeight="1">
      <c r="A2074" s="3" t="str">
        <f>IFERROR(__xludf.DUMMYFUNCTION("""COMPUTED_VALUE"""),"ASKITSTOCCO3")</f>
        <v>ASKITSTOCCO3</v>
      </c>
      <c r="B2074" s="4" t="str">
        <f>IFERROR(__xludf.DUMMYFUNCTION("""COMPUTED_VALUE"""),"KIT STOCCO3 DE AUTOMATIZACION PARA PORTONES CORREDIZOS HASTA 2000K")</f>
        <v>KIT STOCCO3 DE AUTOMATIZACION PARA PORTONES CORREDIZOS HASTA 2000K</v>
      </c>
      <c r="C2074" s="4" t="str">
        <f>IFERROR(__xludf.DUMMYFUNCTION("""COMPUTED_VALUE"""),"KIT Stocco3 de automatizacion para portones corredizos hasta 2000K incluye 3 mt cremallera, accesorios de montaje, central y 2 controles remotos")</f>
        <v>KIT Stocco3 de automatizacion para portones corredizos hasta 2000K incluye 3 mt cremallera, accesorios de montaje, central y 2 controles remotos</v>
      </c>
      <c r="D2074" s="4" t="str">
        <f>IFERROR(__xludf.DUMMYFUNCTION("""COMPUTED_VALUE"""),"ALSE")</f>
        <v>ALSE</v>
      </c>
      <c r="E2074" s="4" t="str">
        <f>IFERROR(__xludf.DUMMYFUNCTION("""COMPUTED_VALUE"""),"ASKITSTOCCO3")</f>
        <v>ASKITSTOCCO3</v>
      </c>
      <c r="F2074" s="4" t="str">
        <f>IFERROR(__xludf.DUMMYFUNCTION("""COMPUTED_VALUE"""),"AUTOMATIZACION &gt; AUTOMATISMOS PORTONES CORREDIZOS")</f>
        <v>AUTOMATIZACION &gt; AUTOMATISMOS PORTONES CORREDIZOS</v>
      </c>
      <c r="G2074" s="5"/>
      <c r="H2074" s="6">
        <f>IFERROR(__xludf.DUMMYFUNCTION("""COMPUTED_VALUE"""),0.0)</f>
        <v>0</v>
      </c>
      <c r="I2074" s="7">
        <f>IFERROR(__xludf.DUMMYFUNCTION("""COMPUTED_VALUE"""),10.5)</f>
        <v>10.5</v>
      </c>
      <c r="J2074" s="6">
        <f>IFERROR(__xludf.DUMMYFUNCTION("""COMPUTED_VALUE"""),0.0)</f>
        <v>0</v>
      </c>
      <c r="K2074" s="6">
        <f>IFERROR(__xludf.DUMMYFUNCTION("""COMPUTED_VALUE"""),0.0)</f>
        <v>0</v>
      </c>
      <c r="L2074" s="3"/>
      <c r="M2074" s="3"/>
    </row>
    <row r="2075" ht="48.0" customHeight="1">
      <c r="A2075" s="3" t="str">
        <f>IFERROR(__xludf.DUMMYFUNCTION("""COMPUTED_VALUE"""),"ASKITCOMPACT")</f>
        <v>ASKITCOMPACT</v>
      </c>
      <c r="B2075" s="4" t="str">
        <f>IFERROR(__xludf.DUMMYFUNCTION("""COMPUTED_VALUE"""),"KIT COMPACT1200 DE AUTOMATIZACION PARA PORTONES CORREDIZOS HASTA 1000K")</f>
        <v>KIT COMPACT1200 DE AUTOMATIZACION PARA PORTONES CORREDIZOS HASTA 1000K</v>
      </c>
      <c r="C2075" s="4" t="str">
        <f>IFERROR(__xludf.DUMMYFUNCTION("""COMPUTED_VALUE"""),"KIT Compact1200 de automatizacion para portones corredizos hasta 1000K incluye 3 mt cremallera, accesorios de montaje, central y 2 controles remotos")</f>
        <v>KIT Compact1200 de automatizacion para portones corredizos hasta 1000K incluye 3 mt cremallera, accesorios de montaje, central y 2 controles remotos</v>
      </c>
      <c r="D2075" s="4" t="str">
        <f>IFERROR(__xludf.DUMMYFUNCTION("""COMPUTED_VALUE"""),"ALSE")</f>
        <v>ALSE</v>
      </c>
      <c r="E2075" s="4" t="str">
        <f>IFERROR(__xludf.DUMMYFUNCTION("""COMPUTED_VALUE"""),"ASKITCOMPACT")</f>
        <v>ASKITCOMPACT</v>
      </c>
      <c r="F2075" s="4" t="str">
        <f>IFERROR(__xludf.DUMMYFUNCTION("""COMPUTED_VALUE"""),"AUTOMATIZACION &gt; AUTOMATISMOS PORTONES CORREDIZOS")</f>
        <v>AUTOMATIZACION &gt; AUTOMATISMOS PORTONES CORREDIZOS</v>
      </c>
      <c r="G2075" s="5"/>
      <c r="H2075" s="6">
        <f>IFERROR(__xludf.DUMMYFUNCTION("""COMPUTED_VALUE"""),0.0)</f>
        <v>0</v>
      </c>
      <c r="I2075" s="7">
        <f>IFERROR(__xludf.DUMMYFUNCTION("""COMPUTED_VALUE"""),10.5)</f>
        <v>10.5</v>
      </c>
      <c r="J2075" s="6">
        <f>IFERROR(__xludf.DUMMYFUNCTION("""COMPUTED_VALUE"""),0.0)</f>
        <v>0</v>
      </c>
      <c r="K2075" s="6">
        <f>IFERROR(__xludf.DUMMYFUNCTION("""COMPUTED_VALUE"""),0.0)</f>
        <v>0</v>
      </c>
      <c r="L2075" s="3"/>
      <c r="M2075" s="3"/>
    </row>
    <row r="2076" ht="48.0" customHeight="1">
      <c r="A2076" s="3" t="str">
        <f>IFERROR(__xludf.DUMMYFUNCTION("""COMPUTED_VALUE"""),"ASCREM08")</f>
        <v>ASCREM08</v>
      </c>
      <c r="B2076" s="4" t="str">
        <f>IFERROR(__xludf.DUMMYFUNCTION("""COMPUTED_VALUE"""),"CREMALLERA METALICA 8M DE 1 METRO")</f>
        <v>CREMALLERA METALICA 8M DE 1 METRO</v>
      </c>
      <c r="C2076" s="4" t="str">
        <f>IFERROR(__xludf.DUMMYFUNCTION("""COMPUTED_VALUE"""),"Cremallera metalica 8M de 1 metro")</f>
        <v>Cremallera metalica 8M de 1 metro</v>
      </c>
      <c r="D2076" s="4" t="str">
        <f>IFERROR(__xludf.DUMMYFUNCTION("""COMPUTED_VALUE"""),"ALSE")</f>
        <v>ALSE</v>
      </c>
      <c r="E2076" s="4" t="str">
        <f>IFERROR(__xludf.DUMMYFUNCTION("""COMPUTED_VALUE"""),"ASCREM08")</f>
        <v>ASCREM08</v>
      </c>
      <c r="F2076" s="4" t="str">
        <f>IFERROR(__xludf.DUMMYFUNCTION("""COMPUTED_VALUE"""),"AUTOMATIZACION &gt; AUTOMATISMOS PORTONES CORREDIZOS")</f>
        <v>AUTOMATIZACION &gt; AUTOMATISMOS PORTONES CORREDIZOS</v>
      </c>
      <c r="G2076" s="5"/>
      <c r="H2076" s="6">
        <f>IFERROR(__xludf.DUMMYFUNCTION("""COMPUTED_VALUE"""),16.5)</f>
        <v>16.5</v>
      </c>
      <c r="I2076" s="7">
        <f>IFERROR(__xludf.DUMMYFUNCTION("""COMPUTED_VALUE"""),21.0)</f>
        <v>21</v>
      </c>
      <c r="J2076" s="6">
        <f>IFERROR(__xludf.DUMMYFUNCTION("""COMPUTED_VALUE"""),19.8)</f>
        <v>19.8</v>
      </c>
      <c r="K2076" s="6">
        <f>IFERROR(__xludf.DUMMYFUNCTION("""COMPUTED_VALUE"""),23.1)</f>
        <v>23.1</v>
      </c>
      <c r="L2076" s="3"/>
      <c r="M2076" s="3"/>
    </row>
    <row r="2077" ht="48.0" customHeight="1">
      <c r="A2077" s="3" t="str">
        <f>IFERROR(__xludf.DUMMYFUNCTION("""COMPUTED_VALUE"""),"ASMITOBREDA")</f>
        <v>ASMITOBREDA</v>
      </c>
      <c r="B2077" s="4" t="str">
        <f>IFERROR(__xludf.DUMMYFUNCTION("""COMPUTED_VALUE"""),"KIT MITO/BREDA LEVADIZO INCLUYE ACCESORIOS DE MONTAJE, CENTRAL Y")</f>
        <v>KIT MITO/BREDA LEVADIZO INCLUYE ACCESORIOS DE MONTAJE, CENTRAL Y</v>
      </c>
      <c r="C2077" s="4" t="str">
        <f>IFERROR(__xludf.DUMMYFUNCTION("""COMPUTED_VALUE"""),"KIT Mito/Breda levadizo incluye accesorios de montaje, central y 2 controles remotos Motor para porton Levadizo Mito Breda de Fácil instalación sobre cualquier tipo de levadizo a contrapeso Máximo tamaño p/1 motor lateral hasta 6.5m2 – 1 brazo telescópico"&amp;" Máximo tamaño p/1 motor central hasta 9 m2 – 2 brazos telescópicos uno a c/lado")</f>
        <v>KIT Mito/Breda levadizo incluye accesorios de montaje, central y 2 controles remotos Motor para porton Levadizo Mito Breda de Fácil instalación sobre cualquier tipo de levadizo a contrapeso Máximo tamaño p/1 motor lateral hasta 6.5m2 – 1 brazo telescópico Máximo tamaño p/1 motor central hasta 9 m2 – 2 brazos telescópicos uno a c/lado</v>
      </c>
      <c r="D2077" s="4" t="str">
        <f>IFERROR(__xludf.DUMMYFUNCTION("""COMPUTED_VALUE"""),"ALSE")</f>
        <v>ALSE</v>
      </c>
      <c r="E2077" s="4" t="str">
        <f>IFERROR(__xludf.DUMMYFUNCTION("""COMPUTED_VALUE"""),"ASMITOBREDA")</f>
        <v>ASMITOBREDA</v>
      </c>
      <c r="F2077" s="4" t="str">
        <f>IFERROR(__xludf.DUMMYFUNCTION("""COMPUTED_VALUE"""),"AUTOMATIZACION &gt; AUTOMATISMOS PORTONES LEVADIZOS")</f>
        <v>AUTOMATIZACION &gt; AUTOMATISMOS PORTONES LEVADIZOS</v>
      </c>
      <c r="G2077" s="5"/>
      <c r="H2077" s="6">
        <f>IFERROR(__xludf.DUMMYFUNCTION("""COMPUTED_VALUE"""),0.0)</f>
        <v>0</v>
      </c>
      <c r="I2077" s="7">
        <f>IFERROR(__xludf.DUMMYFUNCTION("""COMPUTED_VALUE"""),21.0)</f>
        <v>21</v>
      </c>
      <c r="J2077" s="6">
        <f>IFERROR(__xludf.DUMMYFUNCTION("""COMPUTED_VALUE"""),0.0)</f>
        <v>0</v>
      </c>
      <c r="K2077" s="6">
        <f>IFERROR(__xludf.DUMMYFUNCTION("""COMPUTED_VALUE"""),0.0)</f>
        <v>0</v>
      </c>
      <c r="L2077" s="3"/>
      <c r="M2077" s="3"/>
    </row>
    <row r="2078" ht="48.0" customHeight="1">
      <c r="A2078" s="3" t="str">
        <f>IFERROR(__xludf.DUMMYFUNCTION("""COMPUTED_VALUE"""),"ASMITOBREDAD")</f>
        <v>ASMITOBREDAD</v>
      </c>
      <c r="B2078" s="4" t="str">
        <f>IFERROR(__xludf.DUMMYFUNCTION("""COMPUTED_VALUE"""),"KIT MITO/BREDA DUAL LEVADIZO INCLUYE ACCESORIOS DE MONTAJE, CENTRAL")</f>
        <v>KIT MITO/BREDA DUAL LEVADIZO INCLUYE ACCESORIOS DE MONTAJE, CENTRAL</v>
      </c>
      <c r="C2078" s="4" t="str">
        <f>IFERROR(__xludf.DUMMYFUNCTION("""COMPUTED_VALUE"""),"KIT Mito/Breda Dual levadizo incluye accesorios de montaje, central y 2 controles remotos Motor para porton Levadizo Mito Breda de Fácil instalación sobre cualquier tipo de levadizo a contrapeso Máximo tamaño p/1 motor lateral hasta 6.5m2 – 1 brazo telesc"&amp;"ópico Máximo tamaño p/1 motor central hasta 9 m2 – 2 brazos telescópicos uno a c/lado Máximo tamaño p/2 motores en paralelo hasta 12 m2 – un motor a c/lado 2 brazos")</f>
        <v>KIT Mito/Breda Dual levadizo incluye accesorios de montaje, central y 2 controles remotos Motor para porton Levadizo Mito Breda de Fácil instalación sobre cualquier tipo de levadizo a contrapeso Máximo tamaño p/1 motor lateral hasta 6.5m2 – 1 brazo telescópico Máximo tamaño p/1 motor central hasta 9 m2 – 2 brazos telescópicos uno a c/lado Máximo tamaño p/2 motores en paralelo hasta 12 m2 – un motor a c/lado 2 brazos</v>
      </c>
      <c r="D2078" s="4" t="str">
        <f>IFERROR(__xludf.DUMMYFUNCTION("""COMPUTED_VALUE"""),"ALSE")</f>
        <v>ALSE</v>
      </c>
      <c r="E2078" s="4" t="str">
        <f>IFERROR(__xludf.DUMMYFUNCTION("""COMPUTED_VALUE"""),"ASMITOBREDAD")</f>
        <v>ASMITOBREDAD</v>
      </c>
      <c r="F2078" s="4" t="str">
        <f>IFERROR(__xludf.DUMMYFUNCTION("""COMPUTED_VALUE"""),"AUTOMATIZACION &gt; AUTOMATISMOS PORTONES LEVADIZOS")</f>
        <v>AUTOMATIZACION &gt; AUTOMATISMOS PORTONES LEVADIZOS</v>
      </c>
      <c r="G2078" s="5"/>
      <c r="H2078" s="6">
        <f>IFERROR(__xludf.DUMMYFUNCTION("""COMPUTED_VALUE"""),0.0)</f>
        <v>0</v>
      </c>
      <c r="I2078" s="7">
        <f>IFERROR(__xludf.DUMMYFUNCTION("""COMPUTED_VALUE"""),21.0)</f>
        <v>21</v>
      </c>
      <c r="J2078" s="6">
        <f>IFERROR(__xludf.DUMMYFUNCTION("""COMPUTED_VALUE"""),0.0)</f>
        <v>0</v>
      </c>
      <c r="K2078" s="6">
        <f>IFERROR(__xludf.DUMMYFUNCTION("""COMPUTED_VALUE"""),0.0)</f>
        <v>0</v>
      </c>
      <c r="L2078" s="3"/>
      <c r="M2078" s="3"/>
    </row>
    <row r="2079" ht="48.0" customHeight="1">
      <c r="A2079" s="3" t="str">
        <f>IFERROR(__xludf.DUMMYFUNCTION("""COMPUTED_VALUE"""),"ASKITDOMO")</f>
        <v>ASKITDOMO</v>
      </c>
      <c r="B2079" s="4" t="str">
        <f>IFERROR(__xludf.DUMMYFUNCTION("""COMPUTED_VALUE"""),"KIT DOMO SIMPLE BATIENTE INCLUYE ACCESORIOS DE MONTAJE, CENTRAL")</f>
        <v>KIT DOMO SIMPLE BATIENTE INCLUYE ACCESORIOS DE MONTAJE, CENTRAL</v>
      </c>
      <c r="C2079" s="4" t="str">
        <f>IFERROR(__xludf.DUMMYFUNCTION("""COMPUTED_VALUE"""),"KIT Domo simple batiente incluye accesorios de montaje, central y 2 controles remotos Máximo de ancho de hoja portón 2mts Velocidad apertura 17seg (hasta 6 cocheras)")</f>
        <v>KIT Domo simple batiente incluye accesorios de montaje, central y 2 controles remotos Máximo de ancho de hoja portón 2mts Velocidad apertura 17seg (hasta 6 cocheras)</v>
      </c>
      <c r="D2079" s="4" t="str">
        <f>IFERROR(__xludf.DUMMYFUNCTION("""COMPUTED_VALUE"""),"ALSE")</f>
        <v>ALSE</v>
      </c>
      <c r="E2079" s="4" t="str">
        <f>IFERROR(__xludf.DUMMYFUNCTION("""COMPUTED_VALUE"""),"ASKITDOMO")</f>
        <v>ASKITDOMO</v>
      </c>
      <c r="F2079" s="4" t="str">
        <f>IFERROR(__xludf.DUMMYFUNCTION("""COMPUTED_VALUE"""),"AUTOMATIZACION &gt; AUTOMATISMOS PORTONES BATIENTES")</f>
        <v>AUTOMATIZACION &gt; AUTOMATISMOS PORTONES BATIENTES</v>
      </c>
      <c r="G2079" s="5"/>
      <c r="H2079" s="6">
        <f>IFERROR(__xludf.DUMMYFUNCTION("""COMPUTED_VALUE"""),0.0)</f>
        <v>0</v>
      </c>
      <c r="I2079" s="7">
        <f>IFERROR(__xludf.DUMMYFUNCTION("""COMPUTED_VALUE"""),21.0)</f>
        <v>21</v>
      </c>
      <c r="J2079" s="6">
        <f>IFERROR(__xludf.DUMMYFUNCTION("""COMPUTED_VALUE"""),0.0)</f>
        <v>0</v>
      </c>
      <c r="K2079" s="6">
        <f>IFERROR(__xludf.DUMMYFUNCTION("""COMPUTED_VALUE"""),0.0)</f>
        <v>0</v>
      </c>
      <c r="L2079" s="3"/>
      <c r="M2079" s="3"/>
    </row>
    <row r="2080" ht="48.0" customHeight="1">
      <c r="A2080" s="3" t="str">
        <f>IFERROR(__xludf.DUMMYFUNCTION("""COMPUTED_VALUE"""),"ASKITEGODOMOD")</f>
        <v>ASKITEGODOMOD</v>
      </c>
      <c r="B2080" s="4" t="str">
        <f>IFERROR(__xludf.DUMMYFUNCTION("""COMPUTED_VALUE"""),"KIT DOMO BATIENTE DOBLE INCLUYE ACCESORIOS DE MONTAJE, CENTRAL")</f>
        <v>KIT DOMO BATIENTE DOBLE INCLUYE ACCESORIOS DE MONTAJE, CENTRAL</v>
      </c>
      <c r="C2080" s="4" t="str">
        <f>IFERROR(__xludf.DUMMYFUNCTION("""COMPUTED_VALUE"""),"KIT Domo batiente doble incluye accesorios de montaje, central y 2 controles remotos Máximo de ancho de hoja portón 2mts Velocidad apertura 17seg (hasta 6 cocheras)")</f>
        <v>KIT Domo batiente doble incluye accesorios de montaje, central y 2 controles remotos Máximo de ancho de hoja portón 2mts Velocidad apertura 17seg (hasta 6 cocheras)</v>
      </c>
      <c r="D2080" s="4" t="str">
        <f>IFERROR(__xludf.DUMMYFUNCTION("""COMPUTED_VALUE"""),"ALSE")</f>
        <v>ALSE</v>
      </c>
      <c r="E2080" s="4" t="str">
        <f>IFERROR(__xludf.DUMMYFUNCTION("""COMPUTED_VALUE"""),"ASKITEGODOMOD")</f>
        <v>ASKITEGODOMOD</v>
      </c>
      <c r="F2080" s="4" t="str">
        <f>IFERROR(__xludf.DUMMYFUNCTION("""COMPUTED_VALUE"""),"AUTOMATIZACION &gt; AUTOMATISMOS PORTONES BATIENTES")</f>
        <v>AUTOMATIZACION &gt; AUTOMATISMOS PORTONES BATIENTES</v>
      </c>
      <c r="G2080" s="5"/>
      <c r="H2080" s="6">
        <f>IFERROR(__xludf.DUMMYFUNCTION("""COMPUTED_VALUE"""),0.0)</f>
        <v>0</v>
      </c>
      <c r="I2080" s="7">
        <f>IFERROR(__xludf.DUMMYFUNCTION("""COMPUTED_VALUE"""),21.0)</f>
        <v>21</v>
      </c>
      <c r="J2080" s="6">
        <f>IFERROR(__xludf.DUMMYFUNCTION("""COMPUTED_VALUE"""),0.0)</f>
        <v>0</v>
      </c>
      <c r="K2080" s="6">
        <f>IFERROR(__xludf.DUMMYFUNCTION("""COMPUTED_VALUE"""),0.0)</f>
        <v>0</v>
      </c>
      <c r="L2080" s="3"/>
      <c r="M2080" s="3"/>
    </row>
    <row r="2081" ht="48.0" customHeight="1">
      <c r="A2081" s="3" t="str">
        <f>IFERROR(__xludf.DUMMYFUNCTION("""COMPUTED_VALUE"""),"ASKITMAXI")</f>
        <v>ASKITMAXI</v>
      </c>
      <c r="B2081" s="4" t="str">
        <f>IFERROR(__xludf.DUMMYFUNCTION("""COMPUTED_VALUE"""),"KIT MAXI SIMPLE BATIENTE ALTAMENTE ESPECIALIZADO PARA OFRECER VELOCIDA")</f>
        <v>KIT MAXI SIMPLE BATIENTE ALTAMENTE ESPECIALIZADO PARA OFRECER VELOCIDA</v>
      </c>
      <c r="C2081" s="4" t="str">
        <f>IFERROR(__xludf.DUMMYFUNCTION("""COMPUTED_VALUE"""),"KIT Maxi simple batiente Altamente especializado para ofrecer velocidad y fuerza incluye accesorios de montaje, central y 2 controles remotos Máximo de ancho de hoja portón 5mts Velocidad apertura 17seg para 3m")</f>
        <v>KIT Maxi simple batiente Altamente especializado para ofrecer velocidad y fuerza incluye accesorios de montaje, central y 2 controles remotos Máximo de ancho de hoja portón 5mts Velocidad apertura 17seg para 3m</v>
      </c>
      <c r="D2081" s="4" t="str">
        <f>IFERROR(__xludf.DUMMYFUNCTION("""COMPUTED_VALUE"""),"ALSE")</f>
        <v>ALSE</v>
      </c>
      <c r="E2081" s="4" t="str">
        <f>IFERROR(__xludf.DUMMYFUNCTION("""COMPUTED_VALUE"""),"ASKITMAXI")</f>
        <v>ASKITMAXI</v>
      </c>
      <c r="F2081" s="4" t="str">
        <f>IFERROR(__xludf.DUMMYFUNCTION("""COMPUTED_VALUE"""),"AUTOMATIZACION &gt; AUTOMATISMOS PORTONES BATIENTES")</f>
        <v>AUTOMATIZACION &gt; AUTOMATISMOS PORTONES BATIENTES</v>
      </c>
      <c r="G2081" s="5"/>
      <c r="H2081" s="6">
        <f>IFERROR(__xludf.DUMMYFUNCTION("""COMPUTED_VALUE"""),0.0)</f>
        <v>0</v>
      </c>
      <c r="I2081" s="7">
        <f>IFERROR(__xludf.DUMMYFUNCTION("""COMPUTED_VALUE"""),21.0)</f>
        <v>21</v>
      </c>
      <c r="J2081" s="6">
        <f>IFERROR(__xludf.DUMMYFUNCTION("""COMPUTED_VALUE"""),0.0)</f>
        <v>0</v>
      </c>
      <c r="K2081" s="6">
        <f>IFERROR(__xludf.DUMMYFUNCTION("""COMPUTED_VALUE"""),0.0)</f>
        <v>0</v>
      </c>
      <c r="L2081" s="3"/>
      <c r="M2081" s="3"/>
    </row>
    <row r="2082" ht="48.0" customHeight="1">
      <c r="A2082" s="3" t="str">
        <f>IFERROR(__xludf.DUMMYFUNCTION("""COMPUTED_VALUE"""),"ASKITMAXID")</f>
        <v>ASKITMAXID</v>
      </c>
      <c r="B2082" s="4" t="str">
        <f>IFERROR(__xludf.DUMMYFUNCTION("""COMPUTED_VALUE"""),"KIT MAXI DOBLE BATIENTE ALTAMENTE ESPECIALIZADO PARA OFRECER VELOCIDAD")</f>
        <v>KIT MAXI DOBLE BATIENTE ALTAMENTE ESPECIALIZADO PARA OFRECER VELOCIDAD</v>
      </c>
      <c r="C2082" s="4" t="str">
        <f>IFERROR(__xludf.DUMMYFUNCTION("""COMPUTED_VALUE"""),"KIT Maxi doble batiente Altamente especializado para ofrecer velocidad y fuerza incluye accesorios de montaje, central y 2 controles remotos Máximo de ancho de hoja portón 5mts Velocidad apertura 17seg para 3m")</f>
        <v>KIT Maxi doble batiente Altamente especializado para ofrecer velocidad y fuerza incluye accesorios de montaje, central y 2 controles remotos Máximo de ancho de hoja portón 5mts Velocidad apertura 17seg para 3m</v>
      </c>
      <c r="D2082" s="4" t="str">
        <f>IFERROR(__xludf.DUMMYFUNCTION("""COMPUTED_VALUE"""),"ALSE")</f>
        <v>ALSE</v>
      </c>
      <c r="E2082" s="4" t="str">
        <f>IFERROR(__xludf.DUMMYFUNCTION("""COMPUTED_VALUE"""),"ASKITMAXID")</f>
        <v>ASKITMAXID</v>
      </c>
      <c r="F2082" s="4" t="str">
        <f>IFERROR(__xludf.DUMMYFUNCTION("""COMPUTED_VALUE"""),"AUTOMATIZACION &gt; AUTOMATISMOS PORTONES BATIENTES")</f>
        <v>AUTOMATIZACION &gt; AUTOMATISMOS PORTONES BATIENTES</v>
      </c>
      <c r="G2082" s="5"/>
      <c r="H2082" s="6">
        <f>IFERROR(__xludf.DUMMYFUNCTION("""COMPUTED_VALUE"""),0.0)</f>
        <v>0</v>
      </c>
      <c r="I2082" s="7">
        <f>IFERROR(__xludf.DUMMYFUNCTION("""COMPUTED_VALUE"""),21.0)</f>
        <v>21</v>
      </c>
      <c r="J2082" s="6">
        <f>IFERROR(__xludf.DUMMYFUNCTION("""COMPUTED_VALUE"""),0.0)</f>
        <v>0</v>
      </c>
      <c r="K2082" s="6">
        <f>IFERROR(__xludf.DUMMYFUNCTION("""COMPUTED_VALUE"""),0.0)</f>
        <v>0</v>
      </c>
      <c r="L2082" s="3"/>
      <c r="M2082" s="3"/>
    </row>
    <row r="2083" ht="48.0" customHeight="1">
      <c r="A2083" s="3" t="str">
        <f>IFERROR(__xludf.DUMMYFUNCTION("""COMPUTED_VALUE"""),"ASWINMATIC")</f>
        <v>ASWINMATIC</v>
      </c>
      <c r="B2083" s="4" t="str">
        <f>IFERROR(__xludf.DUMMYFUNCTION("""COMPUTED_VALUE"""),"MOTOR WINMATIC DE APERTURA A CADENA PARA VENTANAS DESLIZANTES,")</f>
        <v>MOTOR WINMATIC DE APERTURA A CADENA PARA VENTANAS DESLIZANTES,</v>
      </c>
      <c r="C2083" s="4" t="str">
        <f>IFERROR(__xludf.DUMMYFUNCTION("""COMPUTED_VALUE"""),"Motor winmatic de apertura a cadena para ventanas deslizantes, ventanas basculantes, claraboyas, etc. En particular, es adecuado para ventanas montadas en la parte superior y difíciles de alcanzar. Es sumamente fácil de operar: la ventana se abre y se cie"&amp;"rra automáticamente")</f>
        <v>Motor winmatic de apertura a cadena para ventanas deslizantes, ventanas basculantes, claraboyas, etc. En particular, es adecuado para ventanas montadas en la parte superior y difíciles de alcanzar. Es sumamente fácil de operar: la ventana se abre y se cierra automáticamente</v>
      </c>
      <c r="D2083" s="4" t="str">
        <f>IFERROR(__xludf.DUMMYFUNCTION("""COMPUTED_VALUE"""),"ALSE")</f>
        <v>ALSE</v>
      </c>
      <c r="E2083" s="4" t="str">
        <f>IFERROR(__xludf.DUMMYFUNCTION("""COMPUTED_VALUE"""),"ASWINMATIC")</f>
        <v>ASWINMATIC</v>
      </c>
      <c r="F2083" s="4" t="str">
        <f>IFERROR(__xludf.DUMMYFUNCTION("""COMPUTED_VALUE"""),"AUTOMATIZACION &gt; AUTOMATISMOS ABRE VENTANAS")</f>
        <v>AUTOMATIZACION &gt; AUTOMATISMOS ABRE VENTANAS</v>
      </c>
      <c r="G2083" s="5"/>
      <c r="H2083" s="6">
        <f>IFERROR(__xludf.DUMMYFUNCTION("""COMPUTED_VALUE"""),0.0)</f>
        <v>0</v>
      </c>
      <c r="I2083" s="7">
        <f>IFERROR(__xludf.DUMMYFUNCTION("""COMPUTED_VALUE"""),21.0)</f>
        <v>21</v>
      </c>
      <c r="J2083" s="6">
        <f>IFERROR(__xludf.DUMMYFUNCTION("""COMPUTED_VALUE"""),0.0)</f>
        <v>0</v>
      </c>
      <c r="K2083" s="6">
        <f>IFERROR(__xludf.DUMMYFUNCTION("""COMPUTED_VALUE"""),0.0)</f>
        <v>0</v>
      </c>
      <c r="L2083" s="3"/>
      <c r="M2083" s="3"/>
    </row>
    <row r="2084" ht="48.0" customHeight="1">
      <c r="A2084" s="3" t="str">
        <f>IFERROR(__xludf.DUMMYFUNCTION("""COMPUTED_VALUE"""),"AS1073")</f>
        <v>AS1073</v>
      </c>
      <c r="B2084" s="4" t="str">
        <f>IFERROR(__xludf.DUMMYFUNCTION("""COMPUTED_VALUE"""),"CERRADURA ELECTRICA")</f>
        <v>CERRADURA ELECTRICA</v>
      </c>
      <c r="C2084" s="4" t="str">
        <f>IFERROR(__xludf.DUMMYFUNCTION("""COMPUTED_VALUE"""),"Cerradura electrica. Incluye 3 llaves tradicionales, accionamiento eléctrico o manual Apta para intercomunicador del edificio o sistemas de control de acceso Rodillo de expulsión al accionar el destrabe Bobina de desbloqueo de 9~ 12V DC / AC Medidas: 13×1"&amp;"0,5x4cm")</f>
        <v>Cerradura electrica. Incluye 3 llaves tradicionales, accionamiento eléctrico o manual Apta para intercomunicador del edificio o sistemas de control de acceso Rodillo de expulsión al accionar el destrabe Bobina de desbloqueo de 9~ 12V DC / AC Medidas: 13×10,5x4cm</v>
      </c>
      <c r="D2084" s="4" t="str">
        <f>IFERROR(__xludf.DUMMYFUNCTION("""COMPUTED_VALUE"""),"ALSE")</f>
        <v>ALSE</v>
      </c>
      <c r="E2084" s="4" t="str">
        <f>IFERROR(__xludf.DUMMYFUNCTION("""COMPUTED_VALUE"""),"AS1073")</f>
        <v>AS1073</v>
      </c>
      <c r="F2084" s="4" t="str">
        <f>IFERROR(__xludf.DUMMYFUNCTION("""COMPUTED_VALUE"""),"AUTOMATIZACION &gt; AUTOMATISMOS CERRADURAS ELECTRICAS")</f>
        <v>AUTOMATIZACION &gt; AUTOMATISMOS CERRADURAS ELECTRICAS</v>
      </c>
      <c r="G2084" s="5"/>
      <c r="H2084" s="6">
        <f>IFERROR(__xludf.DUMMYFUNCTION("""COMPUTED_VALUE"""),0.0)</f>
        <v>0</v>
      </c>
      <c r="I2084" s="7">
        <f>IFERROR(__xludf.DUMMYFUNCTION("""COMPUTED_VALUE"""),21.0)</f>
        <v>21</v>
      </c>
      <c r="J2084" s="6">
        <f>IFERROR(__xludf.DUMMYFUNCTION("""COMPUTED_VALUE"""),0.0)</f>
        <v>0</v>
      </c>
      <c r="K2084" s="6">
        <f>IFERROR(__xludf.DUMMYFUNCTION("""COMPUTED_VALUE"""),0.0)</f>
        <v>0</v>
      </c>
      <c r="L2084" s="3"/>
      <c r="M2084" s="3"/>
    </row>
    <row r="2085" ht="48.0" customHeight="1">
      <c r="A2085" s="3" t="str">
        <f>IFERROR(__xludf.DUMMYFUNCTION("""COMPUTED_VALUE"""),"AS1043")</f>
        <v>AS1043</v>
      </c>
      <c r="B2085" s="4" t="str">
        <f>IFERROR(__xludf.DUMMYFUNCTION("""COMPUTED_VALUE"""),"CERRADURA ELECTRICA DE BOBINA DE DESBLOQUEO DE 9~ 12VDC")</f>
        <v>CERRADURA ELECTRICA DE BOBINA DE DESBLOQUEO DE 9~ 12VDC</v>
      </c>
      <c r="C2085" s="4" t="str">
        <f>IFERROR(__xludf.DUMMYFUNCTION("""COMPUTED_VALUE"""),"Cerradura electrica de bobina de desbloqueo de 9~ 12VDC / ACAccionamiento eléctrico o manualApta para intercomunicador del edificio o sistemas de control de acceso.Cerrojo de seguridad para uso solo con llave")</f>
        <v>Cerradura electrica de bobina de desbloqueo de 9~ 12VDC / ACAccionamiento eléctrico o manualApta para intercomunicador del edificio o sistemas de control de acceso.Cerrojo de seguridad para uso solo con llave</v>
      </c>
      <c r="D2085" s="4" t="str">
        <f>IFERROR(__xludf.DUMMYFUNCTION("""COMPUTED_VALUE"""),"ALSE")</f>
        <v>ALSE</v>
      </c>
      <c r="E2085" s="4" t="str">
        <f>IFERROR(__xludf.DUMMYFUNCTION("""COMPUTED_VALUE"""),"AS1043")</f>
        <v>AS1043</v>
      </c>
      <c r="F2085" s="4" t="str">
        <f>IFERROR(__xludf.DUMMYFUNCTION("""COMPUTED_VALUE"""),"AUTOMATIZACION &gt; AUTOMATISMOS CERRADURAS ELECTRICAS")</f>
        <v>AUTOMATIZACION &gt; AUTOMATISMOS CERRADURAS ELECTRICAS</v>
      </c>
      <c r="G2085" s="5"/>
      <c r="H2085" s="6">
        <f>IFERROR(__xludf.DUMMYFUNCTION("""COMPUTED_VALUE"""),0.0)</f>
        <v>0</v>
      </c>
      <c r="I2085" s="7">
        <f>IFERROR(__xludf.DUMMYFUNCTION("""COMPUTED_VALUE"""),21.0)</f>
        <v>21</v>
      </c>
      <c r="J2085" s="6">
        <f>IFERROR(__xludf.DUMMYFUNCTION("""COMPUTED_VALUE"""),0.0)</f>
        <v>0</v>
      </c>
      <c r="K2085" s="6">
        <f>IFERROR(__xludf.DUMMYFUNCTION("""COMPUTED_VALUE"""),0.0)</f>
        <v>0</v>
      </c>
      <c r="L2085" s="3"/>
      <c r="M2085" s="3"/>
    </row>
    <row r="2086" ht="48.0" customHeight="1">
      <c r="A2086" s="3" t="str">
        <f>IFERROR(__xludf.DUMMYFUNCTION("""COMPUTED_VALUE"""),"AS1053")</f>
        <v>AS1053</v>
      </c>
      <c r="B2086" s="4" t="str">
        <f>IFERROR(__xludf.DUMMYFUNCTION("""COMPUTED_VALUE"""),"CERRADURA ELECTRICA DE BOBINA DE DESBLOQUEO DE 17 VDC")</f>
        <v>CERRADURA ELECTRICA DE BOBINA DE DESBLOQUEO DE 17 VDC</v>
      </c>
      <c r="C2086" s="4" t="str">
        <f>IFERROR(__xludf.DUMMYFUNCTION("""COMPUTED_VALUE"""),"Cerradura electrica de bobina de desbloqueo de 17 VDC (12VAC)Equipado con microinterruptor de final de carrera (NC)Posibilidad de conectar al cuadro de maniobra de puertas controladas mediante finales de carreraIncluye kit prolongación para puertas de gra"&amp;"n espesor")</f>
        <v>Cerradura electrica de bobina de desbloqueo de 17 VDC (12VAC)Equipado con microinterruptor de final de carrera (NC)Posibilidad de conectar al cuadro de maniobra de puertas controladas mediante finales de carreraIncluye kit prolongación para puertas de gran espesor</v>
      </c>
      <c r="D2086" s="4" t="str">
        <f>IFERROR(__xludf.DUMMYFUNCTION("""COMPUTED_VALUE"""),"ALSE")</f>
        <v>ALSE</v>
      </c>
      <c r="E2086" s="4" t="str">
        <f>IFERROR(__xludf.DUMMYFUNCTION("""COMPUTED_VALUE"""),"AS1053")</f>
        <v>AS1053</v>
      </c>
      <c r="F2086" s="4" t="str">
        <f>IFERROR(__xludf.DUMMYFUNCTION("""COMPUTED_VALUE"""),"AUTOMATIZACION &gt; AUTOMATISMOS CERRADURAS ELECTRICAS")</f>
        <v>AUTOMATIZACION &gt; AUTOMATISMOS CERRADURAS ELECTRICAS</v>
      </c>
      <c r="G2086" s="5"/>
      <c r="H2086" s="6">
        <f>IFERROR(__xludf.DUMMYFUNCTION("""COMPUTED_VALUE"""),0.0)</f>
        <v>0</v>
      </c>
      <c r="I2086" s="7">
        <f>IFERROR(__xludf.DUMMYFUNCTION("""COMPUTED_VALUE"""),21.0)</f>
        <v>21</v>
      </c>
      <c r="J2086" s="6">
        <f>IFERROR(__xludf.DUMMYFUNCTION("""COMPUTED_VALUE"""),0.0)</f>
        <v>0</v>
      </c>
      <c r="K2086" s="6">
        <f>IFERROR(__xludf.DUMMYFUNCTION("""COMPUTED_VALUE"""),0.0)</f>
        <v>0</v>
      </c>
      <c r="L2086" s="3"/>
      <c r="M2086" s="3"/>
    </row>
    <row r="2087" ht="48.0" customHeight="1">
      <c r="A2087" s="3" t="str">
        <f>IFERROR(__xludf.DUMMYFUNCTION("""COMPUTED_VALUE"""),"AS1090")</f>
        <v>AS1090</v>
      </c>
      <c r="B2087" s="4" t="str">
        <f>IFERROR(__xludf.DUMMYFUNCTION("""COMPUTED_VALUE"""),"CERRADURA INTELIGENTE APERTURA LLAVE TRADICIONAL, TARJETA DE PROXIMIDA")</f>
        <v>CERRADURA INTELIGENTE APERTURA LLAVE TRADICIONAL, TARJETA DE PROXIMIDA</v>
      </c>
      <c r="C2087" s="4" t="str">
        <f>IFERROR(__xludf.DUMMYFUNCTION("""COMPUTED_VALUE"""),"Cerradura inteligente apertura llave tradicional, tarjeta de proximidad hasta 2000, control remoto infrarrojo hasta 7 metros y control por radiofrecuencia hasta 50 metros")</f>
        <v>Cerradura inteligente apertura llave tradicional, tarjeta de proximidad hasta 2000, control remoto infrarrojo hasta 7 metros y control por radiofrecuencia hasta 50 metros</v>
      </c>
      <c r="D2087" s="4" t="str">
        <f>IFERROR(__xludf.DUMMYFUNCTION("""COMPUTED_VALUE"""),"ALSE")</f>
        <v>ALSE</v>
      </c>
      <c r="E2087" s="4" t="str">
        <f>IFERROR(__xludf.DUMMYFUNCTION("""COMPUTED_VALUE"""),"AS1090")</f>
        <v>AS1090</v>
      </c>
      <c r="F2087" s="4" t="str">
        <f>IFERROR(__xludf.DUMMYFUNCTION("""COMPUTED_VALUE"""),"AUTOMATIZACION &gt; AUTOMATISMOS CERRADURAS ELECTRICAS")</f>
        <v>AUTOMATIZACION &gt; AUTOMATISMOS CERRADURAS ELECTRICAS</v>
      </c>
      <c r="G2087" s="5"/>
      <c r="H2087" s="6">
        <f>IFERROR(__xludf.DUMMYFUNCTION("""COMPUTED_VALUE"""),0.0)</f>
        <v>0</v>
      </c>
      <c r="I2087" s="7">
        <f>IFERROR(__xludf.DUMMYFUNCTION("""COMPUTED_VALUE"""),21.0)</f>
        <v>21</v>
      </c>
      <c r="J2087" s="6">
        <f>IFERROR(__xludf.DUMMYFUNCTION("""COMPUTED_VALUE"""),0.0)</f>
        <v>0</v>
      </c>
      <c r="K2087" s="6">
        <f>IFERROR(__xludf.DUMMYFUNCTION("""COMPUTED_VALUE"""),0.0)</f>
        <v>0</v>
      </c>
      <c r="L2087" s="3"/>
      <c r="M2087" s="3"/>
    </row>
    <row r="2088" ht="48.0" customHeight="1">
      <c r="A2088" s="3" t="str">
        <f>IFERROR(__xludf.DUMMYFUNCTION("""COMPUTED_VALUE"""),"ASTXCHARGER")</f>
        <v>ASTXCHARGER</v>
      </c>
      <c r="B2088" s="4" t="str">
        <f>IFERROR(__xludf.DUMMYFUNCTION("""COMPUTED_VALUE"""),"CONTROL REMOTO CON CARGADOR PARA EL AUTO USB 2")</f>
        <v>CONTROL REMOTO CON CARGADOR PARA EL AUTO USB 2</v>
      </c>
      <c r="C2088" s="4" t="str">
        <f>IFERROR(__xludf.DUMMYFUNCTION("""COMPUTED_VALUE"""),"Control remoto con cargador para el auto USB 2 Amper 4 Canales Alcance 30mtsTX Cargador encendedor")</f>
        <v>Control remoto con cargador para el auto USB 2 Amper 4 Canales Alcance 30mtsTX Cargador encendedor</v>
      </c>
      <c r="D2088" s="4" t="str">
        <f>IFERROR(__xludf.DUMMYFUNCTION("""COMPUTED_VALUE"""),"ALSE")</f>
        <v>ALSE</v>
      </c>
      <c r="E2088" s="4" t="str">
        <f>IFERROR(__xludf.DUMMYFUNCTION("""COMPUTED_VALUE"""),"ASTXCHARGER")</f>
        <v>ASTXCHARGER</v>
      </c>
      <c r="F2088" s="4" t="str">
        <f>IFERROR(__xludf.DUMMYFUNCTION("""COMPUTED_VALUE"""),"AUTOMATIZACION &gt; ACCESORIOS")</f>
        <v>AUTOMATIZACION &gt; ACCESORIOS</v>
      </c>
      <c r="G2088" s="5"/>
      <c r="H2088" s="6">
        <f>IFERROR(__xludf.DUMMYFUNCTION("""COMPUTED_VALUE"""),0.0)</f>
        <v>0</v>
      </c>
      <c r="I2088" s="7">
        <f>IFERROR(__xludf.DUMMYFUNCTION("""COMPUTED_VALUE"""),21.0)</f>
        <v>21</v>
      </c>
      <c r="J2088" s="6">
        <f>IFERROR(__xludf.DUMMYFUNCTION("""COMPUTED_VALUE"""),0.0)</f>
        <v>0</v>
      </c>
      <c r="K2088" s="6">
        <f>IFERROR(__xludf.DUMMYFUNCTION("""COMPUTED_VALUE"""),0.0)</f>
        <v>0</v>
      </c>
      <c r="L2088" s="3"/>
      <c r="M2088" s="3"/>
    </row>
    <row r="2089" ht="48.0" customHeight="1">
      <c r="A2089" s="3" t="str">
        <f>IFERROR(__xludf.DUMMYFUNCTION("""COMPUTED_VALUE"""),"ASTXRX4A")</f>
        <v>ASTXRX4A</v>
      </c>
      <c r="B2089" s="4" t="str">
        <f>IFERROR(__xludf.DUMMYFUNCTION("""COMPUTED_VALUE"""),"CONTROL REMOTO ADICIONAL")</f>
        <v>CONTROL REMOTO ADICIONAL</v>
      </c>
      <c r="C2089" s="4" t="str">
        <f>IFERROR(__xludf.DUMMYFUNCTION("""COMPUTED_VALUE"""),"Control remoto adicional")</f>
        <v>Control remoto adicional</v>
      </c>
      <c r="D2089" s="4" t="str">
        <f>IFERROR(__xludf.DUMMYFUNCTION("""COMPUTED_VALUE"""),"ALSE")</f>
        <v>ALSE</v>
      </c>
      <c r="E2089" s="4" t="str">
        <f>IFERROR(__xludf.DUMMYFUNCTION("""COMPUTED_VALUE"""),"ASTXRX4A")</f>
        <v>ASTXRX4A</v>
      </c>
      <c r="F2089" s="4" t="str">
        <f>IFERROR(__xludf.DUMMYFUNCTION("""COMPUTED_VALUE"""),"AUTOMATIZACION &gt; ACCESORIOS")</f>
        <v>AUTOMATIZACION &gt; ACCESORIOS</v>
      </c>
      <c r="G2089" s="5"/>
      <c r="H2089" s="6">
        <f>IFERROR(__xludf.DUMMYFUNCTION("""COMPUTED_VALUE"""),0.0)</f>
        <v>0</v>
      </c>
      <c r="I2089" s="7">
        <f>IFERROR(__xludf.DUMMYFUNCTION("""COMPUTED_VALUE"""),21.0)</f>
        <v>21</v>
      </c>
      <c r="J2089" s="6">
        <f>IFERROR(__xludf.DUMMYFUNCTION("""COMPUTED_VALUE"""),0.0)</f>
        <v>0</v>
      </c>
      <c r="K2089" s="6">
        <f>IFERROR(__xludf.DUMMYFUNCTION("""COMPUTED_VALUE"""),0.0)</f>
        <v>0</v>
      </c>
      <c r="L2089" s="3"/>
      <c r="M2089" s="3"/>
    </row>
    <row r="2090" ht="48.0" customHeight="1">
      <c r="A2090" s="3" t="str">
        <f>IFERROR(__xludf.DUMMYFUNCTION("""COMPUTED_VALUE"""),"TBCSOL16A60W")</f>
        <v>TBCSOL16A60W</v>
      </c>
      <c r="B2090" s="4" t="str">
        <f>IFERROR(__xludf.DUMMYFUNCTION("""COMPUTED_VALUE"""),"SOLDADOR PORFESIONAL 60W")</f>
        <v>SOLDADOR PORFESIONAL 60W</v>
      </c>
      <c r="C2090" s="4" t="str">
        <f>IFERROR(__xludf.DUMMYFUNCTION("""COMPUTED_VALUE"""),"Soldador porfesional 60W - 220Vca-50/60Hz - Incluye soporte - Punta cerámica")</f>
        <v>Soldador porfesional 60W - 220Vca-50/60Hz - Incluye soporte - Punta cerámica</v>
      </c>
      <c r="D2090" s="4" t="str">
        <f>IFERROR(__xludf.DUMMYFUNCTION("""COMPUTED_VALUE"""),"TBCIN")</f>
        <v>TBCIN</v>
      </c>
      <c r="E2090" s="4" t="str">
        <f>IFERROR(__xludf.DUMMYFUNCTION("""COMPUTED_VALUE"""),"TBCSOL16A60W")</f>
        <v>TBCSOL16A60W</v>
      </c>
      <c r="F2090" s="4" t="str">
        <f>IFERROR(__xludf.DUMMYFUNCTION("""COMPUTED_VALUE"""),"HERRAMIENTAS")</f>
        <v>HERRAMIENTAS</v>
      </c>
      <c r="G2090" s="5"/>
      <c r="H2090" s="6">
        <f>IFERROR(__xludf.DUMMYFUNCTION("""COMPUTED_VALUE"""),20.83)</f>
        <v>20.83</v>
      </c>
      <c r="I2090" s="7">
        <f>IFERROR(__xludf.DUMMYFUNCTION("""COMPUTED_VALUE"""),21.0)</f>
        <v>21</v>
      </c>
      <c r="J2090" s="6">
        <f>IFERROR(__xludf.DUMMYFUNCTION("""COMPUTED_VALUE"""),25.0)</f>
        <v>25</v>
      </c>
      <c r="K2090" s="6">
        <f>IFERROR(__xludf.DUMMYFUNCTION("""COMPUTED_VALUE"""),29.16)</f>
        <v>29.16</v>
      </c>
      <c r="L2090" s="3"/>
      <c r="M2090" s="3"/>
    </row>
    <row r="2091" ht="48.0" customHeight="1">
      <c r="A2091" s="3" t="str">
        <f>IFERROR(__xludf.DUMMYFUNCTION("""COMPUTED_VALUE"""),"PK1PK501D")</f>
        <v>PK1PK501D</v>
      </c>
      <c r="B2091" s="4" t="str">
        <f>IFERROR(__xludf.DUMMYFUNCTION("""COMPUTED_VALUE"""),"PINZA MICRO PUNTA RED")</f>
        <v>PINZA MICRO PUNTA RED</v>
      </c>
      <c r="C2091" s="4" t="str">
        <f>IFERROR(__xludf.DUMMYFUNCTION("""COMPUTED_VALUE"""),"PINZA MICRO PUNTA RED. 100MM PROSKIT 1PK-501D")</f>
        <v>PINZA MICRO PUNTA RED. 100MM PROSKIT 1PK-501D</v>
      </c>
      <c r="D2091" s="4" t="str">
        <f>IFERROR(__xludf.DUMMYFUNCTION("""COMPUTED_VALUE"""),"PROSKIT")</f>
        <v>PROSKIT</v>
      </c>
      <c r="E2091" s="4" t="str">
        <f>IFERROR(__xludf.DUMMYFUNCTION("""COMPUTED_VALUE"""),"PK1PK501D")</f>
        <v>PK1PK501D</v>
      </c>
      <c r="F2091" s="4" t="str">
        <f>IFERROR(__xludf.DUMMYFUNCTION("""COMPUTED_VALUE"""),"HERRAMIENTAS")</f>
        <v>HERRAMIENTAS</v>
      </c>
      <c r="G2091" s="5"/>
      <c r="H2091" s="6">
        <f>IFERROR(__xludf.DUMMYFUNCTION("""COMPUTED_VALUE"""),12.73)</f>
        <v>12.73</v>
      </c>
      <c r="I2091" s="7">
        <f>IFERROR(__xludf.DUMMYFUNCTION("""COMPUTED_VALUE"""),21.0)</f>
        <v>21</v>
      </c>
      <c r="J2091" s="6">
        <f>IFERROR(__xludf.DUMMYFUNCTION("""COMPUTED_VALUE"""),15.28)</f>
        <v>15.28</v>
      </c>
      <c r="K2091" s="6">
        <f>IFERROR(__xludf.DUMMYFUNCTION("""COMPUTED_VALUE"""),17.82)</f>
        <v>17.82</v>
      </c>
      <c r="L2091" s="3"/>
      <c r="M2091" s="3"/>
    </row>
    <row r="2092" ht="48.0" customHeight="1">
      <c r="A2092" s="3" t="str">
        <f>IFERROR(__xludf.DUMMYFUNCTION("""COMPUTED_VALUE"""),"PK8PK101D")</f>
        <v>PK8PK101D</v>
      </c>
      <c r="B2092" s="4" t="str">
        <f>IFERROR(__xludf.DUMMYFUNCTION("""COMPUTED_VALUE"""),"MICRO-ALICATE DE PRECISIÓN 130MM")</f>
        <v>MICRO-ALICATE DE PRECISIÓN 130MM</v>
      </c>
      <c r="C2092" s="4" t="str">
        <f>IFERROR(__xludf.DUMMYFUNCTION("""COMPUTED_VALUE"""),"Micro-alicate de precisión 130mm")</f>
        <v>Micro-alicate de precisión 130mm</v>
      </c>
      <c r="D2092" s="4" t="str">
        <f>IFERROR(__xludf.DUMMYFUNCTION("""COMPUTED_VALUE"""),"PROSKIT")</f>
        <v>PROSKIT</v>
      </c>
      <c r="E2092" s="4" t="str">
        <f>IFERROR(__xludf.DUMMYFUNCTION("""COMPUTED_VALUE"""),"PK8PK101D")</f>
        <v>PK8PK101D</v>
      </c>
      <c r="F2092" s="4" t="str">
        <f>IFERROR(__xludf.DUMMYFUNCTION("""COMPUTED_VALUE"""),"HERRAMIENTAS")</f>
        <v>HERRAMIENTAS</v>
      </c>
      <c r="G2092" s="5"/>
      <c r="H2092" s="6">
        <f>IFERROR(__xludf.DUMMYFUNCTION("""COMPUTED_VALUE"""),17.09)</f>
        <v>17.09</v>
      </c>
      <c r="I2092" s="7">
        <f>IFERROR(__xludf.DUMMYFUNCTION("""COMPUTED_VALUE"""),21.0)</f>
        <v>21</v>
      </c>
      <c r="J2092" s="6">
        <f>IFERROR(__xludf.DUMMYFUNCTION("""COMPUTED_VALUE"""),20.51)</f>
        <v>20.51</v>
      </c>
      <c r="K2092" s="6">
        <f>IFERROR(__xludf.DUMMYFUNCTION("""COMPUTED_VALUE"""),23.93)</f>
        <v>23.93</v>
      </c>
      <c r="L2092" s="3"/>
      <c r="M2092" s="3"/>
    </row>
    <row r="2093" ht="48.0" customHeight="1">
      <c r="A2093" s="3" t="str">
        <f>IFERROR(__xludf.DUMMYFUNCTION("""COMPUTED_VALUE"""),"PK8PK2062")</f>
        <v>PK8PK2062</v>
      </c>
      <c r="B2093" s="4" t="str">
        <f>IFERROR(__xludf.DUMMYFUNCTION("""COMPUTED_VALUE"""),"JUEGO DESTORNILLADOR PERILLERO PLANOS 6 PIEZAS (-) : 1")</f>
        <v>JUEGO DESTORNILLADOR PERILLERO PLANOS 6 PIEZAS (-) : 1</v>
      </c>
      <c r="C2093" s="4" t="str">
        <f>IFERROR(__xludf.DUMMYFUNCTION("""COMPUTED_VALUE"""),"Juego destornillador perillero planos 6 piezas (-) : 1.4, 1.6, 1.8, 2.0, 2.4, 3.0 x 20mm.")</f>
        <v>Juego destornillador perillero planos 6 piezas (-) : 1.4, 1.6, 1.8, 2.0, 2.4, 3.0 x 20mm.</v>
      </c>
      <c r="D2093" s="4" t="str">
        <f>IFERROR(__xludf.DUMMYFUNCTION("""COMPUTED_VALUE"""),"PROSKIT")</f>
        <v>PROSKIT</v>
      </c>
      <c r="E2093" s="4" t="str">
        <f>IFERROR(__xludf.DUMMYFUNCTION("""COMPUTED_VALUE"""),"PK8PK2062")</f>
        <v>PK8PK2062</v>
      </c>
      <c r="F2093" s="4" t="str">
        <f>IFERROR(__xludf.DUMMYFUNCTION("""COMPUTED_VALUE"""),"HERRAMIENTAS")</f>
        <v>HERRAMIENTAS</v>
      </c>
      <c r="G2093" s="5"/>
      <c r="H2093" s="6">
        <f>IFERROR(__xludf.DUMMYFUNCTION("""COMPUTED_VALUE"""),9.52)</f>
        <v>9.52</v>
      </c>
      <c r="I2093" s="7">
        <f>IFERROR(__xludf.DUMMYFUNCTION("""COMPUTED_VALUE"""),21.0)</f>
        <v>21</v>
      </c>
      <c r="J2093" s="6">
        <f>IFERROR(__xludf.DUMMYFUNCTION("""COMPUTED_VALUE"""),11.42)</f>
        <v>11.42</v>
      </c>
      <c r="K2093" s="6">
        <f>IFERROR(__xludf.DUMMYFUNCTION("""COMPUTED_VALUE"""),13.33)</f>
        <v>13.33</v>
      </c>
      <c r="L2093" s="3"/>
      <c r="M2093" s="3"/>
    </row>
    <row r="2094" ht="48.0" customHeight="1">
      <c r="A2094" s="3" t="str">
        <f>IFERROR(__xludf.DUMMYFUNCTION("""COMPUTED_VALUE"""),"PK8PK366NG")</f>
        <v>PK8PK366NG</v>
      </c>
      <c r="B2094" s="4" t="str">
        <f>IFERROR(__xludf.DUMMYFUNCTION("""COMPUTED_VALUE"""),"DESOLDADOR A PISTÓN CON ABS DE ALTA RESISTENCIA")</f>
        <v>DESOLDADOR A PISTÓN CON ABS DE ALTA RESISTENCIA</v>
      </c>
      <c r="C2094" s="4" t="str">
        <f>IFERROR(__xludf.DUMMYFUNCTION("""COMPUTED_VALUE"""),"Desoldador a pistón con ABS de alta resistencia. Ideal para desoldar circuitos. Mango recubierto en goma espuma para un mayor comfort. Capacidad de succión de 30 cm-Hg. Posee un depósito de residuo de soldadura fácil de eliminar.")</f>
        <v>Desoldador a pistón con ABS de alta resistencia. Ideal para desoldar circuitos. Mango recubierto en goma espuma para un mayor comfort. Capacidad de succión de 30 cm-Hg. Posee un depósito de residuo de soldadura fácil de eliminar.</v>
      </c>
      <c r="D2094" s="4" t="str">
        <f>IFERROR(__xludf.DUMMYFUNCTION("""COMPUTED_VALUE"""),"PROSKIT")</f>
        <v>PROSKIT</v>
      </c>
      <c r="E2094" s="4" t="str">
        <f>IFERROR(__xludf.DUMMYFUNCTION("""COMPUTED_VALUE"""),"PK8PK366NG")</f>
        <v>PK8PK366NG</v>
      </c>
      <c r="F2094" s="4" t="str">
        <f>IFERROR(__xludf.DUMMYFUNCTION("""COMPUTED_VALUE"""),"HERRAMIENTAS")</f>
        <v>HERRAMIENTAS</v>
      </c>
      <c r="G2094" s="5"/>
      <c r="H2094" s="6">
        <f>IFERROR(__xludf.DUMMYFUNCTION("""COMPUTED_VALUE"""),12.44)</f>
        <v>12.44</v>
      </c>
      <c r="I2094" s="7">
        <f>IFERROR(__xludf.DUMMYFUNCTION("""COMPUTED_VALUE"""),21.0)</f>
        <v>21</v>
      </c>
      <c r="J2094" s="6">
        <f>IFERROR(__xludf.DUMMYFUNCTION("""COMPUTED_VALUE"""),14.93)</f>
        <v>14.93</v>
      </c>
      <c r="K2094" s="6">
        <f>IFERROR(__xludf.DUMMYFUNCTION("""COMPUTED_VALUE"""),17.42)</f>
        <v>17.42</v>
      </c>
      <c r="L2094" s="3"/>
      <c r="M2094" s="3"/>
    </row>
    <row r="2095" ht="48.0" customHeight="1">
      <c r="A2095" s="3" t="str">
        <f>IFERROR(__xludf.DUMMYFUNCTION("""COMPUTED_VALUE"""),"PK8PK8100E")</f>
        <v>PK8PK8100E</v>
      </c>
      <c r="B2095" s="4" t="str">
        <f>IFERROR(__xludf.DUMMYFUNCTION("""COMPUTED_VALUE"""),"KIT 7 DESTORNILLADORES 1000V AISLADOS INCLUYE 4 PUNTAS PLANAS: 2")</f>
        <v>KIT 7 DESTORNILLADORES 1000V AISLADOS INCLUYE 4 PUNTAS PLANAS: 2</v>
      </c>
      <c r="C2095" s="4" t="str">
        <f>IFERROR(__xludf.DUMMYFUNCTION("""COMPUTED_VALUE"""),"Kit 7 destornilladores 1000V Aislados incluye 4 puntas Planas: 2.5x85 / 4.0x100 / 5.5x125 / 6.5x150- 3 Puntas Philips: PH0x75 / PH1x100 / PH2 x 100. Mangos ergonómicos. Acero de Cromo Vanadio. Puntas magnéticas de alta dureza. Certificados de seguridad El"&amp;"ectrica IEC 60900")</f>
        <v>Kit 7 destornilladores 1000V Aislados incluye 4 puntas Planas: 2.5x85 / 4.0x100 / 5.5x125 / 6.5x150- 3 Puntas Philips: PH0x75 / PH1x100 / PH2 x 100. Mangos ergonómicos. Acero de Cromo Vanadio. Puntas magnéticas de alta dureza. Certificados de seguridad Electrica IEC 60900</v>
      </c>
      <c r="D2095" s="4" t="str">
        <f>IFERROR(__xludf.DUMMYFUNCTION("""COMPUTED_VALUE"""),"PROSKIT")</f>
        <v>PROSKIT</v>
      </c>
      <c r="E2095" s="4" t="str">
        <f>IFERROR(__xludf.DUMMYFUNCTION("""COMPUTED_VALUE"""),"PK8PK8100E")</f>
        <v>PK8PK8100E</v>
      </c>
      <c r="F2095" s="4" t="str">
        <f>IFERROR(__xludf.DUMMYFUNCTION("""COMPUTED_VALUE"""),"HERRAMIENTAS")</f>
        <v>HERRAMIENTAS</v>
      </c>
      <c r="G2095" s="5"/>
      <c r="H2095" s="6">
        <f>IFERROR(__xludf.DUMMYFUNCTION("""COMPUTED_VALUE"""),52.2)</f>
        <v>52.2</v>
      </c>
      <c r="I2095" s="7">
        <f>IFERROR(__xludf.DUMMYFUNCTION("""COMPUTED_VALUE"""),21.0)</f>
        <v>21</v>
      </c>
      <c r="J2095" s="6">
        <f>IFERROR(__xludf.DUMMYFUNCTION("""COMPUTED_VALUE"""),62.64)</f>
        <v>62.64</v>
      </c>
      <c r="K2095" s="6">
        <f>IFERROR(__xludf.DUMMYFUNCTION("""COMPUTED_VALUE"""),73.08)</f>
        <v>73.08</v>
      </c>
      <c r="L2095" s="3"/>
      <c r="M2095" s="3"/>
    </row>
    <row r="2096" ht="48.0" customHeight="1">
      <c r="A2096" s="3" t="str">
        <f>IFERROR(__xludf.DUMMYFUNCTION("""COMPUTED_VALUE"""),"PK8PKMA003N")</f>
        <v>PK8PKMA003N</v>
      </c>
      <c r="B2096" s="4" t="str">
        <f>IFERROR(__xludf.DUMMYFUNCTION("""COMPUTED_VALUE"""),"LUPA VINCHA MANOS LIBRES MULTI-AUMENTO CON LUZ SUPER LIVIANA")</f>
        <v>LUPA VINCHA MANOS LIBRES MULTI-AUMENTO CON LUZ SUPER LIVIANA</v>
      </c>
      <c r="C2096" s="4" t="str">
        <f>IFERROR(__xludf.DUMMYFUNCTION("""COMPUTED_VALUE"""),"Lupa vincha Manos libres multi-aumento con luz Super liviana. Marco hecho de material resistente a los golpes. Vincha para la cabeza ajustable. Lupas fáciles de ajustar a la posición deseada. Fácil cambio de lentes. Totalmente ajustable para adaptarse a c"&amp;"ualquier tamaño. Aumento: Simple: 1.8X Superpuesto: 2.3X Las 3 lupas: 4.8X")</f>
        <v>Lupa vincha Manos libres multi-aumento con luz Super liviana. Marco hecho de material resistente a los golpes. Vincha para la cabeza ajustable. Lupas fáciles de ajustar a la posición deseada. Fácil cambio de lentes. Totalmente ajustable para adaptarse a cualquier tamaño. Aumento: Simple: 1.8X Superpuesto: 2.3X Las 3 lupas: 4.8X</v>
      </c>
      <c r="D2096" s="4" t="str">
        <f>IFERROR(__xludf.DUMMYFUNCTION("""COMPUTED_VALUE"""),"PROSKIT")</f>
        <v>PROSKIT</v>
      </c>
      <c r="E2096" s="4" t="str">
        <f>IFERROR(__xludf.DUMMYFUNCTION("""COMPUTED_VALUE"""),"PK8PKMA003N")</f>
        <v>PK8PKMA003N</v>
      </c>
      <c r="F2096" s="4" t="str">
        <f>IFERROR(__xludf.DUMMYFUNCTION("""COMPUTED_VALUE"""),"HERRAMIENTAS")</f>
        <v>HERRAMIENTAS</v>
      </c>
      <c r="G2096" s="5"/>
      <c r="H2096" s="6">
        <f>IFERROR(__xludf.DUMMYFUNCTION("""COMPUTED_VALUE"""),27.1)</f>
        <v>27.1</v>
      </c>
      <c r="I2096" s="7">
        <f>IFERROR(__xludf.DUMMYFUNCTION("""COMPUTED_VALUE"""),21.0)</f>
        <v>21</v>
      </c>
      <c r="J2096" s="6">
        <f>IFERROR(__xludf.DUMMYFUNCTION("""COMPUTED_VALUE"""),32.52)</f>
        <v>32.52</v>
      </c>
      <c r="K2096" s="6">
        <f>IFERROR(__xludf.DUMMYFUNCTION("""COMPUTED_VALUE"""),37.94)</f>
        <v>37.94</v>
      </c>
      <c r="L2096" s="3"/>
      <c r="M2096" s="3"/>
    </row>
    <row r="2097" ht="48.0" customHeight="1">
      <c r="A2097" s="3" t="str">
        <f>IFERROR(__xludf.DUMMYFUNCTION("""COMPUTED_VALUE"""),"PKCP315")</f>
        <v>PKCP315</v>
      </c>
      <c r="B2097" s="4" t="str">
        <f>IFERROR(__xludf.DUMMYFUNCTION("""COMPUTED_VALUE"""),"PINZA CRIMPEADORA AJUSTABLE CABLE COAXIAL RG6 PROSKIT CP-315 PARA")</f>
        <v>PINZA CRIMPEADORA AJUSTABLE CABLE COAXIAL RG6 PROSKIT CP-315 PARA</v>
      </c>
      <c r="C2097" s="4" t="str">
        <f>IFERROR(__xludf.DUMMYFUNCTION("""COMPUTED_VALUE"""),"Pinza Crimpeadora Ajustable Cable Coaxial Rg6 Proskit Cp-315 Para conectores BNC, F, RCA en RG58, RG59, RG6 (3C, 4C, 5C) coaxial")</f>
        <v>Pinza Crimpeadora Ajustable Cable Coaxial Rg6 Proskit Cp-315 Para conectores BNC, F, RCA en RG58, RG59, RG6 (3C, 4C, 5C) coaxial</v>
      </c>
      <c r="D2097" s="4" t="str">
        <f>IFERROR(__xludf.DUMMYFUNCTION("""COMPUTED_VALUE"""),"PROSKIT")</f>
        <v>PROSKIT</v>
      </c>
      <c r="E2097" s="4" t="str">
        <f>IFERROR(__xludf.DUMMYFUNCTION("""COMPUTED_VALUE"""),"PKCP315")</f>
        <v>PKCP315</v>
      </c>
      <c r="F2097" s="4" t="str">
        <f>IFERROR(__xludf.DUMMYFUNCTION("""COMPUTED_VALUE"""),"HERRAMIENTAS")</f>
        <v>HERRAMIENTAS</v>
      </c>
      <c r="G2097" s="5"/>
      <c r="H2097" s="6">
        <f>IFERROR(__xludf.DUMMYFUNCTION("""COMPUTED_VALUE"""),50.34)</f>
        <v>50.34</v>
      </c>
      <c r="I2097" s="7">
        <f>IFERROR(__xludf.DUMMYFUNCTION("""COMPUTED_VALUE"""),21.0)</f>
        <v>21</v>
      </c>
      <c r="J2097" s="6">
        <f>IFERROR(__xludf.DUMMYFUNCTION("""COMPUTED_VALUE"""),60.41)</f>
        <v>60.41</v>
      </c>
      <c r="K2097" s="6">
        <f>IFERROR(__xludf.DUMMYFUNCTION("""COMPUTED_VALUE"""),70.48)</f>
        <v>70.48</v>
      </c>
      <c r="L2097" s="3"/>
      <c r="M2097" s="3"/>
    </row>
    <row r="2098" ht="48.0" customHeight="1">
      <c r="A2098" s="3" t="str">
        <f>IFERROR(__xludf.DUMMYFUNCTION("""COMPUTED_VALUE"""),"PKCP373")</f>
        <v>PKCP373</v>
      </c>
      <c r="B2098" s="4" t="str">
        <f>IFERROR(__xludf.DUMMYFUNCTION("""COMPUTED_VALUE"""),"CRIMPEADORA PARA CONECTORES F4P, 6P, 8P (CABLE TELEFONÍA RJ11")</f>
        <v>CRIMPEADORA PARA CONECTORES F4P, 6P, 8P (CABLE TELEFONÍA RJ11</v>
      </c>
      <c r="C2098" s="4" t="str">
        <f>IFERROR(__xludf.DUMMYFUNCTION("""COMPUTED_VALUE"""),"Crimpeadora para conectores F4P, 6P, 8P (Cable Telefonía RJ11 - RJ12 - RJ22 - RJ45) Cuchillas de corte de vaina. Alojamiento de conectores 6P y 8P. Recubierta en goma")</f>
        <v>Crimpeadora para conectores F4P, 6P, 8P (Cable Telefonía RJ11 - RJ12 - RJ22 - RJ45) Cuchillas de corte de vaina. Alojamiento de conectores 6P y 8P. Recubierta en goma</v>
      </c>
      <c r="D2098" s="4" t="str">
        <f>IFERROR(__xludf.DUMMYFUNCTION("""COMPUTED_VALUE"""),"PROSKIT")</f>
        <v>PROSKIT</v>
      </c>
      <c r="E2098" s="4" t="str">
        <f>IFERROR(__xludf.DUMMYFUNCTION("""COMPUTED_VALUE"""),"PKCP373")</f>
        <v>PKCP373</v>
      </c>
      <c r="F2098" s="4" t="str">
        <f>IFERROR(__xludf.DUMMYFUNCTION("""COMPUTED_VALUE"""),"HERRAMIENTAS")</f>
        <v>HERRAMIENTAS</v>
      </c>
      <c r="G2098" s="5"/>
      <c r="H2098" s="6">
        <f>IFERROR(__xludf.DUMMYFUNCTION("""COMPUTED_VALUE"""),39.11)</f>
        <v>39.11</v>
      </c>
      <c r="I2098" s="7">
        <f>IFERROR(__xludf.DUMMYFUNCTION("""COMPUTED_VALUE"""),21.0)</f>
        <v>21</v>
      </c>
      <c r="J2098" s="6">
        <f>IFERROR(__xludf.DUMMYFUNCTION("""COMPUTED_VALUE"""),46.93)</f>
        <v>46.93</v>
      </c>
      <c r="K2098" s="6">
        <f>IFERROR(__xludf.DUMMYFUNCTION("""COMPUTED_VALUE"""),54.75)</f>
        <v>54.75</v>
      </c>
      <c r="L2098" s="3"/>
      <c r="M2098" s="3"/>
    </row>
    <row r="2099" ht="48.0" customHeight="1">
      <c r="A2099" s="3" t="str">
        <f>IFERROR(__xludf.DUMMYFUNCTION("""COMPUTED_VALUE"""),"PKNT309")</f>
        <v>PKNT309</v>
      </c>
      <c r="B2099" s="4" t="str">
        <f>IFERROR(__xludf.DUMMYFUNCTION("""COMPUTED_VALUE"""),"BUSCAPOLO INDUCTIVO DETECTOR DE VOLTAJES, SIN CONTACTO PORTÁTIL DISEÑA")</f>
        <v>BUSCAPOLO INDUCTIVO DETECTOR DE VOLTAJES, SIN CONTACTO PORTÁTIL DISEÑA</v>
      </c>
      <c r="C2099" s="4" t="str">
        <f>IFERROR(__xludf.DUMMYFUNCTION("""COMPUTED_VALUE"""),"Buscapolo inductivo detector de voltajes, sin contacto portátil diseñado para detectar el voltaje AC en el rango de 12 a 1000 voltios. Apto para el uso profesional y doméstico. Indicador de nivel de voltaje. Categoría de seguridad CAT III 1000 V. Indicado"&amp;"r LED rojo y alarma sónica. Indicador de luz LED. - Indicador de batería baja. Rango de voltaje 12 V ~ 1000 VAC, 50 / 60 Hz")</f>
        <v>Buscapolo inductivo detector de voltajes, sin contacto portátil diseñado para detectar el voltaje AC en el rango de 12 a 1000 voltios. Apto para el uso profesional y doméstico. Indicador de nivel de voltaje. Categoría de seguridad CAT III 1000 V. Indicador LED rojo y alarma sónica. Indicador de luz LED. - Indicador de batería baja. Rango de voltaje 12 V ~ 1000 VAC, 50 / 60 Hz</v>
      </c>
      <c r="D2099" s="4" t="str">
        <f>IFERROR(__xludf.DUMMYFUNCTION("""COMPUTED_VALUE"""),"PROSKIT")</f>
        <v>PROSKIT</v>
      </c>
      <c r="E2099" s="4" t="str">
        <f>IFERROR(__xludf.DUMMYFUNCTION("""COMPUTED_VALUE"""),"PKNT309")</f>
        <v>PKNT309</v>
      </c>
      <c r="F2099" s="4" t="str">
        <f>IFERROR(__xludf.DUMMYFUNCTION("""COMPUTED_VALUE"""),"HERRAMIENTAS")</f>
        <v>HERRAMIENTAS</v>
      </c>
      <c r="G2099" s="5"/>
      <c r="H2099" s="6">
        <f>IFERROR(__xludf.DUMMYFUNCTION("""COMPUTED_VALUE"""),24.17)</f>
        <v>24.17</v>
      </c>
      <c r="I2099" s="7">
        <f>IFERROR(__xludf.DUMMYFUNCTION("""COMPUTED_VALUE"""),21.0)</f>
        <v>21</v>
      </c>
      <c r="J2099" s="6">
        <f>IFERROR(__xludf.DUMMYFUNCTION("""COMPUTED_VALUE"""),29.0)</f>
        <v>29</v>
      </c>
      <c r="K2099" s="6">
        <f>IFERROR(__xludf.DUMMYFUNCTION("""COMPUTED_VALUE"""),33.84)</f>
        <v>33.84</v>
      </c>
      <c r="L2099" s="3"/>
      <c r="M2099" s="3"/>
    </row>
    <row r="2100" ht="48.0" customHeight="1">
      <c r="A2100" s="3" t="str">
        <f>IFERROR(__xludf.DUMMYFUNCTION("""COMPUTED_VALUE"""),"PKSD2301")</f>
        <v>PKSD2301</v>
      </c>
      <c r="B2100" s="4" t="str">
        <f>IFERROR(__xludf.DUMMYFUNCTION("""COMPUTED_VALUE"""),"SET KIT DESTORNILLADOR 6 PIEZAS PHILIPS Y PLANO")</f>
        <v>SET KIT DESTORNILLADOR 6 PIEZAS PHILIPS Y PLANO</v>
      </c>
      <c r="C2100" s="4" t="str">
        <f>IFERROR(__xludf.DUMMYFUNCTION("""COMPUTED_VALUE"""),"Set Kit Destornillador 6 piezas philips y plano. Hecho de acero de cromo-molíbdeno vanadio de alta calidad. Plano: 3.0x75mm - 5.0x75mm - 6x100mm Philips: #0x75mm - #1x75mm - #2x75mm")</f>
        <v>Set Kit Destornillador 6 piezas philips y plano. Hecho de acero de cromo-molíbdeno vanadio de alta calidad. Plano: 3.0x75mm - 5.0x75mm - 6x100mm Philips: #0x75mm - #1x75mm - #2x75mm</v>
      </c>
      <c r="D2100" s="4" t="str">
        <f>IFERROR(__xludf.DUMMYFUNCTION("""COMPUTED_VALUE"""),"PROSKIT")</f>
        <v>PROSKIT</v>
      </c>
      <c r="E2100" s="4" t="str">
        <f>IFERROR(__xludf.DUMMYFUNCTION("""COMPUTED_VALUE"""),"PKSD2301")</f>
        <v>PKSD2301</v>
      </c>
      <c r="F2100" s="4" t="str">
        <f>IFERROR(__xludf.DUMMYFUNCTION("""COMPUTED_VALUE"""),"HERRAMIENTAS")</f>
        <v>HERRAMIENTAS</v>
      </c>
      <c r="G2100" s="5"/>
      <c r="H2100" s="6">
        <f>IFERROR(__xludf.DUMMYFUNCTION("""COMPUTED_VALUE"""),39.33)</f>
        <v>39.33</v>
      </c>
      <c r="I2100" s="7">
        <f>IFERROR(__xludf.DUMMYFUNCTION("""COMPUTED_VALUE"""),21.0)</f>
        <v>21</v>
      </c>
      <c r="J2100" s="6">
        <f>IFERROR(__xludf.DUMMYFUNCTION("""COMPUTED_VALUE"""),47.2)</f>
        <v>47.2</v>
      </c>
      <c r="K2100" s="6">
        <f>IFERROR(__xludf.DUMMYFUNCTION("""COMPUTED_VALUE"""),55.06)</f>
        <v>55.06</v>
      </c>
      <c r="L2100" s="3"/>
      <c r="M2100" s="3"/>
    </row>
    <row r="2101" ht="48.0" customHeight="1">
      <c r="A2101" s="3" t="str">
        <f>IFERROR(__xludf.DUMMYFUNCTION("""COMPUTED_VALUE"""),"PKSS989B")</f>
        <v>PKSS989B</v>
      </c>
      <c r="B2101" s="4" t="str">
        <f>IFERROR(__xludf.DUMMYFUNCTION("""COMPUTED_VALUE"""),"ESTACIÓN DE SOLDADO DIGITAL 700W AIRE Y SOLDADOR")</f>
        <v>ESTACIÓN DE SOLDADO DIGITAL 700W AIRE Y SOLDADOR</v>
      </c>
      <c r="C2101" s="4" t="str">
        <f>IFERROR(__xludf.DUMMYFUNCTION("""COMPUTED_VALUE"""),"Estación de Soldado Digital 700W Aire y Soldador. Display digital para controlar tanto las temperaturas como caudal de aire en forma independiente. Compatible con todas las boquillas del mercado. Funcionamiento silencioso. Diafragma con capacidad máxima a"&amp;" 24L/min, nivel de ruido menor a 45dB. Auto Cool OFF una vez apagada la estación el ventilador se mantiene encendido hasta que la boquilla se enfríe totalmente. De esta forma se prolonga la vida útil de la misma.")</f>
        <v>Estación de Soldado Digital 700W Aire y Soldador. Display digital para controlar tanto las temperaturas como caudal de aire en forma independiente. Compatible con todas las boquillas del mercado. Funcionamiento silencioso. Diafragma con capacidad máxima a 24L/min, nivel de ruido menor a 45dB. Auto Cool OFF una vez apagada la estación el ventilador se mantiene encendido hasta que la boquilla se enfríe totalmente. De esta forma se prolonga la vida útil de la misma.</v>
      </c>
      <c r="D2101" s="4" t="str">
        <f>IFERROR(__xludf.DUMMYFUNCTION("""COMPUTED_VALUE"""),"PROSKIT")</f>
        <v>PROSKIT</v>
      </c>
      <c r="E2101" s="4" t="str">
        <f>IFERROR(__xludf.DUMMYFUNCTION("""COMPUTED_VALUE"""),"PKSS989B")</f>
        <v>PKSS989B</v>
      </c>
      <c r="F2101" s="4" t="str">
        <f>IFERROR(__xludf.DUMMYFUNCTION("""COMPUTED_VALUE"""),"HERRAMIENTAS")</f>
        <v>HERRAMIENTAS</v>
      </c>
      <c r="G2101" s="5"/>
      <c r="H2101" s="6">
        <f>IFERROR(__xludf.DUMMYFUNCTION("""COMPUTED_VALUE"""),241.67)</f>
        <v>241.67</v>
      </c>
      <c r="I2101" s="7">
        <f>IFERROR(__xludf.DUMMYFUNCTION("""COMPUTED_VALUE"""),21.0)</f>
        <v>21</v>
      </c>
      <c r="J2101" s="6">
        <f>IFERROR(__xludf.DUMMYFUNCTION("""COMPUTED_VALUE"""),290.0)</f>
        <v>290</v>
      </c>
      <c r="K2101" s="6">
        <f>IFERROR(__xludf.DUMMYFUNCTION("""COMPUTED_VALUE"""),338.34)</f>
        <v>338.34</v>
      </c>
      <c r="L2101" s="3"/>
      <c r="M2101" s="3"/>
    </row>
    <row r="2102" ht="48.0" customHeight="1">
      <c r="A2102" s="3" t="str">
        <f>IFERROR(__xludf.DUMMYFUNCTION("""COMPUTED_VALUE"""),"DARH2480C")</f>
        <v>DARH2480C</v>
      </c>
      <c r="B2102" s="4" t="str">
        <f>IFERROR(__xludf.DUMMYFUNCTION("""COMPUTED_VALUE"""),"ROTOMARTILLO DAEWOO DARH24-80C")</f>
        <v>ROTOMARTILLO DAEWOO DARH24-80C</v>
      </c>
      <c r="C2102" s="4" t="str">
        <f>IFERROR(__xludf.DUMMYFUNCTION("""COMPUTED_VALUE"""),"Rotomartillo Daewoo Darh24-80c. Potencia: 800 W. Voltaje: 220 V. Frecuencia: 50 Hz. Tasas sin carga: 0-1050 r/min. Tasas máximas de impacto: 5200 bpm. Energía de impacto: 2.5J. Tipo de encastre: SDS PLUS. Peso: 2,9 kg. Acero: 13 mm | Hormigón: 24 mm | Mad"&amp;"era: 30 mm. Incluye: mango auxiliar, cincel de punta 10×150 mm, cincel plano 10×150 mm, 3 brocas 8/10/12×150 mm, juego de carbones de repuesto y guardapolvo.")</f>
        <v>Rotomartillo Daewoo Darh24-80c. Potencia: 800 W. Voltaje: 220 V. Frecuencia: 50 Hz. Tasas sin carga: 0-1050 r/min. Tasas máximas de impacto: 5200 bpm. Energía de impacto: 2.5J. Tipo de encastre: SDS PLUS. Peso: 2,9 kg. Acero: 13 mm | Hormigón: 24 mm | Madera: 30 mm. Incluye: mango auxiliar, cincel de punta 10×150 mm, cincel plano 10×150 mm, 3 brocas 8/10/12×150 mm, juego de carbones de repuesto y guardapolvo.</v>
      </c>
      <c r="D2102" s="4" t="str">
        <f>IFERROR(__xludf.DUMMYFUNCTION("""COMPUTED_VALUE"""),"DAEWOO")</f>
        <v>DAEWOO</v>
      </c>
      <c r="E2102" s="4" t="str">
        <f>IFERROR(__xludf.DUMMYFUNCTION("""COMPUTED_VALUE"""),"DARH2480C")</f>
        <v>DARH2480C</v>
      </c>
      <c r="F2102" s="4" t="str">
        <f>IFERROR(__xludf.DUMMYFUNCTION("""COMPUTED_VALUE"""),"HERRAMIENTAS")</f>
        <v>HERRAMIENTAS</v>
      </c>
      <c r="G2102" s="5"/>
      <c r="H2102" s="6">
        <f>IFERROR(__xludf.DUMMYFUNCTION("""COMPUTED_VALUE"""),0.0)</f>
        <v>0</v>
      </c>
      <c r="I2102" s="7">
        <f>IFERROR(__xludf.DUMMYFUNCTION("""COMPUTED_VALUE"""),10.5)</f>
        <v>10.5</v>
      </c>
      <c r="J2102" s="6">
        <f>IFERROR(__xludf.DUMMYFUNCTION("""COMPUTED_VALUE"""),0.0)</f>
        <v>0</v>
      </c>
      <c r="K2102" s="6">
        <f>IFERROR(__xludf.DUMMYFUNCTION("""COMPUTED_VALUE"""),0.0)</f>
        <v>0</v>
      </c>
      <c r="L2102" s="3"/>
      <c r="M2102" s="3"/>
    </row>
    <row r="2103" ht="48.0" customHeight="1">
      <c r="A2103" s="3" t="str">
        <f>IFERROR(__xludf.DUMMYFUNCTION("""COMPUTED_VALUE"""),"DAS35XL")</f>
        <v>DAS35XL</v>
      </c>
      <c r="B2103" s="4" t="str">
        <f>IFERROR(__xludf.DUMMYFUNCTION("""COMPUTED_VALUE"""),"DESTORNILLADOR INALÁMBRICO DAEWOO DAS35XL 4")</f>
        <v>DESTORNILLADOR INALÁMBRICO DAEWOO DAS35XL 4</v>
      </c>
      <c r="C2103" s="4" t="str">
        <f>IFERROR(__xludf.DUMMYFUNCTION("""COMPUTED_VALUE"""),"Destornillador Inalámbrico Daewoo Das35xl 4.8v Naranja. Potencia: 3.6 V. Mandril: 6.35 mm. Vel. sin carga: 210 rpm. Incluye: 37 accesorios y luz LED. Incluye accesorios. Puntas intercambiables. Encastre imantado")</f>
        <v>Destornillador Inalámbrico Daewoo Das35xl 4.8v Naranja. Potencia: 3.6 V. Mandril: 6.35 mm. Vel. sin carga: 210 rpm. Incluye: 37 accesorios y luz LED. Incluye accesorios. Puntas intercambiables. Encastre imantado</v>
      </c>
      <c r="D2103" s="4" t="str">
        <f>IFERROR(__xludf.DUMMYFUNCTION("""COMPUTED_VALUE"""),"DAEWOO")</f>
        <v>DAEWOO</v>
      </c>
      <c r="E2103" s="4" t="str">
        <f>IFERROR(__xludf.DUMMYFUNCTION("""COMPUTED_VALUE"""),"DAS35XL")</f>
        <v>DAS35XL</v>
      </c>
      <c r="F2103" s="4" t="str">
        <f>IFERROR(__xludf.DUMMYFUNCTION("""COMPUTED_VALUE"""),"HERRAMIENTAS")</f>
        <v>HERRAMIENTAS</v>
      </c>
      <c r="G2103" s="5"/>
      <c r="H2103" s="6">
        <f>IFERROR(__xludf.DUMMYFUNCTION("""COMPUTED_VALUE"""),0.0)</f>
        <v>0</v>
      </c>
      <c r="I2103" s="7">
        <f>IFERROR(__xludf.DUMMYFUNCTION("""COMPUTED_VALUE"""),21.0)</f>
        <v>21</v>
      </c>
      <c r="J2103" s="6">
        <f>IFERROR(__xludf.DUMMYFUNCTION("""COMPUTED_VALUE"""),0.0)</f>
        <v>0</v>
      </c>
      <c r="K2103" s="6">
        <f>IFERROR(__xludf.DUMMYFUNCTION("""COMPUTED_VALUE"""),0.0)</f>
        <v>0</v>
      </c>
      <c r="L2103" s="3"/>
      <c r="M2103" s="3"/>
    </row>
    <row r="2104" ht="48.0" customHeight="1">
      <c r="A2104" s="3" t="str">
        <f>IFERROR(__xludf.DUMMYFUNCTION("""COMPUTED_VALUE"""),"DACD1210")</f>
        <v>DACD1210</v>
      </c>
      <c r="B2104" s="4" t="str">
        <f>IFERROR(__xludf.DUMMYFUNCTION("""COMPUTED_VALUE"""),"TALADRO INALÁMBRICO DE 10MM DAEWOO DACD1210")</f>
        <v>TALADRO INALÁMBRICO DE 10MM DAEWOO DACD1210</v>
      </c>
      <c r="C2104" s="4" t="str">
        <f>IFERROR(__xludf.DUMMYFUNCTION("""COMPUTED_VALUE"""),"Taladro Inalámbrico De 10mm Daewoo Dacd1210. Potencia: 12 v. Velocidad: 0-550 rpm. Mandril: 0.8-10 mm. Torción máxima: 19 n.m. Ajustes de torsión: 19+1. Tiempo de carga: 3 a 5 horas")</f>
        <v>Taladro Inalámbrico De 10mm Daewoo Dacd1210. Potencia: 12 v. Velocidad: 0-550 rpm. Mandril: 0.8-10 mm. Torción máxima: 19 n.m. Ajustes de torsión: 19+1. Tiempo de carga: 3 a 5 horas</v>
      </c>
      <c r="D2104" s="4" t="str">
        <f>IFERROR(__xludf.DUMMYFUNCTION("""COMPUTED_VALUE"""),"DAEWOO")</f>
        <v>DAEWOO</v>
      </c>
      <c r="E2104" s="4" t="str">
        <f>IFERROR(__xludf.DUMMYFUNCTION("""COMPUTED_VALUE"""),"DACD1210")</f>
        <v>DACD1210</v>
      </c>
      <c r="F2104" s="4" t="str">
        <f>IFERROR(__xludf.DUMMYFUNCTION("""COMPUTED_VALUE"""),"HERRAMIENTAS")</f>
        <v>HERRAMIENTAS</v>
      </c>
      <c r="G2104" s="5"/>
      <c r="H2104" s="6">
        <f>IFERROR(__xludf.DUMMYFUNCTION("""COMPUTED_VALUE"""),0.0)</f>
        <v>0</v>
      </c>
      <c r="I2104" s="7">
        <f>IFERROR(__xludf.DUMMYFUNCTION("""COMPUTED_VALUE"""),21.0)</f>
        <v>21</v>
      </c>
      <c r="J2104" s="6">
        <f>IFERROR(__xludf.DUMMYFUNCTION("""COMPUTED_VALUE"""),0.0)</f>
        <v>0</v>
      </c>
      <c r="K2104" s="6">
        <f>IFERROR(__xludf.DUMMYFUNCTION("""COMPUTED_VALUE"""),0.0)</f>
        <v>0</v>
      </c>
      <c r="L2104" s="3"/>
      <c r="M2104" s="3"/>
    </row>
    <row r="2105" ht="48.0" customHeight="1">
      <c r="A2105" s="3" t="str">
        <f>IFERROR(__xludf.DUMMYFUNCTION("""COMPUTED_VALUE"""),"DACD1800V2")</f>
        <v>DACD1800V2</v>
      </c>
      <c r="B2105" s="4" t="str">
        <f>IFERROR(__xludf.DUMMYFUNCTION("""COMPUTED_VALUE"""),"TALADRO INALÁMBRICO DE 10MM DAEWOO DACD1800V2")</f>
        <v>TALADRO INALÁMBRICO DE 10MM DAEWOO DACD1800V2</v>
      </c>
      <c r="C2105" s="4" t="str">
        <f>IFERROR(__xludf.DUMMYFUNCTION("""COMPUTED_VALUE"""),"Taladro Inalámbrico De 10mm Daewoo DACD1800V2. Voltaje: 18 V. Velocidad sin carga: 0-350 / 1350 rpm. Mandril: 0.8-10 mm. Torsión máxima: 30 n.m. Ajuste de torsión: 18+1. Tiempo de carga: 5 horas. Incluye: Batería de 1.5 Ah, luz LED, accesorios, maletín BM"&amp;"C y función percutor. Incluye batería de 1.5 Ah, Incluye 54 accesorios, Incluye maletín, Soporte metálico para cinturón")</f>
        <v>Taladro Inalámbrico De 10mm Daewoo DACD1800V2. Voltaje: 18 V. Velocidad sin carga: 0-350 / 1350 rpm. Mandril: 0.8-10 mm. Torsión máxima: 30 n.m. Ajuste de torsión: 18+1. Tiempo de carga: 5 horas. Incluye: Batería de 1.5 Ah, luz LED, accesorios, maletín BMC y función percutor. Incluye batería de 1.5 Ah, Incluye 54 accesorios, Incluye maletín, Soporte metálico para cinturón</v>
      </c>
      <c r="D2105" s="4" t="str">
        <f>IFERROR(__xludf.DUMMYFUNCTION("""COMPUTED_VALUE"""),"DAEWOO")</f>
        <v>DAEWOO</v>
      </c>
      <c r="E2105" s="4" t="str">
        <f>IFERROR(__xludf.DUMMYFUNCTION("""COMPUTED_VALUE"""),"DACD1800V2")</f>
        <v>DACD1800V2</v>
      </c>
      <c r="F2105" s="4" t="str">
        <f>IFERROR(__xludf.DUMMYFUNCTION("""COMPUTED_VALUE"""),"HERRAMIENTAS")</f>
        <v>HERRAMIENTAS</v>
      </c>
      <c r="G2105" s="5"/>
      <c r="H2105" s="6">
        <f>IFERROR(__xludf.DUMMYFUNCTION("""COMPUTED_VALUE"""),0.0)</f>
        <v>0</v>
      </c>
      <c r="I2105" s="7">
        <f>IFERROR(__xludf.DUMMYFUNCTION("""COMPUTED_VALUE"""),21.0)</f>
        <v>21</v>
      </c>
      <c r="J2105" s="6">
        <f>IFERROR(__xludf.DUMMYFUNCTION("""COMPUTED_VALUE"""),0.0)</f>
        <v>0</v>
      </c>
      <c r="K2105" s="6">
        <f>IFERROR(__xludf.DUMMYFUNCTION("""COMPUTED_VALUE"""),0.0)</f>
        <v>0</v>
      </c>
      <c r="L2105" s="3"/>
      <c r="M2105" s="3"/>
    </row>
    <row r="2106" ht="48.0" customHeight="1">
      <c r="A2106" s="3" t="str">
        <f>IFERROR(__xludf.DUMMYFUNCTION("""COMPUTED_VALUE"""),"DAID550K")</f>
        <v>DAID550K</v>
      </c>
      <c r="B2106" s="4" t="str">
        <f>IFERROR(__xludf.DUMMYFUNCTION("""COMPUTED_VALUE"""),"TALADRO PERCUTOR ELÉCTRICO DE 13MM DAEWOO DAID550")</f>
        <v>TALADRO PERCUTOR ELÉCTRICO DE 13MM DAEWOO DAID550</v>
      </c>
      <c r="C2106" s="4" t="str">
        <f>IFERROR(__xludf.DUMMYFUNCTION("""COMPUTED_VALUE"""),"Taladro Percutor Eléctrico De 13mm Daewoo Daid550. Potencia: 550 W. Velocidad sin carga: 0-3000 rpm. Tasa de impacto: 48.000 bpm. Mandril: 13 mm. Acero: 10 mm. Cap. máx. de perforación Concreto: 13 mm. Cap. máx. de perforación Madera: 20 mm. Incluye 34 Ac"&amp;"cesorios: Medidor de profundidad, Mango auxiliar, Set Escobilla de carbón, Llave de mandril, Buscapolo digital, Cinta aisladora, Destornillador estrella, Destornillador plano, Adaptador de puntas, 5 Puntas para destornillador de 50 mm. 9 Bocallaves (5, 6,"&amp;" 7, 8, 9, 10, 11, 12 y 13 mm). Llave francesa ajustable, Pinza universal de 6”, Martillo carpintero, Cutter, 3 Mechas para acero (5, 6 y 8 mm), 3 Mechas para concreto (5, 6 y 8 mm), Set tornillos y tarugos.")</f>
        <v>Taladro Percutor Eléctrico De 13mm Daewoo Daid550. Potencia: 550 W. Velocidad sin carga: 0-3000 rpm. Tasa de impacto: 48.000 bpm. Mandril: 13 mm. Acero: 10 mm. Cap. máx. de perforación Concreto: 13 mm. Cap. máx. de perforación Madera: 20 mm. Incluye 34 Accesorios: Medidor de profundidad, Mango auxiliar, Set Escobilla de carbón, Llave de mandril, Buscapolo digital, Cinta aisladora, Destornillador estrella, Destornillador plano, Adaptador de puntas, 5 Puntas para destornillador de 50 mm. 9 Bocallaves (5, 6, 7, 8, 9, 10, 11, 12 y 13 mm). Llave francesa ajustable, Pinza universal de 6”, Martillo carpintero, Cutter, 3 Mechas para acero (5, 6 y 8 mm), 3 Mechas para concreto (5, 6 y 8 mm), Set tornillos y tarugos.</v>
      </c>
      <c r="D2106" s="4" t="str">
        <f>IFERROR(__xludf.DUMMYFUNCTION("""COMPUTED_VALUE"""),"DAEWOO")</f>
        <v>DAEWOO</v>
      </c>
      <c r="E2106" s="4" t="str">
        <f>IFERROR(__xludf.DUMMYFUNCTION("""COMPUTED_VALUE"""),"DAID550K")</f>
        <v>DAID550K</v>
      </c>
      <c r="F2106" s="4" t="str">
        <f>IFERROR(__xludf.DUMMYFUNCTION("""COMPUTED_VALUE"""),"HERRAMIENTAS")</f>
        <v>HERRAMIENTAS</v>
      </c>
      <c r="G2106" s="5"/>
      <c r="H2106" s="6">
        <f>IFERROR(__xludf.DUMMYFUNCTION("""COMPUTED_VALUE"""),81.51)</f>
        <v>81.51</v>
      </c>
      <c r="I2106" s="7">
        <f>IFERROR(__xludf.DUMMYFUNCTION("""COMPUTED_VALUE"""),21.0)</f>
        <v>21</v>
      </c>
      <c r="J2106" s="6">
        <f>IFERROR(__xludf.DUMMYFUNCTION("""COMPUTED_VALUE"""),97.81)</f>
        <v>97.81</v>
      </c>
      <c r="K2106" s="6">
        <f>IFERROR(__xludf.DUMMYFUNCTION("""COMPUTED_VALUE"""),114.11)</f>
        <v>114.11</v>
      </c>
      <c r="L2106" s="3"/>
      <c r="M2106" s="3"/>
    </row>
    <row r="2107" ht="48.0" customHeight="1">
      <c r="A2107" s="3" t="str">
        <f>IFERROR(__xludf.DUMMYFUNCTION("""COMPUTED_VALUE"""),"DAOS230")</f>
        <v>DAOS230</v>
      </c>
      <c r="B2107" s="4" t="str">
        <f>IFERROR(__xludf.DUMMYFUNCTION("""COMPUTED_VALUE"""),"LIJADORA ROTO ORBITAL DAEWOO DAOS230")</f>
        <v>LIJADORA ROTO ORBITAL DAEWOO DAOS230</v>
      </c>
      <c r="C2107" s="4" t="str">
        <f>IFERROR(__xludf.DUMMYFUNCTION("""COMPUTED_VALUE"""),"Lijadora Roto Orbital Daewoo Daos230. Potencia: 240 w. Velocidad sin carga: 12000 rpm. Diámetro de la almohadilla: 125 mm. Tamaño del papel de lijadora: 125 mm. Diam. del circuito oscilante: 2.2 mm. Longitud del cable: 2 m. Incluye: Bolsa recolectora de p"&amp;"olvo y papel de lijado.")</f>
        <v>Lijadora Roto Orbital Daewoo Daos230. Potencia: 240 w. Velocidad sin carga: 12000 rpm. Diámetro de la almohadilla: 125 mm. Tamaño del papel de lijadora: 125 mm. Diam. del circuito oscilante: 2.2 mm. Longitud del cable: 2 m. Incluye: Bolsa recolectora de polvo y papel de lijado.</v>
      </c>
      <c r="D2107" s="4" t="str">
        <f>IFERROR(__xludf.DUMMYFUNCTION("""COMPUTED_VALUE"""),"DAEWOO")</f>
        <v>DAEWOO</v>
      </c>
      <c r="E2107" s="4" t="str">
        <f>IFERROR(__xludf.DUMMYFUNCTION("""COMPUTED_VALUE"""),"DAOS230")</f>
        <v>DAOS230</v>
      </c>
      <c r="F2107" s="4" t="str">
        <f>IFERROR(__xludf.DUMMYFUNCTION("""COMPUTED_VALUE"""),"HERRAMIENTAS")</f>
        <v>HERRAMIENTAS</v>
      </c>
      <c r="G2107" s="5"/>
      <c r="H2107" s="6">
        <f>IFERROR(__xludf.DUMMYFUNCTION("""COMPUTED_VALUE"""),48.62)</f>
        <v>48.62</v>
      </c>
      <c r="I2107" s="7">
        <f>IFERROR(__xludf.DUMMYFUNCTION("""COMPUTED_VALUE"""),21.0)</f>
        <v>21</v>
      </c>
      <c r="J2107" s="6">
        <f>IFERROR(__xludf.DUMMYFUNCTION("""COMPUTED_VALUE"""),58.34)</f>
        <v>58.34</v>
      </c>
      <c r="K2107" s="6">
        <f>IFERROR(__xludf.DUMMYFUNCTION("""COMPUTED_VALUE"""),68.07)</f>
        <v>68.07</v>
      </c>
      <c r="L2107" s="3"/>
      <c r="M2107" s="3"/>
    </row>
    <row r="2108" ht="48.0" customHeight="1">
      <c r="A2108" s="3" t="str">
        <f>IFERROR(__xludf.DUMMYFUNCTION("""COMPUTED_VALUE"""),"DAID550")</f>
        <v>DAID550</v>
      </c>
      <c r="B2108" s="4" t="str">
        <f>IFERROR(__xludf.DUMMYFUNCTION("""COMPUTED_VALUE"""),"TALADRO PERCUTOR ELÉCTRICO DE 13MM DAEWOO DAID550 550W +")</f>
        <v>TALADRO PERCUTOR ELÉCTRICO DE 13MM DAEWOO DAID550 550W +</v>
      </c>
      <c r="C2108" s="4" t="str">
        <f>IFERROR(__xludf.DUMMYFUNCTION("""COMPUTED_VALUE"""),"Taladro Percutor Eléctrico De 13mm Daewoo Daid550 550w + Accesorios Con Maletín De Transporte 230v 50hz. Potencia: 550 W. Velocidad sin carga: 0-3000 rpm. Tasa de impacto: 48.000 bpm. Mandril: 13 mm. Cap. máx. de perforación: Acero: 10 mm, Concreto: 13 mm"&amp;", Madera: 20 mm. Incluye 20 Accesorios: Medidor de profundidad, Mango auxiliar, Escobilla de carbón, Adaptador de puntas, Llave, 6 Puntas, 3 Mechas para acero, 3 Mechas para concreto, 3 Mechas para madera.")</f>
        <v>Taladro Percutor Eléctrico De 13mm Daewoo Daid550 550w + Accesorios Con Maletín De Transporte 230v 50hz. Potencia: 550 W. Velocidad sin carga: 0-3000 rpm. Tasa de impacto: 48.000 bpm. Mandril: 13 mm. Cap. máx. de perforación: Acero: 10 mm, Concreto: 13 mm, Madera: 20 mm. Incluye 20 Accesorios: Medidor de profundidad, Mango auxiliar, Escobilla de carbón, Adaptador de puntas, Llave, 6 Puntas, 3 Mechas para acero, 3 Mechas para concreto, 3 Mechas para madera.</v>
      </c>
      <c r="D2108" s="4" t="str">
        <f>IFERROR(__xludf.DUMMYFUNCTION("""COMPUTED_VALUE"""),"DAEWOO")</f>
        <v>DAEWOO</v>
      </c>
      <c r="E2108" s="4" t="str">
        <f>IFERROR(__xludf.DUMMYFUNCTION("""COMPUTED_VALUE"""),"DAID550")</f>
        <v>DAID550</v>
      </c>
      <c r="F2108" s="4" t="str">
        <f>IFERROR(__xludf.DUMMYFUNCTION("""COMPUTED_VALUE"""),"HERRAMIENTAS")</f>
        <v>HERRAMIENTAS</v>
      </c>
      <c r="G2108" s="5"/>
      <c r="H2108" s="6">
        <f>IFERROR(__xludf.DUMMYFUNCTION("""COMPUTED_VALUE"""),61.49)</f>
        <v>61.49</v>
      </c>
      <c r="I2108" s="7">
        <f>IFERROR(__xludf.DUMMYFUNCTION("""COMPUTED_VALUE"""),21.0)</f>
        <v>21</v>
      </c>
      <c r="J2108" s="6">
        <f>IFERROR(__xludf.DUMMYFUNCTION("""COMPUTED_VALUE"""),73.79)</f>
        <v>73.79</v>
      </c>
      <c r="K2108" s="6">
        <f>IFERROR(__xludf.DUMMYFUNCTION("""COMPUTED_VALUE"""),86.09)</f>
        <v>86.09</v>
      </c>
      <c r="L2108" s="3"/>
      <c r="M2108" s="3"/>
    </row>
    <row r="2109" ht="48.0" customHeight="1">
      <c r="A2109" s="3" t="str">
        <f>IFERROR(__xludf.DUMMYFUNCTION("""COMPUTED_VALUE"""),"DAJS400")</f>
        <v>DAJS400</v>
      </c>
      <c r="B2109" s="4" t="str">
        <f>IFERROR(__xludf.DUMMYFUNCTION("""COMPUTED_VALUE"""),"SIERRA CALADORA DAEWOO DAJS400")</f>
        <v>SIERRA CALADORA DAEWOO DAJS400</v>
      </c>
      <c r="C2109" s="4" t="str">
        <f>IFERROR(__xludf.DUMMYFUNCTION("""COMPUTED_VALUE"""),"Sierra Caladora Daewoo Dajs400. Potencia: 400 W. Velocidad sin carga: 500 – 3000 rpm. Máx. Profundidad acero: 6 mm. Máx. profundidad madera: 55 mm. Incluye Accesorios: Si Accesorios: Cable, llave hexagonal, función soplador en la línea de corte y botón de"&amp;" bloqueo.")</f>
        <v>Sierra Caladora Daewoo Dajs400. Potencia: 400 W. Velocidad sin carga: 500 – 3000 rpm. Máx. Profundidad acero: 6 mm. Máx. profundidad madera: 55 mm. Incluye Accesorios: Si Accesorios: Cable, llave hexagonal, función soplador en la línea de corte y botón de bloqueo.</v>
      </c>
      <c r="D2109" s="4" t="str">
        <f>IFERROR(__xludf.DUMMYFUNCTION("""COMPUTED_VALUE"""),"DAEWOO")</f>
        <v>DAEWOO</v>
      </c>
      <c r="E2109" s="4" t="str">
        <f>IFERROR(__xludf.DUMMYFUNCTION("""COMPUTED_VALUE"""),"DAJS400")</f>
        <v>DAJS400</v>
      </c>
      <c r="F2109" s="4" t="str">
        <f>IFERROR(__xludf.DUMMYFUNCTION("""COMPUTED_VALUE"""),"HERRAMIENTAS")</f>
        <v>HERRAMIENTAS</v>
      </c>
      <c r="G2109" s="5"/>
      <c r="H2109" s="6">
        <f>IFERROR(__xludf.DUMMYFUNCTION("""COMPUTED_VALUE"""),44.33)</f>
        <v>44.33</v>
      </c>
      <c r="I2109" s="7">
        <f>IFERROR(__xludf.DUMMYFUNCTION("""COMPUTED_VALUE"""),21.0)</f>
        <v>21</v>
      </c>
      <c r="J2109" s="6">
        <f>IFERROR(__xludf.DUMMYFUNCTION("""COMPUTED_VALUE"""),53.2)</f>
        <v>53.2</v>
      </c>
      <c r="K2109" s="6">
        <f>IFERROR(__xludf.DUMMYFUNCTION("""COMPUTED_VALUE"""),62.06)</f>
        <v>62.06</v>
      </c>
      <c r="L2109" s="3"/>
      <c r="M2109" s="3"/>
    </row>
    <row r="2110" ht="48.0" customHeight="1">
      <c r="A2110" s="3" t="str">
        <f>IFERROR(__xludf.DUMMYFUNCTION("""COMPUTED_VALUE"""),"DACD1210CK")</f>
        <v>DACD1210CK</v>
      </c>
      <c r="B2110" s="4" t="str">
        <f>IFERROR(__xludf.DUMMYFUNCTION("""COMPUTED_VALUE"""),"TALADRO INALÁMBRICO DE 10MM DAEWOO DACD1210CK")</f>
        <v>TALADRO INALÁMBRICO DE 10MM DAEWOO DACD1210CK</v>
      </c>
      <c r="C2110" s="4" t="str">
        <f>IFERROR(__xludf.DUMMYFUNCTION("""COMPUTED_VALUE"""),"Taladro Inalámbrico De 10mm Daewoo Dacd1210ck. Velocidad: 0-550 rpm. Mandril: 0.8-10 mm. Torción máxima: 19 n.m. Ajustes de torsión: 19+1. Tiempo de carga: 1 hora. Incluye: Luz LED, bolso y 36 accesorios (destornillador de punta plana, destornillador de p"&amp;"unta en cruz, cutter, 10 mechas, 1 medidor y 20 puntas de destornillador).")</f>
        <v>Taladro Inalámbrico De 10mm Daewoo Dacd1210ck. Velocidad: 0-550 rpm. Mandril: 0.8-10 mm. Torción máxima: 19 n.m. Ajustes de torsión: 19+1. Tiempo de carga: 1 hora. Incluye: Luz LED, bolso y 36 accesorios (destornillador de punta plana, destornillador de punta en cruz, cutter, 10 mechas, 1 medidor y 20 puntas de destornillador).</v>
      </c>
      <c r="D2110" s="4" t="str">
        <f>IFERROR(__xludf.DUMMYFUNCTION("""COMPUTED_VALUE"""),"DAEWOO")</f>
        <v>DAEWOO</v>
      </c>
      <c r="E2110" s="4" t="str">
        <f>IFERROR(__xludf.DUMMYFUNCTION("""COMPUTED_VALUE"""),"DACD1210CK")</f>
        <v>DACD1210CK</v>
      </c>
      <c r="F2110" s="4" t="str">
        <f>IFERROR(__xludf.DUMMYFUNCTION("""COMPUTED_VALUE"""),"HERRAMIENTAS")</f>
        <v>HERRAMIENTAS</v>
      </c>
      <c r="G2110" s="5"/>
      <c r="H2110" s="6">
        <f>IFERROR(__xludf.DUMMYFUNCTION("""COMPUTED_VALUE"""),85.8)</f>
        <v>85.8</v>
      </c>
      <c r="I2110" s="7">
        <f>IFERROR(__xludf.DUMMYFUNCTION("""COMPUTED_VALUE"""),21.0)</f>
        <v>21</v>
      </c>
      <c r="J2110" s="6">
        <f>IFERROR(__xludf.DUMMYFUNCTION("""COMPUTED_VALUE"""),102.96)</f>
        <v>102.96</v>
      </c>
      <c r="K2110" s="6">
        <f>IFERROR(__xludf.DUMMYFUNCTION("""COMPUTED_VALUE"""),120.12)</f>
        <v>120.12</v>
      </c>
      <c r="L2110" s="3"/>
      <c r="M2110" s="3"/>
    </row>
    <row r="2111" ht="48.0" customHeight="1">
      <c r="A2111" s="3" t="str">
        <f>IFERROR(__xludf.DUMMYFUNCTION("""COMPUTED_VALUE"""),"DACS1500")</f>
        <v>DACS1500</v>
      </c>
      <c r="B2111" s="4" t="str">
        <f>IFERROR(__xludf.DUMMYFUNCTION("""COMPUTED_VALUE"""),"SIERRA CIRCULAR ELÉCTRICA DAEWOO DACS1500")</f>
        <v>SIERRA CIRCULAR ELÉCTRICA DAEWOO DACS1500</v>
      </c>
      <c r="C2111" s="4" t="str">
        <f>IFERROR(__xludf.DUMMYFUNCTION("""COMPUTED_VALUE"""),"Sierra Circular Eléctrica Daewoo Dacs1500. Potencia: 1.500 W. Vel. sin carga: 5.500 rpm. Diámetro del disco: 185 mm. Ángulo de corte: 45° – 90°. Corte a 90°: 62 mm. Corte a 45°: 43 mm. Longitud del cable: 2 m. Incluye: Base de acero, manija ergonómica, aj"&amp;"uste de altura, base ajustable a 45º, hoja de corte de 24 T.")</f>
        <v>Sierra Circular Eléctrica Daewoo Dacs1500. Potencia: 1.500 W. Vel. sin carga: 5.500 rpm. Diámetro del disco: 185 mm. Ángulo de corte: 45° – 90°. Corte a 90°: 62 mm. Corte a 45°: 43 mm. Longitud del cable: 2 m. Incluye: Base de acero, manija ergonómica, ajuste de altura, base ajustable a 45º, hoja de corte de 24 T.</v>
      </c>
      <c r="D2111" s="4" t="str">
        <f>IFERROR(__xludf.DUMMYFUNCTION("""COMPUTED_VALUE"""),"DAEWOO")</f>
        <v>DAEWOO</v>
      </c>
      <c r="E2111" s="4" t="str">
        <f>IFERROR(__xludf.DUMMYFUNCTION("""COMPUTED_VALUE"""),"DACS1500")</f>
        <v>DACS1500</v>
      </c>
      <c r="F2111" s="4" t="str">
        <f>IFERROR(__xludf.DUMMYFUNCTION("""COMPUTED_VALUE"""),"HERRAMIENTAS")</f>
        <v>HERRAMIENTAS</v>
      </c>
      <c r="G2111" s="5"/>
      <c r="H2111" s="6">
        <f>IFERROR(__xludf.DUMMYFUNCTION("""COMPUTED_VALUE"""),101.53)</f>
        <v>101.53</v>
      </c>
      <c r="I2111" s="7">
        <f>IFERROR(__xludf.DUMMYFUNCTION("""COMPUTED_VALUE"""),21.0)</f>
        <v>21</v>
      </c>
      <c r="J2111" s="6">
        <f>IFERROR(__xludf.DUMMYFUNCTION("""COMPUTED_VALUE"""),121.84)</f>
        <v>121.84</v>
      </c>
      <c r="K2111" s="6">
        <f>IFERROR(__xludf.DUMMYFUNCTION("""COMPUTED_VALUE"""),142.14)</f>
        <v>142.14</v>
      </c>
      <c r="L2111" s="3"/>
      <c r="M2111" s="3"/>
    </row>
    <row r="2112" ht="48.0" customHeight="1">
      <c r="A2112" s="3" t="str">
        <f>IFERROR(__xludf.DUMMYFUNCTION("""COMPUTED_VALUE"""),"DADG233")</f>
        <v>DADG233</v>
      </c>
      <c r="B2112" s="4" t="str">
        <f>IFERROR(__xludf.DUMMYFUNCTION("""COMPUTED_VALUE"""),"MINITORNO DAEWOO DADG233 110V/220V")</f>
        <v>MINITORNO DAEWOO DADG233 110V/220V</v>
      </c>
      <c r="C2112" s="4" t="str">
        <f>IFERROR(__xludf.DUMMYFUNCTION("""COMPUTED_VALUE"""),"Minitorno Daewoo Dadg233 110v/220v. Potencia: 170 W. Vel. sin carga: 35000 rpm. Capacidad del collar: 1.5-3.2 mm. Incluye 87 piezas, unidad flexible y maletín.")</f>
        <v>Minitorno Daewoo Dadg233 110v/220v. Potencia: 170 W. Vel. sin carga: 35000 rpm. Capacidad del collar: 1.5-3.2 mm. Incluye 87 piezas, unidad flexible y maletín.</v>
      </c>
      <c r="D2112" s="4" t="str">
        <f>IFERROR(__xludf.DUMMYFUNCTION("""COMPUTED_VALUE"""),"DAEWOO")</f>
        <v>DAEWOO</v>
      </c>
      <c r="E2112" s="4" t="str">
        <f>IFERROR(__xludf.DUMMYFUNCTION("""COMPUTED_VALUE"""),"DADG233")</f>
        <v>DADG233</v>
      </c>
      <c r="F2112" s="4" t="str">
        <f>IFERROR(__xludf.DUMMYFUNCTION("""COMPUTED_VALUE"""),"HERRAMIENTAS")</f>
        <v>HERRAMIENTAS</v>
      </c>
      <c r="G2112" s="5"/>
      <c r="H2112" s="6">
        <f>IFERROR(__xludf.DUMMYFUNCTION("""COMPUTED_VALUE"""),52.91)</f>
        <v>52.91</v>
      </c>
      <c r="I2112" s="7">
        <f>IFERROR(__xludf.DUMMYFUNCTION("""COMPUTED_VALUE"""),21.0)</f>
        <v>21</v>
      </c>
      <c r="J2112" s="6">
        <f>IFERROR(__xludf.DUMMYFUNCTION("""COMPUTED_VALUE"""),63.49)</f>
        <v>63.49</v>
      </c>
      <c r="K2112" s="6">
        <f>IFERROR(__xludf.DUMMYFUNCTION("""COMPUTED_VALUE"""),74.07)</f>
        <v>74.07</v>
      </c>
      <c r="L2112" s="3"/>
      <c r="M2112" s="3"/>
    </row>
    <row r="2113" ht="48.0" customHeight="1">
      <c r="A2113" s="3" t="str">
        <f>IFERROR(__xludf.DUMMYFUNCTION("""COMPUTED_VALUE"""),"AVDG105BP/F36")</f>
        <v>AVDG105BP/F36</v>
      </c>
      <c r="B2113" s="4" t="str">
        <f>IFERROR(__xludf.DUMMYFUNCTION("""COMPUTED_VALUE"""),"CAMARA BULLET")</f>
        <v>CAMARA BULLET</v>
      </c>
      <c r="C2113" s="4" t="str">
        <f>IFERROR(__xludf.DUMMYFUNCTION("""COMPUTED_VALUE"""),"BULLET 1080 HDTVI CAMARA IR 15 METROS LENTE 3,6")</f>
        <v>BULLET 1080 HDTVI CAMARA IR 15 METROS LENTE 3,6</v>
      </c>
      <c r="D2113" s="4" t="str">
        <f>IFERROR(__xludf.DUMMYFUNCTION("""COMPUTED_VALUE"""),"AVTECH")</f>
        <v>AVTECH</v>
      </c>
      <c r="E2113" s="4" t="str">
        <f>IFERROR(__xludf.DUMMYFUNCTION("""COMPUTED_VALUE"""),"AVDG105BP/F36")</f>
        <v>AVDG105BP/F36</v>
      </c>
      <c r="F2113" s="4" t="str">
        <f>IFERROR(__xludf.DUMMYFUNCTION("""COMPUTED_VALUE"""),"OUTLET &gt; CAMARAS AVTECH HD-TVI 1080")</f>
        <v>OUTLET &gt; CAMARAS AVTECH HD-TVI 1080</v>
      </c>
      <c r="G2113" s="5"/>
      <c r="H2113" s="6">
        <f>IFERROR(__xludf.DUMMYFUNCTION("""COMPUTED_VALUE"""),11.0)</f>
        <v>11</v>
      </c>
      <c r="I2113" s="7">
        <f>IFERROR(__xludf.DUMMYFUNCTION("""COMPUTED_VALUE"""),21.0)</f>
        <v>21</v>
      </c>
      <c r="J2113" s="6">
        <f>IFERROR(__xludf.DUMMYFUNCTION("""COMPUTED_VALUE"""),13.2)</f>
        <v>13.2</v>
      </c>
      <c r="K2113" s="6">
        <f>IFERROR(__xludf.DUMMYFUNCTION("""COMPUTED_VALUE"""),15.4)</f>
        <v>15.4</v>
      </c>
      <c r="L2113" s="3"/>
      <c r="M2113" s="3"/>
    </row>
    <row r="2114" ht="48.0" customHeight="1">
      <c r="A2114" s="3" t="str">
        <f>IFERROR(__xludf.DUMMYFUNCTION("""COMPUTED_VALUE"""),"AVT1206TP")</f>
        <v>AVT1206TP</v>
      </c>
      <c r="B2114" s="4" t="str">
        <f>IFERROR(__xludf.DUMMYFUNCTION("""COMPUTED_VALUE"""),"CAMARA DOMO")</f>
        <v>CAMARA DOMO</v>
      </c>
      <c r="C2114" s="4" t="str">
        <f>IFERROR(__xludf.DUMMYFUNCTION("""COMPUTED_VALUE"""),"DOMO 1080 HDTVI IR 20 METROS LENTE VARIFOCAL 2,8-12 I/O ALARMA")</f>
        <v>DOMO 1080 HDTVI IR 20 METROS LENTE VARIFOCAL 2,8-12 I/O ALARMA</v>
      </c>
      <c r="D2114" s="4" t="str">
        <f>IFERROR(__xludf.DUMMYFUNCTION("""COMPUTED_VALUE"""),"AVTECH")</f>
        <v>AVTECH</v>
      </c>
      <c r="E2114" s="4" t="str">
        <f>IFERROR(__xludf.DUMMYFUNCTION("""COMPUTED_VALUE"""),"AVT1206TP")</f>
        <v>AVT1206TP</v>
      </c>
      <c r="F2114" s="4" t="str">
        <f>IFERROR(__xludf.DUMMYFUNCTION("""COMPUTED_VALUE"""),"OUTLET &gt; CAMARAS AVTECH HD-TVI 1080")</f>
        <v>OUTLET &gt; CAMARAS AVTECH HD-TVI 1080</v>
      </c>
      <c r="G2114" s="5"/>
      <c r="H2114" s="6">
        <f>IFERROR(__xludf.DUMMYFUNCTION("""COMPUTED_VALUE"""),11.0)</f>
        <v>11</v>
      </c>
      <c r="I2114" s="7">
        <f>IFERROR(__xludf.DUMMYFUNCTION("""COMPUTED_VALUE"""),21.0)</f>
        <v>21</v>
      </c>
      <c r="J2114" s="6">
        <f>IFERROR(__xludf.DUMMYFUNCTION("""COMPUTED_VALUE"""),13.2)</f>
        <v>13.2</v>
      </c>
      <c r="K2114" s="6">
        <f>IFERROR(__xludf.DUMMYFUNCTION("""COMPUTED_VALUE"""),15.4)</f>
        <v>15.4</v>
      </c>
      <c r="L2114" s="3"/>
      <c r="M2114" s="3"/>
    </row>
    <row r="2115" ht="48.0" customHeight="1">
      <c r="A2115" s="3" t="str">
        <f>IFERROR(__xludf.DUMMYFUNCTION("""COMPUTED_VALUE"""),"YC55")</f>
        <v>YC55</v>
      </c>
      <c r="B2115" s="4" t="str">
        <f>IFERROR(__xludf.DUMMYFUNCTION("""COMPUTED_VALUE"""),"CAMARA")</f>
        <v>CAMARA</v>
      </c>
      <c r="C2115" s="4" t="str">
        <f>IFERROR(__xludf.DUMMYFUNCTION("""COMPUTED_VALUE"""),"Cámara CCD 1/3""; CCD Sharp 450 TVL; 0,1 Lux; BLC, VDDD, 12 VDC")</f>
        <v>Cámara CCD 1/3"; CCD Sharp 450 TVL; 0,1 Lux; BLC, VDDD, 12 VDC</v>
      </c>
      <c r="D2115" s="4" t="str">
        <f>IFERROR(__xludf.DUMMYFUNCTION("""COMPUTED_VALUE"""),"OWL")</f>
        <v>OWL</v>
      </c>
      <c r="E2115" s="4" t="str">
        <f>IFERROR(__xludf.DUMMYFUNCTION("""COMPUTED_VALUE"""),"YC55")</f>
        <v>YC55</v>
      </c>
      <c r="F2115" s="4" t="str">
        <f>IFERROR(__xludf.DUMMYFUNCTION("""COMPUTED_VALUE"""),"OUTLET &gt; CAMARAS COLOR PROFESIONALES SIN LENTE")</f>
        <v>OUTLET &gt; CAMARAS COLOR PROFESIONALES SIN LENTE</v>
      </c>
      <c r="G2115" s="5"/>
      <c r="H2115" s="6">
        <f>IFERROR(__xludf.DUMMYFUNCTION("""COMPUTED_VALUE"""),5.5)</f>
        <v>5.5</v>
      </c>
      <c r="I2115" s="7">
        <f>IFERROR(__xludf.DUMMYFUNCTION("""COMPUTED_VALUE"""),10.5)</f>
        <v>10.5</v>
      </c>
      <c r="J2115" s="6">
        <f>IFERROR(__xludf.DUMMYFUNCTION("""COMPUTED_VALUE"""),6.6)</f>
        <v>6.6</v>
      </c>
      <c r="K2115" s="6">
        <f>IFERROR(__xludf.DUMMYFUNCTION("""COMPUTED_VALUE"""),7.7)</f>
        <v>7.7</v>
      </c>
      <c r="L2115" s="3"/>
      <c r="M2115" s="3"/>
    </row>
    <row r="2116" ht="48.0" customHeight="1">
      <c r="A2116" s="3" t="str">
        <f>IFERROR(__xludf.DUMMYFUNCTION("""COMPUTED_VALUE"""),"YC55H")</f>
        <v>YC55H</v>
      </c>
      <c r="B2116" s="4" t="str">
        <f>IFERROR(__xludf.DUMMYFUNCTION("""COMPUTED_VALUE"""),"CAMARA")</f>
        <v>CAMARA</v>
      </c>
      <c r="C2116" s="4" t="str">
        <f>IFERROR(__xludf.DUMMYFUNCTION("""COMPUTED_VALUE"""),"Cámara CCD Sony 1/3""HR, 0.01 Lux /F1.2, VDDD, BLC, 12 VDC")</f>
        <v>Cámara CCD Sony 1/3"HR, 0.01 Lux /F1.2, VDDD, BLC, 12 VDC</v>
      </c>
      <c r="D2116" s="4" t="str">
        <f>IFERROR(__xludf.DUMMYFUNCTION("""COMPUTED_VALUE"""),"OWL")</f>
        <v>OWL</v>
      </c>
      <c r="E2116" s="4" t="str">
        <f>IFERROR(__xludf.DUMMYFUNCTION("""COMPUTED_VALUE"""),"YC55H")</f>
        <v>YC55H</v>
      </c>
      <c r="F2116" s="4" t="str">
        <f>IFERROR(__xludf.DUMMYFUNCTION("""COMPUTED_VALUE"""),"OUTLET &gt; CAMARAS COLOR PROFESIONALES SIN LENTE")</f>
        <v>OUTLET &gt; CAMARAS COLOR PROFESIONALES SIN LENTE</v>
      </c>
      <c r="G2116" s="5"/>
      <c r="H2116" s="6">
        <f>IFERROR(__xludf.DUMMYFUNCTION("""COMPUTED_VALUE"""),5.5)</f>
        <v>5.5</v>
      </c>
      <c r="I2116" s="7">
        <f>IFERROR(__xludf.DUMMYFUNCTION("""COMPUTED_VALUE"""),10.5)</f>
        <v>10.5</v>
      </c>
      <c r="J2116" s="6">
        <f>IFERROR(__xludf.DUMMYFUNCTION("""COMPUTED_VALUE"""),6.6)</f>
        <v>6.6</v>
      </c>
      <c r="K2116" s="6">
        <f>IFERROR(__xludf.DUMMYFUNCTION("""COMPUTED_VALUE"""),7.7)</f>
        <v>7.7</v>
      </c>
      <c r="L2116" s="3"/>
      <c r="M2116" s="3"/>
    </row>
    <row r="2117" ht="48.0" customHeight="1">
      <c r="A2117" s="3" t="str">
        <f>IFERROR(__xludf.DUMMYFUNCTION("""COMPUTED_VALUE"""),"OW720")</f>
        <v>OW720</v>
      </c>
      <c r="B2117" s="4" t="str">
        <f>IFERROR(__xludf.DUMMYFUNCTION("""COMPUTED_VALUE"""),"CAMARA")</f>
        <v>CAMARA</v>
      </c>
      <c r="C2117" s="4" t="str">
        <f>IFERROR(__xludf.DUMMYFUNCTION("""COMPUTED_VALUE"""),"Cámara CCD Sony 1/3"", 420 TVL, 1 LUX con lente varifocal autoiris de 3.5 a 8 mm, 12 VDC")</f>
        <v>Cámara CCD Sony 1/3", 420 TVL, 1 LUX con lente varifocal autoiris de 3.5 a 8 mm, 12 VDC</v>
      </c>
      <c r="D2117" s="4" t="str">
        <f>IFERROR(__xludf.DUMMYFUNCTION("""COMPUTED_VALUE"""),"OWL")</f>
        <v>OWL</v>
      </c>
      <c r="E2117" s="4" t="str">
        <f>IFERROR(__xludf.DUMMYFUNCTION("""COMPUTED_VALUE"""),"OW720")</f>
        <v>OW720</v>
      </c>
      <c r="F2117" s="4" t="str">
        <f>IFERROR(__xludf.DUMMYFUNCTION("""COMPUTED_VALUE"""),"OUTLET &gt; CAMARAS COLOR CON LENTE INCORPORADO SALIDA BNC")</f>
        <v>OUTLET &gt; CAMARAS COLOR CON LENTE INCORPORADO SALIDA BNC</v>
      </c>
      <c r="G2117" s="5"/>
      <c r="H2117" s="6">
        <f>IFERROR(__xludf.DUMMYFUNCTION("""COMPUTED_VALUE"""),11.0)</f>
        <v>11</v>
      </c>
      <c r="I2117" s="7">
        <f>IFERROR(__xludf.DUMMYFUNCTION("""COMPUTED_VALUE"""),21.0)</f>
        <v>21</v>
      </c>
      <c r="J2117" s="6">
        <f>IFERROR(__xludf.DUMMYFUNCTION("""COMPUTED_VALUE"""),13.2)</f>
        <v>13.2</v>
      </c>
      <c r="K2117" s="6">
        <f>IFERROR(__xludf.DUMMYFUNCTION("""COMPUTED_VALUE"""),15.4)</f>
        <v>15.4</v>
      </c>
      <c r="L2117" s="3"/>
      <c r="M2117" s="3"/>
    </row>
    <row r="2118" ht="48.0" customHeight="1">
      <c r="A2118" s="3" t="str">
        <f>IFERROR(__xludf.DUMMYFUNCTION("""COMPUTED_VALUE"""),"YCS21")</f>
        <v>YCS21</v>
      </c>
      <c r="B2118" s="4" t="str">
        <f>IFERROR(__xludf.DUMMYFUNCTION("""COMPUTED_VALUE"""),"CAMARA BULLET")</f>
        <v>CAMARA BULLET</v>
      </c>
      <c r="C2118" s="4" t="str">
        <f>IFERROR(__xludf.DUMMYFUNCTION("""COMPUTED_VALUE"""),"Cámara Bullet, CCD Sony 1/4, 420 TVL, 0.5 lux, intemperie, lente de 3,6mm, 12VDC. IP55")</f>
        <v>Cámara Bullet, CCD Sony 1/4, 420 TVL, 0.5 lux, intemperie, lente de 3,6mm, 12VDC. IP55</v>
      </c>
      <c r="D2118" s="4" t="str">
        <f>IFERROR(__xludf.DUMMYFUNCTION("""COMPUTED_VALUE"""),"OWL")</f>
        <v>OWL</v>
      </c>
      <c r="E2118" s="4" t="str">
        <f>IFERROR(__xludf.DUMMYFUNCTION("""COMPUTED_VALUE"""),"YCS21")</f>
        <v>YCS21</v>
      </c>
      <c r="F2118" s="4" t="str">
        <f>IFERROR(__xludf.DUMMYFUNCTION("""COMPUTED_VALUE"""),"OUTLET &gt; CAMARAS COLOR CON LENTE INCORPORADO SALIDA BNC")</f>
        <v>OUTLET &gt; CAMARAS COLOR CON LENTE INCORPORADO SALIDA BNC</v>
      </c>
      <c r="G2118" s="5"/>
      <c r="H2118" s="6">
        <f>IFERROR(__xludf.DUMMYFUNCTION("""COMPUTED_VALUE"""),11.0)</f>
        <v>11</v>
      </c>
      <c r="I2118" s="7">
        <f>IFERROR(__xludf.DUMMYFUNCTION("""COMPUTED_VALUE"""),21.0)</f>
        <v>21</v>
      </c>
      <c r="J2118" s="6">
        <f>IFERROR(__xludf.DUMMYFUNCTION("""COMPUTED_VALUE"""),13.2)</f>
        <v>13.2</v>
      </c>
      <c r="K2118" s="6">
        <f>IFERROR(__xludf.DUMMYFUNCTION("""COMPUTED_VALUE"""),15.4)</f>
        <v>15.4</v>
      </c>
      <c r="L2118" s="3"/>
      <c r="M2118" s="3"/>
    </row>
    <row r="2119" ht="48.0" customHeight="1">
      <c r="A2119" s="3" t="str">
        <f>IFERROR(__xludf.DUMMYFUNCTION("""COMPUTED_VALUE"""),"AVM602V")</f>
        <v>AVM602V</v>
      </c>
      <c r="B2119" s="4" t="str">
        <f>IFERROR(__xludf.DUMMYFUNCTION("""COMPUTED_VALUE"""),"IVS SERIE CÁMARA CCD 1/3 480 LÍNEAS, USO INTERIOR")</f>
        <v>IVS SERIE CÁMARA CCD 1/3 480 LÍNEAS, USO INTERIOR</v>
      </c>
      <c r="C2119" s="4" t="str">
        <f>IFERROR(__xludf.DUMMYFUNCTION("""COMPUTED_VALUE"""),"IVS SERIE Cámara CCD 1/3 480 líneas, uso interior con detección de personas. 12 LED IR. Smart Light Control. Día/noche. Lente de 3.6 mm. Detector de personas 5 m 40º")</f>
        <v>IVS SERIE Cámara CCD 1/3 480 líneas, uso interior con detección de personas. 12 LED IR. Smart Light Control. Día/noche. Lente de 3.6 mm. Detector de personas 5 m 40º</v>
      </c>
      <c r="D2119" s="4" t="str">
        <f>IFERROR(__xludf.DUMMYFUNCTION("""COMPUTED_VALUE"""),"AVTECH")</f>
        <v>AVTECH</v>
      </c>
      <c r="E2119" s="4" t="str">
        <f>IFERROR(__xludf.DUMMYFUNCTION("""COMPUTED_VALUE"""),"AVM602V")</f>
        <v>AVM602V</v>
      </c>
      <c r="F2119" s="4" t="str">
        <f>IFERROR(__xludf.DUMMYFUNCTION("""COMPUTED_VALUE"""),"OUTLET &gt; LINEA IVS CÁMARAS")</f>
        <v>OUTLET &gt; LINEA IVS CÁMARAS</v>
      </c>
      <c r="G2119" s="5"/>
      <c r="H2119" s="6">
        <f>IFERROR(__xludf.DUMMYFUNCTION("""COMPUTED_VALUE"""),11.0)</f>
        <v>11</v>
      </c>
      <c r="I2119" s="7">
        <f>IFERROR(__xludf.DUMMYFUNCTION("""COMPUTED_VALUE"""),21.0)</f>
        <v>21</v>
      </c>
      <c r="J2119" s="6">
        <f>IFERROR(__xludf.DUMMYFUNCTION("""COMPUTED_VALUE"""),13.2)</f>
        <v>13.2</v>
      </c>
      <c r="K2119" s="6">
        <f>IFERROR(__xludf.DUMMYFUNCTION("""COMPUTED_VALUE"""),15.4)</f>
        <v>15.4</v>
      </c>
      <c r="L2119" s="3"/>
      <c r="M2119" s="3"/>
    </row>
    <row r="2120" ht="48.0" customHeight="1">
      <c r="A2120" s="3" t="str">
        <f>IFERROR(__xludf.DUMMYFUNCTION("""COMPUTED_VALUE"""),"AVP101Z")</f>
        <v>AVP101Z</v>
      </c>
      <c r="B2120" s="4" t="str">
        <f>IFERROR(__xludf.DUMMYFUNCTION("""COMPUTED_VALUE"""),"CONTROLADOR DE DOMO MULTIPROTOCOLO (PELCO PD, AVTECH, OWL, ETC),")</f>
        <v>CONTROLADOR DE DOMO MULTIPROTOCOLO (PELCO PD, AVTECH, OWL, ETC),</v>
      </c>
      <c r="C2120" s="4" t="str">
        <f>IFERROR(__xludf.DUMMYFUNCTION("""COMPUTED_VALUE"""),"Controlador de domo multiprotocolo (PELCO PD, AVTECH, OWL, etc), Joystick de 3 ejes, pantalla de configuración touch screen, micrófono de 2 vías.")</f>
        <v>Controlador de domo multiprotocolo (PELCO PD, AVTECH, OWL, etc), Joystick de 3 ejes, pantalla de configuración touch screen, micrófono de 2 vías.</v>
      </c>
      <c r="D2120" s="4" t="str">
        <f>IFERROR(__xludf.DUMMYFUNCTION("""COMPUTED_VALUE"""),"AVTECH")</f>
        <v>AVTECH</v>
      </c>
      <c r="E2120" s="4" t="str">
        <f>IFERROR(__xludf.DUMMYFUNCTION("""COMPUTED_VALUE"""),"AVP101Z")</f>
        <v>AVP101Z</v>
      </c>
      <c r="F2120" s="4" t="str">
        <f>IFERROR(__xludf.DUMMYFUNCTION("""COMPUTED_VALUE"""),"OUTLET &gt; DOMOS PTZ")</f>
        <v>OUTLET &gt; DOMOS PTZ</v>
      </c>
      <c r="G2120" s="5"/>
      <c r="H2120" s="6">
        <f>IFERROR(__xludf.DUMMYFUNCTION("""COMPUTED_VALUE"""),220.0)</f>
        <v>220</v>
      </c>
      <c r="I2120" s="7">
        <f>IFERROR(__xludf.DUMMYFUNCTION("""COMPUTED_VALUE"""),21.0)</f>
        <v>21</v>
      </c>
      <c r="J2120" s="6">
        <f>IFERROR(__xludf.DUMMYFUNCTION("""COMPUTED_VALUE"""),264.0)</f>
        <v>264</v>
      </c>
      <c r="K2120" s="6">
        <f>IFERROR(__xludf.DUMMYFUNCTION("""COMPUTED_VALUE"""),308.0)</f>
        <v>308</v>
      </c>
      <c r="L2120" s="3"/>
      <c r="M2120" s="3"/>
    </row>
    <row r="2121" ht="48.0" customHeight="1">
      <c r="A2121" s="3" t="str">
        <f>IFERROR(__xludf.DUMMYFUNCTION("""COMPUTED_VALUE"""),"OP9225DR")</f>
        <v>OP9225DR</v>
      </c>
      <c r="B2121" s="4" t="str">
        <f>IFERROR(__xludf.DUMMYFUNCTION("""COMPUTED_VALUE"""),"RECEPTOR DE 1 CANAL DE VIDEO Y DATOS")</f>
        <v>RECEPTOR DE 1 CANAL DE VIDEO Y DATOS</v>
      </c>
      <c r="C2121" s="4" t="str">
        <f>IFERROR(__xludf.DUMMYFUNCTION("""COMPUTED_VALUE"""),"Receptor de 1 canal de video y datos. Para fibra óptica multimodo.")</f>
        <v>Receptor de 1 canal de video y datos. Para fibra óptica multimodo.</v>
      </c>
      <c r="D2121" s="4" t="str">
        <f>IFERROR(__xludf.DUMMYFUNCTION("""COMPUTED_VALUE"""),"OPTELECOM")</f>
        <v>OPTELECOM</v>
      </c>
      <c r="E2121" s="4" t="str">
        <f>IFERROR(__xludf.DUMMYFUNCTION("""COMPUTED_VALUE"""),"OP9225DR")</f>
        <v>OP9225DR</v>
      </c>
      <c r="F2121" s="4" t="str">
        <f>IFERROR(__xludf.DUMMYFUNCTION("""COMPUTED_VALUE"""),"OUTLET &gt; CONVERSORES DE COAXIL A FIBRA OPTICA")</f>
        <v>OUTLET &gt; CONVERSORES DE COAXIL A FIBRA OPTICA</v>
      </c>
      <c r="G2121" s="5"/>
      <c r="H2121" s="6">
        <f>IFERROR(__xludf.DUMMYFUNCTION("""COMPUTED_VALUE"""),275.0)</f>
        <v>275</v>
      </c>
      <c r="I2121" s="7">
        <f>IFERROR(__xludf.DUMMYFUNCTION("""COMPUTED_VALUE"""),21.0)</f>
        <v>21</v>
      </c>
      <c r="J2121" s="6">
        <f>IFERROR(__xludf.DUMMYFUNCTION("""COMPUTED_VALUE"""),330.0)</f>
        <v>330</v>
      </c>
      <c r="K2121" s="6">
        <f>IFERROR(__xludf.DUMMYFUNCTION("""COMPUTED_VALUE"""),385.0)</f>
        <v>385</v>
      </c>
      <c r="L2121" s="3"/>
      <c r="M2121" s="3"/>
    </row>
    <row r="2122" ht="48.0" customHeight="1">
      <c r="A2122" s="3" t="str">
        <f>IFERROR(__xludf.DUMMYFUNCTION("""COMPUTED_VALUE"""),"AV11")</f>
        <v>AV11</v>
      </c>
      <c r="B2122" s="4" t="str">
        <f>IFERROR(__xludf.DUMMYFUNCTION("""COMPUTED_VALUE"""),"AMPLIFICADOR VIDEO 0 – 15 DB AJUSTABLE (PARA CABLEADO")</f>
        <v>AMPLIFICADOR VIDEO 0 – 15 DB AJUSTABLE (PARA CABLEADO</v>
      </c>
      <c r="C2122" s="4" t="str">
        <f>IFERROR(__xludf.DUMMYFUNCTION("""COMPUTED_VALUE"""),"Amplificador video 0 – 15 db Ajustable (Para cableado h/600 MTS) 1 Salidas")</f>
        <v>Amplificador video 0 – 15 db Ajustable (Para cableado h/600 MTS) 1 Salidas</v>
      </c>
      <c r="D2122" s="4" t="str">
        <f>IFERROR(__xludf.DUMMYFUNCTION("""COMPUTED_VALUE"""),"OWL")</f>
        <v>OWL</v>
      </c>
      <c r="E2122" s="4" t="str">
        <f>IFERROR(__xludf.DUMMYFUNCTION("""COMPUTED_VALUE"""),"AV11")</f>
        <v>AV11</v>
      </c>
      <c r="F2122" s="4" t="str">
        <f>IFERROR(__xludf.DUMMYFUNCTION("""COMPUTED_VALUE"""),"OUTLET &gt; AMPLIFICADORES / DISTRIBUIDORES")</f>
        <v>OUTLET &gt; AMPLIFICADORES / DISTRIBUIDORES</v>
      </c>
      <c r="G2122" s="5"/>
      <c r="H2122" s="6">
        <f>IFERROR(__xludf.DUMMYFUNCTION("""COMPUTED_VALUE"""),40.7)</f>
        <v>40.7</v>
      </c>
      <c r="I2122" s="7">
        <f>IFERROR(__xludf.DUMMYFUNCTION("""COMPUTED_VALUE"""),21.0)</f>
        <v>21</v>
      </c>
      <c r="J2122" s="6">
        <f>IFERROR(__xludf.DUMMYFUNCTION("""COMPUTED_VALUE"""),48.84)</f>
        <v>48.84</v>
      </c>
      <c r="K2122" s="6">
        <f>IFERROR(__xludf.DUMMYFUNCTION("""COMPUTED_VALUE"""),56.98)</f>
        <v>56.98</v>
      </c>
      <c r="L2122" s="3"/>
      <c r="M2122" s="3"/>
    </row>
    <row r="2123" ht="48.0" customHeight="1">
      <c r="A2123" s="3" t="str">
        <f>IFERROR(__xludf.DUMMYFUNCTION("""COMPUTED_VALUE"""),"AV12")</f>
        <v>AV12</v>
      </c>
      <c r="B2123" s="4" t="str">
        <f>IFERROR(__xludf.DUMMYFUNCTION("""COMPUTED_VALUE"""),"AMPLIFICADOR VIDEO 0 – 15 DB AJUSTABLE (PARA CABLEADO")</f>
        <v>AMPLIFICADOR VIDEO 0 – 15 DB AJUSTABLE (PARA CABLEADO</v>
      </c>
      <c r="C2123" s="4" t="str">
        <f>IFERROR(__xludf.DUMMYFUNCTION("""COMPUTED_VALUE"""),"Amplificador video 0 – 15 db Ajustable (Para cableado h/600 MTS) 2 Salidas")</f>
        <v>Amplificador video 0 – 15 db Ajustable (Para cableado h/600 MTS) 2 Salidas</v>
      </c>
      <c r="D2123" s="4" t="str">
        <f>IFERROR(__xludf.DUMMYFUNCTION("""COMPUTED_VALUE"""),"OWL")</f>
        <v>OWL</v>
      </c>
      <c r="E2123" s="4" t="str">
        <f>IFERROR(__xludf.DUMMYFUNCTION("""COMPUTED_VALUE"""),"AV12")</f>
        <v>AV12</v>
      </c>
      <c r="F2123" s="4" t="str">
        <f>IFERROR(__xludf.DUMMYFUNCTION("""COMPUTED_VALUE"""),"OUTLET &gt; AMPLIFICADORES / DISTRIBUIDORES")</f>
        <v>OUTLET &gt; AMPLIFICADORES / DISTRIBUIDORES</v>
      </c>
      <c r="G2123" s="5"/>
      <c r="H2123" s="6">
        <f>IFERROR(__xludf.DUMMYFUNCTION("""COMPUTED_VALUE"""),51.7)</f>
        <v>51.7</v>
      </c>
      <c r="I2123" s="7">
        <f>IFERROR(__xludf.DUMMYFUNCTION("""COMPUTED_VALUE"""),21.0)</f>
        <v>21</v>
      </c>
      <c r="J2123" s="6">
        <f>IFERROR(__xludf.DUMMYFUNCTION("""COMPUTED_VALUE"""),62.04)</f>
        <v>62.04</v>
      </c>
      <c r="K2123" s="6">
        <f>IFERROR(__xludf.DUMMYFUNCTION("""COMPUTED_VALUE"""),72.38)</f>
        <v>72.38</v>
      </c>
      <c r="L2123" s="3"/>
      <c r="M2123" s="3"/>
    </row>
    <row r="2124" ht="48.0" customHeight="1">
      <c r="A2124" s="3" t="str">
        <f>IFERROR(__xludf.DUMMYFUNCTION("""COMPUTED_VALUE"""),"DV12")</f>
        <v>DV12</v>
      </c>
      <c r="B2124" s="4" t="str">
        <f>IFERROR(__xludf.DUMMYFUNCTION("""COMPUTED_VALUE"""),"DISTRIBUIDOR VIDEO 1 ENTRADA, 2 SALIDAS 1 X 2")</f>
        <v>DISTRIBUIDOR VIDEO 1 ENTRADA, 2 SALIDAS 1 X 2</v>
      </c>
      <c r="C2124" s="4" t="str">
        <f>IFERROR(__xludf.DUMMYFUNCTION("""COMPUTED_VALUE"""),"Distribuidor Video 1 Entrada, 2 Salidas 1 x 2. BNC")</f>
        <v>Distribuidor Video 1 Entrada, 2 Salidas 1 x 2. BNC</v>
      </c>
      <c r="D2124" s="4" t="str">
        <f>IFERROR(__xludf.DUMMYFUNCTION("""COMPUTED_VALUE"""),"OWL")</f>
        <v>OWL</v>
      </c>
      <c r="E2124" s="4" t="str">
        <f>IFERROR(__xludf.DUMMYFUNCTION("""COMPUTED_VALUE"""),"DV12")</f>
        <v>DV12</v>
      </c>
      <c r="F2124" s="4" t="str">
        <f>IFERROR(__xludf.DUMMYFUNCTION("""COMPUTED_VALUE"""),"OUTLET &gt; AMPLIFICADORES / DISTRIBUIDORES")</f>
        <v>OUTLET &gt; AMPLIFICADORES / DISTRIBUIDORES</v>
      </c>
      <c r="G2124" s="5"/>
      <c r="H2124" s="6">
        <f>IFERROR(__xludf.DUMMYFUNCTION("""COMPUTED_VALUE"""),38.5)</f>
        <v>38.5</v>
      </c>
      <c r="I2124" s="7">
        <f>IFERROR(__xludf.DUMMYFUNCTION("""COMPUTED_VALUE"""),21.0)</f>
        <v>21</v>
      </c>
      <c r="J2124" s="6">
        <f>IFERROR(__xludf.DUMMYFUNCTION("""COMPUTED_VALUE"""),46.2)</f>
        <v>46.2</v>
      </c>
      <c r="K2124" s="6">
        <f>IFERROR(__xludf.DUMMYFUNCTION("""COMPUTED_VALUE"""),53.9)</f>
        <v>53.9</v>
      </c>
      <c r="L2124" s="3"/>
      <c r="M2124" s="3"/>
    </row>
    <row r="2125" ht="48.0" customHeight="1">
      <c r="A2125" s="3" t="str">
        <f>IFERROR(__xludf.DUMMYFUNCTION("""COMPUTED_VALUE"""),"DV18")</f>
        <v>DV18</v>
      </c>
      <c r="B2125" s="4" t="str">
        <f>IFERROR(__xludf.DUMMYFUNCTION("""COMPUTED_VALUE"""),"DISTRIBUIDOR VIDEO 1 ENTRADA, 8 SALIDAS 1 X 8")</f>
        <v>DISTRIBUIDOR VIDEO 1 ENTRADA, 8 SALIDAS 1 X 8</v>
      </c>
      <c r="C2125" s="4" t="str">
        <f>IFERROR(__xludf.DUMMYFUNCTION("""COMPUTED_VALUE"""),"Distribuidor Video 1 Entrada, 8 Salidas 1 x 8. BNC")</f>
        <v>Distribuidor Video 1 Entrada, 8 Salidas 1 x 8. BNC</v>
      </c>
      <c r="D2125" s="4" t="str">
        <f>IFERROR(__xludf.DUMMYFUNCTION("""COMPUTED_VALUE"""),"OWL")</f>
        <v>OWL</v>
      </c>
      <c r="E2125" s="4" t="str">
        <f>IFERROR(__xludf.DUMMYFUNCTION("""COMPUTED_VALUE"""),"DV18")</f>
        <v>DV18</v>
      </c>
      <c r="F2125" s="4" t="str">
        <f>IFERROR(__xludf.DUMMYFUNCTION("""COMPUTED_VALUE"""),"OUTLET &gt; AMPLIFICADORES / DISTRIBUIDORES")</f>
        <v>OUTLET &gt; AMPLIFICADORES / DISTRIBUIDORES</v>
      </c>
      <c r="G2125" s="5"/>
      <c r="H2125" s="6">
        <f>IFERROR(__xludf.DUMMYFUNCTION("""COMPUTED_VALUE"""),49.5)</f>
        <v>49.5</v>
      </c>
      <c r="I2125" s="7">
        <f>IFERROR(__xludf.DUMMYFUNCTION("""COMPUTED_VALUE"""),21.0)</f>
        <v>21</v>
      </c>
      <c r="J2125" s="6">
        <f>IFERROR(__xludf.DUMMYFUNCTION("""COMPUTED_VALUE"""),59.4)</f>
        <v>59.4</v>
      </c>
      <c r="K2125" s="6">
        <f>IFERROR(__xludf.DUMMYFUNCTION("""COMPUTED_VALUE"""),69.3)</f>
        <v>69.3</v>
      </c>
      <c r="L2125" s="3"/>
      <c r="M2125" s="3"/>
    </row>
    <row r="2126" ht="48.0" customHeight="1">
      <c r="A2126" s="3" t="str">
        <f>IFERROR(__xludf.DUMMYFUNCTION("""COMPUTED_VALUE"""),"DV28")</f>
        <v>DV28</v>
      </c>
      <c r="B2126" s="4" t="str">
        <f>IFERROR(__xludf.DUMMYFUNCTION("""COMPUTED_VALUE"""),"DISTRIBUIDOR VIDEO 2 ENTRADA, 8 SALIDAS 2 X 8")</f>
        <v>DISTRIBUIDOR VIDEO 2 ENTRADA, 8 SALIDAS 2 X 8</v>
      </c>
      <c r="C2126" s="4" t="str">
        <f>IFERROR(__xludf.DUMMYFUNCTION("""COMPUTED_VALUE"""),"Distribuidor Video 2 Entrada, 8 Salidas 2 x 8. BNC")</f>
        <v>Distribuidor Video 2 Entrada, 8 Salidas 2 x 8. BNC</v>
      </c>
      <c r="D2126" s="4" t="str">
        <f>IFERROR(__xludf.DUMMYFUNCTION("""COMPUTED_VALUE"""),"OWL")</f>
        <v>OWL</v>
      </c>
      <c r="E2126" s="4" t="str">
        <f>IFERROR(__xludf.DUMMYFUNCTION("""COMPUTED_VALUE"""),"DV28")</f>
        <v>DV28</v>
      </c>
      <c r="F2126" s="4" t="str">
        <f>IFERROR(__xludf.DUMMYFUNCTION("""COMPUTED_VALUE"""),"OUTLET &gt; AMPLIFICADORES / DISTRIBUIDORES")</f>
        <v>OUTLET &gt; AMPLIFICADORES / DISTRIBUIDORES</v>
      </c>
      <c r="G2126" s="5"/>
      <c r="H2126" s="6">
        <f>IFERROR(__xludf.DUMMYFUNCTION("""COMPUTED_VALUE"""),82.5)</f>
        <v>82.5</v>
      </c>
      <c r="I2126" s="7">
        <f>IFERROR(__xludf.DUMMYFUNCTION("""COMPUTED_VALUE"""),21.0)</f>
        <v>21</v>
      </c>
      <c r="J2126" s="6">
        <f>IFERROR(__xludf.DUMMYFUNCTION("""COMPUTED_VALUE"""),99.0)</f>
        <v>99</v>
      </c>
      <c r="K2126" s="6">
        <f>IFERROR(__xludf.DUMMYFUNCTION("""COMPUTED_VALUE"""),115.5)</f>
        <v>115.5</v>
      </c>
      <c r="L2126" s="3"/>
      <c r="M2126" s="3"/>
    </row>
    <row r="2127" ht="48.0" customHeight="1">
      <c r="A2127" s="3" t="str">
        <f>IFERROR(__xludf.DUMMYFUNCTION("""COMPUTED_VALUE"""),"RWLIR1285")</f>
        <v>RWLIR1285</v>
      </c>
      <c r="B2127" s="4" t="str">
        <f>IFERROR(__xludf.DUMMYFUNCTION("""COMPUTED_VALUE"""),"ILUMINADOR INFRARROJO 120º, 20 METROS DE COBERTURA, 12/24V")</f>
        <v>ILUMINADOR INFRARROJO 120º, 20 METROS DE COBERTURA, 12/24V</v>
      </c>
      <c r="C2127" s="4" t="str">
        <f>IFERROR(__xludf.DUMMYFUNCTION("""COMPUTED_VALUE"""),"Iluminador infrarrojo 120º, 20 metros de cobertura, 12/24V")</f>
        <v>Iluminador infrarrojo 120º, 20 metros de cobertura, 12/24V</v>
      </c>
      <c r="D2127" s="4" t="str">
        <f>IFERROR(__xludf.DUMMYFUNCTION("""COMPUTED_VALUE"""),"RAINBOW")</f>
        <v>RAINBOW</v>
      </c>
      <c r="E2127" s="4" t="str">
        <f>IFERROR(__xludf.DUMMYFUNCTION("""COMPUTED_VALUE"""),"RWLIR1285")</f>
        <v>RWLIR1285</v>
      </c>
      <c r="F2127" s="4" t="str">
        <f>IFERROR(__xludf.DUMMYFUNCTION("""COMPUTED_VALUE"""),"OUTLET &gt; ILUMINADORES INFRARROJOS")</f>
        <v>OUTLET &gt; ILUMINADORES INFRARROJOS</v>
      </c>
      <c r="G2127" s="5"/>
      <c r="H2127" s="6">
        <f>IFERROR(__xludf.DUMMYFUNCTION("""COMPUTED_VALUE"""),165.0)</f>
        <v>165</v>
      </c>
      <c r="I2127" s="7">
        <f>IFERROR(__xludf.DUMMYFUNCTION("""COMPUTED_VALUE"""),21.0)</f>
        <v>21</v>
      </c>
      <c r="J2127" s="6">
        <f>IFERROR(__xludf.DUMMYFUNCTION("""COMPUTED_VALUE"""),198.0)</f>
        <v>198</v>
      </c>
      <c r="K2127" s="6">
        <f>IFERROR(__xludf.DUMMYFUNCTION("""COMPUTED_VALUE"""),231.0)</f>
        <v>231</v>
      </c>
      <c r="L2127" s="3"/>
      <c r="M2127" s="3"/>
    </row>
    <row r="2128" ht="48.0" customHeight="1">
      <c r="A2128" s="3" t="str">
        <f>IFERROR(__xludf.DUMMYFUNCTION("""COMPUTED_VALUE"""),"RWLIR385")</f>
        <v>RWLIR385</v>
      </c>
      <c r="B2128" s="4" t="str">
        <f>IFERROR(__xludf.DUMMYFUNCTION("""COMPUTED_VALUE"""),"ILUMINADOR INFRARROJO 30º, 40 METROS DE COBERTURA, 12/24V")</f>
        <v>ILUMINADOR INFRARROJO 30º, 40 METROS DE COBERTURA, 12/24V</v>
      </c>
      <c r="C2128" s="4" t="str">
        <f>IFERROR(__xludf.DUMMYFUNCTION("""COMPUTED_VALUE"""),"Iluminador infrarrojo 30º, 40 metros de cobertura, 12/24V")</f>
        <v>Iluminador infrarrojo 30º, 40 metros de cobertura, 12/24V</v>
      </c>
      <c r="D2128" s="4" t="str">
        <f>IFERROR(__xludf.DUMMYFUNCTION("""COMPUTED_VALUE"""),"RAINBOW")</f>
        <v>RAINBOW</v>
      </c>
      <c r="E2128" s="4" t="str">
        <f>IFERROR(__xludf.DUMMYFUNCTION("""COMPUTED_VALUE"""),"RWLIR385")</f>
        <v>RWLIR385</v>
      </c>
      <c r="F2128" s="4" t="str">
        <f>IFERROR(__xludf.DUMMYFUNCTION("""COMPUTED_VALUE"""),"OUTLET &gt; ILUMINADORES INFRARROJOS")</f>
        <v>OUTLET &gt; ILUMINADORES INFRARROJOS</v>
      </c>
      <c r="G2128" s="5"/>
      <c r="H2128" s="6">
        <f>IFERROR(__xludf.DUMMYFUNCTION("""COMPUTED_VALUE"""),165.0)</f>
        <v>165</v>
      </c>
      <c r="I2128" s="7">
        <f>IFERROR(__xludf.DUMMYFUNCTION("""COMPUTED_VALUE"""),21.0)</f>
        <v>21</v>
      </c>
      <c r="J2128" s="6">
        <f>IFERROR(__xludf.DUMMYFUNCTION("""COMPUTED_VALUE"""),198.0)</f>
        <v>198</v>
      </c>
      <c r="K2128" s="6">
        <f>IFERROR(__xludf.DUMMYFUNCTION("""COMPUTED_VALUE"""),231.0)</f>
        <v>231</v>
      </c>
      <c r="L2128" s="3"/>
      <c r="M2128" s="3"/>
    </row>
    <row r="2129" ht="48.0" customHeight="1">
      <c r="A2129" s="3" t="str">
        <f>IFERROR(__xludf.DUMMYFUNCTION("""COMPUTED_VALUE"""),"RWLIR2185")</f>
        <v>RWLIR2185</v>
      </c>
      <c r="B2129" s="4" t="str">
        <f>IFERROR(__xludf.DUMMYFUNCTION("""COMPUTED_VALUE"""),"ILUMINADOR INFRARROJO 10º, 125 METROS DE COBERTURA, 12/24V")</f>
        <v>ILUMINADOR INFRARROJO 10º, 125 METROS DE COBERTURA, 12/24V</v>
      </c>
      <c r="C2129" s="4" t="str">
        <f>IFERROR(__xludf.DUMMYFUNCTION("""COMPUTED_VALUE"""),"Iluminador infrarrojo 10º, 125 metros de cobertura, 12/24V")</f>
        <v>Iluminador infrarrojo 10º, 125 metros de cobertura, 12/24V</v>
      </c>
      <c r="D2129" s="4" t="str">
        <f>IFERROR(__xludf.DUMMYFUNCTION("""COMPUTED_VALUE"""),"RAINBOW")</f>
        <v>RAINBOW</v>
      </c>
      <c r="E2129" s="4" t="str">
        <f>IFERROR(__xludf.DUMMYFUNCTION("""COMPUTED_VALUE"""),"RWLIR2185")</f>
        <v>RWLIR2185</v>
      </c>
      <c r="F2129" s="4" t="str">
        <f>IFERROR(__xludf.DUMMYFUNCTION("""COMPUTED_VALUE"""),"OUTLET &gt; ILUMINADORES INFRARROJOS")</f>
        <v>OUTLET &gt; ILUMINADORES INFRARROJOS</v>
      </c>
      <c r="G2129" s="5"/>
      <c r="H2129" s="6">
        <f>IFERROR(__xludf.DUMMYFUNCTION("""COMPUTED_VALUE"""),165.0)</f>
        <v>165</v>
      </c>
      <c r="I2129" s="7">
        <f>IFERROR(__xludf.DUMMYFUNCTION("""COMPUTED_VALUE"""),21.0)</f>
        <v>21</v>
      </c>
      <c r="J2129" s="6">
        <f>IFERROR(__xludf.DUMMYFUNCTION("""COMPUTED_VALUE"""),198.0)</f>
        <v>198</v>
      </c>
      <c r="K2129" s="6">
        <f>IFERROR(__xludf.DUMMYFUNCTION("""COMPUTED_VALUE"""),231.0)</f>
        <v>231</v>
      </c>
      <c r="L2129" s="3"/>
      <c r="M2129" s="3"/>
    </row>
    <row r="2130" ht="48.0" customHeight="1">
      <c r="A2130" s="3" t="str">
        <f>IFERROR(__xludf.DUMMYFUNCTION("""COMPUTED_VALUE"""),"RWLIR685")</f>
        <v>RWLIR685</v>
      </c>
      <c r="B2130" s="4" t="str">
        <f>IFERROR(__xludf.DUMMYFUNCTION("""COMPUTED_VALUE"""),"ILUMINADOR INFRARROJO 60º, 30 METROS DE COBERTURA, 12/24V")</f>
        <v>ILUMINADOR INFRARROJO 60º, 30 METROS DE COBERTURA, 12/24V</v>
      </c>
      <c r="C2130" s="4" t="str">
        <f>IFERROR(__xludf.DUMMYFUNCTION("""COMPUTED_VALUE"""),"Iluminador infrarrojo 60º, 30 metros de cobertura, 12/24V")</f>
        <v>Iluminador infrarrojo 60º, 30 metros de cobertura, 12/24V</v>
      </c>
      <c r="D2130" s="4" t="str">
        <f>IFERROR(__xludf.DUMMYFUNCTION("""COMPUTED_VALUE"""),"RAINBOW")</f>
        <v>RAINBOW</v>
      </c>
      <c r="E2130" s="4" t="str">
        <f>IFERROR(__xludf.DUMMYFUNCTION("""COMPUTED_VALUE"""),"RWLIR685")</f>
        <v>RWLIR685</v>
      </c>
      <c r="F2130" s="4" t="str">
        <f>IFERROR(__xludf.DUMMYFUNCTION("""COMPUTED_VALUE"""),"OUTLET &gt; ILUMINADORES INFRARROJOS")</f>
        <v>OUTLET &gt; ILUMINADORES INFRARROJOS</v>
      </c>
      <c r="G2130" s="5"/>
      <c r="H2130" s="6">
        <f>IFERROR(__xludf.DUMMYFUNCTION("""COMPUTED_VALUE"""),165.0)</f>
        <v>165</v>
      </c>
      <c r="I2130" s="7">
        <f>IFERROR(__xludf.DUMMYFUNCTION("""COMPUTED_VALUE"""),21.0)</f>
        <v>21</v>
      </c>
      <c r="J2130" s="6">
        <f>IFERROR(__xludf.DUMMYFUNCTION("""COMPUTED_VALUE"""),198.0)</f>
        <v>198</v>
      </c>
      <c r="K2130" s="6">
        <f>IFERROR(__xludf.DUMMYFUNCTION("""COMPUTED_VALUE"""),231.0)</f>
        <v>231</v>
      </c>
      <c r="L2130" s="3"/>
      <c r="M2130" s="3"/>
    </row>
    <row r="2131" ht="48.0" customHeight="1">
      <c r="A2131" s="3" t="str">
        <f>IFERROR(__xludf.DUMMYFUNCTION("""COMPUTED_VALUE"""),"TN0420B")</f>
        <v>TN0420B</v>
      </c>
      <c r="B2131" s="4" t="str">
        <f>IFERROR(__xludf.DUMMYFUNCTION("""COMPUTED_VALUE"""),"LENTE BOARD IRIS FIJO 4 MM ⅓""")</f>
        <v>LENTE BOARD IRIS FIJO 4 MM ⅓"</v>
      </c>
      <c r="C2131" s="4" t="str">
        <f>IFERROR(__xludf.DUMMYFUNCTION("""COMPUTED_VALUE"""),"Lente BOARD IRIS FIJO 4 mm ⅓""")</f>
        <v>Lente BOARD IRIS FIJO 4 mm ⅓"</v>
      </c>
      <c r="D2131" s="4" t="str">
        <f>IFERROR(__xludf.DUMMYFUNCTION("""COMPUTED_VALUE"""),"OWL")</f>
        <v>OWL</v>
      </c>
      <c r="E2131" s="4" t="str">
        <f>IFERROR(__xludf.DUMMYFUNCTION("""COMPUTED_VALUE"""),"TN0420B")</f>
        <v>TN0420B</v>
      </c>
      <c r="F2131" s="4" t="str">
        <f>IFERROR(__xludf.DUMMYFUNCTION("""COMPUTED_VALUE"""),"OUTLET &gt; LENTES")</f>
        <v>OUTLET &gt; LENTES</v>
      </c>
      <c r="G2131" s="5"/>
      <c r="H2131" s="6">
        <f>IFERROR(__xludf.DUMMYFUNCTION("""COMPUTED_VALUE"""),4.4)</f>
        <v>4.4</v>
      </c>
      <c r="I2131" s="7">
        <f>IFERROR(__xludf.DUMMYFUNCTION("""COMPUTED_VALUE"""),21.0)</f>
        <v>21</v>
      </c>
      <c r="J2131" s="6">
        <f>IFERROR(__xludf.DUMMYFUNCTION("""COMPUTED_VALUE"""),5.28)</f>
        <v>5.28</v>
      </c>
      <c r="K2131" s="6">
        <f>IFERROR(__xludf.DUMMYFUNCTION("""COMPUTED_VALUE"""),6.16)</f>
        <v>6.16</v>
      </c>
      <c r="L2131" s="3"/>
      <c r="M2131" s="3"/>
    </row>
    <row r="2132" ht="48.0" customHeight="1">
      <c r="A2132" s="3" t="str">
        <f>IFERROR(__xludf.DUMMYFUNCTION("""COMPUTED_VALUE"""),"RWL308VCSIR")</f>
        <v>RWL308VCSIR</v>
      </c>
      <c r="B2132" s="4" t="str">
        <f>IFERROR(__xludf.DUMMYFUNCTION("""COMPUTED_VALUE"""),"LENTE IRIS MANUAL VARIFOCAL 3 A 8MM, DÍA/NOCHE, CÁMARAS IR ⅓""")</f>
        <v>LENTE IRIS MANUAL VARIFOCAL 3 A 8MM, DÍA/NOCHE, CÁMARAS IR ⅓"</v>
      </c>
      <c r="C2132" s="4" t="str">
        <f>IFERROR(__xludf.DUMMYFUNCTION("""COMPUTED_VALUE"""),"Lente IRIS MANUAL VARIFOCAL 3 a 8mm, día/noche, cámaras IR ⅓""")</f>
        <v>Lente IRIS MANUAL VARIFOCAL 3 a 8mm, día/noche, cámaras IR ⅓"</v>
      </c>
      <c r="D2132" s="4" t="str">
        <f>IFERROR(__xludf.DUMMYFUNCTION("""COMPUTED_VALUE"""),"RAINBOW")</f>
        <v>RAINBOW</v>
      </c>
      <c r="E2132" s="4" t="str">
        <f>IFERROR(__xludf.DUMMYFUNCTION("""COMPUTED_VALUE"""),"RWL308VCSIR")</f>
        <v>RWL308VCSIR</v>
      </c>
      <c r="F2132" s="4" t="str">
        <f>IFERROR(__xludf.DUMMYFUNCTION("""COMPUTED_VALUE"""),"OUTLET &gt; LENTES")</f>
        <v>OUTLET &gt; LENTES</v>
      </c>
      <c r="G2132" s="5"/>
      <c r="H2132" s="6">
        <f>IFERROR(__xludf.DUMMYFUNCTION("""COMPUTED_VALUE"""),30.8)</f>
        <v>30.8</v>
      </c>
      <c r="I2132" s="7">
        <f>IFERROR(__xludf.DUMMYFUNCTION("""COMPUTED_VALUE"""),21.0)</f>
        <v>21</v>
      </c>
      <c r="J2132" s="6">
        <f>IFERROR(__xludf.DUMMYFUNCTION("""COMPUTED_VALUE"""),36.96)</f>
        <v>36.96</v>
      </c>
      <c r="K2132" s="6">
        <f>IFERROR(__xludf.DUMMYFUNCTION("""COMPUTED_VALUE"""),43.12)</f>
        <v>43.12</v>
      </c>
      <c r="L2132" s="3"/>
      <c r="M2132" s="3"/>
    </row>
    <row r="2133" ht="48.0" customHeight="1">
      <c r="A2133" s="3" t="str">
        <f>IFERROR(__xludf.DUMMYFUNCTION("""COMPUTED_VALUE"""),"TN0615VM")</f>
        <v>TN0615VM</v>
      </c>
      <c r="B2133" s="4" t="str">
        <f>IFERROR(__xludf.DUMMYFUNCTION("""COMPUTED_VALUE"""),"LENTE IRIS MANUAL VARIFOCAL 6 A 15 MM ⅓""")</f>
        <v>LENTE IRIS MANUAL VARIFOCAL 6 A 15 MM ⅓"</v>
      </c>
      <c r="C2133" s="4" t="str">
        <f>IFERROR(__xludf.DUMMYFUNCTION("""COMPUTED_VALUE"""),"Lente IRIS MANUAL VARIFOCAL 6 a 15 mm ⅓""")</f>
        <v>Lente IRIS MANUAL VARIFOCAL 6 a 15 mm ⅓"</v>
      </c>
      <c r="D2133" s="4" t="str">
        <f>IFERROR(__xludf.DUMMYFUNCTION("""COMPUTED_VALUE"""),"OWL")</f>
        <v>OWL</v>
      </c>
      <c r="E2133" s="4" t="str">
        <f>IFERROR(__xludf.DUMMYFUNCTION("""COMPUTED_VALUE"""),"TN0615VM")</f>
        <v>TN0615VM</v>
      </c>
      <c r="F2133" s="4" t="str">
        <f>IFERROR(__xludf.DUMMYFUNCTION("""COMPUTED_VALUE"""),"OUTLET &gt; LENTES")</f>
        <v>OUTLET &gt; LENTES</v>
      </c>
      <c r="G2133" s="5"/>
      <c r="H2133" s="6">
        <f>IFERROR(__xludf.DUMMYFUNCTION("""COMPUTED_VALUE"""),22.0)</f>
        <v>22</v>
      </c>
      <c r="I2133" s="7">
        <f>IFERROR(__xludf.DUMMYFUNCTION("""COMPUTED_VALUE"""),21.0)</f>
        <v>21</v>
      </c>
      <c r="J2133" s="6">
        <f>IFERROR(__xludf.DUMMYFUNCTION("""COMPUTED_VALUE"""),26.4)</f>
        <v>26.4</v>
      </c>
      <c r="K2133" s="6">
        <f>IFERROR(__xludf.DUMMYFUNCTION("""COMPUTED_VALUE"""),30.8)</f>
        <v>30.8</v>
      </c>
      <c r="L2133" s="3"/>
      <c r="M2133" s="3"/>
    </row>
    <row r="2134" ht="48.0" customHeight="1">
      <c r="A2134" s="3" t="str">
        <f>IFERROR(__xludf.DUMMYFUNCTION("""COMPUTED_VALUE"""),"RWL358VDC")</f>
        <v>RWL358VDC</v>
      </c>
      <c r="B2134" s="4" t="str">
        <f>IFERROR(__xludf.DUMMYFUNCTION("""COMPUTED_VALUE"""),"LENTE AUTOIRIS VARIFOCAL 3,5 A 8 MM ⅓"" CRISTAL")</f>
        <v>LENTE AUTOIRIS VARIFOCAL 3,5 A 8 MM ⅓" CRISTAL</v>
      </c>
      <c r="C2134" s="4" t="str">
        <f>IFERROR(__xludf.DUMMYFUNCTION("""COMPUTED_VALUE"""),"Lente AUTOIRIS VARIFOCAL 3,5 a 8 mm ⅓"" Cristal")</f>
        <v>Lente AUTOIRIS VARIFOCAL 3,5 a 8 mm ⅓" Cristal</v>
      </c>
      <c r="D2134" s="4" t="str">
        <f>IFERROR(__xludf.DUMMYFUNCTION("""COMPUTED_VALUE"""),"RAINBOW")</f>
        <v>RAINBOW</v>
      </c>
      <c r="E2134" s="4" t="str">
        <f>IFERROR(__xludf.DUMMYFUNCTION("""COMPUTED_VALUE"""),"RWL358VDC")</f>
        <v>RWL358VDC</v>
      </c>
      <c r="F2134" s="4" t="str">
        <f>IFERROR(__xludf.DUMMYFUNCTION("""COMPUTED_VALUE"""),"OUTLET &gt; LENTES")</f>
        <v>OUTLET &gt; LENTES</v>
      </c>
      <c r="G2134" s="5"/>
      <c r="H2134" s="6">
        <f>IFERROR(__xludf.DUMMYFUNCTION("""COMPUTED_VALUE"""),38.5)</f>
        <v>38.5</v>
      </c>
      <c r="I2134" s="7">
        <f>IFERROR(__xludf.DUMMYFUNCTION("""COMPUTED_VALUE"""),21.0)</f>
        <v>21</v>
      </c>
      <c r="J2134" s="6">
        <f>IFERROR(__xludf.DUMMYFUNCTION("""COMPUTED_VALUE"""),46.2)</f>
        <v>46.2</v>
      </c>
      <c r="K2134" s="6">
        <f>IFERROR(__xludf.DUMMYFUNCTION("""COMPUTED_VALUE"""),53.9)</f>
        <v>53.9</v>
      </c>
      <c r="L2134" s="3"/>
      <c r="M2134" s="3"/>
    </row>
    <row r="2135" ht="48.0" customHeight="1">
      <c r="A2135" s="3" t="str">
        <f>IFERROR(__xludf.DUMMYFUNCTION("""COMPUTED_VALUE"""),"RWL298AVDC4PIR")</f>
        <v>RWL298AVDC4PIR</v>
      </c>
      <c r="B2135" s="4" t="str">
        <f>IFERROR(__xludf.DUMMYFUNCTION("""COMPUTED_VALUE"""),"LENTE AUTOIRISVARIFOCAL 2,9 A 8 MM ⅓"" CRISTAL")</f>
        <v>LENTE AUTOIRISVARIFOCAL 2,9 A 8 MM ⅓" CRISTAL</v>
      </c>
      <c r="C2135" s="4" t="str">
        <f>IFERROR(__xludf.DUMMYFUNCTION("""COMPUTED_VALUE"""),"Lente AUTOIRISVARIFOCAL 2,9 a 8 mm ⅓"" Cristal")</f>
        <v>Lente AUTOIRISVARIFOCAL 2,9 a 8 mm ⅓" Cristal</v>
      </c>
      <c r="D2135" s="4" t="str">
        <f>IFERROR(__xludf.DUMMYFUNCTION("""COMPUTED_VALUE"""),"RAINBOW")</f>
        <v>RAINBOW</v>
      </c>
      <c r="E2135" s="4" t="str">
        <f>IFERROR(__xludf.DUMMYFUNCTION("""COMPUTED_VALUE"""),"RWL298AVDC4PIR")</f>
        <v>RWL298AVDC4PIR</v>
      </c>
      <c r="F2135" s="4" t="str">
        <f>IFERROR(__xludf.DUMMYFUNCTION("""COMPUTED_VALUE"""),"OUTLET &gt; LENTES")</f>
        <v>OUTLET &gt; LENTES</v>
      </c>
      <c r="G2135" s="5"/>
      <c r="H2135" s="6">
        <f>IFERROR(__xludf.DUMMYFUNCTION("""COMPUTED_VALUE"""),42.9)</f>
        <v>42.9</v>
      </c>
      <c r="I2135" s="7">
        <f>IFERROR(__xludf.DUMMYFUNCTION("""COMPUTED_VALUE"""),21.0)</f>
        <v>21</v>
      </c>
      <c r="J2135" s="6">
        <f>IFERROR(__xludf.DUMMYFUNCTION("""COMPUTED_VALUE"""),51.48)</f>
        <v>51.48</v>
      </c>
      <c r="K2135" s="6">
        <f>IFERROR(__xludf.DUMMYFUNCTION("""COMPUTED_VALUE"""),60.06)</f>
        <v>60.06</v>
      </c>
      <c r="L2135" s="3"/>
      <c r="M2135" s="3"/>
    </row>
    <row r="2136" ht="48.0" customHeight="1">
      <c r="A2136" s="3" t="str">
        <f>IFERROR(__xludf.DUMMYFUNCTION("""COMPUTED_VALUE"""),"TN03509VAAS")</f>
        <v>TN03509VAAS</v>
      </c>
      <c r="B2136" s="4" t="str">
        <f>IFERROR(__xludf.DUMMYFUNCTION("""COMPUTED_VALUE"""),"LENTE AUTOIRIS VARIFOCAL 3,5 A 9 MM ⅓""")</f>
        <v>LENTE AUTOIRIS VARIFOCAL 3,5 A 9 MM ⅓"</v>
      </c>
      <c r="C2136" s="4" t="str">
        <f>IFERROR(__xludf.DUMMYFUNCTION("""COMPUTED_VALUE"""),"Lente AUTOIRIS VARIFOCAL 3,5 a 9 mm ⅓""")</f>
        <v>Lente AUTOIRIS VARIFOCAL 3,5 a 9 mm ⅓"</v>
      </c>
      <c r="D2136" s="4" t="str">
        <f>IFERROR(__xludf.DUMMYFUNCTION("""COMPUTED_VALUE"""),"OWL")</f>
        <v>OWL</v>
      </c>
      <c r="E2136" s="4" t="str">
        <f>IFERROR(__xludf.DUMMYFUNCTION("""COMPUTED_VALUE"""),"TN03509VAAS")</f>
        <v>TN03509VAAS</v>
      </c>
      <c r="F2136" s="4" t="str">
        <f>IFERROR(__xludf.DUMMYFUNCTION("""COMPUTED_VALUE"""),"OUTLET &gt; LENTES")</f>
        <v>OUTLET &gt; LENTES</v>
      </c>
      <c r="G2136" s="5"/>
      <c r="H2136" s="6">
        <f>IFERROR(__xludf.DUMMYFUNCTION("""COMPUTED_VALUE"""),28.6)</f>
        <v>28.6</v>
      </c>
      <c r="I2136" s="7">
        <f>IFERROR(__xludf.DUMMYFUNCTION("""COMPUTED_VALUE"""),21.0)</f>
        <v>21</v>
      </c>
      <c r="J2136" s="6">
        <f>IFERROR(__xludf.DUMMYFUNCTION("""COMPUTED_VALUE"""),34.32)</f>
        <v>34.32</v>
      </c>
      <c r="K2136" s="6">
        <f>IFERROR(__xludf.DUMMYFUNCTION("""COMPUTED_VALUE"""),40.04)</f>
        <v>40.04</v>
      </c>
      <c r="L2136" s="3"/>
      <c r="M2136" s="3"/>
    </row>
    <row r="2137" ht="48.0" customHeight="1">
      <c r="A2137" s="3" t="str">
        <f>IFERROR(__xludf.DUMMYFUNCTION("""COMPUTED_VALUE"""),"TN0615AV")</f>
        <v>TN0615AV</v>
      </c>
      <c r="B2137" s="4" t="str">
        <f>IFERROR(__xludf.DUMMYFUNCTION("""COMPUTED_VALUE"""),"LENTE AUTOIRIS VARIFOCAL ACTIVA 6 A 15 MM ⅓""")</f>
        <v>LENTE AUTOIRIS VARIFOCAL ACTIVA 6 A 15 MM ⅓"</v>
      </c>
      <c r="C2137" s="4" t="str">
        <f>IFERROR(__xludf.DUMMYFUNCTION("""COMPUTED_VALUE"""),"Lente AUTOIRIS VARIFOCAL ACTIVA 6 a 15 mm ⅓""")</f>
        <v>Lente AUTOIRIS VARIFOCAL ACTIVA 6 a 15 mm ⅓"</v>
      </c>
      <c r="D2137" s="4" t="str">
        <f>IFERROR(__xludf.DUMMYFUNCTION("""COMPUTED_VALUE"""),"OWL")</f>
        <v>OWL</v>
      </c>
      <c r="E2137" s="4" t="str">
        <f>IFERROR(__xludf.DUMMYFUNCTION("""COMPUTED_VALUE"""),"TN0615AV")</f>
        <v>TN0615AV</v>
      </c>
      <c r="F2137" s="4" t="str">
        <f>IFERROR(__xludf.DUMMYFUNCTION("""COMPUTED_VALUE"""),"OUTLET &gt; LENTES")</f>
        <v>OUTLET &gt; LENTES</v>
      </c>
      <c r="G2137" s="5"/>
      <c r="H2137" s="6">
        <f>IFERROR(__xludf.DUMMYFUNCTION("""COMPUTED_VALUE"""),44.0)</f>
        <v>44</v>
      </c>
      <c r="I2137" s="7">
        <f>IFERROR(__xludf.DUMMYFUNCTION("""COMPUTED_VALUE"""),21.0)</f>
        <v>21</v>
      </c>
      <c r="J2137" s="6">
        <f>IFERROR(__xludf.DUMMYFUNCTION("""COMPUTED_VALUE"""),52.8)</f>
        <v>52.8</v>
      </c>
      <c r="K2137" s="6">
        <f>IFERROR(__xludf.DUMMYFUNCTION("""COMPUTED_VALUE"""),61.6)</f>
        <v>61.6</v>
      </c>
      <c r="L2137" s="3"/>
      <c r="M2137" s="3"/>
    </row>
    <row r="2138" ht="48.0" customHeight="1">
      <c r="A2138" s="3" t="str">
        <f>IFERROR(__xludf.DUMMYFUNCTION("""COMPUTED_VALUE"""),"RWHM410VCSIR")</f>
        <v>RWHM410VCSIR</v>
      </c>
      <c r="B2138" s="4" t="str">
        <f>IFERROR(__xludf.DUMMYFUNCTION("""COMPUTED_VALUE"""),"LENTE MEGAPIXEL 2 MP VARIFOCAL 4")</f>
        <v>LENTE MEGAPIXEL 2 MP VARIFOCAL 4</v>
      </c>
      <c r="C2138" s="4" t="str">
        <f>IFERROR(__xludf.DUMMYFUNCTION("""COMPUTED_VALUE"""),"Lente MEGAPIXEL 2 MP VARIFOCAL 4.5 - 10mm .1/2""")</f>
        <v>Lente MEGAPIXEL 2 MP VARIFOCAL 4.5 - 10mm .1/2"</v>
      </c>
      <c r="D2138" s="4" t="str">
        <f>IFERROR(__xludf.DUMMYFUNCTION("""COMPUTED_VALUE"""),"RAINBOW")</f>
        <v>RAINBOW</v>
      </c>
      <c r="E2138" s="4" t="str">
        <f>IFERROR(__xludf.DUMMYFUNCTION("""COMPUTED_VALUE"""),"RWHM410VCSIR")</f>
        <v>RWHM410VCSIR</v>
      </c>
      <c r="F2138" s="4" t="str">
        <f>IFERROR(__xludf.DUMMYFUNCTION("""COMPUTED_VALUE"""),"OUTLET &gt; LENTES")</f>
        <v>OUTLET &gt; LENTES</v>
      </c>
      <c r="G2138" s="5"/>
      <c r="H2138" s="6">
        <f>IFERROR(__xludf.DUMMYFUNCTION("""COMPUTED_VALUE"""),60.5)</f>
        <v>60.5</v>
      </c>
      <c r="I2138" s="7">
        <f>IFERROR(__xludf.DUMMYFUNCTION("""COMPUTED_VALUE"""),21.0)</f>
        <v>21</v>
      </c>
      <c r="J2138" s="6">
        <f>IFERROR(__xludf.DUMMYFUNCTION("""COMPUTED_VALUE"""),72.6)</f>
        <v>72.6</v>
      </c>
      <c r="K2138" s="6">
        <f>IFERROR(__xludf.DUMMYFUNCTION("""COMPUTED_VALUE"""),84.7)</f>
        <v>84.7</v>
      </c>
      <c r="L2138" s="3"/>
      <c r="M2138" s="3"/>
    </row>
    <row r="2139" ht="48.0" customHeight="1">
      <c r="A2139" s="3" t="str">
        <f>IFERROR(__xludf.DUMMYFUNCTION("""COMPUTED_VALUE"""),"AVN216Z")</f>
        <v>AVN216Z</v>
      </c>
      <c r="B2139" s="4" t="str">
        <f>IFERROR(__xludf.DUMMYFUNCTION("""COMPUTED_VALUE"""),"CÁMARA IP ALTA RESOLUCIÓN H")</f>
        <v>CÁMARA IP ALTA RESOLUCIÓN H</v>
      </c>
      <c r="C2139" s="4" t="str">
        <f>IFERROR(__xludf.DUMMYFUNCTION("""COMPUTED_VALUE"""),"Cámara IP alta resolución H.264 CCD 1/3. Lente de 3.8 mm. Audio doble vía. Fuente 5V")</f>
        <v>Cámara IP alta resolución H.264 CCD 1/3. Lente de 3.8 mm. Audio doble vía. Fuente 5V</v>
      </c>
      <c r="D2139" s="4" t="str">
        <f>IFERROR(__xludf.DUMMYFUNCTION("""COMPUTED_VALUE"""),"AVTECH")</f>
        <v>AVTECH</v>
      </c>
      <c r="E2139" s="4" t="str">
        <f>IFERROR(__xludf.DUMMYFUNCTION("""COMPUTED_VALUE"""),"AVN216Z")</f>
        <v>AVN216Z</v>
      </c>
      <c r="F2139" s="4" t="str">
        <f>IFERROR(__xludf.DUMMYFUNCTION("""COMPUTED_VALUE"""),"OUTLET &gt; CÁMARAS IP VGA")</f>
        <v>OUTLET &gt; CÁMARAS IP VGA</v>
      </c>
      <c r="G2139" s="5"/>
      <c r="H2139" s="6">
        <f>IFERROR(__xludf.DUMMYFUNCTION("""COMPUTED_VALUE"""),22.0)</f>
        <v>22</v>
      </c>
      <c r="I2139" s="7">
        <f>IFERROR(__xludf.DUMMYFUNCTION("""COMPUTED_VALUE"""),21.0)</f>
        <v>21</v>
      </c>
      <c r="J2139" s="6">
        <f>IFERROR(__xludf.DUMMYFUNCTION("""COMPUTED_VALUE"""),26.4)</f>
        <v>26.4</v>
      </c>
      <c r="K2139" s="6">
        <f>IFERROR(__xludf.DUMMYFUNCTION("""COMPUTED_VALUE"""),30.8)</f>
        <v>30.8</v>
      </c>
      <c r="L2139" s="3"/>
      <c r="M2139" s="3"/>
    </row>
    <row r="2140" ht="48.0" customHeight="1">
      <c r="A2140" s="3" t="str">
        <f>IFERROR(__xludf.DUMMYFUNCTION("""COMPUTED_VALUE"""),"ALIP150CAM")</f>
        <v>ALIP150CAM</v>
      </c>
      <c r="B2140" s="4" t="str">
        <f>IFERROR(__xludf.DUMMYFUNCTION("""COMPUTED_VALUE"""),"CÁMARA CMOS 1/4"", COMPRESIÓN MPEG4/MJPEG MODO DUAL CON LENTE")</f>
        <v>CÁMARA CMOS 1/4", COMPRESIÓN MPEG4/MJPEG MODO DUAL CON LENTE</v>
      </c>
      <c r="C2140" s="4" t="str">
        <f>IFERROR(__xludf.DUMMYFUNCTION("""COMPUTED_VALUE"""),"Cámara CMOS 1/4"", compresión MPEG4/MJPEG modo Dual con lente fijo de 4.5mm. Audio de dos vías. Zoom x10 digital. Detección de movimiento.")</f>
        <v>Cámara CMOS 1/4", compresión MPEG4/MJPEG modo Dual con lente fijo de 4.5mm. Audio de dos vías. Zoom x10 digital. Detección de movimiento.</v>
      </c>
      <c r="D2140" s="4" t="str">
        <f>IFERROR(__xludf.DUMMYFUNCTION("""COMPUTED_VALUE"""),"AIRLIVE")</f>
        <v>AIRLIVE</v>
      </c>
      <c r="E2140" s="4" t="str">
        <f>IFERROR(__xludf.DUMMYFUNCTION("""COMPUTED_VALUE"""),"ALIP150CAM")</f>
        <v>ALIP150CAM</v>
      </c>
      <c r="F2140" s="4" t="str">
        <f>IFERROR(__xludf.DUMMYFUNCTION("""COMPUTED_VALUE"""),"OUTLET &gt; CÁMARAS IP VGA")</f>
        <v>OUTLET &gt; CÁMARAS IP VGA</v>
      </c>
      <c r="G2140" s="5"/>
      <c r="H2140" s="6">
        <f>IFERROR(__xludf.DUMMYFUNCTION("""COMPUTED_VALUE"""),22.0)</f>
        <v>22</v>
      </c>
      <c r="I2140" s="7">
        <f>IFERROR(__xludf.DUMMYFUNCTION("""COMPUTED_VALUE"""),21.0)</f>
        <v>21</v>
      </c>
      <c r="J2140" s="6">
        <f>IFERROR(__xludf.DUMMYFUNCTION("""COMPUTED_VALUE"""),26.4)</f>
        <v>26.4</v>
      </c>
      <c r="K2140" s="6">
        <f>IFERROR(__xludf.DUMMYFUNCTION("""COMPUTED_VALUE"""),30.8)</f>
        <v>30.8</v>
      </c>
      <c r="L2140" s="3"/>
      <c r="M2140" s="3"/>
    </row>
    <row r="2141" ht="48.0" customHeight="1">
      <c r="A2141" s="3" t="str">
        <f>IFERROR(__xludf.DUMMYFUNCTION("""COMPUTED_VALUE"""),"SNB1000P")</f>
        <v>SNB1000P</v>
      </c>
      <c r="B2141" s="4" t="str">
        <f>IFERROR(__xludf.DUMMYFUNCTION("""COMPUTED_VALUE"""),"CÁMARA IP COLOR H")</f>
        <v>CÁMARA IP COLOR H</v>
      </c>
      <c r="C2141" s="4" t="str">
        <f>IFERROR(__xludf.DUMMYFUNCTION("""COMPUTED_VALUE"""),"Cámara IP color H.264 CCD 1/3"" Super HAD, 25 fps, PoE, multistream, Linux embebido, RJ45, IPOLIS, detección de movimiento, WBL, AGC, OSD, zonas para enmascarar, 12V/24V")</f>
        <v>Cámara IP color H.264 CCD 1/3" Super HAD, 25 fps, PoE, multistream, Linux embebido, RJ45, IPOLIS, detección de movimiento, WBL, AGC, OSD, zonas para enmascarar, 12V/24V</v>
      </c>
      <c r="D2141" s="4" t="str">
        <f>IFERROR(__xludf.DUMMYFUNCTION("""COMPUTED_VALUE"""),"SAMSUNG")</f>
        <v>SAMSUNG</v>
      </c>
      <c r="E2141" s="4" t="str">
        <f>IFERROR(__xludf.DUMMYFUNCTION("""COMPUTED_VALUE"""),"SNB1000P")</f>
        <v>SNB1000P</v>
      </c>
      <c r="F2141" s="4" t="str">
        <f>IFERROR(__xludf.DUMMYFUNCTION("""COMPUTED_VALUE"""),"OUTLET &gt; CÁMARAS IP VGA")</f>
        <v>OUTLET &gt; CÁMARAS IP VGA</v>
      </c>
      <c r="G2141" s="5"/>
      <c r="H2141" s="6">
        <f>IFERROR(__xludf.DUMMYFUNCTION("""COMPUTED_VALUE"""),22.0)</f>
        <v>22</v>
      </c>
      <c r="I2141" s="7">
        <f>IFERROR(__xludf.DUMMYFUNCTION("""COMPUTED_VALUE"""),21.0)</f>
        <v>21</v>
      </c>
      <c r="J2141" s="6">
        <f>IFERROR(__xludf.DUMMYFUNCTION("""COMPUTED_VALUE"""),26.4)</f>
        <v>26.4</v>
      </c>
      <c r="K2141" s="6">
        <f>IFERROR(__xludf.DUMMYFUNCTION("""COMPUTED_VALUE"""),30.8)</f>
        <v>30.8</v>
      </c>
      <c r="L2141" s="3"/>
      <c r="M2141" s="3"/>
    </row>
    <row r="2142" ht="48.0" customHeight="1">
      <c r="A2142" s="3" t="str">
        <f>IFERROR(__xludf.DUMMYFUNCTION("""COMPUTED_VALUE"""),"SND460VP")</f>
        <v>SND460VP</v>
      </c>
      <c r="B2142" s="4" t="str">
        <f>IFERROR(__xludf.DUMMYFUNCTION("""COMPUTED_VALUE"""),"DOMO IP EXTERIOR ANTIVANDALISMO COLOR CCD 1/3"" CON INTERLINEADO")</f>
        <v>DOMO IP EXTERIOR ANTIVANDALISMO COLOR CCD 1/3" CON INTERLINEADO</v>
      </c>
      <c r="C2142" s="4" t="str">
        <f>IFERROR(__xludf.DUMMYFUNCTION("""COMPUTED_VALUE"""),"Domo IP exterior ANTIVANDALISMO color CCD 1/3"" con interlineado vertical de doble densidad, 6 tipos de resolución de imagen y calidad de transferencia, MPEG4/JPEG dual codec, 580 líneas, 0.15 Lux color, 0.0006 Lux (sens up), día/noche con ICR, DSP de 4ta"&amp;". Generación, SSNR, HLC, detección de movimiento, WBL, AGC, OSD, zonas para enmascarar, audio bidireccional, zoom optico 3,6x (manual) (2.8~10mm), PoE, IP66, 12/24.")</f>
        <v>Domo IP exterior ANTIVANDALISMO color CCD 1/3" con interlineado vertical de doble densidad, 6 tipos de resolución de imagen y calidad de transferencia, MPEG4/JPEG dual codec, 580 líneas, 0.15 Lux color, 0.0006 Lux (sens up), día/noche con ICR, DSP de 4ta. Generación, SSNR, HLC, detección de movimiento, WBL, AGC, OSD, zonas para enmascarar, audio bidireccional, zoom optico 3,6x (manual) (2.8~10mm), PoE, IP66, 12/24.</v>
      </c>
      <c r="D2142" s="4" t="str">
        <f>IFERROR(__xludf.DUMMYFUNCTION("""COMPUTED_VALUE"""),"SAMSUNG")</f>
        <v>SAMSUNG</v>
      </c>
      <c r="E2142" s="4" t="str">
        <f>IFERROR(__xludf.DUMMYFUNCTION("""COMPUTED_VALUE"""),"SND460VP")</f>
        <v>SND460VP</v>
      </c>
      <c r="F2142" s="4" t="str">
        <f>IFERROR(__xludf.DUMMYFUNCTION("""COMPUTED_VALUE"""),"OUTLET &gt; CÁMARAS IP VGA")</f>
        <v>OUTLET &gt; CÁMARAS IP VGA</v>
      </c>
      <c r="G2142" s="5"/>
      <c r="H2142" s="6">
        <f>IFERROR(__xludf.DUMMYFUNCTION("""COMPUTED_VALUE"""),22.0)</f>
        <v>22</v>
      </c>
      <c r="I2142" s="7">
        <f>IFERROR(__xludf.DUMMYFUNCTION("""COMPUTED_VALUE"""),10.5)</f>
        <v>10.5</v>
      </c>
      <c r="J2142" s="6">
        <f>IFERROR(__xludf.DUMMYFUNCTION("""COMPUTED_VALUE"""),26.4)</f>
        <v>26.4</v>
      </c>
      <c r="K2142" s="6">
        <f>IFERROR(__xludf.DUMMYFUNCTION("""COMPUTED_VALUE"""),30.8)</f>
        <v>30.8</v>
      </c>
      <c r="L2142" s="3"/>
      <c r="M2142" s="3"/>
    </row>
    <row r="2143" ht="48.0" customHeight="1">
      <c r="A2143" s="3" t="str">
        <f>IFERROR(__xludf.DUMMYFUNCTION("""COMPUTED_VALUE"""),"AVM317B")</f>
        <v>AVM317B</v>
      </c>
      <c r="B2143" s="4" t="str">
        <f>IFERROR(__xludf.DUMMYFUNCTION("""COMPUTED_VALUE"""),"CÁMARA IP MEGAPIXEL 1")</f>
        <v>CÁMARA IP MEGAPIXEL 1</v>
      </c>
      <c r="C2143" s="4" t="str">
        <f>IFERROR(__xludf.DUMMYFUNCTION("""COMPUTED_VALUE"""),"Cámara IP MEGAPIXEL 1.3 H.264, 1280x1024 entrada de alarma Compatible con Iphone y Android, micrófono y parlante incorporado.ONVIF")</f>
        <v>Cámara IP MEGAPIXEL 1.3 H.264, 1280x1024 entrada de alarma Compatible con Iphone y Android, micrófono y parlante incorporado.ONVIF</v>
      </c>
      <c r="D2143" s="4" t="str">
        <f>IFERROR(__xludf.DUMMYFUNCTION("""COMPUTED_VALUE"""),"AVTECH")</f>
        <v>AVTECH</v>
      </c>
      <c r="E2143" s="4" t="str">
        <f>IFERROR(__xludf.DUMMYFUNCTION("""COMPUTED_VALUE"""),"AVM317B")</f>
        <v>AVM317B</v>
      </c>
      <c r="F2143" s="4" t="str">
        <f>IFERROR(__xludf.DUMMYFUNCTION("""COMPUTED_VALUE"""),"OUTLET &gt; CÁMARAS IP 1 Y 1,3MP")</f>
        <v>OUTLET &gt; CÁMARAS IP 1 Y 1,3MP</v>
      </c>
      <c r="G2143" s="5"/>
      <c r="H2143" s="6">
        <f>IFERROR(__xludf.DUMMYFUNCTION("""COMPUTED_VALUE"""),22.0)</f>
        <v>22</v>
      </c>
      <c r="I2143" s="7">
        <f>IFERROR(__xludf.DUMMYFUNCTION("""COMPUTED_VALUE"""),21.0)</f>
        <v>21</v>
      </c>
      <c r="J2143" s="6">
        <f>IFERROR(__xludf.DUMMYFUNCTION("""COMPUTED_VALUE"""),26.4)</f>
        <v>26.4</v>
      </c>
      <c r="K2143" s="6">
        <f>IFERROR(__xludf.DUMMYFUNCTION("""COMPUTED_VALUE"""),30.8)</f>
        <v>30.8</v>
      </c>
      <c r="L2143" s="3"/>
      <c r="M2143" s="3"/>
    </row>
    <row r="2144" ht="48.0" customHeight="1">
      <c r="A2144" s="3" t="str">
        <f>IFERROR(__xludf.DUMMYFUNCTION("""COMPUTED_VALUE"""),"AVN314Z")</f>
        <v>AVN314Z</v>
      </c>
      <c r="B2144" s="4" t="str">
        <f>IFERROR(__xludf.DUMMYFUNCTION("""COMPUTED_VALUE"""),"CÁMARA IP MEGAPIXEL 1")</f>
        <v>CÁMARA IP MEGAPIXEL 1</v>
      </c>
      <c r="C2144" s="4" t="str">
        <f>IFERROR(__xludf.DUMMYFUNCTION("""COMPUTED_VALUE"""),"Cámara IP MEGAPIXEL 1.3 H.264, 1280x1024. Fuente 5V 2A")</f>
        <v>Cámara IP MEGAPIXEL 1.3 H.264, 1280x1024. Fuente 5V 2A</v>
      </c>
      <c r="D2144" s="4" t="str">
        <f>IFERROR(__xludf.DUMMYFUNCTION("""COMPUTED_VALUE"""),"AVTECH")</f>
        <v>AVTECH</v>
      </c>
      <c r="E2144" s="4" t="str">
        <f>IFERROR(__xludf.DUMMYFUNCTION("""COMPUTED_VALUE"""),"AVN314Z")</f>
        <v>AVN314Z</v>
      </c>
      <c r="F2144" s="4" t="str">
        <f>IFERROR(__xludf.DUMMYFUNCTION("""COMPUTED_VALUE"""),"OUTLET &gt; CÁMARAS IP 1 Y 1,3MP")</f>
        <v>OUTLET &gt; CÁMARAS IP 1 Y 1,3MP</v>
      </c>
      <c r="G2144" s="5"/>
      <c r="H2144" s="6">
        <f>IFERROR(__xludf.DUMMYFUNCTION("""COMPUTED_VALUE"""),22.0)</f>
        <v>22</v>
      </c>
      <c r="I2144" s="7">
        <f>IFERROR(__xludf.DUMMYFUNCTION("""COMPUTED_VALUE"""),21.0)</f>
        <v>21</v>
      </c>
      <c r="J2144" s="6">
        <f>IFERROR(__xludf.DUMMYFUNCTION("""COMPUTED_VALUE"""),26.4)</f>
        <v>26.4</v>
      </c>
      <c r="K2144" s="6">
        <f>IFERROR(__xludf.DUMMYFUNCTION("""COMPUTED_VALUE"""),30.8)</f>
        <v>30.8</v>
      </c>
      <c r="L2144" s="3"/>
      <c r="M2144" s="3"/>
    </row>
    <row r="2145" ht="48.0" customHeight="1">
      <c r="A2145" s="3" t="str">
        <f>IFERROR(__xludf.DUMMYFUNCTION("""COMPUTED_VALUE"""),"AVN80XZ")</f>
        <v>AVN80XZ</v>
      </c>
      <c r="B2145" s="4" t="str">
        <f>IFERROR(__xludf.DUMMYFUNCTION("""COMPUTED_VALUE"""),"CÁMARA IP IVS MEGAPIXEL 1")</f>
        <v>CÁMARA IP IVS MEGAPIXEL 1</v>
      </c>
      <c r="C2145" s="4" t="str">
        <f>IFERROR(__xludf.DUMMYFUNCTION("""COMPUTED_VALUE"""),"Cámara IP IVS MEGAPIXEL 1.3 H.264, 1280x1024, memoria SD, notificación de eventos. Compatible con Iphone y Android, micrófono y parlante incorporado.")</f>
        <v>Cámara IP IVS MEGAPIXEL 1.3 H.264, 1280x1024, memoria SD, notificación de eventos. Compatible con Iphone y Android, micrófono y parlante incorporado.</v>
      </c>
      <c r="D2145" s="4" t="str">
        <f>IFERROR(__xludf.DUMMYFUNCTION("""COMPUTED_VALUE"""),"AVTECH")</f>
        <v>AVTECH</v>
      </c>
      <c r="E2145" s="4" t="str">
        <f>IFERROR(__xludf.DUMMYFUNCTION("""COMPUTED_VALUE"""),"AVN80XZ")</f>
        <v>AVN80XZ</v>
      </c>
      <c r="F2145" s="4" t="str">
        <f>IFERROR(__xludf.DUMMYFUNCTION("""COMPUTED_VALUE"""),"OUTLET &gt; CÁMARAS IP 1 Y 1,3MP")</f>
        <v>OUTLET &gt; CÁMARAS IP 1 Y 1,3MP</v>
      </c>
      <c r="G2145" s="5"/>
      <c r="H2145" s="6">
        <f>IFERROR(__xludf.DUMMYFUNCTION("""COMPUTED_VALUE"""),22.0)</f>
        <v>22</v>
      </c>
      <c r="I2145" s="7">
        <f>IFERROR(__xludf.DUMMYFUNCTION("""COMPUTED_VALUE"""),21.0)</f>
        <v>21</v>
      </c>
      <c r="J2145" s="6">
        <f>IFERROR(__xludf.DUMMYFUNCTION("""COMPUTED_VALUE"""),26.4)</f>
        <v>26.4</v>
      </c>
      <c r="K2145" s="6">
        <f>IFERROR(__xludf.DUMMYFUNCTION("""COMPUTED_VALUE"""),30.8)</f>
        <v>30.8</v>
      </c>
      <c r="L2145" s="3"/>
      <c r="M2145" s="3"/>
    </row>
    <row r="2146" ht="48.0" customHeight="1">
      <c r="A2146" s="3" t="str">
        <f>IFERROR(__xludf.DUMMYFUNCTION("""COMPUTED_VALUE"""),"AV1325IR")</f>
        <v>AV1325IR</v>
      </c>
      <c r="B2146" s="4" t="str">
        <f>IFERROR(__xludf.DUMMYFUNCTION("""COMPUTED_VALUE"""),"CÁMARA MEGAVIEW 1")</f>
        <v>CÁMARA MEGAVIEW 1</v>
      </c>
      <c r="C2146" s="4" t="str">
        <f>IFERROR(__xludf.DUMMYFUNCTION("""COMPUTED_VALUE"""),"CÁMARA MEGAVIEW 1.3MP IR EXT")</f>
        <v>CÁMARA MEGAVIEW 1.3MP IR EXT</v>
      </c>
      <c r="D2146" s="4" t="str">
        <f>IFERROR(__xludf.DUMMYFUNCTION("""COMPUTED_VALUE"""),"Arecont Vision")</f>
        <v>Arecont Vision</v>
      </c>
      <c r="E2146" s="4" t="str">
        <f>IFERROR(__xludf.DUMMYFUNCTION("""COMPUTED_VALUE"""),"AV1325IR")</f>
        <v>AV1325IR</v>
      </c>
      <c r="F2146" s="4" t="str">
        <f>IFERROR(__xludf.DUMMYFUNCTION("""COMPUTED_VALUE"""),"OUTLET &gt; CÁMARAS IP 1 Y 1,3MP")</f>
        <v>OUTLET &gt; CÁMARAS IP 1 Y 1,3MP</v>
      </c>
      <c r="G2146" s="5"/>
      <c r="H2146" s="6">
        <f>IFERROR(__xludf.DUMMYFUNCTION("""COMPUTED_VALUE"""),22.0)</f>
        <v>22</v>
      </c>
      <c r="I2146" s="7">
        <f>IFERROR(__xludf.DUMMYFUNCTION("""COMPUTED_VALUE"""),21.0)</f>
        <v>21</v>
      </c>
      <c r="J2146" s="6">
        <f>IFERROR(__xludf.DUMMYFUNCTION("""COMPUTED_VALUE"""),26.4)</f>
        <v>26.4</v>
      </c>
      <c r="K2146" s="6">
        <f>IFERROR(__xludf.DUMMYFUNCTION("""COMPUTED_VALUE"""),30.8)</f>
        <v>30.8</v>
      </c>
      <c r="L2146" s="3"/>
      <c r="M2146" s="3"/>
    </row>
    <row r="2147" ht="48.0" customHeight="1">
      <c r="A2147" s="3" t="str">
        <f>IFERROR(__xludf.DUMMYFUNCTION("""COMPUTED_VALUE"""),"AVN363Z")</f>
        <v>AVN363Z</v>
      </c>
      <c r="B2147" s="4" t="str">
        <f>IFERROR(__xludf.DUMMYFUNCTION("""COMPUTED_VALUE"""),"AVN363/AVN362 CÁMARA IP MEGAPIXEL 1")</f>
        <v>AVN363/AVN362 CÁMARA IP MEGAPIXEL 1</v>
      </c>
      <c r="C2147" s="4" t="str">
        <f>IFERROR(__xludf.DUMMYFUNCTION("""COMPUTED_VALUE"""),"AVN363/AVN362 Cámara IP MEGAPIXEL 1.3 H.264 Uso exterior, 56 LED IR (25 metros) 1/3 CMOS (1280x1024). Video analítico. Smart Zoom Digital. Detección de movimientos y notificación de eventos. IP67 AVN363 alimentación 220V y AVN362 Alimentación 12V")</f>
        <v>AVN363/AVN362 Cámara IP MEGAPIXEL 1.3 H.264 Uso exterior, 56 LED IR (25 metros) 1/3 CMOS (1280x1024). Video analítico. Smart Zoom Digital. Detección de movimientos y notificación de eventos. IP67 AVN363 alimentación 220V y AVN362 Alimentación 12V</v>
      </c>
      <c r="D2147" s="4" t="str">
        <f>IFERROR(__xludf.DUMMYFUNCTION("""COMPUTED_VALUE"""),"AVTECH")</f>
        <v>AVTECH</v>
      </c>
      <c r="E2147" s="4" t="str">
        <f>IFERROR(__xludf.DUMMYFUNCTION("""COMPUTED_VALUE"""),"AVN363Z")</f>
        <v>AVN363Z</v>
      </c>
      <c r="F2147" s="4" t="str">
        <f>IFERROR(__xludf.DUMMYFUNCTION("""COMPUTED_VALUE"""),"OUTLET &gt; CÁMARAS IP 1 Y 1,3MP")</f>
        <v>OUTLET &gt; CÁMARAS IP 1 Y 1,3MP</v>
      </c>
      <c r="G2147" s="5"/>
      <c r="H2147" s="6">
        <f>IFERROR(__xludf.DUMMYFUNCTION("""COMPUTED_VALUE"""),22.0)</f>
        <v>22</v>
      </c>
      <c r="I2147" s="7">
        <f>IFERROR(__xludf.DUMMYFUNCTION("""COMPUTED_VALUE"""),21.0)</f>
        <v>21</v>
      </c>
      <c r="J2147" s="6">
        <f>IFERROR(__xludf.DUMMYFUNCTION("""COMPUTED_VALUE"""),26.4)</f>
        <v>26.4</v>
      </c>
      <c r="K2147" s="6">
        <f>IFERROR(__xludf.DUMMYFUNCTION("""COMPUTED_VALUE"""),30.8)</f>
        <v>30.8</v>
      </c>
      <c r="L2147" s="3"/>
      <c r="M2147" s="3"/>
    </row>
    <row r="2148" ht="48.0" customHeight="1">
      <c r="A2148" s="3" t="str">
        <f>IFERROR(__xludf.DUMMYFUNCTION("""COMPUTED_VALUE"""),"ALCU720PIR")</f>
        <v>ALCU720PIR</v>
      </c>
      <c r="B2148" s="4" t="str">
        <f>IFERROR(__xludf.DUMMYFUNCTION("""COMPUTED_VALUE"""),"CÁMARA IP 720P PIR 1")</f>
        <v>CÁMARA IP 720P PIR 1</v>
      </c>
      <c r="C2148" s="4" t="str">
        <f>IFERROR(__xludf.DUMMYFUNCTION("""COMPUTED_VALUE"""),"Cámara IP 720P PIR 1.3 MEGAPIXEL Puerto PoE pasivo 24V. Sensor PIR incorporado. LED IR de visión nocturna de 10 metros con ICR. Sensor Low Lux")</f>
        <v>Cámara IP 720P PIR 1.3 MEGAPIXEL Puerto PoE pasivo 24V. Sensor PIR incorporado. LED IR de visión nocturna de 10 metros con ICR. Sensor Low Lux</v>
      </c>
      <c r="D2148" s="4" t="str">
        <f>IFERROR(__xludf.DUMMYFUNCTION("""COMPUTED_VALUE"""),"AIRLIVE")</f>
        <v>AIRLIVE</v>
      </c>
      <c r="E2148" s="4" t="str">
        <f>IFERROR(__xludf.DUMMYFUNCTION("""COMPUTED_VALUE"""),"ALCU720PIR")</f>
        <v>ALCU720PIR</v>
      </c>
      <c r="F2148" s="4" t="str">
        <f>IFERROR(__xludf.DUMMYFUNCTION("""COMPUTED_VALUE"""),"OUTLET &gt; CÁMARAS IP 1 Y 1,3MP")</f>
        <v>OUTLET &gt; CÁMARAS IP 1 Y 1,3MP</v>
      </c>
      <c r="G2148" s="5"/>
      <c r="H2148" s="6">
        <f>IFERROR(__xludf.DUMMYFUNCTION("""COMPUTED_VALUE"""),11.0)</f>
        <v>11</v>
      </c>
      <c r="I2148" s="7">
        <f>IFERROR(__xludf.DUMMYFUNCTION("""COMPUTED_VALUE"""),21.0)</f>
        <v>21</v>
      </c>
      <c r="J2148" s="6">
        <f>IFERROR(__xludf.DUMMYFUNCTION("""COMPUTED_VALUE"""),13.2)</f>
        <v>13.2</v>
      </c>
      <c r="K2148" s="6">
        <f>IFERROR(__xludf.DUMMYFUNCTION("""COMPUTED_VALUE"""),15.4)</f>
        <v>15.4</v>
      </c>
      <c r="L2148" s="3"/>
      <c r="M2148" s="3"/>
    </row>
    <row r="2149" ht="48.0" customHeight="1">
      <c r="A2149" s="3" t="str">
        <f>IFERROR(__xludf.DUMMYFUNCTION("""COMPUTED_VALUE"""),"ALMD720")</f>
        <v>ALMD720</v>
      </c>
      <c r="B2149" s="4" t="str">
        <f>IFERROR(__xludf.DUMMYFUNCTION("""COMPUTED_VALUE"""),"MINI DOMO IP 720P 2")</f>
        <v>MINI DOMO IP 720P 2</v>
      </c>
      <c r="C2149" s="4" t="str">
        <f>IFERROR(__xludf.DUMMYFUNCTION("""COMPUTED_VALUE"""),"Mini Domo IP 720P 2.8mm PoE Sensor Low Lux, Tecnología Clear Motion, WDR, Micro SD, Micrófono , DIDO, ONVIF")</f>
        <v>Mini Domo IP 720P 2.8mm PoE Sensor Low Lux, Tecnología Clear Motion, WDR, Micro SD, Micrófono , DIDO, ONVIF</v>
      </c>
      <c r="D2149" s="4" t="str">
        <f>IFERROR(__xludf.DUMMYFUNCTION("""COMPUTED_VALUE"""),"AIRLIVE")</f>
        <v>AIRLIVE</v>
      </c>
      <c r="E2149" s="4" t="str">
        <f>IFERROR(__xludf.DUMMYFUNCTION("""COMPUTED_VALUE"""),"ALMD720")</f>
        <v>ALMD720</v>
      </c>
      <c r="F2149" s="4" t="str">
        <f>IFERROR(__xludf.DUMMYFUNCTION("""COMPUTED_VALUE"""),"OUTLET &gt; CÁMARAS IP 1 Y 1,3MP")</f>
        <v>OUTLET &gt; CÁMARAS IP 1 Y 1,3MP</v>
      </c>
      <c r="G2149" s="5"/>
      <c r="H2149" s="6">
        <f>IFERROR(__xludf.DUMMYFUNCTION("""COMPUTED_VALUE"""),22.0)</f>
        <v>22</v>
      </c>
      <c r="I2149" s="7">
        <f>IFERROR(__xludf.DUMMYFUNCTION("""COMPUTED_VALUE"""),21.0)</f>
        <v>21</v>
      </c>
      <c r="J2149" s="6">
        <f>IFERROR(__xludf.DUMMYFUNCTION("""COMPUTED_VALUE"""),26.4)</f>
        <v>26.4</v>
      </c>
      <c r="K2149" s="6">
        <f>IFERROR(__xludf.DUMMYFUNCTION("""COMPUTED_VALUE"""),30.8)</f>
        <v>30.8</v>
      </c>
      <c r="L2149" s="3"/>
      <c r="M2149" s="3"/>
    </row>
    <row r="2150" ht="48.0" customHeight="1">
      <c r="A2150" s="3" t="str">
        <f>IFERROR(__xludf.DUMMYFUNCTION("""COMPUTED_VALUE"""),"ALPOEIP100HD")</f>
        <v>ALPOEIP100HD</v>
      </c>
      <c r="B2150" s="4" t="str">
        <f>IFERROR(__xludf.DUMMYFUNCTION("""COMPUTED_VALUE"""),"CÁMARA MEGAPIXEL DE 1")</f>
        <v>CÁMARA MEGAPIXEL DE 1</v>
      </c>
      <c r="C2150" s="4" t="str">
        <f>IFERROR(__xludf.DUMMYFUNCTION("""COMPUTED_VALUE"""),"Cámara MEGAPIXEL de 1.3M POE audio 2 vías")</f>
        <v>Cámara MEGAPIXEL de 1.3M POE audio 2 vías</v>
      </c>
      <c r="D2150" s="4" t="str">
        <f>IFERROR(__xludf.DUMMYFUNCTION("""COMPUTED_VALUE"""),"AIRLIVE")</f>
        <v>AIRLIVE</v>
      </c>
      <c r="E2150" s="4" t="str">
        <f>IFERROR(__xludf.DUMMYFUNCTION("""COMPUTED_VALUE"""),"ALPOEIP100HD")</f>
        <v>ALPOEIP100HD</v>
      </c>
      <c r="F2150" s="4" t="str">
        <f>IFERROR(__xludf.DUMMYFUNCTION("""COMPUTED_VALUE"""),"OUTLET &gt; CÁMARAS IP 1 Y 1,3MP")</f>
        <v>OUTLET &gt; CÁMARAS IP 1 Y 1,3MP</v>
      </c>
      <c r="G2150" s="5"/>
      <c r="H2150" s="6">
        <f>IFERROR(__xludf.DUMMYFUNCTION("""COMPUTED_VALUE"""),27.5)</f>
        <v>27.5</v>
      </c>
      <c r="I2150" s="7">
        <f>IFERROR(__xludf.DUMMYFUNCTION("""COMPUTED_VALUE"""),21.0)</f>
        <v>21</v>
      </c>
      <c r="J2150" s="6">
        <f>IFERROR(__xludf.DUMMYFUNCTION("""COMPUTED_VALUE"""),33.0)</f>
        <v>33</v>
      </c>
      <c r="K2150" s="6">
        <f>IFERROR(__xludf.DUMMYFUNCTION("""COMPUTED_VALUE"""),38.5)</f>
        <v>38.5</v>
      </c>
      <c r="L2150" s="3"/>
      <c r="M2150" s="3"/>
    </row>
    <row r="2151" ht="48.0" customHeight="1">
      <c r="A2151" s="3" t="str">
        <f>IFERROR(__xludf.DUMMYFUNCTION("""COMPUTED_VALUE"""),"ALIPOD325HD")</f>
        <v>ALIPOD325HD</v>
      </c>
      <c r="B2151" s="4" t="str">
        <f>IFERROR(__xludf.DUMMYFUNCTION("""COMPUTED_VALUE"""),"CÁMARA IR DE 1")</f>
        <v>CÁMARA IR DE 1</v>
      </c>
      <c r="C2151" s="4" t="str">
        <f>IFERROR(__xludf.DUMMYFUNCTION("""COMPUTED_VALUE"""),"Cámara IR de 1.3 MEGAPIXEL H.264, 1920x1080, IP66, audio 2 vías, PoE, ONVIF, 25 metros de cobertura IR")</f>
        <v>Cámara IR de 1.3 MEGAPIXEL H.264, 1920x1080, IP66, audio 2 vías, PoE, ONVIF, 25 metros de cobertura IR</v>
      </c>
      <c r="D2151" s="4" t="str">
        <f>IFERROR(__xludf.DUMMYFUNCTION("""COMPUTED_VALUE"""),"AIRLIVE")</f>
        <v>AIRLIVE</v>
      </c>
      <c r="E2151" s="4" t="str">
        <f>IFERROR(__xludf.DUMMYFUNCTION("""COMPUTED_VALUE"""),"ALIPOD325HD")</f>
        <v>ALIPOD325HD</v>
      </c>
      <c r="F2151" s="4" t="str">
        <f>IFERROR(__xludf.DUMMYFUNCTION("""COMPUTED_VALUE"""),"OUTLET &gt; CÁMARAS IP 1 Y 1,3MP")</f>
        <v>OUTLET &gt; CÁMARAS IP 1 Y 1,3MP</v>
      </c>
      <c r="G2151" s="5"/>
      <c r="H2151" s="6">
        <f>IFERROR(__xludf.DUMMYFUNCTION("""COMPUTED_VALUE"""),55.0)</f>
        <v>55</v>
      </c>
      <c r="I2151" s="7">
        <f>IFERROR(__xludf.DUMMYFUNCTION("""COMPUTED_VALUE"""),21.0)</f>
        <v>21</v>
      </c>
      <c r="J2151" s="6">
        <f>IFERROR(__xludf.DUMMYFUNCTION("""COMPUTED_VALUE"""),66.0)</f>
        <v>66</v>
      </c>
      <c r="K2151" s="6">
        <f>IFERROR(__xludf.DUMMYFUNCTION("""COMPUTED_VALUE"""),77.0)</f>
        <v>77</v>
      </c>
      <c r="L2151" s="3"/>
      <c r="M2151" s="3"/>
    </row>
    <row r="2152" ht="48.0" customHeight="1">
      <c r="A2152" s="3" t="str">
        <f>IFERROR(__xludf.DUMMYFUNCTION("""COMPUTED_VALUE"""),"IP834P10")</f>
        <v>IP834P10</v>
      </c>
      <c r="B2152" s="4" t="str">
        <f>IFERROR(__xludf.DUMMYFUNCTION("""COMPUTED_VALUE"""),"CAMARA IP MEGAPIXEL 1MP IR 25 METROS LENTE 6 GABINETE PLASTICO ONVIF")</f>
        <v>CAMARA IP MEGAPIXEL 1MP IR 25 METROS LENTE 6 GABINETE PLASTICO ONVIF</v>
      </c>
      <c r="C2152" s="4" t="str">
        <f>IFERROR(__xludf.DUMMYFUNCTION("""COMPUTED_VALUE"""),"Camara IP MEGAPIXEL 1MP IR 25 metros lente 6 gabinete plastico ONVIF")</f>
        <v>Camara IP MEGAPIXEL 1MP IR 25 metros lente 6 gabinete plastico ONVIF</v>
      </c>
      <c r="D2152" s="4" t="str">
        <f>IFERROR(__xludf.DUMMYFUNCTION("""COMPUTED_VALUE"""),"OWL")</f>
        <v>OWL</v>
      </c>
      <c r="E2152" s="4" t="str">
        <f>IFERROR(__xludf.DUMMYFUNCTION("""COMPUTED_VALUE"""),"IP834P10")</f>
        <v>IP834P10</v>
      </c>
      <c r="F2152" s="4" t="str">
        <f>IFERROR(__xludf.DUMMYFUNCTION("""COMPUTED_VALUE"""),"OUTLET &gt; CÁMARAS IP 1 Y 1,3MP")</f>
        <v>OUTLET &gt; CÁMARAS IP 1 Y 1,3MP</v>
      </c>
      <c r="G2152" s="5"/>
      <c r="H2152" s="6">
        <f>IFERROR(__xludf.DUMMYFUNCTION("""COMPUTED_VALUE"""),22.0)</f>
        <v>22</v>
      </c>
      <c r="I2152" s="7">
        <f>IFERROR(__xludf.DUMMYFUNCTION("""COMPUTED_VALUE"""),21.0)</f>
        <v>21</v>
      </c>
      <c r="J2152" s="6">
        <f>IFERROR(__xludf.DUMMYFUNCTION("""COMPUTED_VALUE"""),26.4)</f>
        <v>26.4</v>
      </c>
      <c r="K2152" s="6">
        <f>IFERROR(__xludf.DUMMYFUNCTION("""COMPUTED_VALUE"""),30.8)</f>
        <v>30.8</v>
      </c>
      <c r="L2152" s="3"/>
      <c r="M2152" s="3"/>
    </row>
    <row r="2153" ht="48.0" customHeight="1">
      <c r="A2153" s="3" t="str">
        <f>IFERROR(__xludf.DUMMYFUNCTION("""COMPUTED_VALUE"""),"IP555FP10")</f>
        <v>IP555FP10</v>
      </c>
      <c r="B2153" s="4" t="str">
        <f>IFERROR(__xludf.DUMMYFUNCTION("""COMPUTED_VALUE"""),"DOMO IP MEGAPIXEL 1,3MP IR 40 METROS LENTE VARICOCAL 2")</f>
        <v>DOMO IP MEGAPIXEL 1,3MP IR 40 METROS LENTE VARICOCAL 2</v>
      </c>
      <c r="C2153" s="4" t="str">
        <f>IFERROR(__xludf.DUMMYFUNCTION("""COMPUTED_VALUE"""),"Domo IP MEGAPIXEL 1,3MP IR 40 metros lente VARICOCAL 2.8-12 gabinete metal ONVIF")</f>
        <v>Domo IP MEGAPIXEL 1,3MP IR 40 metros lente VARICOCAL 2.8-12 gabinete metal ONVIF</v>
      </c>
      <c r="D2153" s="4" t="str">
        <f>IFERROR(__xludf.DUMMYFUNCTION("""COMPUTED_VALUE"""),"OWL")</f>
        <v>OWL</v>
      </c>
      <c r="E2153" s="4" t="str">
        <f>IFERROR(__xludf.DUMMYFUNCTION("""COMPUTED_VALUE"""),"IP555FP10")</f>
        <v>IP555FP10</v>
      </c>
      <c r="F2153" s="4" t="str">
        <f>IFERROR(__xludf.DUMMYFUNCTION("""COMPUTED_VALUE"""),"OUTLET &gt; CÁMARAS IP 1 Y 1,3MP")</f>
        <v>OUTLET &gt; CÁMARAS IP 1 Y 1,3MP</v>
      </c>
      <c r="G2153" s="5"/>
      <c r="H2153" s="6">
        <f>IFERROR(__xludf.DUMMYFUNCTION("""COMPUTED_VALUE"""),22.0)</f>
        <v>22</v>
      </c>
      <c r="I2153" s="7">
        <f>IFERROR(__xludf.DUMMYFUNCTION("""COMPUTED_VALUE"""),21.0)</f>
        <v>21</v>
      </c>
      <c r="J2153" s="6">
        <f>IFERROR(__xludf.DUMMYFUNCTION("""COMPUTED_VALUE"""),26.4)</f>
        <v>26.4</v>
      </c>
      <c r="K2153" s="6">
        <f>IFERROR(__xludf.DUMMYFUNCTION("""COMPUTED_VALUE"""),30.8)</f>
        <v>30.8</v>
      </c>
      <c r="L2153" s="3"/>
      <c r="M2153" s="3"/>
    </row>
    <row r="2154" ht="48.0" customHeight="1">
      <c r="A2154" s="3" t="str">
        <f>IFERROR(__xludf.DUMMYFUNCTION("""COMPUTED_VALUE"""),"IP360BP20")</f>
        <v>IP360BP20</v>
      </c>
      <c r="B2154" s="4" t="str">
        <f>IFERROR(__xludf.DUMMYFUNCTION("""COMPUTED_VALUE"""),"CAMARA IP MEGAPIXEL 1")</f>
        <v>CAMARA IP MEGAPIXEL 1</v>
      </c>
      <c r="C2154" s="4" t="str">
        <f>IFERROR(__xludf.DUMMYFUNCTION("""COMPUTED_VALUE"""),"Camara IP MEGAPIXEL 1.3 MP IR 50 metros lente VARICOCAL 2.8-12 gabinete metal ONVIF")</f>
        <v>Camara IP MEGAPIXEL 1.3 MP IR 50 metros lente VARICOCAL 2.8-12 gabinete metal ONVIF</v>
      </c>
      <c r="D2154" s="4" t="str">
        <f>IFERROR(__xludf.DUMMYFUNCTION("""COMPUTED_VALUE"""),"OWL")</f>
        <v>OWL</v>
      </c>
      <c r="E2154" s="4" t="str">
        <f>IFERROR(__xludf.DUMMYFUNCTION("""COMPUTED_VALUE"""),"IP360BP20")</f>
        <v>IP360BP20</v>
      </c>
      <c r="F2154" s="4" t="str">
        <f>IFERROR(__xludf.DUMMYFUNCTION("""COMPUTED_VALUE"""),"OUTLET &gt; CÁMARAS IP 1 Y 1,3MP")</f>
        <v>OUTLET &gt; CÁMARAS IP 1 Y 1,3MP</v>
      </c>
      <c r="G2154" s="5"/>
      <c r="H2154" s="6">
        <f>IFERROR(__xludf.DUMMYFUNCTION("""COMPUTED_VALUE"""),22.0)</f>
        <v>22</v>
      </c>
      <c r="I2154" s="7">
        <f>IFERROR(__xludf.DUMMYFUNCTION("""COMPUTED_VALUE"""),21.0)</f>
        <v>21</v>
      </c>
      <c r="J2154" s="6">
        <f>IFERROR(__xludf.DUMMYFUNCTION("""COMPUTED_VALUE"""),26.4)</f>
        <v>26.4</v>
      </c>
      <c r="K2154" s="6">
        <f>IFERROR(__xludf.DUMMYFUNCTION("""COMPUTED_VALUE"""),30.8)</f>
        <v>30.8</v>
      </c>
      <c r="L2154" s="3"/>
      <c r="M2154" s="3"/>
    </row>
    <row r="2155" ht="48.0" customHeight="1">
      <c r="A2155" s="3" t="str">
        <f>IFERROR(__xludf.DUMMYFUNCTION("""COMPUTED_VALUE"""),"ALIP200CAM")</f>
        <v>ALIP200CAM</v>
      </c>
      <c r="B2155" s="4" t="str">
        <f>IFERROR(__xludf.DUMMYFUNCTION("""COMPUTED_VALUE"""),"CÁMARA DE 2 MEGAPIXEL H")</f>
        <v>CÁMARA DE 2 MEGAPIXEL H</v>
      </c>
      <c r="C2155" s="4" t="str">
        <f>IFERROR(__xludf.DUMMYFUNCTION("""COMPUTED_VALUE"""),"Cámara de 2 MEGAPIXEL H.264, 1600x1200, audio 2 vías, ONVIF, PoE, zoom digital.")</f>
        <v>Cámara de 2 MEGAPIXEL H.264, 1600x1200, audio 2 vías, ONVIF, PoE, zoom digital.</v>
      </c>
      <c r="D2155" s="4" t="str">
        <f>IFERROR(__xludf.DUMMYFUNCTION("""COMPUTED_VALUE"""),"AIRLIVE")</f>
        <v>AIRLIVE</v>
      </c>
      <c r="E2155" s="4" t="str">
        <f>IFERROR(__xludf.DUMMYFUNCTION("""COMPUTED_VALUE"""),"ALIP200CAM")</f>
        <v>ALIP200CAM</v>
      </c>
      <c r="F2155" s="4" t="str">
        <f>IFERROR(__xludf.DUMMYFUNCTION("""COMPUTED_VALUE"""),"OUTLET &gt; CÁMARAS IP 2 MP")</f>
        <v>OUTLET &gt; CÁMARAS IP 2 MP</v>
      </c>
      <c r="G2155" s="5"/>
      <c r="H2155" s="6">
        <f>IFERROR(__xludf.DUMMYFUNCTION("""COMPUTED_VALUE"""),11.0)</f>
        <v>11</v>
      </c>
      <c r="I2155" s="7">
        <f>IFERROR(__xludf.DUMMYFUNCTION("""COMPUTED_VALUE"""),21.0)</f>
        <v>21</v>
      </c>
      <c r="J2155" s="6">
        <f>IFERROR(__xludf.DUMMYFUNCTION("""COMPUTED_VALUE"""),13.2)</f>
        <v>13.2</v>
      </c>
      <c r="K2155" s="6">
        <f>IFERROR(__xludf.DUMMYFUNCTION("""COMPUTED_VALUE"""),15.4)</f>
        <v>15.4</v>
      </c>
      <c r="L2155" s="3"/>
      <c r="M2155" s="3"/>
    </row>
    <row r="2156" ht="48.0" customHeight="1">
      <c r="A2156" s="3" t="str">
        <f>IFERROR(__xludf.DUMMYFUNCTION("""COMPUTED_VALUE"""),"ALWN200HD")</f>
        <v>ALWN200HD</v>
      </c>
      <c r="B2156" s="4" t="str">
        <f>IFERROR(__xludf.DUMMYFUNCTION("""COMPUTED_VALUE"""),"CÁMARA DE 2 MEGAPIXEL WIFI H")</f>
        <v>CÁMARA DE 2 MEGAPIXEL WIFI H</v>
      </c>
      <c r="C2156" s="4" t="str">
        <f>IFERROR(__xludf.DUMMYFUNCTION("""COMPUTED_VALUE"""),"Cámara de 2 MEGAPIXEL WiFi H.264, 1600x1200, audio 2 vías, ONVIF, slot para memoria SD, PoE, zoom digital.")</f>
        <v>Cámara de 2 MEGAPIXEL WiFi H.264, 1600x1200, audio 2 vías, ONVIF, slot para memoria SD, PoE, zoom digital.</v>
      </c>
      <c r="D2156" s="4" t="str">
        <f>IFERROR(__xludf.DUMMYFUNCTION("""COMPUTED_VALUE"""),"AIRLIVE")</f>
        <v>AIRLIVE</v>
      </c>
      <c r="E2156" s="4" t="str">
        <f>IFERROR(__xludf.DUMMYFUNCTION("""COMPUTED_VALUE"""),"ALWN200HD")</f>
        <v>ALWN200HD</v>
      </c>
      <c r="F2156" s="4" t="str">
        <f>IFERROR(__xludf.DUMMYFUNCTION("""COMPUTED_VALUE"""),"OUTLET &gt; CÁMARAS IP 2 MP")</f>
        <v>OUTLET &gt; CÁMARAS IP 2 MP</v>
      </c>
      <c r="G2156" s="5"/>
      <c r="H2156" s="6">
        <f>IFERROR(__xludf.DUMMYFUNCTION("""COMPUTED_VALUE"""),22.0)</f>
        <v>22</v>
      </c>
      <c r="I2156" s="7">
        <f>IFERROR(__xludf.DUMMYFUNCTION("""COMPUTED_VALUE"""),21.0)</f>
        <v>21</v>
      </c>
      <c r="J2156" s="6">
        <f>IFERROR(__xludf.DUMMYFUNCTION("""COMPUTED_VALUE"""),26.4)</f>
        <v>26.4</v>
      </c>
      <c r="K2156" s="6">
        <f>IFERROR(__xludf.DUMMYFUNCTION("""COMPUTED_VALUE"""),30.8)</f>
        <v>30.8</v>
      </c>
      <c r="L2156" s="3"/>
      <c r="M2156" s="3"/>
    </row>
    <row r="2157" ht="48.0" customHeight="1">
      <c r="A2157" s="3" t="str">
        <f>IFERROR(__xludf.DUMMYFUNCTION("""COMPUTED_VALUE"""),"ALBU2015")</f>
        <v>ALBU2015</v>
      </c>
      <c r="B2157" s="4" t="str">
        <f>IFERROR(__xludf.DUMMYFUNCTION("""COMPUTED_VALUE"""),"CÁMARA IR DE 3 MEGAPIXEL H")</f>
        <v>CÁMARA IR DE 3 MEGAPIXEL H</v>
      </c>
      <c r="C2157" s="4" t="str">
        <f>IFERROR(__xludf.DUMMYFUNCTION("""COMPUTED_VALUE"""),"Cámara IR de 3 MEGAPIXEL H.264, 1920x1080, IP66, audio 2 vías, ONVIF, PoE, 25 metros de cobertura IR.")</f>
        <v>Cámara IR de 3 MEGAPIXEL H.264, 1920x1080, IP66, audio 2 vías, ONVIF, PoE, 25 metros de cobertura IR.</v>
      </c>
      <c r="D2157" s="4" t="str">
        <f>IFERROR(__xludf.DUMMYFUNCTION("""COMPUTED_VALUE"""),"AIRLIVE")</f>
        <v>AIRLIVE</v>
      </c>
      <c r="E2157" s="4" t="str">
        <f>IFERROR(__xludf.DUMMYFUNCTION("""COMPUTED_VALUE"""),"ALBU2015")</f>
        <v>ALBU2015</v>
      </c>
      <c r="F2157" s="4" t="str">
        <f>IFERROR(__xludf.DUMMYFUNCTION("""COMPUTED_VALUE"""),"OUTLET &gt; CÁMARAS IP 2 MP")</f>
        <v>OUTLET &gt; CÁMARAS IP 2 MP</v>
      </c>
      <c r="G2157" s="5"/>
      <c r="H2157" s="6">
        <f>IFERROR(__xludf.DUMMYFUNCTION("""COMPUTED_VALUE"""),33.0)</f>
        <v>33</v>
      </c>
      <c r="I2157" s="7">
        <f>IFERROR(__xludf.DUMMYFUNCTION("""COMPUTED_VALUE"""),21.0)</f>
        <v>21</v>
      </c>
      <c r="J2157" s="6">
        <f>IFERROR(__xludf.DUMMYFUNCTION("""COMPUTED_VALUE"""),39.6)</f>
        <v>39.6</v>
      </c>
      <c r="K2157" s="6">
        <f>IFERROR(__xludf.DUMMYFUNCTION("""COMPUTED_VALUE"""),46.2)</f>
        <v>46.2</v>
      </c>
      <c r="L2157" s="3"/>
      <c r="M2157" s="3"/>
    </row>
    <row r="2158" ht="48.0" customHeight="1">
      <c r="A2158" s="3" t="str">
        <f>IFERROR(__xludf.DUMMYFUNCTION("""COMPUTED_VALUE"""),"AV2105DN")</f>
        <v>AV2105DN</v>
      </c>
      <c r="B2158" s="4" t="str">
        <f>IFERROR(__xludf.DUMMYFUNCTION("""COMPUTED_VALUE"""),"CÁMARA DE 2 MEGAPIXEL H")</f>
        <v>CÁMARA DE 2 MEGAPIXEL H</v>
      </c>
      <c r="C2158" s="4" t="str">
        <f>IFERROR(__xludf.DUMMYFUNCTION("""COMPUTED_VALUE"""),"Cámara de 2 MEGAPIXEL H.264, 1600x1200, día /noche, filtro de corte IR motorizado.")</f>
        <v>Cámara de 2 MEGAPIXEL H.264, 1600x1200, día /noche, filtro de corte IR motorizado.</v>
      </c>
      <c r="D2158" s="4" t="str">
        <f>IFERROR(__xludf.DUMMYFUNCTION("""COMPUTED_VALUE"""),"Arecont Vision")</f>
        <v>Arecont Vision</v>
      </c>
      <c r="E2158" s="4" t="str">
        <f>IFERROR(__xludf.DUMMYFUNCTION("""COMPUTED_VALUE"""),"AV2105DN")</f>
        <v>AV2105DN</v>
      </c>
      <c r="F2158" s="4" t="str">
        <f>IFERROR(__xludf.DUMMYFUNCTION("""COMPUTED_VALUE"""),"OUTLET &gt; CÁMARAS IP 2 MP")</f>
        <v>OUTLET &gt; CÁMARAS IP 2 MP</v>
      </c>
      <c r="G2158" s="5"/>
      <c r="H2158" s="6">
        <f>IFERROR(__xludf.DUMMYFUNCTION("""COMPUTED_VALUE"""),55.0)</f>
        <v>55</v>
      </c>
      <c r="I2158" s="7">
        <f>IFERROR(__xludf.DUMMYFUNCTION("""COMPUTED_VALUE"""),21.0)</f>
        <v>21</v>
      </c>
      <c r="J2158" s="6">
        <f>IFERROR(__xludf.DUMMYFUNCTION("""COMPUTED_VALUE"""),66.0)</f>
        <v>66</v>
      </c>
      <c r="K2158" s="6">
        <f>IFERROR(__xludf.DUMMYFUNCTION("""COMPUTED_VALUE"""),77.0)</f>
        <v>77</v>
      </c>
      <c r="L2158" s="3"/>
      <c r="M2158" s="3"/>
    </row>
    <row r="2159" ht="48.0" customHeight="1">
      <c r="A2159" s="3" t="str">
        <f>IFERROR(__xludf.DUMMYFUNCTION("""COMPUTED_VALUE"""),"AV2825IR")</f>
        <v>AV2825IR</v>
      </c>
      <c r="B2159" s="4" t="str">
        <f>IFERROR(__xludf.DUMMYFUNCTION("""COMPUTED_VALUE"""),"CÁMARAS IR DE 2 MEGAPIXEL CON LENTE VARIFOCAL DE 4")</f>
        <v>CÁMARAS IR DE 2 MEGAPIXEL CON LENTE VARIFOCAL DE 4</v>
      </c>
      <c r="C2159" s="4" t="str">
        <f>IFERROR(__xludf.DUMMYFUNCTION("""COMPUTED_VALUE"""),"Cámaras IR de 2 MEGAPIXEL con lente varifocal de 4.510mm, 48 LEDs, 25 metros de cobertura / 45º, 1920x1080 calefactor y ventilador incorporado. IP66. día/noche")</f>
        <v>Cámaras IR de 2 MEGAPIXEL con lente varifocal de 4.510mm, 48 LEDs, 25 metros de cobertura / 45º, 1920x1080 calefactor y ventilador incorporado. IP66. día/noche</v>
      </c>
      <c r="D2159" s="4" t="str">
        <f>IFERROR(__xludf.DUMMYFUNCTION("""COMPUTED_VALUE"""),"Arecont Vision")</f>
        <v>Arecont Vision</v>
      </c>
      <c r="E2159" s="4" t="str">
        <f>IFERROR(__xludf.DUMMYFUNCTION("""COMPUTED_VALUE"""),"AV2825IR")</f>
        <v>AV2825IR</v>
      </c>
      <c r="F2159" s="4" t="str">
        <f>IFERROR(__xludf.DUMMYFUNCTION("""COMPUTED_VALUE"""),"OUTLET &gt; CÁMARAS IP 2 MP")</f>
        <v>OUTLET &gt; CÁMARAS IP 2 MP</v>
      </c>
      <c r="G2159" s="5"/>
      <c r="H2159" s="6">
        <f>IFERROR(__xludf.DUMMYFUNCTION("""COMPUTED_VALUE"""),55.0)</f>
        <v>55</v>
      </c>
      <c r="I2159" s="7">
        <f>IFERROR(__xludf.DUMMYFUNCTION("""COMPUTED_VALUE"""),21.0)</f>
        <v>21</v>
      </c>
      <c r="J2159" s="6">
        <f>IFERROR(__xludf.DUMMYFUNCTION("""COMPUTED_VALUE"""),66.0)</f>
        <v>66</v>
      </c>
      <c r="K2159" s="6">
        <f>IFERROR(__xludf.DUMMYFUNCTION("""COMPUTED_VALUE"""),77.0)</f>
        <v>77</v>
      </c>
      <c r="L2159" s="3"/>
      <c r="M2159" s="3"/>
    </row>
    <row r="2160" ht="48.0" customHeight="1">
      <c r="A2160" s="3" t="str">
        <f>IFERROR(__xludf.DUMMYFUNCTION("""COMPUTED_VALUE"""),"AV2155DN16HK")</f>
        <v>AV2155DN16HK</v>
      </c>
      <c r="B2160" s="4" t="str">
        <f>IFERROR(__xludf.DUMMYFUNCTION("""COMPUTED_VALUE"""),"MEGADOMO 2MP VARIFOCAL 8-16MM")</f>
        <v>MEGADOMO 2MP VARIFOCAL 8-16MM</v>
      </c>
      <c r="C2160" s="4" t="str">
        <f>IFERROR(__xludf.DUMMYFUNCTION("""COMPUTED_VALUE"""),"MEGADOMO 2MP VARIFOCAL 8-16MM")</f>
        <v>MEGADOMO 2MP VARIFOCAL 8-16MM</v>
      </c>
      <c r="D2160" s="4" t="str">
        <f>IFERROR(__xludf.DUMMYFUNCTION("""COMPUTED_VALUE"""),"Arecont Vision")</f>
        <v>Arecont Vision</v>
      </c>
      <c r="E2160" s="4" t="str">
        <f>IFERROR(__xludf.DUMMYFUNCTION("""COMPUTED_VALUE"""),"AV2155DN16HK")</f>
        <v>AV2155DN16HK</v>
      </c>
      <c r="F2160" s="4" t="str">
        <f>IFERROR(__xludf.DUMMYFUNCTION("""COMPUTED_VALUE"""),"OUTLET &gt; CÁMARAS IP 2 MP")</f>
        <v>OUTLET &gt; CÁMARAS IP 2 MP</v>
      </c>
      <c r="G2160" s="5"/>
      <c r="H2160" s="6">
        <f>IFERROR(__xludf.DUMMYFUNCTION("""COMPUTED_VALUE"""),55.0)</f>
        <v>55</v>
      </c>
      <c r="I2160" s="7">
        <f>IFERROR(__xludf.DUMMYFUNCTION("""COMPUTED_VALUE"""),21.0)</f>
        <v>21</v>
      </c>
      <c r="J2160" s="6">
        <f>IFERROR(__xludf.DUMMYFUNCTION("""COMPUTED_VALUE"""),66.0)</f>
        <v>66</v>
      </c>
      <c r="K2160" s="6">
        <f>IFERROR(__xludf.DUMMYFUNCTION("""COMPUTED_VALUE"""),77.0)</f>
        <v>77</v>
      </c>
      <c r="L2160" s="3"/>
      <c r="M2160" s="3"/>
    </row>
    <row r="2161" ht="48.0" customHeight="1">
      <c r="A2161" s="3" t="str">
        <f>IFERROR(__xludf.DUMMYFUNCTION("""COMPUTED_VALUE"""),"AV3155DN16HK")</f>
        <v>AV3155DN16HK</v>
      </c>
      <c r="B2161" s="4" t="str">
        <f>IFERROR(__xludf.DUMMYFUNCTION("""COMPUTED_VALUE"""),"MEGADOMO 3MP VARIFOCAL 8-16MM")</f>
        <v>MEGADOMO 3MP VARIFOCAL 8-16MM</v>
      </c>
      <c r="C2161" s="4" t="str">
        <f>IFERROR(__xludf.DUMMYFUNCTION("""COMPUTED_VALUE"""),"MEGADOMO 3MP VARIFOCAL 8-16MM")</f>
        <v>MEGADOMO 3MP VARIFOCAL 8-16MM</v>
      </c>
      <c r="D2161" s="4" t="str">
        <f>IFERROR(__xludf.DUMMYFUNCTION("""COMPUTED_VALUE"""),"Arecont Vision")</f>
        <v>Arecont Vision</v>
      </c>
      <c r="E2161" s="4" t="str">
        <f>IFERROR(__xludf.DUMMYFUNCTION("""COMPUTED_VALUE"""),"AV3155DN16HK")</f>
        <v>AV3155DN16HK</v>
      </c>
      <c r="F2161" s="4" t="str">
        <f>IFERROR(__xludf.DUMMYFUNCTION("""COMPUTED_VALUE"""),"OUTLET &gt; CÁMARAS IP 2 MP")</f>
        <v>OUTLET &gt; CÁMARAS IP 2 MP</v>
      </c>
      <c r="G2161" s="5"/>
      <c r="H2161" s="6">
        <f>IFERROR(__xludf.DUMMYFUNCTION("""COMPUTED_VALUE"""),55.0)</f>
        <v>55</v>
      </c>
      <c r="I2161" s="7">
        <f>IFERROR(__xludf.DUMMYFUNCTION("""COMPUTED_VALUE"""),21.0)</f>
        <v>21</v>
      </c>
      <c r="J2161" s="6">
        <f>IFERROR(__xludf.DUMMYFUNCTION("""COMPUTED_VALUE"""),66.0)</f>
        <v>66</v>
      </c>
      <c r="K2161" s="6">
        <f>IFERROR(__xludf.DUMMYFUNCTION("""COMPUTED_VALUE"""),77.0)</f>
        <v>77</v>
      </c>
      <c r="L2161" s="3"/>
      <c r="M2161" s="3"/>
    </row>
    <row r="2162" ht="48.0" customHeight="1">
      <c r="A2162" s="3" t="str">
        <f>IFERROR(__xludf.DUMMYFUNCTION("""COMPUTED_VALUE"""),"ALBC5010")</f>
        <v>ALBC5010</v>
      </c>
      <c r="B2162" s="4" t="str">
        <f>IFERROR(__xludf.DUMMYFUNCTION("""COMPUTED_VALUE"""),"CÁMARA IP TIPO BOX 5 MEGAPIXEL POE INCLUYE LENTE MEGAPIXEL IRIS FIJO")</f>
        <v>CÁMARA IP TIPO BOX 5 MEGAPIXEL POE INCLUYE LENTE MEGAPIXEL IRIS FIJO</v>
      </c>
      <c r="C2162" s="4" t="str">
        <f>IFERROR(__xludf.DUMMYFUNCTION("""COMPUTED_VALUE"""),"Cámara IP Tipo Box 5 MEGAPIXEL PoE Incluye lente Megapixel iris fijo. Doble banda opcional Wireless-N, Soporte WDR, Tecnología Clear Motion, Soporte DC Iris y corte de filtro IR removible (ICR), tarjeta de memoria SD/SDHC. ONVIF.")</f>
        <v>Cámara IP Tipo Box 5 MEGAPIXEL PoE Incluye lente Megapixel iris fijo. Doble banda opcional Wireless-N, Soporte WDR, Tecnología Clear Motion, Soporte DC Iris y corte de filtro IR removible (ICR), tarjeta de memoria SD/SDHC. ONVIF.</v>
      </c>
      <c r="D2162" s="4" t="str">
        <f>IFERROR(__xludf.DUMMYFUNCTION("""COMPUTED_VALUE"""),"AIRLIVE")</f>
        <v>AIRLIVE</v>
      </c>
      <c r="E2162" s="4" t="str">
        <f>IFERROR(__xludf.DUMMYFUNCTION("""COMPUTED_VALUE"""),"ALBC5010")</f>
        <v>ALBC5010</v>
      </c>
      <c r="F2162" s="4" t="str">
        <f>IFERROR(__xludf.DUMMYFUNCTION("""COMPUTED_VALUE"""),"OUTLET &gt; CÁMARAS IP 5 MP O MAS")</f>
        <v>OUTLET &gt; CÁMARAS IP 5 MP O MAS</v>
      </c>
      <c r="G2162" s="5"/>
      <c r="H2162" s="6">
        <f>IFERROR(__xludf.DUMMYFUNCTION("""COMPUTED_VALUE"""),99.0)</f>
        <v>99</v>
      </c>
      <c r="I2162" s="7">
        <f>IFERROR(__xludf.DUMMYFUNCTION("""COMPUTED_VALUE"""),21.0)</f>
        <v>21</v>
      </c>
      <c r="J2162" s="6">
        <f>IFERROR(__xludf.DUMMYFUNCTION("""COMPUTED_VALUE"""),118.8)</f>
        <v>118.8</v>
      </c>
      <c r="K2162" s="6">
        <f>IFERROR(__xludf.DUMMYFUNCTION("""COMPUTED_VALUE"""),138.6)</f>
        <v>138.6</v>
      </c>
      <c r="L2162" s="3"/>
      <c r="M2162" s="3"/>
    </row>
    <row r="2163" ht="48.0" customHeight="1">
      <c r="A2163" s="3" t="str">
        <f>IFERROR(__xludf.DUMMYFUNCTION("""COMPUTED_VALUE"""),"AV5105DN")</f>
        <v>AV5105DN</v>
      </c>
      <c r="B2163" s="4" t="str">
        <f>IFERROR(__xludf.DUMMYFUNCTION("""COMPUTED_VALUE"""),"CÁMARA DE 5 MEGAPIXEL H")</f>
        <v>CÁMARA DE 5 MEGAPIXEL H</v>
      </c>
      <c r="C2163" s="4" t="str">
        <f>IFERROR(__xludf.DUMMYFUNCTION("""COMPUTED_VALUE"""),"Cámara de 5 MEGAPIXEL H.264, 2592x1944, día /noche, filtro de corte IR motorizado.")</f>
        <v>Cámara de 5 MEGAPIXEL H.264, 2592x1944, día /noche, filtro de corte IR motorizado.</v>
      </c>
      <c r="D2163" s="4" t="str">
        <f>IFERROR(__xludf.DUMMYFUNCTION("""COMPUTED_VALUE"""),"Arecont Vision")</f>
        <v>Arecont Vision</v>
      </c>
      <c r="E2163" s="4" t="str">
        <f>IFERROR(__xludf.DUMMYFUNCTION("""COMPUTED_VALUE"""),"AV5105DN")</f>
        <v>AV5105DN</v>
      </c>
      <c r="F2163" s="4" t="str">
        <f>IFERROR(__xludf.DUMMYFUNCTION("""COMPUTED_VALUE"""),"OUTLET &gt; CÁMARAS IP 5 MP O MAS")</f>
        <v>OUTLET &gt; CÁMARAS IP 5 MP O MAS</v>
      </c>
      <c r="G2163" s="5"/>
      <c r="H2163" s="6">
        <f>IFERROR(__xludf.DUMMYFUNCTION("""COMPUTED_VALUE"""),99.0)</f>
        <v>99</v>
      </c>
      <c r="I2163" s="7">
        <f>IFERROR(__xludf.DUMMYFUNCTION("""COMPUTED_VALUE"""),21.0)</f>
        <v>21</v>
      </c>
      <c r="J2163" s="6">
        <f>IFERROR(__xludf.DUMMYFUNCTION("""COMPUTED_VALUE"""),118.8)</f>
        <v>118.8</v>
      </c>
      <c r="K2163" s="6">
        <f>IFERROR(__xludf.DUMMYFUNCTION("""COMPUTED_VALUE"""),138.6)</f>
        <v>138.6</v>
      </c>
      <c r="L2163" s="3"/>
      <c r="M2163" s="3"/>
    </row>
    <row r="2164" ht="48.0" customHeight="1">
      <c r="A2164" s="3" t="str">
        <f>IFERROR(__xludf.DUMMYFUNCTION("""COMPUTED_VALUE"""),"AV5115DN-3312")</f>
        <v>AV5115DN-3312</v>
      </c>
      <c r="B2164" s="4" t="str">
        <f>IFERROR(__xludf.DUMMYFUNCTION("""COMPUTED_VALUE"""),"CÁMARA COMPACTA TIPO BOX DE 5 MEGAPIXEL H")</f>
        <v>CÁMARA COMPACTA TIPO BOX DE 5 MEGAPIXEL H</v>
      </c>
      <c r="C2164" s="4" t="str">
        <f>IFERROR(__xludf.DUMMYFUNCTION("""COMPUTED_VALUE"""),"Cámara compacta tipo Box de 5 MEGAPIXEL H.264, 2592x1944, día /noche, filtro de corte IR motorizado.")</f>
        <v>Cámara compacta tipo Box de 5 MEGAPIXEL H.264, 2592x1944, día /noche, filtro de corte IR motorizado.</v>
      </c>
      <c r="D2164" s="4" t="str">
        <f>IFERROR(__xludf.DUMMYFUNCTION("""COMPUTED_VALUE"""),"Arecont Vision")</f>
        <v>Arecont Vision</v>
      </c>
      <c r="E2164" s="4" t="str">
        <f>IFERROR(__xludf.DUMMYFUNCTION("""COMPUTED_VALUE"""),"AV5115DN-3312")</f>
        <v>AV5115DN-3312</v>
      </c>
      <c r="F2164" s="4" t="str">
        <f>IFERROR(__xludf.DUMMYFUNCTION("""COMPUTED_VALUE"""),"OUTLET &gt; CÁMARAS IP 5 MP O MAS")</f>
        <v>OUTLET &gt; CÁMARAS IP 5 MP O MAS</v>
      </c>
      <c r="G2164" s="5"/>
      <c r="H2164" s="6">
        <f>IFERROR(__xludf.DUMMYFUNCTION("""COMPUTED_VALUE"""),99.0)</f>
        <v>99</v>
      </c>
      <c r="I2164" s="7">
        <f>IFERROR(__xludf.DUMMYFUNCTION("""COMPUTED_VALUE"""),21.0)</f>
        <v>21</v>
      </c>
      <c r="J2164" s="6">
        <f>IFERROR(__xludf.DUMMYFUNCTION("""COMPUTED_VALUE"""),118.8)</f>
        <v>118.8</v>
      </c>
      <c r="K2164" s="6">
        <f>IFERROR(__xludf.DUMMYFUNCTION("""COMPUTED_VALUE"""),138.6)</f>
        <v>138.6</v>
      </c>
      <c r="L2164" s="3"/>
      <c r="M2164" s="3"/>
    </row>
    <row r="2165" ht="48.0" customHeight="1">
      <c r="A2165" s="3" t="str">
        <f>IFERROR(__xludf.DUMMYFUNCTION("""COMPUTED_VALUE"""),"AV5155DN16HK")</f>
        <v>AV5155DN16HK</v>
      </c>
      <c r="B2165" s="4" t="str">
        <f>IFERROR(__xludf.DUMMYFUNCTION("""COMPUTED_VALUE"""),"MEGADOMO 5MP VARIFOCAL 8-16MM")</f>
        <v>MEGADOMO 5MP VARIFOCAL 8-16MM</v>
      </c>
      <c r="C2165" s="4" t="str">
        <f>IFERROR(__xludf.DUMMYFUNCTION("""COMPUTED_VALUE"""),"MEGADOMO 5MP VARIFOCAL 8-16MM")</f>
        <v>MEGADOMO 5MP VARIFOCAL 8-16MM</v>
      </c>
      <c r="D2165" s="4" t="str">
        <f>IFERROR(__xludf.DUMMYFUNCTION("""COMPUTED_VALUE"""),"Arecont Vision")</f>
        <v>Arecont Vision</v>
      </c>
      <c r="E2165" s="4" t="str">
        <f>IFERROR(__xludf.DUMMYFUNCTION("""COMPUTED_VALUE"""),"AV5155DN16HK")</f>
        <v>AV5155DN16HK</v>
      </c>
      <c r="F2165" s="4" t="str">
        <f>IFERROR(__xludf.DUMMYFUNCTION("""COMPUTED_VALUE"""),"OUTLET &gt; CÁMARAS IP 5 MP O MAS")</f>
        <v>OUTLET &gt; CÁMARAS IP 5 MP O MAS</v>
      </c>
      <c r="G2165" s="5"/>
      <c r="H2165" s="6">
        <f>IFERROR(__xludf.DUMMYFUNCTION("""COMPUTED_VALUE"""),99.0)</f>
        <v>99</v>
      </c>
      <c r="I2165" s="7">
        <f>IFERROR(__xludf.DUMMYFUNCTION("""COMPUTED_VALUE"""),21.0)</f>
        <v>21</v>
      </c>
      <c r="J2165" s="6">
        <f>IFERROR(__xludf.DUMMYFUNCTION("""COMPUTED_VALUE"""),118.8)</f>
        <v>118.8</v>
      </c>
      <c r="K2165" s="6">
        <f>IFERROR(__xludf.DUMMYFUNCTION("""COMPUTED_VALUE"""),138.6)</f>
        <v>138.6</v>
      </c>
      <c r="L2165" s="3"/>
      <c r="M2165" s="3"/>
    </row>
    <row r="2166" ht="48.0" customHeight="1">
      <c r="A2166" s="3" t="str">
        <f>IFERROR(__xludf.DUMMYFUNCTION("""COMPUTED_VALUE"""),"AV10005DN")</f>
        <v>AV10005DN</v>
      </c>
      <c r="B2166" s="4" t="str">
        <f>IFERROR(__xludf.DUMMYFUNCTION("""COMPUTED_VALUE"""),"CÁMARA DE 10 MEGAPIXEL H")</f>
        <v>CÁMARA DE 10 MEGAPIXEL H</v>
      </c>
      <c r="C2166" s="4" t="str">
        <f>IFERROR(__xludf.DUMMYFUNCTION("""COMPUTED_VALUE"""),"Cámara de 10 MEGAPIXEL H.264, 3648 x 2752, día /noche, filtro de corte IR motorizado.")</f>
        <v>Cámara de 10 MEGAPIXEL H.264, 3648 x 2752, día /noche, filtro de corte IR motorizado.</v>
      </c>
      <c r="D2166" s="4" t="str">
        <f>IFERROR(__xludf.DUMMYFUNCTION("""COMPUTED_VALUE"""),"Arecont Vision")</f>
        <v>Arecont Vision</v>
      </c>
      <c r="E2166" s="4" t="str">
        <f>IFERROR(__xludf.DUMMYFUNCTION("""COMPUTED_VALUE"""),"AV10005DN")</f>
        <v>AV10005DN</v>
      </c>
      <c r="F2166" s="4" t="str">
        <f>IFERROR(__xludf.DUMMYFUNCTION("""COMPUTED_VALUE"""),"OUTLET &gt; CÁMARAS IP 5 MP O MAS")</f>
        <v>OUTLET &gt; CÁMARAS IP 5 MP O MAS</v>
      </c>
      <c r="G2166" s="5"/>
      <c r="H2166" s="6">
        <f>IFERROR(__xludf.DUMMYFUNCTION("""COMPUTED_VALUE"""),99.0)</f>
        <v>99</v>
      </c>
      <c r="I2166" s="7">
        <f>IFERROR(__xludf.DUMMYFUNCTION("""COMPUTED_VALUE"""),21.0)</f>
        <v>21</v>
      </c>
      <c r="J2166" s="6">
        <f>IFERROR(__xludf.DUMMYFUNCTION("""COMPUTED_VALUE"""),118.8)</f>
        <v>118.8</v>
      </c>
      <c r="K2166" s="6">
        <f>IFERROR(__xludf.DUMMYFUNCTION("""COMPUTED_VALUE"""),138.6)</f>
        <v>138.6</v>
      </c>
      <c r="L2166" s="3"/>
      <c r="M2166" s="3"/>
    </row>
    <row r="2167" ht="48.0" customHeight="1">
      <c r="A2167" s="3" t="str">
        <f>IFERROR(__xludf.DUMMYFUNCTION("""COMPUTED_VALUE"""),"SNP1000AP")</f>
        <v>SNP1000AP</v>
      </c>
      <c r="B2167" s="4" t="str">
        <f>IFERROR(__xludf.DUMMYFUNCTION("""COMPUTED_VALUE"""),"DOMO IP CON MOVIMIENTO COLOR CCD1/4"" SUPER HAD,PARA INTERIOR,")</f>
        <v>DOMO IP CON MOVIMIENTO COLOR CCD1/4" SUPER HAD,PARA INTERIOR,</v>
      </c>
      <c r="C2167" s="4" t="str">
        <f>IFERROR(__xludf.DUMMYFUNCTION("""COMPUTED_VALUE"""),"Domo IP con movimiento color CCD1/4"" Super HAD,para interior, 520 líneas, 0.7 Lux color, 0.005 Lux B/W, día/noche con ICR, DSP de 3ra. Generación, SSNR, HLC, detección de movimiento, WBL, AGC, OSD, zonas para enmascarar, lente zoom óptico x10 (3.8 a 38 m"&amp;"m) + zoom digital x10, multiprotocolo, 12/24.")</f>
        <v>Domo IP con movimiento color CCD1/4" Super HAD,para interior, 520 líneas, 0.7 Lux color, 0.005 Lux B/W, día/noche con ICR, DSP de 3ra. Generación, SSNR, HLC, detección de movimiento, WBL, AGC, OSD, zonas para enmascarar, lente zoom óptico x10 (3.8 a 38 mm) + zoom digital x10, multiprotocolo, 12/24.</v>
      </c>
      <c r="D2167" s="4" t="str">
        <f>IFERROR(__xludf.DUMMYFUNCTION("""COMPUTED_VALUE"""),"SAMSUNG")</f>
        <v>SAMSUNG</v>
      </c>
      <c r="E2167" s="4" t="str">
        <f>IFERROR(__xludf.DUMMYFUNCTION("""COMPUTED_VALUE"""),"SNP1000AP")</f>
        <v>SNP1000AP</v>
      </c>
      <c r="F2167" s="4" t="str">
        <f>IFERROR(__xludf.DUMMYFUNCTION("""COMPUTED_VALUE"""),"OUTLET &gt; CÁMARAS IP PTZ")</f>
        <v>OUTLET &gt; CÁMARAS IP PTZ</v>
      </c>
      <c r="G2167" s="5"/>
      <c r="H2167" s="6">
        <f>IFERROR(__xludf.DUMMYFUNCTION("""COMPUTED_VALUE"""),99.0)</f>
        <v>99</v>
      </c>
      <c r="I2167" s="7">
        <f>IFERROR(__xludf.DUMMYFUNCTION("""COMPUTED_VALUE"""),21.0)</f>
        <v>21</v>
      </c>
      <c r="J2167" s="6">
        <f>IFERROR(__xludf.DUMMYFUNCTION("""COMPUTED_VALUE"""),118.8)</f>
        <v>118.8</v>
      </c>
      <c r="K2167" s="6">
        <f>IFERROR(__xludf.DUMMYFUNCTION("""COMPUTED_VALUE"""),138.6)</f>
        <v>138.6</v>
      </c>
      <c r="L2167" s="3"/>
      <c r="M2167" s="3"/>
    </row>
    <row r="2168" ht="48.0" customHeight="1">
      <c r="A2168" s="3" t="str">
        <f>IFERROR(__xludf.DUMMYFUNCTION("""COMPUTED_VALUE"""),"AVN284Z")</f>
        <v>AVN284Z</v>
      </c>
      <c r="B2168" s="4" t="str">
        <f>IFERROR(__xludf.DUMMYFUNCTION("""COMPUTED_VALUE"""),"DOMO IP PARA MONTAJE EXTERIOR")</f>
        <v>DOMO IP PARA MONTAJE EXTERIOR</v>
      </c>
      <c r="C2168" s="4" t="str">
        <f>IFERROR(__xludf.DUMMYFUNCTION("""COMPUTED_VALUE"""),"Domo IP para montaje exterior. Zoom 22x (3.9 a 85.9 mm) compresión H.264, 10 usuarios simultáneos. CCD ¼ Sony Super HAD. 16 preset. Autotracking")</f>
        <v>Domo IP para montaje exterior. Zoom 22x (3.9 a 85.9 mm) compresión H.264, 10 usuarios simultáneos. CCD ¼ Sony Super HAD. 16 preset. Autotracking</v>
      </c>
      <c r="D2168" s="4" t="str">
        <f>IFERROR(__xludf.DUMMYFUNCTION("""COMPUTED_VALUE"""),"AVTECH")</f>
        <v>AVTECH</v>
      </c>
      <c r="E2168" s="4" t="str">
        <f>IFERROR(__xludf.DUMMYFUNCTION("""COMPUTED_VALUE"""),"AVN284Z")</f>
        <v>AVN284Z</v>
      </c>
      <c r="F2168" s="4" t="str">
        <f>IFERROR(__xludf.DUMMYFUNCTION("""COMPUTED_VALUE"""),"OUTLET &gt; CÁMARAS IP PTZ")</f>
        <v>OUTLET &gt; CÁMARAS IP PTZ</v>
      </c>
      <c r="G2168" s="5"/>
      <c r="H2168" s="6">
        <f>IFERROR(__xludf.DUMMYFUNCTION("""COMPUTED_VALUE"""),99.0)</f>
        <v>99</v>
      </c>
      <c r="I2168" s="7">
        <f>IFERROR(__xludf.DUMMYFUNCTION("""COMPUTED_VALUE"""),21.0)</f>
        <v>21</v>
      </c>
      <c r="J2168" s="6">
        <f>IFERROR(__xludf.DUMMYFUNCTION("""COMPUTED_VALUE"""),118.8)</f>
        <v>118.8</v>
      </c>
      <c r="K2168" s="6">
        <f>IFERROR(__xludf.DUMMYFUNCTION("""COMPUTED_VALUE"""),138.6)</f>
        <v>138.6</v>
      </c>
      <c r="L2168" s="3"/>
      <c r="M2168" s="3"/>
    </row>
    <row r="2169" ht="48.0" customHeight="1">
      <c r="A2169" s="3" t="str">
        <f>IFERROR(__xludf.DUMMYFUNCTION("""COMPUTED_VALUE"""),"ALFE200VD")</f>
        <v>ALFE200VD</v>
      </c>
      <c r="B2169" s="4" t="str">
        <f>IFERROR(__xludf.DUMMYFUNCTION("""COMPUTED_VALUE"""),"CÁMARA IP POE DOMO DE 2 MEGAPIXEL ANTIVANDALISMO")</f>
        <v>CÁMARA IP POE DOMO DE 2 MEGAPIXEL ANTIVANDALISMO</v>
      </c>
      <c r="C2169" s="4" t="str">
        <f>IFERROR(__xludf.DUMMYFUNCTION("""COMPUTED_VALUE"""),"Cámara IP PoE domo de 2 MEGAPIXEL antivandalismo. Visión panorámica de 180 y 360 grados. 2 megapixel. H.264 Micro SD Altavoz y micrófono integrado. PoE. ICR mecánico. e-PTZ avanzado. Ip66")</f>
        <v>Cámara IP PoE domo de 2 MEGAPIXEL antivandalismo. Visión panorámica de 180 y 360 grados. 2 megapixel. H.264 Micro SD Altavoz y micrófono integrado. PoE. ICR mecánico. e-PTZ avanzado. Ip66</v>
      </c>
      <c r="D2169" s="4" t="str">
        <f>IFERROR(__xludf.DUMMYFUNCTION("""COMPUTED_VALUE"""),"AIRLIVE")</f>
        <v>AIRLIVE</v>
      </c>
      <c r="E2169" s="4" t="str">
        <f>IFERROR(__xludf.DUMMYFUNCTION("""COMPUTED_VALUE"""),"ALFE200VD")</f>
        <v>ALFE200VD</v>
      </c>
      <c r="F2169" s="4" t="str">
        <f>IFERROR(__xludf.DUMMYFUNCTION("""COMPUTED_VALUE"""),"OUTLET &gt; CÁMARAS IP PANORAMICAS 180º, 360º Y OJO DE PEZ- FISH EYE")</f>
        <v>OUTLET &gt; CÁMARAS IP PANORAMICAS 180º, 360º Y OJO DE PEZ- FISH EYE</v>
      </c>
      <c r="G2169" s="5"/>
      <c r="H2169" s="6">
        <f>IFERROR(__xludf.DUMMYFUNCTION("""COMPUTED_VALUE"""),132.0)</f>
        <v>132</v>
      </c>
      <c r="I2169" s="7">
        <f>IFERROR(__xludf.DUMMYFUNCTION("""COMPUTED_VALUE"""),21.0)</f>
        <v>21</v>
      </c>
      <c r="J2169" s="6">
        <f>IFERROR(__xludf.DUMMYFUNCTION("""COMPUTED_VALUE"""),158.4)</f>
        <v>158.4</v>
      </c>
      <c r="K2169" s="6">
        <f>IFERROR(__xludf.DUMMYFUNCTION("""COMPUTED_VALUE"""),184.8)</f>
        <v>184.8</v>
      </c>
      <c r="L2169" s="3"/>
      <c r="M2169" s="3"/>
    </row>
    <row r="2170" ht="48.0" customHeight="1">
      <c r="A2170" s="3" t="str">
        <f>IFERROR(__xludf.DUMMYFUNCTION("""COMPUTED_VALUE"""),"ALACCDOMCAM")</f>
        <v>ALACCDOMCAM</v>
      </c>
      <c r="B2170" s="4" t="str">
        <f>IFERROR(__xludf.DUMMYFUNCTION("""COMPUTED_VALUE"""),"KIT DE MONTAJE EN EXTERIORES PARA CÁMARAS IP AIRLIVE ANTIVANDÁLICAS")</f>
        <v>KIT DE MONTAJE EN EXTERIORES PARA CÁMARAS IP AIRLIVE ANTIVANDÁLICAS</v>
      </c>
      <c r="C2170" s="4" t="str">
        <f>IFERROR(__xludf.DUMMYFUNCTION("""COMPUTED_VALUE"""),"Kit de montaje en exteriores para cámaras IP AirLive antivandálicas. Apto para OD-2060HD, OD-2050HD y FE-200VD. IP66")</f>
        <v>Kit de montaje en exteriores para cámaras IP AirLive antivandálicas. Apto para OD-2060HD, OD-2050HD y FE-200VD. IP66</v>
      </c>
      <c r="D2170" s="4" t="str">
        <f>IFERROR(__xludf.DUMMYFUNCTION("""COMPUTED_VALUE"""),"AIRLIVE")</f>
        <v>AIRLIVE</v>
      </c>
      <c r="E2170" s="4" t="str">
        <f>IFERROR(__xludf.DUMMYFUNCTION("""COMPUTED_VALUE"""),"ALACCDOMCAM")</f>
        <v>ALACCDOMCAM</v>
      </c>
      <c r="F2170" s="4" t="str">
        <f>IFERROR(__xludf.DUMMYFUNCTION("""COMPUTED_VALUE"""),"OUTLET &gt; CÁMARAS IP PANORAMICAS 180º, 360º Y OJO DE PEZ- FISH EYE")</f>
        <v>OUTLET &gt; CÁMARAS IP PANORAMICAS 180º, 360º Y OJO DE PEZ- FISH EYE</v>
      </c>
      <c r="G2170" s="5"/>
      <c r="H2170" s="6">
        <f>IFERROR(__xludf.DUMMYFUNCTION("""COMPUTED_VALUE"""),55.0)</f>
        <v>55</v>
      </c>
      <c r="I2170" s="7">
        <f>IFERROR(__xludf.DUMMYFUNCTION("""COMPUTED_VALUE"""),21.0)</f>
        <v>21</v>
      </c>
      <c r="J2170" s="6">
        <f>IFERROR(__xludf.DUMMYFUNCTION("""COMPUTED_VALUE"""),66.0)</f>
        <v>66</v>
      </c>
      <c r="K2170" s="6">
        <f>IFERROR(__xludf.DUMMYFUNCTION("""COMPUTED_VALUE"""),77.0)</f>
        <v>77</v>
      </c>
      <c r="L2170" s="3"/>
      <c r="M2170" s="3"/>
    </row>
    <row r="2171" ht="48.0" customHeight="1">
      <c r="A2171" s="3" t="str">
        <f>IFERROR(__xludf.DUMMYFUNCTION("""COMPUTED_VALUE"""),"AV8365DNHB")</f>
        <v>AV8365DNHB</v>
      </c>
      <c r="B2171" s="4" t="str">
        <f>IFERROR(__xludf.DUMMYFUNCTION("""COMPUTED_VALUE"""),"CÁMARA PANORÁMICA SURROUNDVIDEO 8")</f>
        <v>CÁMARA PANORÁMICA SURROUNDVIDEO 8</v>
      </c>
      <c r="C2171" s="4" t="str">
        <f>IFERROR(__xludf.DUMMYFUNCTION("""COMPUTED_VALUE"""),"Cámara panorámica SurroundVideo 8.0 MEGAPIXEL H.264 360˚ , 6400x1200, lente 4 x 4mm MP, IP66, 12VDC/24VAC, calefactor y ventilador incorporado.")</f>
        <v>Cámara panorámica SurroundVideo 8.0 MEGAPIXEL H.264 360˚ , 6400x1200, lente 4 x 4mm MP, IP66, 12VDC/24VAC, calefactor y ventilador incorporado.</v>
      </c>
      <c r="D2171" s="4" t="str">
        <f>IFERROR(__xludf.DUMMYFUNCTION("""COMPUTED_VALUE"""),"Arecont Vision")</f>
        <v>Arecont Vision</v>
      </c>
      <c r="E2171" s="4" t="str">
        <f>IFERROR(__xludf.DUMMYFUNCTION("""COMPUTED_VALUE"""),"AV8365DNHB")</f>
        <v>AV8365DNHB</v>
      </c>
      <c r="F2171" s="4" t="str">
        <f>IFERROR(__xludf.DUMMYFUNCTION("""COMPUTED_VALUE"""),"OUTLET &gt; CÁMARAS IP PANORAMICAS 180º, 360º Y OJO DE PEZ- FISH EYE")</f>
        <v>OUTLET &gt; CÁMARAS IP PANORAMICAS 180º, 360º Y OJO DE PEZ- FISH EYE</v>
      </c>
      <c r="G2171" s="5"/>
      <c r="H2171" s="6">
        <f>IFERROR(__xludf.DUMMYFUNCTION("""COMPUTED_VALUE"""),165.0)</f>
        <v>165</v>
      </c>
      <c r="I2171" s="7">
        <f>IFERROR(__xludf.DUMMYFUNCTION("""COMPUTED_VALUE"""),21.0)</f>
        <v>21</v>
      </c>
      <c r="J2171" s="6">
        <f>IFERROR(__xludf.DUMMYFUNCTION("""COMPUTED_VALUE"""),198.0)</f>
        <v>198</v>
      </c>
      <c r="K2171" s="6">
        <f>IFERROR(__xludf.DUMMYFUNCTION("""COMPUTED_VALUE"""),231.0)</f>
        <v>231</v>
      </c>
      <c r="L2171" s="3"/>
      <c r="M2171" s="3"/>
    </row>
    <row r="2172" ht="48.0" customHeight="1">
      <c r="A2172" s="3" t="str">
        <f>IFERROR(__xludf.DUMMYFUNCTION("""COMPUTED_VALUE"""),"AV8185DNHB")</f>
        <v>AV8185DNHB</v>
      </c>
      <c r="B2172" s="4" t="str">
        <f>IFERROR(__xludf.DUMMYFUNCTION("""COMPUTED_VALUE"""),"CÁMARA PANORÁMICA SURROUNDVIDEO 8")</f>
        <v>CÁMARA PANORÁMICA SURROUNDVIDEO 8</v>
      </c>
      <c r="C2172" s="4" t="str">
        <f>IFERROR(__xludf.DUMMYFUNCTION("""COMPUTED_VALUE"""),"Cámara panorámica SurroundVideo 8.0 MEGAPIXEL H.264 180˚ , 6400x1200, lente 4 x 8mm MP, IP66, 12VDC/24VAC, calefactor y ventilador incorporado.")</f>
        <v>Cámara panorámica SurroundVideo 8.0 MEGAPIXEL H.264 180˚ , 6400x1200, lente 4 x 8mm MP, IP66, 12VDC/24VAC, calefactor y ventilador incorporado.</v>
      </c>
      <c r="D2172" s="4" t="str">
        <f>IFERROR(__xludf.DUMMYFUNCTION("""COMPUTED_VALUE"""),"Arecont Vision")</f>
        <v>Arecont Vision</v>
      </c>
      <c r="E2172" s="4" t="str">
        <f>IFERROR(__xludf.DUMMYFUNCTION("""COMPUTED_VALUE"""),"AV8185DNHB")</f>
        <v>AV8185DNHB</v>
      </c>
      <c r="F2172" s="4" t="str">
        <f>IFERROR(__xludf.DUMMYFUNCTION("""COMPUTED_VALUE"""),"OUTLET &gt; CÁMARAS IP PANORAMICAS 180º, 360º Y OJO DE PEZ- FISH EYE")</f>
        <v>OUTLET &gt; CÁMARAS IP PANORAMICAS 180º, 360º Y OJO DE PEZ- FISH EYE</v>
      </c>
      <c r="G2172" s="5"/>
      <c r="H2172" s="6">
        <f>IFERROR(__xludf.DUMMYFUNCTION("""COMPUTED_VALUE"""),165.0)</f>
        <v>165</v>
      </c>
      <c r="I2172" s="7">
        <f>IFERROR(__xludf.DUMMYFUNCTION("""COMPUTED_VALUE"""),21.0)</f>
        <v>21</v>
      </c>
      <c r="J2172" s="6">
        <f>IFERROR(__xludf.DUMMYFUNCTION("""COMPUTED_VALUE"""),198.0)</f>
        <v>198</v>
      </c>
      <c r="K2172" s="6">
        <f>IFERROR(__xludf.DUMMYFUNCTION("""COMPUTED_VALUE"""),231.0)</f>
        <v>231</v>
      </c>
      <c r="L2172" s="3"/>
      <c r="M2172" s="3"/>
    </row>
    <row r="2173" ht="48.0" customHeight="1">
      <c r="A2173" s="3" t="str">
        <f>IFERROR(__xludf.DUMMYFUNCTION("""COMPUTED_VALUE"""),"AVMDFMA")</f>
        <v>AVMDFMA</v>
      </c>
      <c r="B2173" s="4" t="str">
        <f>IFERROR(__xludf.DUMMYFUNCTION("""COMPUTED_VALUE"""),"MONTAJE EMBUTIDO P/MDOME")</f>
        <v>MONTAJE EMBUTIDO P/MDOME</v>
      </c>
      <c r="C2173" s="4" t="str">
        <f>IFERROR(__xludf.DUMMYFUNCTION("""COMPUTED_VALUE"""),"MONTAJE EMBUTIDO P/MDOME")</f>
        <v>MONTAJE EMBUTIDO P/MDOME</v>
      </c>
      <c r="D2173" s="4" t="str">
        <f>IFERROR(__xludf.DUMMYFUNCTION("""COMPUTED_VALUE"""),"Arecont Vision")</f>
        <v>Arecont Vision</v>
      </c>
      <c r="E2173" s="4" t="str">
        <f>IFERROR(__xludf.DUMMYFUNCTION("""COMPUTED_VALUE"""),"AVMDFMA")</f>
        <v>AVMDFMA</v>
      </c>
      <c r="F2173" s="4" t="str">
        <f>IFERROR(__xludf.DUMMYFUNCTION("""COMPUTED_VALUE"""),"OUTLET &gt; CÁMARAS IP PANORAMICAS 180º, 360º Y OJO DE PEZ- FISH EYE")</f>
        <v>OUTLET &gt; CÁMARAS IP PANORAMICAS 180º, 360º Y OJO DE PEZ- FISH EYE</v>
      </c>
      <c r="G2173" s="5" t="s">
        <v>1</v>
      </c>
      <c r="H2173" s="6">
        <f>IFERROR(__xludf.DUMMYFUNCTION("""COMPUTED_VALUE"""),55.0)</f>
        <v>55</v>
      </c>
      <c r="I2173" s="7">
        <f>IFERROR(__xludf.DUMMYFUNCTION("""COMPUTED_VALUE"""),21.0)</f>
        <v>21</v>
      </c>
      <c r="J2173" s="6">
        <f>IFERROR(__xludf.DUMMYFUNCTION("""COMPUTED_VALUE"""),66.0)</f>
        <v>66</v>
      </c>
      <c r="K2173" s="6">
        <f>IFERROR(__xludf.DUMMYFUNCTION("""COMPUTED_VALUE"""),77.0)</f>
        <v>77</v>
      </c>
      <c r="L2173" s="3"/>
      <c r="M2173" s="3"/>
    </row>
    <row r="2174" ht="48.0" customHeight="1">
      <c r="A2174" s="3" t="str">
        <f>IFERROR(__xludf.DUMMYFUNCTION("""COMPUTED_VALUE"""),"AVMDPMA")</f>
        <v>AVMDPMA</v>
      </c>
      <c r="B2174" s="4" t="str">
        <f>IFERROR(__xludf.DUMMYFUNCTION("""COMPUTED_VALUE"""),"MONTAJE EN POSTE P/MDOME")</f>
        <v>MONTAJE EN POSTE P/MDOME</v>
      </c>
      <c r="C2174" s="4" t="str">
        <f>IFERROR(__xludf.DUMMYFUNCTION("""COMPUTED_VALUE"""),"MONTAJE EN POSTE P/MDOME")</f>
        <v>MONTAJE EN POSTE P/MDOME</v>
      </c>
      <c r="D2174" s="4" t="str">
        <f>IFERROR(__xludf.DUMMYFUNCTION("""COMPUTED_VALUE"""),"Arecont Vision")</f>
        <v>Arecont Vision</v>
      </c>
      <c r="E2174" s="4" t="str">
        <f>IFERROR(__xludf.DUMMYFUNCTION("""COMPUTED_VALUE"""),"AVMDPMA")</f>
        <v>AVMDPMA</v>
      </c>
      <c r="F2174" s="4" t="str">
        <f>IFERROR(__xludf.DUMMYFUNCTION("""COMPUTED_VALUE"""),"OUTLET &gt; CÁMARAS IP PANORAMICAS 180º, 360º Y OJO DE PEZ- FISH EYE")</f>
        <v>OUTLET &gt; CÁMARAS IP PANORAMICAS 180º, 360º Y OJO DE PEZ- FISH EYE</v>
      </c>
      <c r="G2174" s="5" t="s">
        <v>1</v>
      </c>
      <c r="H2174" s="6">
        <f>IFERROR(__xludf.DUMMYFUNCTION("""COMPUTED_VALUE"""),55.0)</f>
        <v>55</v>
      </c>
      <c r="I2174" s="7">
        <f>IFERROR(__xludf.DUMMYFUNCTION("""COMPUTED_VALUE"""),21.0)</f>
        <v>21</v>
      </c>
      <c r="J2174" s="6">
        <f>IFERROR(__xludf.DUMMYFUNCTION("""COMPUTED_VALUE"""),66.0)</f>
        <v>66</v>
      </c>
      <c r="K2174" s="6">
        <f>IFERROR(__xludf.DUMMYFUNCTION("""COMPUTED_VALUE"""),77.0)</f>
        <v>77</v>
      </c>
      <c r="L2174" s="3"/>
      <c r="M2174" s="3"/>
    </row>
    <row r="2175" ht="48.0" customHeight="1">
      <c r="A2175" s="3" t="str">
        <f>IFERROR(__xludf.DUMMYFUNCTION("""COMPUTED_VALUE"""),"AVSVCMT")</f>
        <v>AVSVCMT</v>
      </c>
      <c r="B2175" s="4" t="str">
        <f>IFERROR(__xludf.DUMMYFUNCTION("""COMPUTED_VALUE"""),"SOPORTE MONTAJE COLGANTE PARA AV8185DN &amp; AV8365DN")</f>
        <v>SOPORTE MONTAJE COLGANTE PARA AV8185DN &amp; AV8365DN</v>
      </c>
      <c r="C2175" s="4" t="str">
        <f>IFERROR(__xludf.DUMMYFUNCTION("""COMPUTED_VALUE"""),"Soporte montaje colgante para AV8185DN &amp; AV8365DN")</f>
        <v>Soporte montaje colgante para AV8185DN &amp; AV8365DN</v>
      </c>
      <c r="D2175" s="4" t="str">
        <f>IFERROR(__xludf.DUMMYFUNCTION("""COMPUTED_VALUE"""),"Arecont Vision")</f>
        <v>Arecont Vision</v>
      </c>
      <c r="E2175" s="4" t="str">
        <f>IFERROR(__xludf.DUMMYFUNCTION("""COMPUTED_VALUE"""),"AVSVCMT")</f>
        <v>AVSVCMT</v>
      </c>
      <c r="F2175" s="4" t="str">
        <f>IFERROR(__xludf.DUMMYFUNCTION("""COMPUTED_VALUE"""),"OUTLET &gt; CÁMARAS IP PANORAMICAS 180º, 360º Y OJO DE PEZ- FISH EYE")</f>
        <v>OUTLET &gt; CÁMARAS IP PANORAMICAS 180º, 360º Y OJO DE PEZ- FISH EYE</v>
      </c>
      <c r="G2175" s="5"/>
      <c r="H2175" s="6">
        <f>IFERROR(__xludf.DUMMYFUNCTION("""COMPUTED_VALUE"""),55.0)</f>
        <v>55</v>
      </c>
      <c r="I2175" s="7">
        <f>IFERROR(__xludf.DUMMYFUNCTION("""COMPUTED_VALUE"""),21.0)</f>
        <v>21</v>
      </c>
      <c r="J2175" s="6">
        <f>IFERROR(__xludf.DUMMYFUNCTION("""COMPUTED_VALUE"""),66.0)</f>
        <v>66</v>
      </c>
      <c r="K2175" s="6">
        <f>IFERROR(__xludf.DUMMYFUNCTION("""COMPUTED_VALUE"""),77.0)</f>
        <v>77</v>
      </c>
      <c r="L2175" s="3"/>
      <c r="M2175" s="3"/>
    </row>
    <row r="2176" ht="48.0" customHeight="1">
      <c r="A2176" s="3" t="str">
        <f>IFERROR(__xludf.DUMMYFUNCTION("""COMPUTED_VALUE"""),"AVSVWMT")</f>
        <v>AVSVWMT</v>
      </c>
      <c r="B2176" s="4" t="str">
        <f>IFERROR(__xludf.DUMMYFUNCTION("""COMPUTED_VALUE"""),"MONTAJE DE PARED PARA AV8185DN &amp; AV8365DN")</f>
        <v>MONTAJE DE PARED PARA AV8185DN &amp; AV8365DN</v>
      </c>
      <c r="C2176" s="4" t="str">
        <f>IFERROR(__xludf.DUMMYFUNCTION("""COMPUTED_VALUE"""),"Montaje de pared para AV8185DN &amp; AV8365DN")</f>
        <v>Montaje de pared para AV8185DN &amp; AV8365DN</v>
      </c>
      <c r="D2176" s="4" t="str">
        <f>IFERROR(__xludf.DUMMYFUNCTION("""COMPUTED_VALUE"""),"Arecont Vision")</f>
        <v>Arecont Vision</v>
      </c>
      <c r="E2176" s="4" t="str">
        <f>IFERROR(__xludf.DUMMYFUNCTION("""COMPUTED_VALUE"""),"AVSVWMT")</f>
        <v>AVSVWMT</v>
      </c>
      <c r="F2176" s="4" t="str">
        <f>IFERROR(__xludf.DUMMYFUNCTION("""COMPUTED_VALUE"""),"OUTLET &gt; CÁMARAS IP PANORAMICAS 180º, 360º Y OJO DE PEZ- FISH EYE")</f>
        <v>OUTLET &gt; CÁMARAS IP PANORAMICAS 180º, 360º Y OJO DE PEZ- FISH EYE</v>
      </c>
      <c r="G2176" s="5"/>
      <c r="H2176" s="6">
        <f>IFERROR(__xludf.DUMMYFUNCTION("""COMPUTED_VALUE"""),55.0)</f>
        <v>55</v>
      </c>
      <c r="I2176" s="7">
        <f>IFERROR(__xludf.DUMMYFUNCTION("""COMPUTED_VALUE"""),21.0)</f>
        <v>21</v>
      </c>
      <c r="J2176" s="6">
        <f>IFERROR(__xludf.DUMMYFUNCTION("""COMPUTED_VALUE"""),66.0)</f>
        <v>66</v>
      </c>
      <c r="K2176" s="6">
        <f>IFERROR(__xludf.DUMMYFUNCTION("""COMPUTED_VALUE"""),77.0)</f>
        <v>77</v>
      </c>
      <c r="L2176" s="3"/>
      <c r="M2176" s="3"/>
    </row>
    <row r="2177" ht="48.0" customHeight="1">
      <c r="A2177" s="3" t="str">
        <f>IFERROR(__xludf.DUMMYFUNCTION("""COMPUTED_VALUE"""),"SPE400P")</f>
        <v>SPE400P</v>
      </c>
      <c r="B2177" s="4" t="str">
        <f>IFERROR(__xludf.DUMMYFUNCTION("""COMPUTED_VALUE"""),"SERVIDOR DE VIDEO 4 CANALES ONVIF EN TIEMPO REAL")</f>
        <v>SERVIDOR DE VIDEO 4 CANALES ONVIF EN TIEMPO REAL</v>
      </c>
      <c r="C2177" s="4" t="str">
        <f>IFERROR(__xludf.DUMMYFUNCTION("""COMPUTED_VALUE"""),"Servidor de video 4 canales ONVIF en tiempo real con H264 100/100 fps, software de manejo de videos por Internet, soporta IP dinámica, audio, 4 entradas de sensor, 4 salidas de alarma , manejo de PTZ.")</f>
        <v>Servidor de video 4 canales ONVIF en tiempo real con H264 100/100 fps, software de manejo de videos por Internet, soporta IP dinámica, audio, 4 entradas de sensor, 4 salidas de alarma , manejo de PTZ.</v>
      </c>
      <c r="D2177" s="4" t="str">
        <f>IFERROR(__xludf.DUMMYFUNCTION("""COMPUTED_VALUE"""),"SAMSUNG")</f>
        <v>SAMSUNG</v>
      </c>
      <c r="E2177" s="4" t="str">
        <f>IFERROR(__xludf.DUMMYFUNCTION("""COMPUTED_VALUE"""),"SPE400P")</f>
        <v>SPE400P</v>
      </c>
      <c r="F2177" s="4" t="str">
        <f>IFERROR(__xludf.DUMMYFUNCTION("""COMPUTED_VALUE"""),"OUTLET &gt; SERVIDORES DE VIDEO ANALOGOS A IP")</f>
        <v>OUTLET &gt; SERVIDORES DE VIDEO ANALOGOS A IP</v>
      </c>
      <c r="G2177" s="5"/>
      <c r="H2177" s="6">
        <f>IFERROR(__xludf.DUMMYFUNCTION("""COMPUTED_VALUE"""),55.0)</f>
        <v>55</v>
      </c>
      <c r="I2177" s="7">
        <f>IFERROR(__xludf.DUMMYFUNCTION("""COMPUTED_VALUE"""),10.5)</f>
        <v>10.5</v>
      </c>
      <c r="J2177" s="6">
        <f>IFERROR(__xludf.DUMMYFUNCTION("""COMPUTED_VALUE"""),66.0)</f>
        <v>66</v>
      </c>
      <c r="K2177" s="6">
        <f>IFERROR(__xludf.DUMMYFUNCTION("""COMPUTED_VALUE"""),77.0)</f>
        <v>77</v>
      </c>
      <c r="L2177" s="3"/>
      <c r="M2177" s="3"/>
    </row>
    <row r="2178" ht="48.0" customHeight="1">
      <c r="A2178" s="3" t="str">
        <f>IFERROR(__xludf.DUMMYFUNCTION("""COMPUTED_VALUE"""),"AVH316")</f>
        <v>AVH316</v>
      </c>
      <c r="B2178" s="4" t="str">
        <f>IFERROR(__xludf.DUMMYFUNCTION("""COMPUTED_VALUE"""),"NVR 16 CANALES")</f>
        <v>NVR 16 CANALES</v>
      </c>
      <c r="C2178" s="4" t="str">
        <f>IFERROR(__xludf.DUMMYFUNCTION("""COMPUTED_VALUE"""),"NVR para 16 canales. Salida HDMI y VGA. Soporta hasta 2 discos de 1T. Raid0/1. Marca Avtech")</f>
        <v>NVR para 16 canales. Salida HDMI y VGA. Soporta hasta 2 discos de 1T. Raid0/1. Marca Avtech</v>
      </c>
      <c r="D2178" s="4" t="str">
        <f>IFERROR(__xludf.DUMMYFUNCTION("""COMPUTED_VALUE"""),"AVTECH")</f>
        <v>AVTECH</v>
      </c>
      <c r="E2178" s="4" t="str">
        <f>IFERROR(__xludf.DUMMYFUNCTION("""COMPUTED_VALUE"""),"AVH316")</f>
        <v>AVH316</v>
      </c>
      <c r="F2178" s="4" t="str">
        <f>IFERROR(__xludf.DUMMYFUNCTION("""COMPUTED_VALUE"""),"CCTV &gt; GRABADORES NVR")</f>
        <v>CCTV &gt; GRABADORES NVR</v>
      </c>
      <c r="G2178" s="5"/>
      <c r="H2178" s="6">
        <f>IFERROR(__xludf.DUMMYFUNCTION("""COMPUTED_VALUE"""),97.9)</f>
        <v>97.9</v>
      </c>
      <c r="I2178" s="7">
        <f>IFERROR(__xludf.DUMMYFUNCTION("""COMPUTED_VALUE"""),21.0)</f>
        <v>21</v>
      </c>
      <c r="J2178" s="6">
        <f>IFERROR(__xludf.DUMMYFUNCTION("""COMPUTED_VALUE"""),117.48)</f>
        <v>117.48</v>
      </c>
      <c r="K2178" s="6">
        <f>IFERROR(__xludf.DUMMYFUNCTION("""COMPUTED_VALUE"""),137.06)</f>
        <v>137.06</v>
      </c>
      <c r="L2178" s="3"/>
      <c r="M2178" s="3"/>
    </row>
    <row r="2179" ht="48.0" customHeight="1">
      <c r="A2179" s="3" t="str">
        <f>IFERROR(__xludf.DUMMYFUNCTION("""COMPUTED_VALUE"""),"ALCORELNVR9")</f>
        <v>ALCORELNVR9</v>
      </c>
      <c r="B2179" s="4" t="str">
        <f>IFERROR(__xludf.DUMMYFUNCTION("""COMPUTED_VALUE"""),"NVR 9 CANALES")</f>
        <v>NVR 9 CANALES</v>
      </c>
      <c r="C2179" s="4" t="str">
        <f>IFERROR(__xludf.DUMMYFUNCTION("""COMPUTED_VALUE"""),"NVR 9 canales ONVIF salida HDMI. Soporta cámaras IP de hasta 5 megapixel Compresión de video H.264 Salida de video HDMI / VGA")</f>
        <v>NVR 9 canales ONVIF salida HDMI. Soporta cámaras IP de hasta 5 megapixel Compresión de video H.264 Salida de video HDMI / VGA</v>
      </c>
      <c r="D2179" s="4" t="str">
        <f>IFERROR(__xludf.DUMMYFUNCTION("""COMPUTED_VALUE"""),"AIRLIVE")</f>
        <v>AIRLIVE</v>
      </c>
      <c r="E2179" s="4" t="str">
        <f>IFERROR(__xludf.DUMMYFUNCTION("""COMPUTED_VALUE"""),"ALCORELNVR9")</f>
        <v>ALCORELNVR9</v>
      </c>
      <c r="F2179" s="4" t="str">
        <f>IFERROR(__xludf.DUMMYFUNCTION("""COMPUTED_VALUE"""),"CCTV &gt; GRABADORES NVR")</f>
        <v>CCTV &gt; GRABADORES NVR</v>
      </c>
      <c r="G2179" s="5"/>
      <c r="H2179" s="6">
        <f>IFERROR(__xludf.DUMMYFUNCTION("""COMPUTED_VALUE"""),55.0)</f>
        <v>55</v>
      </c>
      <c r="I2179" s="7">
        <f>IFERROR(__xludf.DUMMYFUNCTION("""COMPUTED_VALUE"""),21.0)</f>
        <v>21</v>
      </c>
      <c r="J2179" s="6">
        <f>IFERROR(__xludf.DUMMYFUNCTION("""COMPUTED_VALUE"""),66.0)</f>
        <v>66</v>
      </c>
      <c r="K2179" s="6">
        <f>IFERROR(__xludf.DUMMYFUNCTION("""COMPUTED_VALUE"""),77.0)</f>
        <v>77</v>
      </c>
      <c r="L2179" s="3"/>
      <c r="M2179" s="3"/>
    </row>
    <row r="2180" ht="48.0" customHeight="1">
      <c r="A2180" s="3" t="str">
        <f>IFERROR(__xludf.DUMMYFUNCTION("""COMPUTED_VALUE"""),"ALCORELNVR16")</f>
        <v>ALCORELNVR16</v>
      </c>
      <c r="B2180" s="4" t="str">
        <f>IFERROR(__xludf.DUMMYFUNCTION("""COMPUTED_VALUE"""),"NVR 16 CANALES")</f>
        <v>NVR 16 CANALES</v>
      </c>
      <c r="C2180" s="4" t="str">
        <f>IFERROR(__xludf.DUMMYFUNCTION("""COMPUTED_VALUE"""),"NVR 16 canales ONVIF salida HDMI. Soporta cámaras IP de hasta 5 megapixel Compresión de video H.264 Salida de video HDMI / VGA")</f>
        <v>NVR 16 canales ONVIF salida HDMI. Soporta cámaras IP de hasta 5 megapixel Compresión de video H.264 Salida de video HDMI / VGA</v>
      </c>
      <c r="D2180" s="4" t="str">
        <f>IFERROR(__xludf.DUMMYFUNCTION("""COMPUTED_VALUE"""),"AIRLIVE")</f>
        <v>AIRLIVE</v>
      </c>
      <c r="E2180" s="4" t="str">
        <f>IFERROR(__xludf.DUMMYFUNCTION("""COMPUTED_VALUE"""),"ALCORELNVR16")</f>
        <v>ALCORELNVR16</v>
      </c>
      <c r="F2180" s="4" t="str">
        <f>IFERROR(__xludf.DUMMYFUNCTION("""COMPUTED_VALUE"""),"CCTV &gt; GRABADORES NVR")</f>
        <v>CCTV &gt; GRABADORES NVR</v>
      </c>
      <c r="G2180" s="5"/>
      <c r="H2180" s="6">
        <f>IFERROR(__xludf.DUMMYFUNCTION("""COMPUTED_VALUE"""),110.0)</f>
        <v>110</v>
      </c>
      <c r="I2180" s="7">
        <f>IFERROR(__xludf.DUMMYFUNCTION("""COMPUTED_VALUE"""),21.0)</f>
        <v>21</v>
      </c>
      <c r="J2180" s="6">
        <f>IFERROR(__xludf.DUMMYFUNCTION("""COMPUTED_VALUE"""),132.0)</f>
        <v>132</v>
      </c>
      <c r="K2180" s="6">
        <f>IFERROR(__xludf.DUMMYFUNCTION("""COMPUTED_VALUE"""),154.0)</f>
        <v>154</v>
      </c>
      <c r="L2180" s="3"/>
      <c r="M2180" s="3"/>
    </row>
    <row r="2181" ht="48.0" customHeight="1">
      <c r="A2181" s="3" t="str">
        <f>IFERROR(__xludf.DUMMYFUNCTION("""COMPUTED_VALUE"""),"SCO2080P")</f>
        <v>SCO2080P</v>
      </c>
      <c r="B2181" s="4" t="str">
        <f>IFERROR(__xludf.DUMMYFUNCTION("""COMPUTED_VALUE"""),"CAMARA EXTERIOR")</f>
        <v>CAMARA EXTERIOR</v>
      </c>
      <c r="C2181" s="4" t="str">
        <f>IFERROR(__xludf.DUMMYFUNCTION("""COMPUTED_VALUE"""),"Cámara Waterproof exterior color CCD 1/3"" , 600 líneas, día/noche, BLC, detección de movimiento, WBL,lente varifocal 2,8 a 10mm, OSD, salida RS485 protocolo Pelco, zonas para enmascarar, 12/24V. IP66")</f>
        <v>Cámara Waterproof exterior color CCD 1/3" , 600 líneas, día/noche, BLC, detección de movimiento, WBL,lente varifocal 2,8 a 10mm, OSD, salida RS485 protocolo Pelco, zonas para enmascarar, 12/24V. IP66</v>
      </c>
      <c r="D2181" s="4" t="str">
        <f>IFERROR(__xludf.DUMMYFUNCTION("""COMPUTED_VALUE"""),"SAMSUNG")</f>
        <v>SAMSUNG</v>
      </c>
      <c r="E2181" s="4" t="str">
        <f>IFERROR(__xludf.DUMMYFUNCTION("""COMPUTED_VALUE"""),"SCO2080P")</f>
        <v>SCO2080P</v>
      </c>
      <c r="F2181" s="4" t="str">
        <f>IFERROR(__xludf.DUMMYFUNCTION("""COMPUTED_VALUE"""),"OUTLET &gt; CAMARAS ANALÓGICAS")</f>
        <v>OUTLET &gt; CAMARAS ANALÓGICAS</v>
      </c>
      <c r="G2181" s="5"/>
      <c r="H2181" s="6">
        <f>IFERROR(__xludf.DUMMYFUNCTION("""COMPUTED_VALUE"""),108.9)</f>
        <v>108.9</v>
      </c>
      <c r="I2181" s="7">
        <f>IFERROR(__xludf.DUMMYFUNCTION("""COMPUTED_VALUE"""),10.5)</f>
        <v>10.5</v>
      </c>
      <c r="J2181" s="6">
        <f>IFERROR(__xludf.DUMMYFUNCTION("""COMPUTED_VALUE"""),130.68)</f>
        <v>130.68</v>
      </c>
      <c r="K2181" s="6">
        <f>IFERROR(__xludf.DUMMYFUNCTION("""COMPUTED_VALUE"""),152.46)</f>
        <v>152.46</v>
      </c>
      <c r="L2181" s="3"/>
      <c r="M2181" s="3"/>
    </row>
    <row r="2182" ht="48.0" customHeight="1">
      <c r="A2182" s="3" t="str">
        <f>IFERROR(__xludf.DUMMYFUNCTION("""COMPUTED_VALUE"""),"SCV2080RP")</f>
        <v>SCV2080RP</v>
      </c>
      <c r="B2182" s="4" t="str">
        <f>IFERROR(__xludf.DUMMYFUNCTION("""COMPUTED_VALUE"""),"CAMARA DOMO")</f>
        <v>CAMARA DOMO</v>
      </c>
      <c r="C2182" s="4" t="str">
        <f>IFERROR(__xludf.DUMMYFUNCTION("""COMPUTED_VALUE"""),"Domo color CCD 1/3"" super HAD IT, Antivandálico, IP66, 600 líneas, 0.15 Lux, lente varifocal autoiris 3.6x (2.8 ~ 10mm), día/noche con ICR, DSP de 5ta. Generación, SSNRIII, MD, control coaxial, HLC, detección de movimiento, AGC, RS485, OSD, zonas para en"&amp;"mascarar,12/24.")</f>
        <v>Domo color CCD 1/3" super HAD IT, Antivandálico, IP66, 600 líneas, 0.15 Lux, lente varifocal autoiris 3.6x (2.8 ~ 10mm), día/noche con ICR, DSP de 5ta. Generación, SSNRIII, MD, control coaxial, HLC, detección de movimiento, AGC, RS485, OSD, zonas para enmascarar,12/24.</v>
      </c>
      <c r="D2182" s="4" t="str">
        <f>IFERROR(__xludf.DUMMYFUNCTION("""COMPUTED_VALUE"""),"SAMSUNG")</f>
        <v>SAMSUNG</v>
      </c>
      <c r="E2182" s="4" t="str">
        <f>IFERROR(__xludf.DUMMYFUNCTION("""COMPUTED_VALUE"""),"SCV2080RP")</f>
        <v>SCV2080RP</v>
      </c>
      <c r="F2182" s="4" t="str">
        <f>IFERROR(__xludf.DUMMYFUNCTION("""COMPUTED_VALUE"""),"OUTLET &gt; CAMARAS ANALÓGICAS")</f>
        <v>OUTLET &gt; CAMARAS ANALÓGICAS</v>
      </c>
      <c r="G2182" s="5"/>
      <c r="H2182" s="6">
        <f>IFERROR(__xludf.DUMMYFUNCTION("""COMPUTED_VALUE"""),110.0)</f>
        <v>110</v>
      </c>
      <c r="I2182" s="7">
        <f>IFERROR(__xludf.DUMMYFUNCTION("""COMPUTED_VALUE"""),21.0)</f>
        <v>21</v>
      </c>
      <c r="J2182" s="6">
        <f>IFERROR(__xludf.DUMMYFUNCTION("""COMPUTED_VALUE"""),132.0)</f>
        <v>132</v>
      </c>
      <c r="K2182" s="6">
        <f>IFERROR(__xludf.DUMMYFUNCTION("""COMPUTED_VALUE"""),154.0)</f>
        <v>154</v>
      </c>
      <c r="L2182" s="3"/>
      <c r="M2182" s="3"/>
    </row>
    <row r="2183" ht="48.0" customHeight="1">
      <c r="A2183" s="3" t="str">
        <f>IFERROR(__xludf.DUMMYFUNCTION("""COMPUTED_VALUE"""),"SCV2120P")</f>
        <v>SCV2120P</v>
      </c>
      <c r="B2183" s="4" t="str">
        <f>IFERROR(__xludf.DUMMYFUNCTION("""COMPUTED_VALUE"""),"CAMARA DOMO")</f>
        <v>CAMARA DOMO</v>
      </c>
      <c r="C2183" s="4" t="str">
        <f>IFERROR(__xludf.DUMMYFUNCTION("""COMPUTED_VALUE"""),"Domo color CCD 1/3"" super HAD, Antivandálico, IP66, 600 líneas, 0.2 Lux, zoom 12x (3.94 ~ 46.05mm) + digital 16x, DSP de 5ta. Generación, SSNRIII, MD, control coaxial, HLC, detección de movimiento, WBL, AGC, RS485, OSD, zonas para enmascarar,12/24.")</f>
        <v>Domo color CCD 1/3" super HAD, Antivandálico, IP66, 600 líneas, 0.2 Lux, zoom 12x (3.94 ~ 46.05mm) + digital 16x, DSP de 5ta. Generación, SSNRIII, MD, control coaxial, HLC, detección de movimiento, WBL, AGC, RS485, OSD, zonas para enmascarar,12/24.</v>
      </c>
      <c r="D2183" s="4" t="str">
        <f>IFERROR(__xludf.DUMMYFUNCTION("""COMPUTED_VALUE"""),"SAMSUNG")</f>
        <v>SAMSUNG</v>
      </c>
      <c r="E2183" s="4" t="str">
        <f>IFERROR(__xludf.DUMMYFUNCTION("""COMPUTED_VALUE"""),"SCV2120P")</f>
        <v>SCV2120P</v>
      </c>
      <c r="F2183" s="4" t="str">
        <f>IFERROR(__xludf.DUMMYFUNCTION("""COMPUTED_VALUE"""),"OUTLET &gt; CAMARAS ANALÓGICAS")</f>
        <v>OUTLET &gt; CAMARAS ANALÓGICAS</v>
      </c>
      <c r="G2183" s="5"/>
      <c r="H2183" s="6">
        <f>IFERROR(__xludf.DUMMYFUNCTION("""COMPUTED_VALUE"""),108.9)</f>
        <v>108.9</v>
      </c>
      <c r="I2183" s="7">
        <f>IFERROR(__xludf.DUMMYFUNCTION("""COMPUTED_VALUE"""),21.0)</f>
        <v>21</v>
      </c>
      <c r="J2183" s="6">
        <f>IFERROR(__xludf.DUMMYFUNCTION("""COMPUTED_VALUE"""),130.68)</f>
        <v>130.68</v>
      </c>
      <c r="K2183" s="6">
        <f>IFERROR(__xludf.DUMMYFUNCTION("""COMPUTED_VALUE"""),152.46)</f>
        <v>152.46</v>
      </c>
      <c r="L2183" s="3"/>
      <c r="M2183" s="3"/>
    </row>
    <row r="2184" ht="48.0" customHeight="1">
      <c r="A2184" s="3" t="str">
        <f>IFERROR(__xludf.DUMMYFUNCTION("""COMPUTED_VALUE"""),"SCV2010F")</f>
        <v>SCV2010F</v>
      </c>
      <c r="B2184" s="4" t="str">
        <f>IFERROR(__xludf.DUMMYFUNCTION("""COMPUTED_VALUE"""),"CAMARA DOMO")</f>
        <v>CAMARA DOMO</v>
      </c>
      <c r="C2184" s="4" t="str">
        <f>IFERROR(__xludf.DUMMYFUNCTION("""COMPUTED_VALUE"""),"Domo compacto color CCD 1/3"" super HAD, Antivandálico, IP66, 600 líneas, 0.04 lux, lente incorporado de 3mm, 12V.")</f>
        <v>Domo compacto color CCD 1/3" super HAD, Antivandálico, IP66, 600 líneas, 0.04 lux, lente incorporado de 3mm, 12V.</v>
      </c>
      <c r="D2184" s="4" t="str">
        <f>IFERROR(__xludf.DUMMYFUNCTION("""COMPUTED_VALUE"""),"SAMSUNG")</f>
        <v>SAMSUNG</v>
      </c>
      <c r="E2184" s="4" t="str">
        <f>IFERROR(__xludf.DUMMYFUNCTION("""COMPUTED_VALUE"""),"SCV2010F")</f>
        <v>SCV2010F</v>
      </c>
      <c r="F2184" s="4" t="str">
        <f>IFERROR(__xludf.DUMMYFUNCTION("""COMPUTED_VALUE"""),"OUTLET &gt; CAMARAS ANALÓGICAS")</f>
        <v>OUTLET &gt; CAMARAS ANALÓGICAS</v>
      </c>
      <c r="G2184" s="5"/>
      <c r="H2184" s="6">
        <f>IFERROR(__xludf.DUMMYFUNCTION("""COMPUTED_VALUE"""),108.9)</f>
        <v>108.9</v>
      </c>
      <c r="I2184" s="7">
        <f>IFERROR(__xludf.DUMMYFUNCTION("""COMPUTED_VALUE"""),10.5)</f>
        <v>10.5</v>
      </c>
      <c r="J2184" s="6">
        <f>IFERROR(__xludf.DUMMYFUNCTION("""COMPUTED_VALUE"""),130.68)</f>
        <v>130.68</v>
      </c>
      <c r="K2184" s="6">
        <f>IFERROR(__xludf.DUMMYFUNCTION("""COMPUTED_VALUE"""),152.46)</f>
        <v>152.46</v>
      </c>
      <c r="L2184" s="3"/>
      <c r="M2184" s="3"/>
    </row>
    <row r="2185" ht="48.0" customHeight="1">
      <c r="A2185" s="3" t="str">
        <f>IFERROR(__xludf.DUMMYFUNCTION("""COMPUTED_VALUE"""),"SCP2270P")</f>
        <v>SCP2270P</v>
      </c>
      <c r="B2185" s="4" t="str">
        <f>IFERROR(__xludf.DUMMYFUNCTION("""COMPUTED_VALUE"""),"DOMO DE ALTA VELOCIDAD, CCD 1/4"" SUPER HAD, 600 LÍNEAS, 0")</f>
        <v>DOMO DE ALTA VELOCIDAD, CCD 1/4" SUPER HAD, 600 LÍNEAS, 0</v>
      </c>
      <c r="C2185" s="4" t="str">
        <f>IFERROR(__xludf.DUMMYFUNCTION("""COMPUTED_VALUE"""),"Domo de alta velocidad, CCD 1/4"" Super HAD, 600 líneas, 0.2 Lux color, 0.001 Lux (sensup), DSP de 5ta. Generación, SSNR III, zoom óptico 27X (f3.5~94.5mm), día/noche con ICR, detección de movimiento, WBL, AGC, OSD, zonas para enmascarar, 24 VAC")</f>
        <v>Domo de alta velocidad, CCD 1/4" Super HAD, 600 líneas, 0.2 Lux color, 0.001 Lux (sensup), DSP de 5ta. Generación, SSNR III, zoom óptico 27X (f3.5~94.5mm), día/noche con ICR, detección de movimiento, WBL, AGC, OSD, zonas para enmascarar, 24 VAC</v>
      </c>
      <c r="D2185" s="4" t="str">
        <f>IFERROR(__xludf.DUMMYFUNCTION("""COMPUTED_VALUE"""),"SAMSUNG")</f>
        <v>SAMSUNG</v>
      </c>
      <c r="E2185" s="4" t="str">
        <f>IFERROR(__xludf.DUMMYFUNCTION("""COMPUTED_VALUE"""),"SCP2270P")</f>
        <v>SCP2270P</v>
      </c>
      <c r="F2185" s="4" t="str">
        <f>IFERROR(__xludf.DUMMYFUNCTION("""COMPUTED_VALUE"""),"OUTLET &gt; DOMOS ANALÓGICOS PTZ")</f>
        <v>OUTLET &gt; DOMOS ANALÓGICOS PTZ</v>
      </c>
      <c r="G2185" s="5"/>
      <c r="H2185" s="6">
        <f>IFERROR(__xludf.DUMMYFUNCTION("""COMPUTED_VALUE"""),330.0)</f>
        <v>330</v>
      </c>
      <c r="I2185" s="7">
        <f>IFERROR(__xludf.DUMMYFUNCTION("""COMPUTED_VALUE"""),10.5)</f>
        <v>10.5</v>
      </c>
      <c r="J2185" s="6">
        <f>IFERROR(__xludf.DUMMYFUNCTION("""COMPUTED_VALUE"""),396.0)</f>
        <v>396</v>
      </c>
      <c r="K2185" s="6">
        <f>IFERROR(__xludf.DUMMYFUNCTION("""COMPUTED_VALUE"""),462.0)</f>
        <v>462</v>
      </c>
      <c r="L2185" s="3"/>
      <c r="M2185" s="3"/>
    </row>
    <row r="2186" ht="48.0" customHeight="1">
      <c r="A2186" s="3" t="str">
        <f>IFERROR(__xludf.DUMMYFUNCTION("""COMPUTED_VALUE"""),"SCP3370THP")</f>
        <v>SCP3370THP</v>
      </c>
      <c r="B2186" s="4" t="str">
        <f>IFERROR(__xludf.DUMMYFUNCTION("""COMPUTED_VALUE"""),"DOMO COLOR DE ALTA VELOCIDAD CON AUTOTRACKING (SEGUIMIENTO DE")</f>
        <v>DOMO COLOR DE ALTA VELOCIDAD CON AUTOTRACKING (SEGUIMIENTO DE</v>
      </c>
      <c r="C2186" s="4" t="str">
        <f>IFERROR(__xludf.DUMMYFUNCTION("""COMPUTED_VALUE"""),"Domo color de alta velocidad con Autotracking (seguimiento de persona), WDR (Wide dinamic range de 128x) CCD vertical con doble densidad de color 1/4"" super HAD, 550 líneas, 0.7 Lux color, 0.001 Lux (sens up), día/noche con ICR, DSP de 4ta. Generación, S"&amp;"SNR II,HLC, detección de movimiento, WBL, AGC, OSD, zonas para enmascarar, lente zoom óptico x37 (3.5 a 129.5 mm) + zoom digital x12, 24V.")</f>
        <v>Domo color de alta velocidad con Autotracking (seguimiento de persona), WDR (Wide dinamic range de 128x) CCD vertical con doble densidad de color 1/4" super HAD, 550 líneas, 0.7 Lux color, 0.001 Lux (sens up), día/noche con ICR, DSP de 4ta. Generación, SSNR II,HLC, detección de movimiento, WBL, AGC, OSD, zonas para enmascarar, lente zoom óptico x37 (3.5 a 129.5 mm) + zoom digital x12, 24V.</v>
      </c>
      <c r="D2186" s="4" t="str">
        <f>IFERROR(__xludf.DUMMYFUNCTION("""COMPUTED_VALUE"""),"SAMSUNG")</f>
        <v>SAMSUNG</v>
      </c>
      <c r="E2186" s="4" t="str">
        <f>IFERROR(__xludf.DUMMYFUNCTION("""COMPUTED_VALUE"""),"SCP3370THP")</f>
        <v>SCP3370THP</v>
      </c>
      <c r="F2186" s="4" t="str">
        <f>IFERROR(__xludf.DUMMYFUNCTION("""COMPUTED_VALUE"""),"OUTLET &gt; DOMOS ANALÓGICOS PTZ")</f>
        <v>OUTLET &gt; DOMOS ANALÓGICOS PTZ</v>
      </c>
      <c r="G2186" s="5"/>
      <c r="H2186" s="6">
        <f>IFERROR(__xludf.DUMMYFUNCTION("""COMPUTED_VALUE"""),330.0)</f>
        <v>330</v>
      </c>
      <c r="I2186" s="7">
        <f>IFERROR(__xludf.DUMMYFUNCTION("""COMPUTED_VALUE"""),21.0)</f>
        <v>21</v>
      </c>
      <c r="J2186" s="6">
        <f>IFERROR(__xludf.DUMMYFUNCTION("""COMPUTED_VALUE"""),396.0)</f>
        <v>396</v>
      </c>
      <c r="K2186" s="6">
        <f>IFERROR(__xludf.DUMMYFUNCTION("""COMPUTED_VALUE"""),462.0)</f>
        <v>462</v>
      </c>
      <c r="L2186" s="3"/>
      <c r="M2186" s="3"/>
    </row>
    <row r="2187" ht="48.0" customHeight="1">
      <c r="A2187" s="3" t="str">
        <f>IFERROR(__xludf.DUMMYFUNCTION("""COMPUTED_VALUE"""),"STB370PC")</f>
        <v>STB370PC</v>
      </c>
      <c r="B2187" s="4" t="str">
        <f>IFERROR(__xludf.DUMMYFUNCTION("""COMPUTED_VALUE"""),"SOPORTE PARA MONTAR EN TECHO DOMOS SPD3350/2700/37000/3750")</f>
        <v>SOPORTE PARA MONTAR EN TECHO DOMOS SPD3350/2700/37000/3750</v>
      </c>
      <c r="C2187" s="4" t="str">
        <f>IFERROR(__xludf.DUMMYFUNCTION("""COMPUTED_VALUE"""),"Soporte para montar en techo domos SPD3350/2700/37000/3750")</f>
        <v>Soporte para montar en techo domos SPD3350/2700/37000/3750</v>
      </c>
      <c r="D2187" s="4" t="str">
        <f>IFERROR(__xludf.DUMMYFUNCTION("""COMPUTED_VALUE"""),"SAMSUNG")</f>
        <v>SAMSUNG</v>
      </c>
      <c r="E2187" s="4" t="str">
        <f>IFERROR(__xludf.DUMMYFUNCTION("""COMPUTED_VALUE"""),"STB370PC")</f>
        <v>STB370PC</v>
      </c>
      <c r="F2187" s="4" t="str">
        <f>IFERROR(__xludf.DUMMYFUNCTION("""COMPUTED_VALUE"""),"OUTLET &gt; ACCESORIOS PARA DOMOS PTZ")</f>
        <v>OUTLET &gt; ACCESORIOS PARA DOMOS PTZ</v>
      </c>
      <c r="G2187" s="5"/>
      <c r="H2187" s="6">
        <f>IFERROR(__xludf.DUMMYFUNCTION("""COMPUTED_VALUE"""),55.0)</f>
        <v>55</v>
      </c>
      <c r="I2187" s="7">
        <f>IFERROR(__xludf.DUMMYFUNCTION("""COMPUTED_VALUE"""),21.0)</f>
        <v>21</v>
      </c>
      <c r="J2187" s="6">
        <f>IFERROR(__xludf.DUMMYFUNCTION("""COMPUTED_VALUE"""),66.0)</f>
        <v>66</v>
      </c>
      <c r="K2187" s="6">
        <f>IFERROR(__xludf.DUMMYFUNCTION("""COMPUTED_VALUE"""),77.0)</f>
        <v>77</v>
      </c>
      <c r="L2187" s="3"/>
      <c r="M2187" s="3"/>
    </row>
    <row r="2188" ht="48.0" customHeight="1">
      <c r="A2188" s="3" t="str">
        <f>IFERROR(__xludf.DUMMYFUNCTION("""COMPUTED_VALUE"""),"STH360PO")</f>
        <v>STH360PO</v>
      </c>
      <c r="B2188" s="4" t="str">
        <f>IFERROR(__xludf.DUMMYFUNCTION("""COMPUTED_VALUE"""),"GABINETE ALUMINIO EXTERIOR PARA SPD3750/3700/3350/2700, 253")</f>
        <v>GABINETE ALUMINIO EXTERIOR PARA SPD3750/3700/3350/2700, 253</v>
      </c>
      <c r="C2188" s="4" t="str">
        <f>IFERROR(__xludf.DUMMYFUNCTION("""COMPUTED_VALUE"""),"Gabinete aluminio exterior para SPD3750/3700/3350/2700, 253.49(Ancho)x285.8(Alto)mm IP66")</f>
        <v>Gabinete aluminio exterior para SPD3750/3700/3350/2700, 253.49(Ancho)x285.8(Alto)mm IP66</v>
      </c>
      <c r="D2188" s="4" t="str">
        <f>IFERROR(__xludf.DUMMYFUNCTION("""COMPUTED_VALUE"""),"SAMSUNG")</f>
        <v>SAMSUNG</v>
      </c>
      <c r="E2188" s="4" t="str">
        <f>IFERROR(__xludf.DUMMYFUNCTION("""COMPUTED_VALUE"""),"STH360PO")</f>
        <v>STH360PO</v>
      </c>
      <c r="F2188" s="4" t="str">
        <f>IFERROR(__xludf.DUMMYFUNCTION("""COMPUTED_VALUE"""),"OUTLET &gt; ACCESORIOS PARA DOMOS PTZ")</f>
        <v>OUTLET &gt; ACCESORIOS PARA DOMOS PTZ</v>
      </c>
      <c r="G2188" s="5"/>
      <c r="H2188" s="6">
        <f>IFERROR(__xludf.DUMMYFUNCTION("""COMPUTED_VALUE"""),55.0)</f>
        <v>55</v>
      </c>
      <c r="I2188" s="7">
        <f>IFERROR(__xludf.DUMMYFUNCTION("""COMPUTED_VALUE"""),21.0)</f>
        <v>21</v>
      </c>
      <c r="J2188" s="6">
        <f>IFERROR(__xludf.DUMMYFUNCTION("""COMPUTED_VALUE"""),66.0)</f>
        <v>66</v>
      </c>
      <c r="K2188" s="6">
        <f>IFERROR(__xludf.DUMMYFUNCTION("""COMPUTED_VALUE"""),77.0)</f>
        <v>77</v>
      </c>
      <c r="L2188" s="3"/>
      <c r="M2188" s="3"/>
    </row>
    <row r="2189" ht="48.0" customHeight="1">
      <c r="A2189" s="3" t="str">
        <f>IFERROR(__xludf.DUMMYFUNCTION("""COMPUTED_VALUE"""),"STH1000PO")</f>
        <v>STH1000PO</v>
      </c>
      <c r="B2189" s="4" t="str">
        <f>IFERROR(__xludf.DUMMYFUNCTION("""COMPUTED_VALUE"""),"CARCASA PARA DOMO EXTERIOR SIN CONDENSACIÓN ALUMINIO PARA SPD1000/SNP1")</f>
        <v>CARCASA PARA DOMO EXTERIOR SIN CONDENSACIÓN ALUMINIO PARA SPD1000/SNP1</v>
      </c>
      <c r="C2189" s="4" t="str">
        <f>IFERROR(__xludf.DUMMYFUNCTION("""COMPUTED_VALUE"""),"Carcasa para domo exterior sin condensación Aluminio para SPD1000/SNP1000, 242(Ancho)x284.5(Alto)mm IP66")</f>
        <v>Carcasa para domo exterior sin condensación Aluminio para SPD1000/SNP1000, 242(Ancho)x284.5(Alto)mm IP66</v>
      </c>
      <c r="D2189" s="4" t="str">
        <f>IFERROR(__xludf.DUMMYFUNCTION("""COMPUTED_VALUE"""),"SAMSUNG")</f>
        <v>SAMSUNG</v>
      </c>
      <c r="E2189" s="4" t="str">
        <f>IFERROR(__xludf.DUMMYFUNCTION("""COMPUTED_VALUE"""),"STH1000PO")</f>
        <v>STH1000PO</v>
      </c>
      <c r="F2189" s="4" t="str">
        <f>IFERROR(__xludf.DUMMYFUNCTION("""COMPUTED_VALUE"""),"OUTLET &gt; ACCESORIOS PARA DOMOS PTZ")</f>
        <v>OUTLET &gt; ACCESORIOS PARA DOMOS PTZ</v>
      </c>
      <c r="G2189" s="5"/>
      <c r="H2189" s="6">
        <f>IFERROR(__xludf.DUMMYFUNCTION("""COMPUTED_VALUE"""),55.0)</f>
        <v>55</v>
      </c>
      <c r="I2189" s="7">
        <f>IFERROR(__xludf.DUMMYFUNCTION("""COMPUTED_VALUE"""),21.0)</f>
        <v>21</v>
      </c>
      <c r="J2189" s="6">
        <f>IFERROR(__xludf.DUMMYFUNCTION("""COMPUTED_VALUE"""),66.0)</f>
        <v>66</v>
      </c>
      <c r="K2189" s="6">
        <f>IFERROR(__xludf.DUMMYFUNCTION("""COMPUTED_VALUE"""),77.0)</f>
        <v>77</v>
      </c>
      <c r="L2189" s="3"/>
      <c r="M2189" s="3"/>
    </row>
    <row r="2190" ht="48.0" customHeight="1">
      <c r="A2190" s="3" t="str">
        <f>IFERROR(__xludf.DUMMYFUNCTION("""COMPUTED_VALUE"""),"STB496PPV")</f>
        <v>STB496PPV</v>
      </c>
      <c r="B2190" s="4" t="str">
        <f>IFERROR(__xludf.DUMMYFUNCTION("""COMPUTED_VALUE"""),"MONTAJE TIPO PENDANT PARA DOMOS SPD3300/3000/2300/SNP3300, 150(ANCHO)X")</f>
        <v>MONTAJE TIPO PENDANT PARA DOMOS SPD3300/3000/2300/SNP3300, 150(ANCHO)X</v>
      </c>
      <c r="C2190" s="4" t="str">
        <f>IFERROR(__xludf.DUMMYFUNCTION("""COMPUTED_VALUE"""),"Montaje tipo pendant para domos SPD3300/3000/2300/SNP3300, 150(Ancho)x496(Alto)mm")</f>
        <v>Montaje tipo pendant para domos SPD3300/3000/2300/SNP3300, 150(Ancho)x496(Alto)mm</v>
      </c>
      <c r="D2190" s="4" t="str">
        <f>IFERROR(__xludf.DUMMYFUNCTION("""COMPUTED_VALUE"""),"SAMSUNG")</f>
        <v>SAMSUNG</v>
      </c>
      <c r="E2190" s="4" t="str">
        <f>IFERROR(__xludf.DUMMYFUNCTION("""COMPUTED_VALUE"""),"STB496PPV")</f>
        <v>STB496PPV</v>
      </c>
      <c r="F2190" s="4" t="str">
        <f>IFERROR(__xludf.DUMMYFUNCTION("""COMPUTED_VALUE"""),"OUTLET &gt; ACCESORIOS PARA DOMOS PTZ")</f>
        <v>OUTLET &gt; ACCESORIOS PARA DOMOS PTZ</v>
      </c>
      <c r="G2190" s="5"/>
      <c r="H2190" s="6">
        <f>IFERROR(__xludf.DUMMYFUNCTION("""COMPUTED_VALUE"""),55.0)</f>
        <v>55</v>
      </c>
      <c r="I2190" s="7">
        <f>IFERROR(__xludf.DUMMYFUNCTION("""COMPUTED_VALUE"""),21.0)</f>
        <v>21</v>
      </c>
      <c r="J2190" s="6">
        <f>IFERROR(__xludf.DUMMYFUNCTION("""COMPUTED_VALUE"""),66.0)</f>
        <v>66</v>
      </c>
      <c r="K2190" s="6">
        <f>IFERROR(__xludf.DUMMYFUNCTION("""COMPUTED_VALUE"""),77.0)</f>
        <v>77</v>
      </c>
      <c r="L2190" s="3"/>
      <c r="M2190" s="3"/>
    </row>
    <row r="2191" ht="48.0" customHeight="1">
      <c r="A2191" s="3" t="str">
        <f>IFERROR(__xludf.DUMMYFUNCTION("""COMPUTED_VALUE"""),"STB25PF")</f>
        <v>STB25PF</v>
      </c>
      <c r="B2191" s="4" t="str">
        <f>IFERROR(__xludf.DUMMYFUNCTION("""COMPUTED_VALUE"""),"ACOPLE PARA MONTAJE DE DOMOS DE INTERIOR PARA SPD3350/2700/37000/3750")</f>
        <v>ACOPLE PARA MONTAJE DE DOMOS DE INTERIOR PARA SPD3350/2700/37000/3750</v>
      </c>
      <c r="C2191" s="4" t="str">
        <f>IFERROR(__xludf.DUMMYFUNCTION("""COMPUTED_VALUE"""),"Acople para montaje de domos de interior para SPD3350/2700/37000/3750.")</f>
        <v>Acople para montaje de domos de interior para SPD3350/2700/37000/3750.</v>
      </c>
      <c r="D2191" s="4" t="str">
        <f>IFERROR(__xludf.DUMMYFUNCTION("""COMPUTED_VALUE"""),"SAMSUNG")</f>
        <v>SAMSUNG</v>
      </c>
      <c r="E2191" s="4" t="str">
        <f>IFERROR(__xludf.DUMMYFUNCTION("""COMPUTED_VALUE"""),"STB25PF")</f>
        <v>STB25PF</v>
      </c>
      <c r="F2191" s="4" t="str">
        <f>IFERROR(__xludf.DUMMYFUNCTION("""COMPUTED_VALUE"""),"OUTLET &gt; ACCESORIOS PARA DOMOS PTZ")</f>
        <v>OUTLET &gt; ACCESORIOS PARA DOMOS PTZ</v>
      </c>
      <c r="G2191" s="5"/>
      <c r="H2191" s="6">
        <f>IFERROR(__xludf.DUMMYFUNCTION("""COMPUTED_VALUE"""),38.5)</f>
        <v>38.5</v>
      </c>
      <c r="I2191" s="7">
        <f>IFERROR(__xludf.DUMMYFUNCTION("""COMPUTED_VALUE"""),21.0)</f>
        <v>21</v>
      </c>
      <c r="J2191" s="6">
        <f>IFERROR(__xludf.DUMMYFUNCTION("""COMPUTED_VALUE"""),46.2)</f>
        <v>46.2</v>
      </c>
      <c r="K2191" s="6">
        <f>IFERROR(__xludf.DUMMYFUNCTION("""COMPUTED_VALUE"""),53.9)</f>
        <v>53.9</v>
      </c>
      <c r="L2191" s="3"/>
      <c r="M2191" s="3"/>
    </row>
    <row r="2192" ht="48.0" customHeight="1">
      <c r="A2192" s="3" t="str">
        <f>IFERROR(__xludf.DUMMYFUNCTION("""COMPUTED_VALUE"""),"STB30PF")</f>
        <v>STB30PF</v>
      </c>
      <c r="B2192" s="4" t="str">
        <f>IFERROR(__xludf.DUMMYFUNCTION("""COMPUTED_VALUE"""),"ACOPLE PARA ACCESORIO DE MONTAJE STB496PPV DE TECHO")</f>
        <v>ACOPLE PARA ACCESORIO DE MONTAJE STB496PPV DE TECHO</v>
      </c>
      <c r="C2192" s="4" t="str">
        <f>IFERROR(__xludf.DUMMYFUNCTION("""COMPUTED_VALUE"""),"Acople para accesorio de montaje STB496PPV de techo")</f>
        <v>Acople para accesorio de montaje STB496PPV de techo</v>
      </c>
      <c r="D2192" s="4" t="str">
        <f>IFERROR(__xludf.DUMMYFUNCTION("""COMPUTED_VALUE"""),"SAMSUNG")</f>
        <v>SAMSUNG</v>
      </c>
      <c r="E2192" s="4" t="str">
        <f>IFERROR(__xludf.DUMMYFUNCTION("""COMPUTED_VALUE"""),"STB30PF")</f>
        <v>STB30PF</v>
      </c>
      <c r="F2192" s="4" t="str">
        <f>IFERROR(__xludf.DUMMYFUNCTION("""COMPUTED_VALUE"""),"OUTLET &gt; ACCESORIOS PARA DOMOS PTZ")</f>
        <v>OUTLET &gt; ACCESORIOS PARA DOMOS PTZ</v>
      </c>
      <c r="G2192" s="5"/>
      <c r="H2192" s="6">
        <f>IFERROR(__xludf.DUMMYFUNCTION("""COMPUTED_VALUE"""),38.5)</f>
        <v>38.5</v>
      </c>
      <c r="I2192" s="7">
        <f>IFERROR(__xludf.DUMMYFUNCTION("""COMPUTED_VALUE"""),21.0)</f>
        <v>21</v>
      </c>
      <c r="J2192" s="6">
        <f>IFERROR(__xludf.DUMMYFUNCTION("""COMPUTED_VALUE"""),46.2)</f>
        <v>46.2</v>
      </c>
      <c r="K2192" s="6">
        <f>IFERROR(__xludf.DUMMYFUNCTION("""COMPUTED_VALUE"""),53.9)</f>
        <v>53.9</v>
      </c>
      <c r="L2192" s="3"/>
      <c r="M2192" s="3"/>
    </row>
    <row r="2193" ht="48.0" customHeight="1">
      <c r="A2193" s="3" t="str">
        <f>IFERROR(__xludf.DUMMYFUNCTION("""COMPUTED_VALUE"""),"STB230PW")</f>
        <v>STB230PW</v>
      </c>
      <c r="B2193" s="4" t="str">
        <f>IFERROR(__xludf.DUMMYFUNCTION("""COMPUTED_VALUE"""),"MONTAJE EN PARED PARA DOMOS SPD1000/SNP1000, 12G ALUMINIO, 175")</f>
        <v>MONTAJE EN PARED PARA DOMOS SPD1000/SNP1000, 12G ALUMINIO, 175</v>
      </c>
      <c r="C2193" s="4" t="str">
        <f>IFERROR(__xludf.DUMMYFUNCTION("""COMPUTED_VALUE"""),"Montaje en pared para domos SPD1000/SNP1000, 12g Aluminio, 175.4(Ancho)x214(Alto)x247.2(Profundidad)mm")</f>
        <v>Montaje en pared para domos SPD1000/SNP1000, 12g Aluminio, 175.4(Ancho)x214(Alto)x247.2(Profundidad)mm</v>
      </c>
      <c r="D2193" s="4" t="str">
        <f>IFERROR(__xludf.DUMMYFUNCTION("""COMPUTED_VALUE"""),"SAMSUNG")</f>
        <v>SAMSUNG</v>
      </c>
      <c r="E2193" s="4" t="str">
        <f>IFERROR(__xludf.DUMMYFUNCTION("""COMPUTED_VALUE"""),"STB230PW")</f>
        <v>STB230PW</v>
      </c>
      <c r="F2193" s="4" t="str">
        <f>IFERROR(__xludf.DUMMYFUNCTION("""COMPUTED_VALUE"""),"OUTLET &gt; ACCESORIOS PARA DOMOS PTZ")</f>
        <v>OUTLET &gt; ACCESORIOS PARA DOMOS PTZ</v>
      </c>
      <c r="G2193" s="5"/>
      <c r="H2193" s="6">
        <f>IFERROR(__xludf.DUMMYFUNCTION("""COMPUTED_VALUE"""),55.0)</f>
        <v>55</v>
      </c>
      <c r="I2193" s="7">
        <f>IFERROR(__xludf.DUMMYFUNCTION("""COMPUTED_VALUE"""),21.0)</f>
        <v>21</v>
      </c>
      <c r="J2193" s="6">
        <f>IFERROR(__xludf.DUMMYFUNCTION("""COMPUTED_VALUE"""),66.0)</f>
        <v>66</v>
      </c>
      <c r="K2193" s="6">
        <f>IFERROR(__xludf.DUMMYFUNCTION("""COMPUTED_VALUE"""),77.0)</f>
        <v>77</v>
      </c>
      <c r="L2193" s="3"/>
      <c r="M2193" s="3"/>
    </row>
    <row r="2194" ht="48.0" customHeight="1">
      <c r="A2194" s="3" t="str">
        <f>IFERROR(__xludf.DUMMYFUNCTION("""COMPUTED_VALUE"""),"STB340PCM")</f>
        <v>STB340PCM</v>
      </c>
      <c r="B2194" s="4" t="str">
        <f>IFERROR(__xludf.DUMMYFUNCTION("""COMPUTED_VALUE"""),"ADAPTADOR DE MONTAJE PARA ESQUINA EXTERNA PARA DOMOS STB270PWV")</f>
        <v>ADAPTADOR DE MONTAJE PARA ESQUINA EXTERNA PARA DOMOS STB270PWV</v>
      </c>
      <c r="C2194" s="4" t="str">
        <f>IFERROR(__xludf.DUMMYFUNCTION("""COMPUTED_VALUE"""),"Adaptador de montaje para esquina externa para domos STB270PWV y STB300PW")</f>
        <v>Adaptador de montaje para esquina externa para domos STB270PWV y STB300PW</v>
      </c>
      <c r="D2194" s="4" t="str">
        <f>IFERROR(__xludf.DUMMYFUNCTION("""COMPUTED_VALUE"""),"SAMSUNG")</f>
        <v>SAMSUNG</v>
      </c>
      <c r="E2194" s="4" t="str">
        <f>IFERROR(__xludf.DUMMYFUNCTION("""COMPUTED_VALUE"""),"STB340PCM")</f>
        <v>STB340PCM</v>
      </c>
      <c r="F2194" s="4" t="str">
        <f>IFERROR(__xludf.DUMMYFUNCTION("""COMPUTED_VALUE"""),"OUTLET &gt; ACCESORIOS PARA DOMOS PTZ")</f>
        <v>OUTLET &gt; ACCESORIOS PARA DOMOS PTZ</v>
      </c>
      <c r="G2194" s="5"/>
      <c r="H2194" s="6">
        <f>IFERROR(__xludf.DUMMYFUNCTION("""COMPUTED_VALUE"""),55.0)</f>
        <v>55</v>
      </c>
      <c r="I2194" s="7">
        <f>IFERROR(__xludf.DUMMYFUNCTION("""COMPUTED_VALUE"""),21.0)</f>
        <v>21</v>
      </c>
      <c r="J2194" s="6">
        <f>IFERROR(__xludf.DUMMYFUNCTION("""COMPUTED_VALUE"""),66.0)</f>
        <v>66</v>
      </c>
      <c r="K2194" s="6">
        <f>IFERROR(__xludf.DUMMYFUNCTION("""COMPUTED_VALUE"""),77.0)</f>
        <v>77</v>
      </c>
      <c r="L2194" s="3"/>
      <c r="M2194" s="3"/>
    </row>
    <row r="2195" ht="48.0" customHeight="1">
      <c r="A2195" s="3" t="str">
        <f>IFERROR(__xludf.DUMMYFUNCTION("""COMPUTED_VALUE"""),"SCX300CM")</f>
        <v>SCX300CM</v>
      </c>
      <c r="B2195" s="4" t="str">
        <f>IFERROR(__xludf.DUMMYFUNCTION("""COMPUTED_VALUE"""),"ACCESORIO DE MONTAJE PARA COLGAR DE ALUMINIO COLOR BEIGE")</f>
        <v>ACCESORIO DE MONTAJE PARA COLGAR DE ALUMINIO COLOR BEIGE</v>
      </c>
      <c r="C2195" s="4" t="str">
        <f>IFERROR(__xludf.DUMMYFUNCTION("""COMPUTED_VALUE"""),"Accesorio de montaje para colgar de aluminio color beige. Rosca hembra 1 1/2"", largo 12"". Para domos SCP2430")</f>
        <v>Accesorio de montaje para colgar de aluminio color beige. Rosca hembra 1 1/2", largo 12". Para domos SCP2430</v>
      </c>
      <c r="D2195" s="4" t="str">
        <f>IFERROR(__xludf.DUMMYFUNCTION("""COMPUTED_VALUE"""),"SAMSUNG")</f>
        <v>SAMSUNG</v>
      </c>
      <c r="E2195" s="4" t="str">
        <f>IFERROR(__xludf.DUMMYFUNCTION("""COMPUTED_VALUE"""),"SCX300CM")</f>
        <v>SCX300CM</v>
      </c>
      <c r="F2195" s="4" t="str">
        <f>IFERROR(__xludf.DUMMYFUNCTION("""COMPUTED_VALUE"""),"OUTLET &gt; ACCESORIOS PARA DOMOS PTZ")</f>
        <v>OUTLET &gt; ACCESORIOS PARA DOMOS PTZ</v>
      </c>
      <c r="G2195" s="5"/>
      <c r="H2195" s="6">
        <f>IFERROR(__xludf.DUMMYFUNCTION("""COMPUTED_VALUE"""),55.0)</f>
        <v>55</v>
      </c>
      <c r="I2195" s="7">
        <f>IFERROR(__xludf.DUMMYFUNCTION("""COMPUTED_VALUE"""),21.0)</f>
        <v>21</v>
      </c>
      <c r="J2195" s="6">
        <f>IFERROR(__xludf.DUMMYFUNCTION("""COMPUTED_VALUE"""),66.0)</f>
        <v>66</v>
      </c>
      <c r="K2195" s="6">
        <f>IFERROR(__xludf.DUMMYFUNCTION("""COMPUTED_VALUE"""),77.0)</f>
        <v>77</v>
      </c>
      <c r="L2195" s="3"/>
      <c r="M2195" s="3"/>
    </row>
    <row r="2196" ht="48.0" customHeight="1">
      <c r="A2196" s="3" t="str">
        <f>IFERROR(__xludf.DUMMYFUNCTION("""COMPUTED_VALUE"""),"SCX300HM")</f>
        <v>SCX300HM</v>
      </c>
      <c r="B2196" s="4" t="str">
        <f>IFERROR(__xludf.DUMMYFUNCTION("""COMPUTED_VALUE"""),"ACOPLE PARA MONTAJE DE DOMOS TIPO PLATO ALUMINIO BEIGE")</f>
        <v>ACOPLE PARA MONTAJE DE DOMOS TIPO PLATO ALUMINIO BEIGE</v>
      </c>
      <c r="C2196" s="4" t="str">
        <f>IFERROR(__xludf.DUMMYFUNCTION("""COMPUTED_VALUE"""),"Acople para montaje de domos tipo plato aluminio beige. Rosca macho 1 1/2"". Para domos SCP2430")</f>
        <v>Acople para montaje de domos tipo plato aluminio beige. Rosca macho 1 1/2". Para domos SCP2430</v>
      </c>
      <c r="D2196" s="4" t="str">
        <f>IFERROR(__xludf.DUMMYFUNCTION("""COMPUTED_VALUE"""),"SAMSUNG")</f>
        <v>SAMSUNG</v>
      </c>
      <c r="E2196" s="4" t="str">
        <f>IFERROR(__xludf.DUMMYFUNCTION("""COMPUTED_VALUE"""),"SCX300HM")</f>
        <v>SCX300HM</v>
      </c>
      <c r="F2196" s="4" t="str">
        <f>IFERROR(__xludf.DUMMYFUNCTION("""COMPUTED_VALUE"""),"OUTLET &gt; ACCESORIOS PARA DOMOS PTZ")</f>
        <v>OUTLET &gt; ACCESORIOS PARA DOMOS PTZ</v>
      </c>
      <c r="G2196" s="5"/>
      <c r="H2196" s="6">
        <f>IFERROR(__xludf.DUMMYFUNCTION("""COMPUTED_VALUE"""),22.0)</f>
        <v>22</v>
      </c>
      <c r="I2196" s="7">
        <f>IFERROR(__xludf.DUMMYFUNCTION("""COMPUTED_VALUE"""),21.0)</f>
        <v>21</v>
      </c>
      <c r="J2196" s="6">
        <f>IFERROR(__xludf.DUMMYFUNCTION("""COMPUTED_VALUE"""),26.4)</f>
        <v>26.4</v>
      </c>
      <c r="K2196" s="6">
        <f>IFERROR(__xludf.DUMMYFUNCTION("""COMPUTED_VALUE"""),30.8)</f>
        <v>30.8</v>
      </c>
      <c r="L2196" s="3"/>
      <c r="M2196" s="3"/>
    </row>
    <row r="2197" ht="48.0" customHeight="1">
      <c r="A2197" s="3" t="str">
        <f>IFERROR(__xludf.DUMMYFUNCTION("""COMPUTED_VALUE"""),"SHT5088ML")</f>
        <v>SHT5088ML</v>
      </c>
      <c r="B2197" s="4" t="str">
        <f>IFERROR(__xludf.DUMMYFUNCTION("""COMPUTED_VALUE"""),"CÁMARA COLOR MULTIBOTONES GABINETE DE ALUMINIO, CCD, 8 BOTONES,")</f>
        <v>CÁMARA COLOR MULTIBOTONES GABINETE DE ALUMINIO, CCD, 8 BOTONES,</v>
      </c>
      <c r="C2197" s="4" t="str">
        <f>IFERROR(__xludf.DUMMYFUNCTION("""COMPUTED_VALUE"""),"Cámara color multibotones gabinete de aluminio, CCD, 8 botones, LED's IR.")</f>
        <v>Cámara color multibotones gabinete de aluminio, CCD, 8 botones, LED's IR.</v>
      </c>
      <c r="D2197" s="4" t="str">
        <f>IFERROR(__xludf.DUMMYFUNCTION("""COMPUTED_VALUE"""),"SAMSUNG")</f>
        <v>SAMSUNG</v>
      </c>
      <c r="E2197" s="4" t="str">
        <f>IFERROR(__xludf.DUMMYFUNCTION("""COMPUTED_VALUE"""),"SHT5088ML")</f>
        <v>SHT5088ML</v>
      </c>
      <c r="F2197" s="4" t="str">
        <f>IFERROR(__xludf.DUMMYFUNCTION("""COMPUTED_VALUE"""),"OUTLET &gt; PORTEROS CON VISOR")</f>
        <v>OUTLET &gt; PORTEROS CON VISOR</v>
      </c>
      <c r="G2197" s="5"/>
      <c r="H2197" s="6">
        <f>IFERROR(__xludf.DUMMYFUNCTION("""COMPUTED_VALUE"""),165.0)</f>
        <v>165</v>
      </c>
      <c r="I2197" s="7">
        <f>IFERROR(__xludf.DUMMYFUNCTION("""COMPUTED_VALUE"""),21.0)</f>
        <v>21</v>
      </c>
      <c r="J2197" s="6">
        <f>IFERROR(__xludf.DUMMYFUNCTION("""COMPUTED_VALUE"""),198.0)</f>
        <v>198</v>
      </c>
      <c r="K2197" s="6">
        <f>IFERROR(__xludf.DUMMYFUNCTION("""COMPUTED_VALUE"""),231.0)</f>
        <v>231</v>
      </c>
      <c r="L2197" s="3"/>
      <c r="M2197" s="3"/>
    </row>
    <row r="2198" ht="48.0" customHeight="1">
      <c r="A2198" s="3" t="str">
        <f>IFERROR(__xludf.DUMMYFUNCTION("""COMPUTED_VALUE"""),"SHTIPE101")</f>
        <v>SHTIPE101</v>
      </c>
      <c r="B2198" s="4" t="str">
        <f>IFERROR(__xludf.DUMMYFUNCTION("""COMPUTED_VALUE"""),"TELÉFONO INTERCOMUNICADOR ADICIONAL")</f>
        <v>TELÉFONO INTERCOMUNICADOR ADICIONAL</v>
      </c>
      <c r="C2198" s="4" t="str">
        <f>IFERROR(__xludf.DUMMYFUNCTION("""COMPUTED_VALUE"""),"Teléfono intercomunicador adicional.")</f>
        <v>Teléfono intercomunicador adicional.</v>
      </c>
      <c r="D2198" s="4" t="str">
        <f>IFERROR(__xludf.DUMMYFUNCTION("""COMPUTED_VALUE"""),"SAMSUNG")</f>
        <v>SAMSUNG</v>
      </c>
      <c r="E2198" s="4" t="str">
        <f>IFERROR(__xludf.DUMMYFUNCTION("""COMPUTED_VALUE"""),"SHTIPE101")</f>
        <v>SHTIPE101</v>
      </c>
      <c r="F2198" s="4" t="str">
        <f>IFERROR(__xludf.DUMMYFUNCTION("""COMPUTED_VALUE"""),"OUTLET &gt; PORTEROS CON VISOR")</f>
        <v>OUTLET &gt; PORTEROS CON VISOR</v>
      </c>
      <c r="G2198" s="5"/>
      <c r="H2198" s="6">
        <f>IFERROR(__xludf.DUMMYFUNCTION("""COMPUTED_VALUE"""),40.7)</f>
        <v>40.7</v>
      </c>
      <c r="I2198" s="7">
        <f>IFERROR(__xludf.DUMMYFUNCTION("""COMPUTED_VALUE"""),21.0)</f>
        <v>21</v>
      </c>
      <c r="J2198" s="6">
        <f>IFERROR(__xludf.DUMMYFUNCTION("""COMPUTED_VALUE"""),48.84)</f>
        <v>48.84</v>
      </c>
      <c r="K2198" s="6">
        <f>IFERROR(__xludf.DUMMYFUNCTION("""COMPUTED_VALUE"""),56.98)</f>
        <v>56.98</v>
      </c>
      <c r="L2198" s="3"/>
      <c r="M2198" s="3"/>
    </row>
    <row r="2199" ht="48.0" customHeight="1">
      <c r="A2199" s="3" t="str">
        <f>IFERROR(__xludf.DUMMYFUNCTION("""COMPUTED_VALUE"""),"SHT3006BM")</f>
        <v>SHT3006BM</v>
      </c>
      <c r="B2199" s="4" t="str">
        <f>IFERROR(__xludf.DUMMYFUNCTION("""COMPUTED_VALUE"""),"MONITOR 6"" COLOR PARA EQUIPOS GRANDES")</f>
        <v>MONITOR 6" COLOR PARA EQUIPOS GRANDES</v>
      </c>
      <c r="C2199" s="4" t="str">
        <f>IFERROR(__xludf.DUMMYFUNCTION("""COMPUTED_VALUE"""),"Monitor 6"" COLOR PARA EQUIPOS GRANDES")</f>
        <v>Monitor 6" COLOR PARA EQUIPOS GRANDES</v>
      </c>
      <c r="D2199" s="4" t="str">
        <f>IFERROR(__xludf.DUMMYFUNCTION("""COMPUTED_VALUE"""),"SAMSUNG")</f>
        <v>SAMSUNG</v>
      </c>
      <c r="E2199" s="4" t="str">
        <f>IFERROR(__xludf.DUMMYFUNCTION("""COMPUTED_VALUE"""),"SHT3006BM")</f>
        <v>SHT3006BM</v>
      </c>
      <c r="F2199" s="4" t="str">
        <f>IFERROR(__xludf.DUMMYFUNCTION("""COMPUTED_VALUE"""),"OUTLET &gt; PORTEROS CON VISOR")</f>
        <v>OUTLET &gt; PORTEROS CON VISOR</v>
      </c>
      <c r="G2199" s="5"/>
      <c r="H2199" s="6">
        <f>IFERROR(__xludf.DUMMYFUNCTION("""COMPUTED_VALUE"""),313.5)</f>
        <v>313.5</v>
      </c>
      <c r="I2199" s="7">
        <f>IFERROR(__xludf.DUMMYFUNCTION("""COMPUTED_VALUE"""),21.0)</f>
        <v>21</v>
      </c>
      <c r="J2199" s="6">
        <f>IFERROR(__xludf.DUMMYFUNCTION("""COMPUTED_VALUE"""),376.2)</f>
        <v>376.2</v>
      </c>
      <c r="K2199" s="6">
        <f>IFERROR(__xludf.DUMMYFUNCTION("""COMPUTED_VALUE"""),438.9)</f>
        <v>438.9</v>
      </c>
      <c r="L2199" s="3"/>
      <c r="M2199" s="3"/>
    </row>
    <row r="2200" ht="48.0" customHeight="1">
      <c r="A2200" s="3" t="str">
        <f>IFERROR(__xludf.DUMMYFUNCTION("""COMPUTED_VALUE"""),"SHTZFT04")</f>
        <v>SHTZFT04</v>
      </c>
      <c r="B2200" s="4" t="str">
        <f>IFERROR(__xludf.DUMMYFUNCTION("""COMPUTED_VALUE"""),"CABLE DISTRIBUIDOR (4 CANALES)")</f>
        <v>CABLE DISTRIBUIDOR (4 CANALES)</v>
      </c>
      <c r="C2200" s="4" t="str">
        <f>IFERROR(__xludf.DUMMYFUNCTION("""COMPUTED_VALUE"""),"Cable distribuidor (4 canales)")</f>
        <v>Cable distribuidor (4 canales)</v>
      </c>
      <c r="D2200" s="4" t="str">
        <f>IFERROR(__xludf.DUMMYFUNCTION("""COMPUTED_VALUE"""),"SAMSUNG")</f>
        <v>SAMSUNG</v>
      </c>
      <c r="E2200" s="4" t="str">
        <f>IFERROR(__xludf.DUMMYFUNCTION("""COMPUTED_VALUE"""),"SHTZFT04")</f>
        <v>SHTZFT04</v>
      </c>
      <c r="F2200" s="4" t="str">
        <f>IFERROR(__xludf.DUMMYFUNCTION("""COMPUTED_VALUE"""),"OUTLET &gt; PORTEROS CON VISOR")</f>
        <v>OUTLET &gt; PORTEROS CON VISOR</v>
      </c>
      <c r="G2200" s="5"/>
      <c r="H2200" s="6">
        <f>IFERROR(__xludf.DUMMYFUNCTION("""COMPUTED_VALUE"""),72.6)</f>
        <v>72.6</v>
      </c>
      <c r="I2200" s="7">
        <f>IFERROR(__xludf.DUMMYFUNCTION("""COMPUTED_VALUE"""),21.0)</f>
        <v>21</v>
      </c>
      <c r="J2200" s="6">
        <f>IFERROR(__xludf.DUMMYFUNCTION("""COMPUTED_VALUE"""),87.12)</f>
        <v>87.12</v>
      </c>
      <c r="K2200" s="6">
        <f>IFERROR(__xludf.DUMMYFUNCTION("""COMPUTED_VALUE"""),101.64)</f>
        <v>101.64</v>
      </c>
      <c r="L2200" s="3"/>
      <c r="M2200" s="3"/>
    </row>
    <row r="2201" ht="48.0" customHeight="1">
      <c r="A2201" s="3" t="str">
        <f>IFERROR(__xludf.DUMMYFUNCTION("""COMPUTED_VALUE"""),"SHT5012PT")</f>
        <v>SHT5012PT</v>
      </c>
      <c r="B2201" s="4" t="str">
        <f>IFERROR(__xludf.DUMMYFUNCTION("""COMPUTED_VALUE"""),"PANEL DE EXTENSIÓN DE 12 BOTONES")</f>
        <v>PANEL DE EXTENSIÓN DE 12 BOTONES</v>
      </c>
      <c r="C2201" s="4" t="str">
        <f>IFERROR(__xludf.DUMMYFUNCTION("""COMPUTED_VALUE"""),"Panel de extensión de 12 botones. Cobertura de aluminio (sin cámara)")</f>
        <v>Panel de extensión de 12 botones. Cobertura de aluminio (sin cámara)</v>
      </c>
      <c r="D2201" s="4" t="str">
        <f>IFERROR(__xludf.DUMMYFUNCTION("""COMPUTED_VALUE"""),"SAMSUNG")</f>
        <v>SAMSUNG</v>
      </c>
      <c r="E2201" s="4" t="str">
        <f>IFERROR(__xludf.DUMMYFUNCTION("""COMPUTED_VALUE"""),"SHT5012PT")</f>
        <v>SHT5012PT</v>
      </c>
      <c r="F2201" s="4" t="str">
        <f>IFERROR(__xludf.DUMMYFUNCTION("""COMPUTED_VALUE"""),"OUTLET &gt; PORTEROS CON VISOR")</f>
        <v>OUTLET &gt; PORTEROS CON VISOR</v>
      </c>
      <c r="G2201" s="5"/>
      <c r="H2201" s="6">
        <f>IFERROR(__xludf.DUMMYFUNCTION("""COMPUTED_VALUE"""),112.2)</f>
        <v>112.2</v>
      </c>
      <c r="I2201" s="7">
        <f>IFERROR(__xludf.DUMMYFUNCTION("""COMPUTED_VALUE"""),10.5)</f>
        <v>10.5</v>
      </c>
      <c r="J2201" s="6">
        <f>IFERROR(__xludf.DUMMYFUNCTION("""COMPUTED_VALUE"""),134.64)</f>
        <v>134.64</v>
      </c>
      <c r="K2201" s="6">
        <f>IFERROR(__xludf.DUMMYFUNCTION("""COMPUTED_VALUE"""),157.08)</f>
        <v>157.08</v>
      </c>
      <c r="L2201" s="3"/>
      <c r="M2201" s="3"/>
    </row>
    <row r="2202" ht="48.0" customHeight="1">
      <c r="A2202" s="3" t="str">
        <f>IFERROR(__xludf.DUMMYFUNCTION("""COMPUTED_VALUE"""),"SHT5024PT")</f>
        <v>SHT5024PT</v>
      </c>
      <c r="B2202" s="4" t="str">
        <f>IFERROR(__xludf.DUMMYFUNCTION("""COMPUTED_VALUE"""),"PANEL DE EXTENSIÓN DE 24 BOTONES")</f>
        <v>PANEL DE EXTENSIÓN DE 24 BOTONES</v>
      </c>
      <c r="C2202" s="4" t="str">
        <f>IFERROR(__xludf.DUMMYFUNCTION("""COMPUTED_VALUE"""),"Panel de extensión de 24 botones. Cobertura de aluminio (sin cámara)")</f>
        <v>Panel de extensión de 24 botones. Cobertura de aluminio (sin cámara)</v>
      </c>
      <c r="D2202" s="4" t="str">
        <f>IFERROR(__xludf.DUMMYFUNCTION("""COMPUTED_VALUE"""),"SAMSUNG")</f>
        <v>SAMSUNG</v>
      </c>
      <c r="E2202" s="4" t="str">
        <f>IFERROR(__xludf.DUMMYFUNCTION("""COMPUTED_VALUE"""),"SHT5024PT")</f>
        <v>SHT5024PT</v>
      </c>
      <c r="F2202" s="4" t="str">
        <f>IFERROR(__xludf.DUMMYFUNCTION("""COMPUTED_VALUE"""),"OUTLET &gt; PORTEROS CON VISOR")</f>
        <v>OUTLET &gt; PORTEROS CON VISOR</v>
      </c>
      <c r="G2202" s="5"/>
      <c r="H2202" s="6">
        <f>IFERROR(__xludf.DUMMYFUNCTION("""COMPUTED_VALUE"""),150.7)</f>
        <v>150.7</v>
      </c>
      <c r="I2202" s="7">
        <f>IFERROR(__xludf.DUMMYFUNCTION("""COMPUTED_VALUE"""),10.5)</f>
        <v>10.5</v>
      </c>
      <c r="J2202" s="6">
        <f>IFERROR(__xludf.DUMMYFUNCTION("""COMPUTED_VALUE"""),180.84)</f>
        <v>180.84</v>
      </c>
      <c r="K2202" s="6">
        <f>IFERROR(__xludf.DUMMYFUNCTION("""COMPUTED_VALUE"""),210.98)</f>
        <v>210.98</v>
      </c>
      <c r="L2202" s="3"/>
      <c r="M2202" s="3"/>
    </row>
    <row r="2203" ht="48.0" customHeight="1">
      <c r="A2203" s="3" t="str">
        <f>IFERROR(__xludf.DUMMYFUNCTION("""COMPUTED_VALUE"""),"SHT5080XL")</f>
        <v>SHT5080XL</v>
      </c>
      <c r="B2203" s="4" t="str">
        <f>IFERROR(__xludf.DUMMYFUNCTION("""COMPUTED_VALUE"""),"CÁMARA DIGITAL COLOR POR BUS, TECLADO TOUCH, LECTOR DE")</f>
        <v>CÁMARA DIGITAL COLOR POR BUS, TECLADO TOUCH, LECTOR DE</v>
      </c>
      <c r="C2203" s="4" t="str">
        <f>IFERROR(__xludf.DUMMYFUNCTION("""COMPUTED_VALUE"""),"Cámara digital color por BUS, teclado Touch, lector de tarejtas RF, Window Screen, Conectado a la unidad de guardia, compatible con 3006BM")</f>
        <v>Cámara digital color por BUS, teclado Touch, lector de tarejtas RF, Window Screen, Conectado a la unidad de guardia, compatible con 3006BM</v>
      </c>
      <c r="D2203" s="4" t="str">
        <f>IFERROR(__xludf.DUMMYFUNCTION("""COMPUTED_VALUE"""),"SAMSUNG")</f>
        <v>SAMSUNG</v>
      </c>
      <c r="E2203" s="4" t="str">
        <f>IFERROR(__xludf.DUMMYFUNCTION("""COMPUTED_VALUE"""),"SHT5080XL")</f>
        <v>SHT5080XL</v>
      </c>
      <c r="F2203" s="4" t="str">
        <f>IFERROR(__xludf.DUMMYFUNCTION("""COMPUTED_VALUE"""),"OUTLET &gt; PORTEROS CON VISOR")</f>
        <v>OUTLET &gt; PORTEROS CON VISOR</v>
      </c>
      <c r="G2203" s="5"/>
      <c r="H2203" s="6">
        <f>IFERROR(__xludf.DUMMYFUNCTION("""COMPUTED_VALUE"""),715.0)</f>
        <v>715</v>
      </c>
      <c r="I2203" s="7">
        <f>IFERROR(__xludf.DUMMYFUNCTION("""COMPUTED_VALUE"""),21.0)</f>
        <v>21</v>
      </c>
      <c r="J2203" s="6">
        <f>IFERROR(__xludf.DUMMYFUNCTION("""COMPUTED_VALUE"""),858.0)</f>
        <v>858</v>
      </c>
      <c r="K2203" s="6">
        <f>IFERROR(__xludf.DUMMYFUNCTION("""COMPUTED_VALUE"""),1001.0)</f>
        <v>1001</v>
      </c>
      <c r="L2203" s="3"/>
      <c r="M2203" s="3"/>
    </row>
    <row r="2204" ht="48.0" customHeight="1">
      <c r="A2204" s="3" t="str">
        <f>IFERROR(__xludf.DUMMYFUNCTION("""COMPUTED_VALUE"""),"ZVF511E")</f>
        <v>ZVF511E</v>
      </c>
      <c r="B2204" s="4" t="str">
        <f>IFERROR(__xludf.DUMMYFUNCTION("""COMPUTED_VALUE"""),"CÁMARA CMOS 1/4"" DÍA/NOCHE CON ILUMINADOR INFRARROJO DE 10M,")</f>
        <v>CÁMARA CMOS 1/4" DÍA/NOCHE CON ILUMINADOR INFRARROJO DE 10M,</v>
      </c>
      <c r="C2204" s="4" t="str">
        <f>IFERROR(__xludf.DUMMYFUNCTION("""COMPUTED_VALUE"""),"Cámara CMOS 1/4"" Día/noche con iluminador infrarrojo de 10m, compresión MPEG4/MJPEG modo Dual con lente fijo de 4.0mm intercambiable. Audio de dos vías.Incluye soporte y software cliente que permite ver y grabar hasta 16 cámaras en simultáneo. Visualizac"&amp;"ión desde celular 3GPP/ISMA RTSP")</f>
        <v>Cámara CMOS 1/4" Día/noche con iluminador infrarrojo de 10m, compresión MPEG4/MJPEG modo Dual con lente fijo de 4.0mm intercambiable. Audio de dos vías.Incluye soporte y software cliente que permite ver y grabar hasta 16 cámaras en simultáneo. Visualización desde celular 3GPP/ISMA RTSP</v>
      </c>
      <c r="D2204" s="4" t="str">
        <f>IFERROR(__xludf.DUMMYFUNCTION("""COMPUTED_VALUE"""),"ZAVIO")</f>
        <v>ZAVIO</v>
      </c>
      <c r="E2204" s="4" t="str">
        <f>IFERROR(__xludf.DUMMYFUNCTION("""COMPUTED_VALUE"""),"ZVF511E")</f>
        <v>ZVF511E</v>
      </c>
      <c r="F2204" s="4" t="str">
        <f>IFERROR(__xludf.DUMMYFUNCTION("""COMPUTED_VALUE"""),"OUTLET &gt; CÁMARAS IP")</f>
        <v>OUTLET &gt; CÁMARAS IP</v>
      </c>
      <c r="G2204" s="5"/>
      <c r="H2204" s="6">
        <f>IFERROR(__xludf.DUMMYFUNCTION("""COMPUTED_VALUE"""),5.5)</f>
        <v>5.5</v>
      </c>
      <c r="I2204" s="7">
        <f>IFERROR(__xludf.DUMMYFUNCTION("""COMPUTED_VALUE"""),21.0)</f>
        <v>21</v>
      </c>
      <c r="J2204" s="6">
        <f>IFERROR(__xludf.DUMMYFUNCTION("""COMPUTED_VALUE"""),6.6)</f>
        <v>6.6</v>
      </c>
      <c r="K2204" s="6">
        <f>IFERROR(__xludf.DUMMYFUNCTION("""COMPUTED_VALUE"""),7.7)</f>
        <v>7.7</v>
      </c>
      <c r="L2204" s="3"/>
      <c r="M2204" s="3"/>
    </row>
    <row r="2205" ht="48.0" customHeight="1">
      <c r="A2205" s="3" t="str">
        <f>IFERROR(__xludf.DUMMYFUNCTION("""COMPUTED_VALUE"""),"ZVF520E")</f>
        <v>ZVF520E</v>
      </c>
      <c r="B2205" s="4" t="str">
        <f>IFERROR(__xludf.DUMMYFUNCTION("""COMPUTED_VALUE"""),"CÁMARA CMOS 1/4"" DÍA/NOCHE, COMPRESIÓN MPEG4/MJPEG MODO DUAL")</f>
        <v>CÁMARA CMOS 1/4" DÍA/NOCHE, COMPRESIÓN MPEG4/MJPEG MODO DUAL</v>
      </c>
      <c r="C2205" s="4" t="str">
        <f>IFERROR(__xludf.DUMMYFUNCTION("""COMPUTED_VALUE"""),"Cámara CMOS 1/4"" Día/noche, compresión MPEG4/MJPEG modo Dual. Audio de dos vías.Incluye soporte y software cliente que permite ver y grabar hasta 16 cámaras en simultáneo. Visualización desde celular 3GPP/ISMA RTSP")</f>
        <v>Cámara CMOS 1/4" Día/noche, compresión MPEG4/MJPEG modo Dual. Audio de dos vías.Incluye soporte y software cliente que permite ver y grabar hasta 16 cámaras en simultáneo. Visualización desde celular 3GPP/ISMA RTSP</v>
      </c>
      <c r="D2205" s="4" t="str">
        <f>IFERROR(__xludf.DUMMYFUNCTION("""COMPUTED_VALUE"""),"ZAVIO")</f>
        <v>ZAVIO</v>
      </c>
      <c r="E2205" s="4" t="str">
        <f>IFERROR(__xludf.DUMMYFUNCTION("""COMPUTED_VALUE"""),"ZVF520E")</f>
        <v>ZVF520E</v>
      </c>
      <c r="F2205" s="4" t="str">
        <f>IFERROR(__xludf.DUMMYFUNCTION("""COMPUTED_VALUE"""),"OUTLET &gt; CÁMARAS IP")</f>
        <v>OUTLET &gt; CÁMARAS IP</v>
      </c>
      <c r="G2205" s="5"/>
      <c r="H2205" s="6">
        <f>IFERROR(__xludf.DUMMYFUNCTION("""COMPUTED_VALUE"""),5.5)</f>
        <v>5.5</v>
      </c>
      <c r="I2205" s="7">
        <f>IFERROR(__xludf.DUMMYFUNCTION("""COMPUTED_VALUE"""),21.0)</f>
        <v>21</v>
      </c>
      <c r="J2205" s="6">
        <f>IFERROR(__xludf.DUMMYFUNCTION("""COMPUTED_VALUE"""),6.6)</f>
        <v>6.6</v>
      </c>
      <c r="K2205" s="6">
        <f>IFERROR(__xludf.DUMMYFUNCTION("""COMPUTED_VALUE"""),7.7)</f>
        <v>7.7</v>
      </c>
      <c r="L2205" s="3"/>
      <c r="M2205" s="3"/>
    </row>
    <row r="2206" ht="48.0" customHeight="1">
      <c r="A2206" s="3" t="str">
        <f>IFERROR(__xludf.DUMMYFUNCTION("""COMPUTED_VALUE"""),"ZVD610A")</f>
        <v>ZVD610A</v>
      </c>
      <c r="B2206" s="4" t="str">
        <f>IFERROR(__xludf.DUMMYFUNCTION("""COMPUTED_VALUE"""),"DOMO CCD 1/3"" SHARP 420 TVL, COMPRESIÓN MPEG4/M JPEG")</f>
        <v>DOMO CCD 1/3" SHARP 420 TVL, COMPRESIÓN MPEG4/M JPEG</v>
      </c>
      <c r="C2206" s="4" t="str">
        <f>IFERROR(__xludf.DUMMYFUNCTION("""COMPUTED_VALUE"""),"Domo CCD 1/3"" SHARP 420 TVL, compresión MPEG4/M JPEG modo Dual con lente 6 mm. Audio de dos vías, salida de video, incluye software cliente que permite ver y grabar hasta 16 cámaras en simultáneo. Visualización desde celular 2.5 GB /3GPP/ISMA RTSP")</f>
        <v>Domo CCD 1/3" SHARP 420 TVL, compresión MPEG4/M JPEG modo Dual con lente 6 mm. Audio de dos vías, salida de video, incluye software cliente que permite ver y grabar hasta 16 cámaras en simultáneo. Visualización desde celular 2.5 GB /3GPP/ISMA RTSP</v>
      </c>
      <c r="D2206" s="4" t="str">
        <f>IFERROR(__xludf.DUMMYFUNCTION("""COMPUTED_VALUE"""),"ZAVIO")</f>
        <v>ZAVIO</v>
      </c>
      <c r="E2206" s="4" t="str">
        <f>IFERROR(__xludf.DUMMYFUNCTION("""COMPUTED_VALUE"""),"ZVD610A")</f>
        <v>ZVD610A</v>
      </c>
      <c r="F2206" s="4" t="str">
        <f>IFERROR(__xludf.DUMMYFUNCTION("""COMPUTED_VALUE"""),"OUTLET &gt; CÁMARAS IP")</f>
        <v>OUTLET &gt; CÁMARAS IP</v>
      </c>
      <c r="G2206" s="5"/>
      <c r="H2206" s="6">
        <f>IFERROR(__xludf.DUMMYFUNCTION("""COMPUTED_VALUE"""),5.5)</f>
        <v>5.5</v>
      </c>
      <c r="I2206" s="7">
        <f>IFERROR(__xludf.DUMMYFUNCTION("""COMPUTED_VALUE"""),21.0)</f>
        <v>21</v>
      </c>
      <c r="J2206" s="6">
        <f>IFERROR(__xludf.DUMMYFUNCTION("""COMPUTED_VALUE"""),6.6)</f>
        <v>6.6</v>
      </c>
      <c r="K2206" s="6">
        <f>IFERROR(__xludf.DUMMYFUNCTION("""COMPUTED_VALUE"""),7.7)</f>
        <v>7.7</v>
      </c>
      <c r="L2206" s="3"/>
      <c r="M2206" s="3"/>
    </row>
    <row r="2207" ht="48.0" customHeight="1">
      <c r="A2207" s="3" t="str">
        <f>IFERROR(__xludf.DUMMYFUNCTION("""COMPUTED_VALUE"""),"ZVV111T(PoE)")</f>
        <v>ZVV111T(PoE)</v>
      </c>
      <c r="B2207" s="4" t="str">
        <f>IFERROR(__xludf.DUMMYFUNCTION("""COMPUTED_VALUE"""),"SERVIDOR DE VIDEO DE 1 ENTRADA COMPRESIÓN MPEG4/M JPEG MODO DUAL")</f>
        <v>SERVIDOR DE VIDEO DE 1 ENTRADA COMPRESIÓN MPEG4/M JPEG MODO DUAL</v>
      </c>
      <c r="C2207" s="4" t="str">
        <f>IFERROR(__xludf.DUMMYFUNCTION("""COMPUTED_VALUE"""),"Servidor de video de 1 entrada compresión MPEG4/M JPEG modo Dual. Audio 2 vías (full duplex), entrada y salida de alarma, puerto RS485 para manejo de domo externo, incluye software cliente que permite ver y grabar hasta 16 cámaras en simultáneo.. Visualiz"&amp;"ación desde celular 3GPP/ISMA RTSP. Incluye PoE (Power over Ethernet).")</f>
        <v>Servidor de video de 1 entrada compresión MPEG4/M JPEG modo Dual. Audio 2 vías (full duplex), entrada y salida de alarma, puerto RS485 para manejo de domo externo, incluye software cliente que permite ver y grabar hasta 16 cámaras en simultáneo.. Visualización desde celular 3GPP/ISMA RTSP. Incluye PoE (Power over Ethernet).</v>
      </c>
      <c r="D2207" s="4" t="str">
        <f>IFERROR(__xludf.DUMMYFUNCTION("""COMPUTED_VALUE"""),"ZAVIO")</f>
        <v>ZAVIO</v>
      </c>
      <c r="E2207" s="4" t="str">
        <f>IFERROR(__xludf.DUMMYFUNCTION("""COMPUTED_VALUE"""),"ZVV111T(PoE)")</f>
        <v>ZVV111T(PoE)</v>
      </c>
      <c r="F2207" s="4" t="str">
        <f>IFERROR(__xludf.DUMMYFUNCTION("""COMPUTED_VALUE"""),"OUTLET &gt; CÁMARAS IP")</f>
        <v>OUTLET &gt; CÁMARAS IP</v>
      </c>
      <c r="G2207" s="5"/>
      <c r="H2207" s="6">
        <f>IFERROR(__xludf.DUMMYFUNCTION("""COMPUTED_VALUE"""),5.5)</f>
        <v>5.5</v>
      </c>
      <c r="I2207" s="7">
        <f>IFERROR(__xludf.DUMMYFUNCTION("""COMPUTED_VALUE"""),21.0)</f>
        <v>21</v>
      </c>
      <c r="J2207" s="6">
        <f>IFERROR(__xludf.DUMMYFUNCTION("""COMPUTED_VALUE"""),6.6)</f>
        <v>6.6</v>
      </c>
      <c r="K2207" s="6">
        <f>IFERROR(__xludf.DUMMYFUNCTION("""COMPUTED_VALUE"""),7.7)</f>
        <v>7.7</v>
      </c>
      <c r="L2207" s="3"/>
      <c r="M2207" s="3"/>
    </row>
    <row r="2208" ht="48.0" customHeight="1">
      <c r="A2208" s="3" t="str">
        <f>IFERROR(__xludf.DUMMYFUNCTION("""COMPUTED_VALUE"""),"OWIP311")</f>
        <v>OWIP311</v>
      </c>
      <c r="B2208" s="4" t="str">
        <f>IFERROR(__xludf.DUMMYFUNCTION("""COMPUTED_VALUE"""),"CÁMARA CCD SHARP 1/3"", 420 TVL COMPRESIÓN MPEG4")</f>
        <v>CÁMARA CCD SHARP 1/3", 420 TVL COMPRESIÓN MPEG4</v>
      </c>
      <c r="C2208" s="4" t="str">
        <f>IFERROR(__xludf.DUMMYFUNCTION("""COMPUTED_VALUE"""),"Cámara CCD Sharp 1/3"", 420 TVL compresión MPEG4 .Canal de Audio, maneja lente Auto Iris, puerto RS485 para manejo de domo. Software cliente que permite ver y grabar hasta 16 cámaras en simultáneo")</f>
        <v>Cámara CCD Sharp 1/3", 420 TVL compresión MPEG4 .Canal de Audio, maneja lente Auto Iris, puerto RS485 para manejo de domo. Software cliente que permite ver y grabar hasta 16 cámaras en simultáneo</v>
      </c>
      <c r="D2208" s="4" t="str">
        <f>IFERROR(__xludf.DUMMYFUNCTION("""COMPUTED_VALUE"""),"OWL")</f>
        <v>OWL</v>
      </c>
      <c r="E2208" s="4" t="str">
        <f>IFERROR(__xludf.DUMMYFUNCTION("""COMPUTED_VALUE"""),"OWIP311")</f>
        <v>OWIP311</v>
      </c>
      <c r="F2208" s="4" t="str">
        <f>IFERROR(__xludf.DUMMYFUNCTION("""COMPUTED_VALUE"""),"OUTLET &gt; CÁMARAS IP")</f>
        <v>OUTLET &gt; CÁMARAS IP</v>
      </c>
      <c r="G2208" s="5"/>
      <c r="H2208" s="6">
        <f>IFERROR(__xludf.DUMMYFUNCTION("""COMPUTED_VALUE"""),5.5)</f>
        <v>5.5</v>
      </c>
      <c r="I2208" s="7">
        <f>IFERROR(__xludf.DUMMYFUNCTION("""COMPUTED_VALUE"""),21.0)</f>
        <v>21</v>
      </c>
      <c r="J2208" s="6">
        <f>IFERROR(__xludf.DUMMYFUNCTION("""COMPUTED_VALUE"""),6.6)</f>
        <v>6.6</v>
      </c>
      <c r="K2208" s="6">
        <f>IFERROR(__xludf.DUMMYFUNCTION("""COMPUTED_VALUE"""),7.7)</f>
        <v>7.7</v>
      </c>
      <c r="L2208" s="3"/>
      <c r="M2208" s="3"/>
    </row>
    <row r="2209" ht="48.0" customHeight="1">
      <c r="A2209" s="3" t="str">
        <f>IFERROR(__xludf.DUMMYFUNCTION("""COMPUTED_VALUE"""),"OWIWN10")</f>
        <v>OWIWN10</v>
      </c>
      <c r="B2209" s="4" t="str">
        <f>IFERROR(__xludf.DUMMYFUNCTION("""COMPUTED_VALUE"""),"CÁMARA WATHERPROOF CON ILUMINADOR INFRARROJO DE 42 LEDS ALCANCE")</f>
        <v>CÁMARA WATHERPROOF CON ILUMINADOR INFRARROJO DE 42 LEDS ALCANCE</v>
      </c>
      <c r="C2209" s="4" t="str">
        <f>IFERROR(__xludf.DUMMYFUNCTION("""COMPUTED_VALUE"""),"Cámara WATHERPROOF con iluminador Infrarrojo de 42 Leds alcance 50 metros, CCD Sony 1/3"", 420 TVL compresión MPEG4 .Canal de Audio, lente incluído, puerto RS485 para manejo de domo externo. incluye software cliente que permite ver y grabar hasta 16 cámar"&amp;"as en simultáneo. Apta montaje en el exterior IP67")</f>
        <v>Cámara WATHERPROOF con iluminador Infrarrojo de 42 Leds alcance 50 metros, CCD Sony 1/3", 420 TVL compresión MPEG4 .Canal de Audio, lente incluído, puerto RS485 para manejo de domo externo. incluye software cliente que permite ver y grabar hasta 16 cámaras en simultáneo. Apta montaje en el exterior IP67</v>
      </c>
      <c r="D2209" s="4" t="str">
        <f>IFERROR(__xludf.DUMMYFUNCTION("""COMPUTED_VALUE"""),"OWL")</f>
        <v>OWL</v>
      </c>
      <c r="E2209" s="4" t="str">
        <f>IFERROR(__xludf.DUMMYFUNCTION("""COMPUTED_VALUE"""),"OWIWN10")</f>
        <v>OWIWN10</v>
      </c>
      <c r="F2209" s="4" t="str">
        <f>IFERROR(__xludf.DUMMYFUNCTION("""COMPUTED_VALUE"""),"OUTLET &gt; CÁMARAS IP")</f>
        <v>OUTLET &gt; CÁMARAS IP</v>
      </c>
      <c r="G2209" s="5"/>
      <c r="H2209" s="6">
        <f>IFERROR(__xludf.DUMMYFUNCTION("""COMPUTED_VALUE"""),5.5)</f>
        <v>5.5</v>
      </c>
      <c r="I2209" s="7">
        <f>IFERROR(__xludf.DUMMYFUNCTION("""COMPUTED_VALUE"""),10.5)</f>
        <v>10.5</v>
      </c>
      <c r="J2209" s="6">
        <f>IFERROR(__xludf.DUMMYFUNCTION("""COMPUTED_VALUE"""),6.6)</f>
        <v>6.6</v>
      </c>
      <c r="K2209" s="6">
        <f>IFERROR(__xludf.DUMMYFUNCTION("""COMPUTED_VALUE"""),7.7)</f>
        <v>7.7</v>
      </c>
      <c r="L2209" s="3"/>
      <c r="M2209" s="3"/>
    </row>
    <row r="2210" ht="48.0" customHeight="1">
      <c r="A2210" s="3" t="str">
        <f>IFERROR(__xludf.DUMMYFUNCTION("""COMPUTED_VALUE"""),"SND560P")</f>
        <v>SND560P</v>
      </c>
      <c r="B2210" s="4" t="str">
        <f>IFERROR(__xludf.DUMMYFUNCTION("""COMPUTED_VALUE"""),"DOMO IP COLOR CCD1/3"" CON INTERLINEADO VERTICAL DE DOBLE")</f>
        <v>DOMO IP COLOR CCD1/3" CON INTERLINEADO VERTICAL DE DOBLE</v>
      </c>
      <c r="C2210" s="4" t="str">
        <f>IFERROR(__xludf.DUMMYFUNCTION("""COMPUTED_VALUE"""),"Domo IP color CCD1/3"" con interlineado vertical de doble densidad, para interior, 6 tipos de resolución de imagen y calidad de transferencia, 560 líneas, 0.3 Lux color, 0.001 Lux (sens up), día/noche con ICR, DSP de 4ta. Generación, SSNR II,HLC, detecció"&amp;"n de movimiento, WBL, AGC, OSD, zonas para enmascarar, audio bidireccional, lente zoom 3.6x (manual) 2.8 a 10 mmPoE, 12/24.")</f>
        <v>Domo IP color CCD1/3" con interlineado vertical de doble densidad, para interior, 6 tipos de resolución de imagen y calidad de transferencia, 560 líneas, 0.3 Lux color, 0.001 Lux (sens up), día/noche con ICR, DSP de 4ta. Generación, SSNR II,HLC, detección de movimiento, WBL, AGC, OSD, zonas para enmascarar, audio bidireccional, lente zoom 3.6x (manual) 2.8 a 10 mmPoE, 12/24.</v>
      </c>
      <c r="D2210" s="4" t="str">
        <f>IFERROR(__xludf.DUMMYFUNCTION("""COMPUTED_VALUE"""),"SAMSUNG")</f>
        <v>SAMSUNG</v>
      </c>
      <c r="E2210" s="4" t="str">
        <f>IFERROR(__xludf.DUMMYFUNCTION("""COMPUTED_VALUE"""),"SND560P")</f>
        <v>SND560P</v>
      </c>
      <c r="F2210" s="4" t="str">
        <f>IFERROR(__xludf.DUMMYFUNCTION("""COMPUTED_VALUE"""),"OUTLET &gt; CÁMARAS IP")</f>
        <v>OUTLET &gt; CÁMARAS IP</v>
      </c>
      <c r="G2210" s="5"/>
      <c r="H2210" s="6">
        <f>IFERROR(__xludf.DUMMYFUNCTION("""COMPUTED_VALUE"""),11.0)</f>
        <v>11</v>
      </c>
      <c r="I2210" s="7">
        <f>IFERROR(__xludf.DUMMYFUNCTION("""COMPUTED_VALUE"""),21.0)</f>
        <v>21</v>
      </c>
      <c r="J2210" s="6">
        <f>IFERROR(__xludf.DUMMYFUNCTION("""COMPUTED_VALUE"""),13.2)</f>
        <v>13.2</v>
      </c>
      <c r="K2210" s="6">
        <f>IFERROR(__xludf.DUMMYFUNCTION("""COMPUTED_VALUE"""),15.4)</f>
        <v>15.4</v>
      </c>
      <c r="L2210" s="3"/>
      <c r="M2210" s="3"/>
    </row>
    <row r="2211" ht="48.0" customHeight="1">
      <c r="A2211" s="3" t="str">
        <f>IFERROR(__xludf.DUMMYFUNCTION("""COMPUTED_VALUE"""),"SNZ5200P")</f>
        <v>SNZ5200P</v>
      </c>
      <c r="B2211" s="4" t="str">
        <f>IFERROR(__xludf.DUMMYFUNCTION("""COMPUTED_VALUE"""),"CÁMARA IP 1")</f>
        <v>CÁMARA IP 1</v>
      </c>
      <c r="C2211" s="4" t="str">
        <f>IFERROR(__xludf.DUMMYFUNCTION("""COMPUTED_VALUE"""),"Cámara IP 1.3 MegaPixel, memoria SD, PoE, Onvif,zoom óptico incorporado de 20x (4.45~89mm)")</f>
        <v>Cámara IP 1.3 MegaPixel, memoria SD, PoE, Onvif,zoom óptico incorporado de 20x (4.45~89mm)</v>
      </c>
      <c r="D2211" s="4" t="str">
        <f>IFERROR(__xludf.DUMMYFUNCTION("""COMPUTED_VALUE"""),"SAMSUNG")</f>
        <v>SAMSUNG</v>
      </c>
      <c r="E2211" s="4" t="str">
        <f>IFERROR(__xludf.DUMMYFUNCTION("""COMPUTED_VALUE"""),"SNZ5200P")</f>
        <v>SNZ5200P</v>
      </c>
      <c r="F2211" s="4" t="str">
        <f>IFERROR(__xludf.DUMMYFUNCTION("""COMPUTED_VALUE"""),"OUTLET &gt; CÁMARAS IP")</f>
        <v>OUTLET &gt; CÁMARAS IP</v>
      </c>
      <c r="G2211" s="5"/>
      <c r="H2211" s="6">
        <f>IFERROR(__xludf.DUMMYFUNCTION("""COMPUTED_VALUE"""),55.0)</f>
        <v>55</v>
      </c>
      <c r="I2211" s="7">
        <f>IFERROR(__xludf.DUMMYFUNCTION("""COMPUTED_VALUE"""),21.0)</f>
        <v>21</v>
      </c>
      <c r="J2211" s="6">
        <f>IFERROR(__xludf.DUMMYFUNCTION("""COMPUTED_VALUE"""),66.0)</f>
        <v>66</v>
      </c>
      <c r="K2211" s="6">
        <f>IFERROR(__xludf.DUMMYFUNCTION("""COMPUTED_VALUE"""),77.0)</f>
        <v>77</v>
      </c>
      <c r="L2211" s="3"/>
      <c r="M2211" s="3"/>
    </row>
    <row r="2212" ht="48.0" customHeight="1">
      <c r="A2212" s="3" t="str">
        <f>IFERROR(__xludf.DUMMYFUNCTION("""COMPUTED_VALUE"""),"SND7080P")</f>
        <v>SND7080P</v>
      </c>
      <c r="B2212" s="4" t="str">
        <f>IFERROR(__xludf.DUMMYFUNCTION("""COMPUTED_VALUE"""),"DOMO IP INTERIOR 3 MEGAPIXEL, H264, LENTE 2")</f>
        <v>DOMO IP INTERIOR 3 MEGAPIXEL, H264, LENTE 2</v>
      </c>
      <c r="C2212" s="4" t="str">
        <f>IFERROR(__xludf.DUMMYFUNCTION("""COMPUTED_VALUE"""),"Domo IP interior 3 megapixel, H264, lente 2.8x (3-8.5mm), PoE, SCAN progresivo, entrada y salida de alarma, Onvif, WDR, día/noche.")</f>
        <v>Domo IP interior 3 megapixel, H264, lente 2.8x (3-8.5mm), PoE, SCAN progresivo, entrada y salida de alarma, Onvif, WDR, día/noche.</v>
      </c>
      <c r="D2212" s="4" t="str">
        <f>IFERROR(__xludf.DUMMYFUNCTION("""COMPUTED_VALUE"""),"SAMSUNG")</f>
        <v>SAMSUNG</v>
      </c>
      <c r="E2212" s="4" t="str">
        <f>IFERROR(__xludf.DUMMYFUNCTION("""COMPUTED_VALUE"""),"SND7080P")</f>
        <v>SND7080P</v>
      </c>
      <c r="F2212" s="4" t="str">
        <f>IFERROR(__xludf.DUMMYFUNCTION("""COMPUTED_VALUE"""),"OUTLET &gt; CÁMARAS IP")</f>
        <v>OUTLET &gt; CÁMARAS IP</v>
      </c>
      <c r="G2212" s="5"/>
      <c r="H2212" s="6">
        <f>IFERROR(__xludf.DUMMYFUNCTION("""COMPUTED_VALUE"""),11.0)</f>
        <v>11</v>
      </c>
      <c r="I2212" s="7">
        <f>IFERROR(__xludf.DUMMYFUNCTION("""COMPUTED_VALUE"""),21.0)</f>
        <v>21</v>
      </c>
      <c r="J2212" s="6">
        <f>IFERROR(__xludf.DUMMYFUNCTION("""COMPUTED_VALUE"""),13.2)</f>
        <v>13.2</v>
      </c>
      <c r="K2212" s="6">
        <f>IFERROR(__xludf.DUMMYFUNCTION("""COMPUTED_VALUE"""),15.4)</f>
        <v>15.4</v>
      </c>
      <c r="L2212" s="3"/>
      <c r="M2212" s="3"/>
    </row>
    <row r="2213" ht="48.0" customHeight="1">
      <c r="A2213" s="3" t="str">
        <f>IFERROR(__xludf.DUMMYFUNCTION("""COMPUTED_VALUE"""),"VSMCM140")</f>
        <v>VSMCM140</v>
      </c>
      <c r="B2213" s="4" t="str">
        <f>IFERROR(__xludf.DUMMYFUNCTION("""COMPUTED_VALUE"""),"TECLADO ADICIONAL PARA PANELES POWERMAX")</f>
        <v>TECLADO ADICIONAL PARA PANELES POWERMAX</v>
      </c>
      <c r="C2213" s="4" t="str">
        <f>IFERROR(__xludf.DUMMYFUNCTION("""COMPUTED_VALUE"""),"Teclado adicional para paneles POWERMAX")</f>
        <v>Teclado adicional para paneles POWERMAX</v>
      </c>
      <c r="D2213" s="4" t="str">
        <f>IFERROR(__xludf.DUMMYFUNCTION("""COMPUTED_VALUE"""),"VISONIC")</f>
        <v>VISONIC</v>
      </c>
      <c r="E2213" s="4" t="str">
        <f>IFERROR(__xludf.DUMMYFUNCTION("""COMPUTED_VALUE"""),"VSMCM140")</f>
        <v>VSMCM140</v>
      </c>
      <c r="F2213" s="4" t="str">
        <f>IFERROR(__xludf.DUMMYFUNCTION("""COMPUTED_VALUE"""),"OUTLET &gt; PANELES INALAMBRICAS Y ACCESORIOS VISONIC")</f>
        <v>OUTLET &gt; PANELES INALAMBRICAS Y ACCESORIOS VISONIC</v>
      </c>
      <c r="G2213" s="5"/>
      <c r="H2213" s="6">
        <f>IFERROR(__xludf.DUMMYFUNCTION("""COMPUTED_VALUE"""),77.63)</f>
        <v>77.63</v>
      </c>
      <c r="I2213" s="7">
        <f>IFERROR(__xludf.DUMMYFUNCTION("""COMPUTED_VALUE"""),21.0)</f>
        <v>21</v>
      </c>
      <c r="J2213" s="6">
        <f>IFERROR(__xludf.DUMMYFUNCTION("""COMPUTED_VALUE"""),93.16)</f>
        <v>93.16</v>
      </c>
      <c r="K2213" s="6">
        <f>IFERROR(__xludf.DUMMYFUNCTION("""COMPUTED_VALUE"""),108.68)</f>
        <v>108.68</v>
      </c>
      <c r="L2213" s="3"/>
      <c r="M2213" s="3"/>
    </row>
    <row r="2214" ht="48.0" customHeight="1">
      <c r="A2214" s="3" t="str">
        <f>IFERROR(__xludf.DUMMYFUNCTION("""COMPUTED_VALUE"""),"VSMKP150")</f>
        <v>VSMKP150</v>
      </c>
      <c r="B2214" s="4" t="str">
        <f>IFERROR(__xludf.DUMMYFUNCTION("""COMPUTED_VALUE"""),"TECLADO BIDIRECCIONAL PARA PANELES POWERMAX")</f>
        <v>TECLADO BIDIRECCIONAL PARA PANELES POWERMAX</v>
      </c>
      <c r="C2214" s="4" t="str">
        <f>IFERROR(__xludf.DUMMYFUNCTION("""COMPUTED_VALUE"""),"Teclado bidireccional para paneles POWERMAX")</f>
        <v>Teclado bidireccional para paneles POWERMAX</v>
      </c>
      <c r="D2214" s="4" t="str">
        <f>IFERROR(__xludf.DUMMYFUNCTION("""COMPUTED_VALUE"""),"VISONIC")</f>
        <v>VISONIC</v>
      </c>
      <c r="E2214" s="4" t="str">
        <f>IFERROR(__xludf.DUMMYFUNCTION("""COMPUTED_VALUE"""),"VSMKP150")</f>
        <v>VSMKP150</v>
      </c>
      <c r="F2214" s="4" t="str">
        <f>IFERROR(__xludf.DUMMYFUNCTION("""COMPUTED_VALUE"""),"OUTLET &gt; PANELES INALAMBRICAS Y ACCESORIOS VISONIC")</f>
        <v>OUTLET &gt; PANELES INALAMBRICAS Y ACCESORIOS VISONIC</v>
      </c>
      <c r="G2214" s="5"/>
      <c r="H2214" s="6">
        <f>IFERROR(__xludf.DUMMYFUNCTION("""COMPUTED_VALUE"""),198.2)</f>
        <v>198.2</v>
      </c>
      <c r="I2214" s="7">
        <f>IFERROR(__xludf.DUMMYFUNCTION("""COMPUTED_VALUE"""),21.0)</f>
        <v>21</v>
      </c>
      <c r="J2214" s="6">
        <f>IFERROR(__xludf.DUMMYFUNCTION("""COMPUTED_VALUE"""),237.84)</f>
        <v>237.84</v>
      </c>
      <c r="K2214" s="6">
        <f>IFERROR(__xludf.DUMMYFUNCTION("""COMPUTED_VALUE"""),277.48)</f>
        <v>277.48</v>
      </c>
      <c r="L2214" s="3"/>
      <c r="M2214" s="3"/>
    </row>
    <row r="2215" ht="48.0" customHeight="1">
      <c r="A2215" s="3" t="str">
        <f>IFERROR(__xludf.DUMMYFUNCTION("""COMPUTED_VALUE"""),"VSMCX600")</f>
        <v>VSMCX600</v>
      </c>
      <c r="B2215" s="4" t="str">
        <f>IFERROR(__xludf.DUMMYFUNCTION("""COMPUTED_VALUE"""),"REPETIDOR POWERCODE")</f>
        <v>REPETIDOR POWERCODE</v>
      </c>
      <c r="C2215" s="4" t="str">
        <f>IFERROR(__xludf.DUMMYFUNCTION("""COMPUTED_VALUE"""),"Repetidor POWERCODE")</f>
        <v>Repetidor POWERCODE</v>
      </c>
      <c r="D2215" s="4" t="str">
        <f>IFERROR(__xludf.DUMMYFUNCTION("""COMPUTED_VALUE"""),"VISONIC")</f>
        <v>VISONIC</v>
      </c>
      <c r="E2215" s="4" t="str">
        <f>IFERROR(__xludf.DUMMYFUNCTION("""COMPUTED_VALUE"""),"VSMCX600")</f>
        <v>VSMCX600</v>
      </c>
      <c r="F2215" s="4" t="str">
        <f>IFERROR(__xludf.DUMMYFUNCTION("""COMPUTED_VALUE"""),"OUTLET &gt; PANELES INALAMBRICAS Y ACCESORIOS VISONIC")</f>
        <v>OUTLET &gt; PANELES INALAMBRICAS Y ACCESORIOS VISONIC</v>
      </c>
      <c r="G2215" s="5"/>
      <c r="H2215" s="6">
        <f>IFERROR(__xludf.DUMMYFUNCTION("""COMPUTED_VALUE"""),153.6)</f>
        <v>153.6</v>
      </c>
      <c r="I2215" s="7">
        <f>IFERROR(__xludf.DUMMYFUNCTION("""COMPUTED_VALUE"""),21.0)</f>
        <v>21</v>
      </c>
      <c r="J2215" s="6">
        <f>IFERROR(__xludf.DUMMYFUNCTION("""COMPUTED_VALUE"""),184.32)</f>
        <v>184.32</v>
      </c>
      <c r="K2215" s="6">
        <f>IFERROR(__xludf.DUMMYFUNCTION("""COMPUTED_VALUE"""),215.04)</f>
        <v>215.04</v>
      </c>
      <c r="L2215" s="3"/>
      <c r="M2215" s="3"/>
    </row>
    <row r="2216" ht="48.0" customHeight="1">
      <c r="A2216" s="3" t="str">
        <f>IFERROR(__xludf.DUMMYFUNCTION("""COMPUTED_VALUE"""),"VSMCX8")</f>
        <v>VSMCX8</v>
      </c>
      <c r="B2216" s="4" t="str">
        <f>IFERROR(__xludf.DUMMYFUNCTION("""COMPUTED_VALUE"""),"EXPANSOR DE 8 ZONAS PARA MCR308")</f>
        <v>EXPANSOR DE 8 ZONAS PARA MCR308</v>
      </c>
      <c r="C2216" s="4" t="str">
        <f>IFERROR(__xludf.DUMMYFUNCTION("""COMPUTED_VALUE"""),"Expansor de 8 zonas para MCR308")</f>
        <v>Expansor de 8 zonas para MCR308</v>
      </c>
      <c r="D2216" s="4" t="str">
        <f>IFERROR(__xludf.DUMMYFUNCTION("""COMPUTED_VALUE"""),"VISONIC")</f>
        <v>VISONIC</v>
      </c>
      <c r="E2216" s="4" t="str">
        <f>IFERROR(__xludf.DUMMYFUNCTION("""COMPUTED_VALUE"""),"VSMCX8")</f>
        <v>VSMCX8</v>
      </c>
      <c r="F2216" s="4" t="str">
        <f>IFERROR(__xludf.DUMMYFUNCTION("""COMPUTED_VALUE"""),"OUTLET &gt; PANELES INALAMBRICAS Y ACCESORIOS VISONIC")</f>
        <v>OUTLET &gt; PANELES INALAMBRICAS Y ACCESORIOS VISONIC</v>
      </c>
      <c r="G2216" s="5"/>
      <c r="H2216" s="6">
        <f>IFERROR(__xludf.DUMMYFUNCTION("""COMPUTED_VALUE"""),41.29)</f>
        <v>41.29</v>
      </c>
      <c r="I2216" s="7">
        <f>IFERROR(__xludf.DUMMYFUNCTION("""COMPUTED_VALUE"""),21.0)</f>
        <v>21</v>
      </c>
      <c r="J2216" s="6">
        <f>IFERROR(__xludf.DUMMYFUNCTION("""COMPUTED_VALUE"""),49.55)</f>
        <v>49.55</v>
      </c>
      <c r="K2216" s="6">
        <f>IFERROR(__xludf.DUMMYFUNCTION("""COMPUTED_VALUE"""),57.81)</f>
        <v>57.81</v>
      </c>
      <c r="L2216" s="3"/>
      <c r="M2216" s="3"/>
    </row>
    <row r="2217" ht="48.0" customHeight="1">
      <c r="A2217" s="3" t="str">
        <f>IFERROR(__xludf.DUMMYFUNCTION("""COMPUTED_VALUE"""),"VSMCT234")</f>
        <v>VSMCT234</v>
      </c>
      <c r="B2217" s="4" t="str">
        <f>IFERROR(__xludf.DUMMYFUNCTION("""COMPUTED_VALUE"""),"TRANSMISOR 4 CANALES ADICIONAL PARA ENCENDIDO/APAGADO POWERCODE")</f>
        <v>TRANSMISOR 4 CANALES ADICIONAL PARA ENCENDIDO/APAGADO POWERCODE</v>
      </c>
      <c r="C2217" s="4" t="str">
        <f>IFERROR(__xludf.DUMMYFUNCTION("""COMPUTED_VALUE"""),"Transmisor 4 canales adicional para encendido/apagado POWERCODE")</f>
        <v>Transmisor 4 canales adicional para encendido/apagado POWERCODE</v>
      </c>
      <c r="D2217" s="4" t="str">
        <f>IFERROR(__xludf.DUMMYFUNCTION("""COMPUTED_VALUE"""),"VISONIC")</f>
        <v>VISONIC</v>
      </c>
      <c r="E2217" s="4" t="str">
        <f>IFERROR(__xludf.DUMMYFUNCTION("""COMPUTED_VALUE"""),"VSMCT234")</f>
        <v>VSMCT234</v>
      </c>
      <c r="F2217" s="4" t="str">
        <f>IFERROR(__xludf.DUMMYFUNCTION("""COMPUTED_VALUE"""),"OUTLET &gt; PANELES INALAMBRICAS Y ACCESORIOS VISONIC")</f>
        <v>OUTLET &gt; PANELES INALAMBRICAS Y ACCESORIOS VISONIC</v>
      </c>
      <c r="G2217" s="5"/>
      <c r="H2217" s="6">
        <f>IFERROR(__xludf.DUMMYFUNCTION("""COMPUTED_VALUE"""),43.55)</f>
        <v>43.55</v>
      </c>
      <c r="I2217" s="7">
        <f>IFERROR(__xludf.DUMMYFUNCTION("""COMPUTED_VALUE"""),21.0)</f>
        <v>21</v>
      </c>
      <c r="J2217" s="6">
        <f>IFERROR(__xludf.DUMMYFUNCTION("""COMPUTED_VALUE"""),52.26)</f>
        <v>52.26</v>
      </c>
      <c r="K2217" s="6">
        <f>IFERROR(__xludf.DUMMYFUNCTION("""COMPUTED_VALUE"""),60.97)</f>
        <v>60.97</v>
      </c>
      <c r="L2217" s="3"/>
      <c r="M2217" s="3"/>
    </row>
    <row r="2218" ht="48.0" customHeight="1">
      <c r="A2218" s="3" t="str">
        <f>IFERROR(__xludf.DUMMYFUNCTION("""COMPUTED_VALUE"""),"VSMCT237")</f>
        <v>VSMCT237</v>
      </c>
      <c r="B2218" s="4" t="str">
        <f>IFERROR(__xludf.DUMMYFUNCTION("""COMPUTED_VALUE"""),"TRANSMISOR BIDIRECCIONAL PARA PANELES POWERMAXPRO &amp; POWERMAXEXPRESS")</f>
        <v>TRANSMISOR BIDIRECCIONAL PARA PANELES POWERMAXPRO &amp; POWERMAXEXPRESS</v>
      </c>
      <c r="C2218" s="4" t="str">
        <f>IFERROR(__xludf.DUMMYFUNCTION("""COMPUTED_VALUE"""),"Transmisor bidireccional para paneles POWERMAXPRO &amp; POWERMAXEXPRESS")</f>
        <v>Transmisor bidireccional para paneles POWERMAXPRO &amp; POWERMAXEXPRESS</v>
      </c>
      <c r="D2218" s="4" t="str">
        <f>IFERROR(__xludf.DUMMYFUNCTION("""COMPUTED_VALUE"""),"VISONIC")</f>
        <v>VISONIC</v>
      </c>
      <c r="E2218" s="4" t="str">
        <f>IFERROR(__xludf.DUMMYFUNCTION("""COMPUTED_VALUE"""),"VSMCT237")</f>
        <v>VSMCT237</v>
      </c>
      <c r="F2218" s="4" t="str">
        <f>IFERROR(__xludf.DUMMYFUNCTION("""COMPUTED_VALUE"""),"OUTLET &gt; PANELES INALAMBRICAS Y ACCESORIOS VISONIC")</f>
        <v>OUTLET &gt; PANELES INALAMBRICAS Y ACCESORIOS VISONIC</v>
      </c>
      <c r="G2218" s="5"/>
      <c r="H2218" s="6">
        <f>IFERROR(__xludf.DUMMYFUNCTION("""COMPUTED_VALUE"""),62.77)</f>
        <v>62.77</v>
      </c>
      <c r="I2218" s="7">
        <f>IFERROR(__xludf.DUMMYFUNCTION("""COMPUTED_VALUE"""),21.0)</f>
        <v>21</v>
      </c>
      <c r="J2218" s="6">
        <f>IFERROR(__xludf.DUMMYFUNCTION("""COMPUTED_VALUE"""),75.32)</f>
        <v>75.32</v>
      </c>
      <c r="K2218" s="6">
        <f>IFERROR(__xludf.DUMMYFUNCTION("""COMPUTED_VALUE"""),87.88)</f>
        <v>87.88</v>
      </c>
      <c r="L2218" s="3"/>
      <c r="M2218" s="3"/>
    </row>
    <row r="2219" ht="48.0" customHeight="1">
      <c r="A2219" s="3" t="str">
        <f>IFERROR(__xludf.DUMMYFUNCTION("""COMPUTED_VALUE"""),"VSMCT212")</f>
        <v>VSMCT212</v>
      </c>
      <c r="B2219" s="4" t="str">
        <f>IFERROR(__xludf.DUMMYFUNCTION("""COMPUTED_VALUE"""),"TRANSMISOR PARA CUIDADO DE PERSONAS PARA COLGAR A PRUEBA DE AGUA")</f>
        <v>TRANSMISOR PARA CUIDADO DE PERSONAS PARA COLGAR A PRUEBA DE AGUA</v>
      </c>
      <c r="C2219" s="4" t="str">
        <f>IFERROR(__xludf.DUMMYFUNCTION("""COMPUTED_VALUE"""),"Transmisor para cuidado de personas para colgar a prueba de agua")</f>
        <v>Transmisor para cuidado de personas para colgar a prueba de agua</v>
      </c>
      <c r="D2219" s="4" t="str">
        <f>IFERROR(__xludf.DUMMYFUNCTION("""COMPUTED_VALUE"""),"VISONIC")</f>
        <v>VISONIC</v>
      </c>
      <c r="E2219" s="4" t="str">
        <f>IFERROR(__xludf.DUMMYFUNCTION("""COMPUTED_VALUE"""),"VSMCT212")</f>
        <v>VSMCT212</v>
      </c>
      <c r="F2219" s="4" t="str">
        <f>IFERROR(__xludf.DUMMYFUNCTION("""COMPUTED_VALUE"""),"OUTLET &gt; PANELES INALAMBRICAS Y ACCESORIOS VISONIC")</f>
        <v>OUTLET &gt; PANELES INALAMBRICAS Y ACCESORIOS VISONIC</v>
      </c>
      <c r="G2219" s="5"/>
      <c r="H2219" s="6">
        <f>IFERROR(__xludf.DUMMYFUNCTION("""COMPUTED_VALUE"""),47.62)</f>
        <v>47.62</v>
      </c>
      <c r="I2219" s="7">
        <f>IFERROR(__xludf.DUMMYFUNCTION("""COMPUTED_VALUE"""),21.0)</f>
        <v>21</v>
      </c>
      <c r="J2219" s="6">
        <f>IFERROR(__xludf.DUMMYFUNCTION("""COMPUTED_VALUE"""),57.14)</f>
        <v>57.14</v>
      </c>
      <c r="K2219" s="6">
        <f>IFERROR(__xludf.DUMMYFUNCTION("""COMPUTED_VALUE"""),66.67)</f>
        <v>66.67</v>
      </c>
      <c r="L2219" s="3"/>
      <c r="M2219" s="3"/>
    </row>
    <row r="2220" ht="48.0" customHeight="1">
      <c r="A2220" s="3" t="str">
        <f>IFERROR(__xludf.DUMMYFUNCTION("""COMPUTED_VALUE"""),"VSNEXTK985")</f>
        <v>VSNEXTK985</v>
      </c>
      <c r="B2220" s="4" t="str">
        <f>IFERROR(__xludf.DUMMYFUNCTION("""COMPUTED_VALUE"""),"INFRARROJO INALÁMBRICO CON INMUNIDAD A MASCOTAS DE HASTA 38 KG")</f>
        <v>INFRARROJO INALÁMBRICO CON INMUNIDAD A MASCOTAS DE HASTA 38 KG</v>
      </c>
      <c r="C2220" s="4" t="str">
        <f>IFERROR(__xludf.DUMMYFUNCTION("""COMPUTED_VALUE"""),"Infrarrojo inalámbrico con inmunidad a mascotas de hasta 38 Kg")</f>
        <v>Infrarrojo inalámbrico con inmunidad a mascotas de hasta 38 Kg</v>
      </c>
      <c r="D2220" s="4" t="str">
        <f>IFERROR(__xludf.DUMMYFUNCTION("""COMPUTED_VALUE"""),"VISONIC")</f>
        <v>VISONIC</v>
      </c>
      <c r="E2220" s="4" t="str">
        <f>IFERROR(__xludf.DUMMYFUNCTION("""COMPUTED_VALUE"""),"VSNEXTK985")</f>
        <v>VSNEXTK985</v>
      </c>
      <c r="F2220" s="4" t="str">
        <f>IFERROR(__xludf.DUMMYFUNCTION("""COMPUTED_VALUE"""),"OUTLET &gt; PANELES INALAMBRICAS Y ACCESORIOS VISONIC")</f>
        <v>OUTLET &gt; PANELES INALAMBRICAS Y ACCESORIOS VISONIC</v>
      </c>
      <c r="G2220" s="5"/>
      <c r="H2220" s="6">
        <f>IFERROR(__xludf.DUMMYFUNCTION("""COMPUTED_VALUE"""),64.88)</f>
        <v>64.88</v>
      </c>
      <c r="I2220" s="7">
        <f>IFERROR(__xludf.DUMMYFUNCTION("""COMPUTED_VALUE"""),21.0)</f>
        <v>21</v>
      </c>
      <c r="J2220" s="6">
        <f>IFERROR(__xludf.DUMMYFUNCTION("""COMPUTED_VALUE"""),77.86)</f>
        <v>77.86</v>
      </c>
      <c r="K2220" s="6">
        <f>IFERROR(__xludf.DUMMYFUNCTION("""COMPUTED_VALUE"""),90.83)</f>
        <v>90.83</v>
      </c>
      <c r="L2220" s="3"/>
      <c r="M2220" s="3"/>
    </row>
    <row r="2221" ht="48.0" customHeight="1">
      <c r="A2221" s="3" t="str">
        <f>IFERROR(__xludf.DUMMYFUNCTION("""COMPUTED_VALUE"""),"VSTOWER20AMMCW")</f>
        <v>VSTOWER20AMMCW</v>
      </c>
      <c r="B2221" s="4" t="str">
        <f>IFERROR(__xludf.DUMMYFUNCTION("""COMPUTED_VALUE"""),"DETECTOR EXTERIOR INALÁMBRICO ANTIMASKING")</f>
        <v>DETECTOR EXTERIOR INALÁMBRICO ANTIMASKING</v>
      </c>
      <c r="C2221" s="4" t="str">
        <f>IFERROR(__xludf.DUMMYFUNCTION("""COMPUTED_VALUE"""),"Detector exterior inalámbrico Antimasking. 90º 12 m . 8 IRP + cobertura por espejo")</f>
        <v>Detector exterior inalámbrico Antimasking. 90º 12 m . 8 IRP + cobertura por espejo</v>
      </c>
      <c r="D2221" s="4" t="str">
        <f>IFERROR(__xludf.DUMMYFUNCTION("""COMPUTED_VALUE"""),"VISONIC")</f>
        <v>VISONIC</v>
      </c>
      <c r="E2221" s="4" t="str">
        <f>IFERROR(__xludf.DUMMYFUNCTION("""COMPUTED_VALUE"""),"VSTOWER20AMMCW")</f>
        <v>VSTOWER20AMMCW</v>
      </c>
      <c r="F2221" s="4" t="str">
        <f>IFERROR(__xludf.DUMMYFUNCTION("""COMPUTED_VALUE"""),"OUTLET &gt; PANELES INALAMBRICAS Y ACCESORIOS VISONIC")</f>
        <v>OUTLET &gt; PANELES INALAMBRICAS Y ACCESORIOS VISONIC</v>
      </c>
      <c r="G2221" s="5"/>
      <c r="H2221" s="6">
        <f>IFERROR(__xludf.DUMMYFUNCTION("""COMPUTED_VALUE"""),273.12)</f>
        <v>273.12</v>
      </c>
      <c r="I2221" s="7">
        <f>IFERROR(__xludf.DUMMYFUNCTION("""COMPUTED_VALUE"""),21.0)</f>
        <v>21</v>
      </c>
      <c r="J2221" s="6">
        <f>IFERROR(__xludf.DUMMYFUNCTION("""COMPUTED_VALUE"""),327.74)</f>
        <v>327.74</v>
      </c>
      <c r="K2221" s="6">
        <f>IFERROR(__xludf.DUMMYFUNCTION("""COMPUTED_VALUE"""),382.37)</f>
        <v>382.37</v>
      </c>
      <c r="L2221" s="3"/>
      <c r="M2221" s="3"/>
    </row>
    <row r="2222" ht="48.0" customHeight="1">
      <c r="A2222" s="3" t="str">
        <f>IFERROR(__xludf.DUMMYFUNCTION("""COMPUTED_VALUE"""),"VSMCT425")</f>
        <v>VSMCT425</v>
      </c>
      <c r="B2222" s="4" t="str">
        <f>IFERROR(__xludf.DUMMYFUNCTION("""COMPUTED_VALUE"""),"SENSOR DE HUMO INALÁMBRICO")</f>
        <v>SENSOR DE HUMO INALÁMBRICO</v>
      </c>
      <c r="C2222" s="4" t="str">
        <f>IFERROR(__xludf.DUMMYFUNCTION("""COMPUTED_VALUE"""),"Sensor de humo inalámbrico. Norma UL")</f>
        <v>Sensor de humo inalámbrico. Norma UL</v>
      </c>
      <c r="D2222" s="4" t="str">
        <f>IFERROR(__xludf.DUMMYFUNCTION("""COMPUTED_VALUE"""),"VISONIC")</f>
        <v>VISONIC</v>
      </c>
      <c r="E2222" s="4" t="str">
        <f>IFERROR(__xludf.DUMMYFUNCTION("""COMPUTED_VALUE"""),"VSMCT425")</f>
        <v>VSMCT425</v>
      </c>
      <c r="F2222" s="4" t="str">
        <f>IFERROR(__xludf.DUMMYFUNCTION("""COMPUTED_VALUE"""),"OUTLET &gt; PANELES INALAMBRICAS Y ACCESORIOS VISONIC")</f>
        <v>OUTLET &gt; PANELES INALAMBRICAS Y ACCESORIOS VISONIC</v>
      </c>
      <c r="G2222" s="5"/>
      <c r="H2222" s="6">
        <f>IFERROR(__xludf.DUMMYFUNCTION("""COMPUTED_VALUE"""),82.59)</f>
        <v>82.59</v>
      </c>
      <c r="I2222" s="7">
        <f>IFERROR(__xludf.DUMMYFUNCTION("""COMPUTED_VALUE"""),21.0)</f>
        <v>21</v>
      </c>
      <c r="J2222" s="6">
        <f>IFERROR(__xludf.DUMMYFUNCTION("""COMPUTED_VALUE"""),99.11)</f>
        <v>99.11</v>
      </c>
      <c r="K2222" s="6">
        <f>IFERROR(__xludf.DUMMYFUNCTION("""COMPUTED_VALUE"""),115.63)</f>
        <v>115.63</v>
      </c>
      <c r="L2222" s="3"/>
      <c r="M2222" s="3"/>
    </row>
    <row r="2223" ht="48.0" customHeight="1">
      <c r="A2223" s="3" t="str">
        <f>IFERROR(__xludf.DUMMYFUNCTION("""COMPUTED_VALUE"""),"VSMCT550")</f>
        <v>VSMCT550</v>
      </c>
      <c r="B2223" s="4" t="str">
        <f>IFERROR(__xludf.DUMMYFUNCTION("""COMPUTED_VALUE"""),"DETECTOR DE INUNDACIÓN INALÁMBRICO SUPERVISADO")</f>
        <v>DETECTOR DE INUNDACIÓN INALÁMBRICO SUPERVISADO</v>
      </c>
      <c r="C2223" s="4" t="str">
        <f>IFERROR(__xludf.DUMMYFUNCTION("""COMPUTED_VALUE"""),"Detector de inundación inalámbrico supervisado")</f>
        <v>Detector de inundación inalámbrico supervisado</v>
      </c>
      <c r="D2223" s="4" t="str">
        <f>IFERROR(__xludf.DUMMYFUNCTION("""COMPUTED_VALUE"""),"VISONIC")</f>
        <v>VISONIC</v>
      </c>
      <c r="E2223" s="4" t="str">
        <f>IFERROR(__xludf.DUMMYFUNCTION("""COMPUTED_VALUE"""),"VSMCT550")</f>
        <v>VSMCT550</v>
      </c>
      <c r="F2223" s="4" t="str">
        <f>IFERROR(__xludf.DUMMYFUNCTION("""COMPUTED_VALUE"""),"OUTLET &gt; PANELES INALAMBRICAS Y ACCESORIOS VISONIC")</f>
        <v>OUTLET &gt; PANELES INALAMBRICAS Y ACCESORIOS VISONIC</v>
      </c>
      <c r="G2223" s="5"/>
      <c r="H2223" s="6">
        <f>IFERROR(__xludf.DUMMYFUNCTION("""COMPUTED_VALUE"""),54.97)</f>
        <v>54.97</v>
      </c>
      <c r="I2223" s="7">
        <f>IFERROR(__xludf.DUMMYFUNCTION("""COMPUTED_VALUE"""),21.0)</f>
        <v>21</v>
      </c>
      <c r="J2223" s="6">
        <f>IFERROR(__xludf.DUMMYFUNCTION("""COMPUTED_VALUE"""),65.96)</f>
        <v>65.96</v>
      </c>
      <c r="K2223" s="6">
        <f>IFERROR(__xludf.DUMMYFUNCTION("""COMPUTED_VALUE"""),76.96)</f>
        <v>76.96</v>
      </c>
      <c r="L2223" s="3"/>
      <c r="M2223" s="3"/>
    </row>
    <row r="2224" ht="48.0" customHeight="1">
      <c r="A2224" s="3" t="str">
        <f>IFERROR(__xludf.DUMMYFUNCTION("""COMPUTED_VALUE"""),"VSMCT501")</f>
        <v>VSMCT501</v>
      </c>
      <c r="B2224" s="4" t="str">
        <f>IFERROR(__xludf.DUMMYFUNCTION("""COMPUTED_VALUE"""),"DETECTOR DE ROTURA DE VIDRIO POWERCODE")</f>
        <v>DETECTOR DE ROTURA DE VIDRIO POWERCODE</v>
      </c>
      <c r="C2224" s="4" t="str">
        <f>IFERROR(__xludf.DUMMYFUNCTION("""COMPUTED_VALUE"""),"Detector de rotura de vidrio POWERCODE")</f>
        <v>Detector de rotura de vidrio POWERCODE</v>
      </c>
      <c r="D2224" s="4" t="str">
        <f>IFERROR(__xludf.DUMMYFUNCTION("""COMPUTED_VALUE"""),"VISONIC")</f>
        <v>VISONIC</v>
      </c>
      <c r="E2224" s="4" t="str">
        <f>IFERROR(__xludf.DUMMYFUNCTION("""COMPUTED_VALUE"""),"VSMCT501")</f>
        <v>VSMCT501</v>
      </c>
      <c r="F2224" s="4" t="str">
        <f>IFERROR(__xludf.DUMMYFUNCTION("""COMPUTED_VALUE"""),"OUTLET &gt; PANELES INALAMBRICAS Y ACCESORIOS VISONIC")</f>
        <v>OUTLET &gt; PANELES INALAMBRICAS Y ACCESORIOS VISONIC</v>
      </c>
      <c r="G2224" s="5"/>
      <c r="H2224" s="6">
        <f>IFERROR(__xludf.DUMMYFUNCTION("""COMPUTED_VALUE"""),123.87)</f>
        <v>123.87</v>
      </c>
      <c r="I2224" s="7">
        <f>IFERROR(__xludf.DUMMYFUNCTION("""COMPUTED_VALUE"""),21.0)</f>
        <v>21</v>
      </c>
      <c r="J2224" s="6">
        <f>IFERROR(__xludf.DUMMYFUNCTION("""COMPUTED_VALUE"""),148.64)</f>
        <v>148.64</v>
      </c>
      <c r="K2224" s="6">
        <f>IFERROR(__xludf.DUMMYFUNCTION("""COMPUTED_VALUE"""),173.42)</f>
        <v>173.42</v>
      </c>
      <c r="L2224" s="3"/>
      <c r="M2224" s="3"/>
    </row>
    <row r="2225" ht="48.0" customHeight="1">
      <c r="A2225" s="3" t="str">
        <f>IFERROR(__xludf.DUMMYFUNCTION("""COMPUTED_VALUE"""),"VSMCT442CO")</f>
        <v>VSMCT442CO</v>
      </c>
      <c r="B2225" s="4" t="str">
        <f>IFERROR(__xludf.DUMMYFUNCTION("""COMPUTED_VALUE"""),"SENSOR DE MONÓXIDO DE CARBONO INALÁMBRICO")</f>
        <v>SENSOR DE MONÓXIDO DE CARBONO INALÁMBRICO</v>
      </c>
      <c r="C2225" s="4" t="str">
        <f>IFERROR(__xludf.DUMMYFUNCTION("""COMPUTED_VALUE"""),"Sensor de monóxido de carbono inalámbrico. Norma UL")</f>
        <v>Sensor de monóxido de carbono inalámbrico. Norma UL</v>
      </c>
      <c r="D2225" s="4" t="str">
        <f>IFERROR(__xludf.DUMMYFUNCTION("""COMPUTED_VALUE"""),"VISONIC")</f>
        <v>VISONIC</v>
      </c>
      <c r="E2225" s="4" t="str">
        <f>IFERROR(__xludf.DUMMYFUNCTION("""COMPUTED_VALUE"""),"VSMCT442CO")</f>
        <v>VSMCT442CO</v>
      </c>
      <c r="F2225" s="4" t="str">
        <f>IFERROR(__xludf.DUMMYFUNCTION("""COMPUTED_VALUE"""),"OUTLET &gt; PANELES INALAMBRICAS Y ACCESORIOS VISONIC")</f>
        <v>OUTLET &gt; PANELES INALAMBRICAS Y ACCESORIOS VISONIC</v>
      </c>
      <c r="G2225" s="5"/>
      <c r="H2225" s="6">
        <f>IFERROR(__xludf.DUMMYFUNCTION("""COMPUTED_VALUE"""),124.23)</f>
        <v>124.23</v>
      </c>
      <c r="I2225" s="7">
        <f>IFERROR(__xludf.DUMMYFUNCTION("""COMPUTED_VALUE"""),21.0)</f>
        <v>21</v>
      </c>
      <c r="J2225" s="6">
        <f>IFERROR(__xludf.DUMMYFUNCTION("""COMPUTED_VALUE"""),149.08)</f>
        <v>149.08</v>
      </c>
      <c r="K2225" s="6">
        <f>IFERROR(__xludf.DUMMYFUNCTION("""COMPUTED_VALUE"""),173.92)</f>
        <v>173.92</v>
      </c>
      <c r="L2225" s="3"/>
      <c r="M2225" s="3"/>
    </row>
    <row r="2226" ht="48.0" customHeight="1">
      <c r="A2226" s="3" t="str">
        <f>IFERROR(__xludf.DUMMYFUNCTION("""COMPUTED_VALUE"""),"VSMCS730")</f>
        <v>VSMCS730</v>
      </c>
      <c r="B2226" s="4" t="str">
        <f>IFERROR(__xludf.DUMMYFUNCTION("""COMPUTED_VALUE"""),"SIRENA EXTERIOR INALÁMBRICA CON STROBO DOBLE VÍA")</f>
        <v>SIRENA EXTERIOR INALÁMBRICA CON STROBO DOBLE VÍA</v>
      </c>
      <c r="C2226" s="4" t="str">
        <f>IFERROR(__xludf.DUMMYFUNCTION("""COMPUTED_VALUE"""),"Sirena exterior inalámbrica con strobo doble vía")</f>
        <v>Sirena exterior inalámbrica con strobo doble vía</v>
      </c>
      <c r="D2226" s="4" t="str">
        <f>IFERROR(__xludf.DUMMYFUNCTION("""COMPUTED_VALUE"""),"VISONIC")</f>
        <v>VISONIC</v>
      </c>
      <c r="E2226" s="4" t="str">
        <f>IFERROR(__xludf.DUMMYFUNCTION("""COMPUTED_VALUE"""),"VSMCS730")</f>
        <v>VSMCS730</v>
      </c>
      <c r="F2226" s="4" t="str">
        <f>IFERROR(__xludf.DUMMYFUNCTION("""COMPUTED_VALUE"""),"OUTLET &gt; PANELES INALAMBRICAS Y ACCESORIOS VISONIC")</f>
        <v>OUTLET &gt; PANELES INALAMBRICAS Y ACCESORIOS VISONIC</v>
      </c>
      <c r="G2226" s="5"/>
      <c r="H2226" s="6">
        <f>IFERROR(__xludf.DUMMYFUNCTION("""COMPUTED_VALUE"""),181.26)</f>
        <v>181.26</v>
      </c>
      <c r="I2226" s="7">
        <f>IFERROR(__xludf.DUMMYFUNCTION("""COMPUTED_VALUE"""),21.0)</f>
        <v>21</v>
      </c>
      <c r="J2226" s="6">
        <f>IFERROR(__xludf.DUMMYFUNCTION("""COMPUTED_VALUE"""),217.51)</f>
        <v>217.51</v>
      </c>
      <c r="K2226" s="6">
        <f>IFERROR(__xludf.DUMMYFUNCTION("""COMPUTED_VALUE"""),253.76)</f>
        <v>253.76</v>
      </c>
      <c r="L2226" s="3"/>
      <c r="M2226" s="3"/>
    </row>
    <row r="2227" ht="48.0" customHeight="1">
      <c r="A2227" s="3" t="str">
        <f>IFERROR(__xludf.DUMMYFUNCTION("""COMPUTED_VALUE"""),"VSMCS720")</f>
        <v>VSMCS720</v>
      </c>
      <c r="B2227" s="4" t="str">
        <f>IFERROR(__xludf.DUMMYFUNCTION("""COMPUTED_VALUE"""),"SIRENA INTTERIOR INALÁMBRICA DOBLE VÍA")</f>
        <v>SIRENA INTTERIOR INALÁMBRICA DOBLE VÍA</v>
      </c>
      <c r="C2227" s="4" t="str">
        <f>IFERROR(__xludf.DUMMYFUNCTION("""COMPUTED_VALUE"""),"Sirena intterior inalámbrica doble vía")</f>
        <v>Sirena intterior inalámbrica doble vía</v>
      </c>
      <c r="D2227" s="4" t="str">
        <f>IFERROR(__xludf.DUMMYFUNCTION("""COMPUTED_VALUE"""),"VISONIC")</f>
        <v>VISONIC</v>
      </c>
      <c r="E2227" s="4" t="str">
        <f>IFERROR(__xludf.DUMMYFUNCTION("""COMPUTED_VALUE"""),"VSMCS720")</f>
        <v>VSMCS720</v>
      </c>
      <c r="F2227" s="4" t="str">
        <f>IFERROR(__xludf.DUMMYFUNCTION("""COMPUTED_VALUE"""),"OUTLET &gt; PANELES INALAMBRICAS Y ACCESORIOS VISONIC")</f>
        <v>OUTLET &gt; PANELES INALAMBRICAS Y ACCESORIOS VISONIC</v>
      </c>
      <c r="G2227" s="5"/>
      <c r="H2227" s="6">
        <f>IFERROR(__xludf.DUMMYFUNCTION("""COMPUTED_VALUE"""),148.93)</f>
        <v>148.93</v>
      </c>
      <c r="I2227" s="7">
        <f>IFERROR(__xludf.DUMMYFUNCTION("""COMPUTED_VALUE"""),21.0)</f>
        <v>21</v>
      </c>
      <c r="J2227" s="6">
        <f>IFERROR(__xludf.DUMMYFUNCTION("""COMPUTED_VALUE"""),178.72)</f>
        <v>178.72</v>
      </c>
      <c r="K2227" s="6">
        <f>IFERROR(__xludf.DUMMYFUNCTION("""COMPUTED_VALUE"""),208.5)</f>
        <v>208.5</v>
      </c>
      <c r="L2227" s="3"/>
      <c r="M2227" s="3"/>
    </row>
    <row r="2228" ht="48.0" customHeight="1">
      <c r="A2228" s="3" t="str">
        <f>IFERROR(__xludf.DUMMYFUNCTION("""COMPUTED_VALUE"""),"Panel PowerMaster10 Kit")</f>
        <v>Panel PowerMaster10 Kit</v>
      </c>
      <c r="B2228" s="4" t="str">
        <f>IFERROR(__xludf.DUMMYFUNCTION("""COMPUTED_VALUE"""),"PANEL POWERMASTER 10 KIT (915MHZ, 120V, 60HZ US PLUG)")</f>
        <v>PANEL POWERMASTER 10 KIT (915MHZ, 120V, 60HZ US PLUG)</v>
      </c>
      <c r="C2228" s="4" t="str">
        <f>IFERROR(__xludf.DUMMYFUNCTION("""COMPUTED_VALUE"""),"Panel PowerMaster 10 Kit (915Mhz, 120V, 60Hz US Plug). Includes: 1 NEXT K9 PG2, 1 KF-234 PG 2 y 1 MC-302E /// WHITOUT TRANSFORMER")</f>
        <v>Panel PowerMaster 10 Kit (915Mhz, 120V, 60Hz US Plug). Includes: 1 NEXT K9 PG2, 1 KF-234 PG 2 y 1 MC-302E /// WHITOUT TRANSFORMER</v>
      </c>
      <c r="D2228" s="4" t="str">
        <f>IFERROR(__xludf.DUMMYFUNCTION("""COMPUTED_VALUE"""),"VISONIC")</f>
        <v>VISONIC</v>
      </c>
      <c r="E2228" s="4" t="str">
        <f>IFERROR(__xludf.DUMMYFUNCTION("""COMPUTED_VALUE"""),"Panel PowerMaster10 Kit")</f>
        <v>Panel PowerMaster10 Kit</v>
      </c>
      <c r="F2228" s="4" t="str">
        <f>IFERROR(__xludf.DUMMYFUNCTION("""COMPUTED_VALUE"""),"OUTLET &gt; PANELES INALAMBRICAS Y ACCESORIOS VISONIC")</f>
        <v>OUTLET &gt; PANELES INALAMBRICAS Y ACCESORIOS VISONIC</v>
      </c>
      <c r="G2228" s="5"/>
      <c r="H2228" s="6">
        <f>IFERROR(__xludf.DUMMYFUNCTION("""COMPUTED_VALUE"""),424.28)</f>
        <v>424.28</v>
      </c>
      <c r="I2228" s="7">
        <f>IFERROR(__xludf.DUMMYFUNCTION("""COMPUTED_VALUE"""),21.0)</f>
        <v>21</v>
      </c>
      <c r="J2228" s="6">
        <f>IFERROR(__xludf.DUMMYFUNCTION("""COMPUTED_VALUE"""),509.14)</f>
        <v>509.14</v>
      </c>
      <c r="K2228" s="6">
        <f>IFERROR(__xludf.DUMMYFUNCTION("""COMPUTED_VALUE"""),593.99)</f>
        <v>593.99</v>
      </c>
      <c r="L2228" s="3"/>
      <c r="M2228" s="3"/>
    </row>
    <row r="2229" ht="48.0" customHeight="1">
      <c r="A2229" s="3" t="str">
        <f>IFERROR(__xludf.DUMMYFUNCTION("""COMPUTED_VALUE"""),"PowerMaster10 kit (Realalarm)")</f>
        <v>PowerMaster10 kit (Realalarm)</v>
      </c>
      <c r="B2229" s="4" t="str">
        <f>IFERROR(__xludf.DUMMYFUNCTION("""COMPUTED_VALUE"""),"POWERMASTER 10 KIT (REALALARM) (915MHZ, 120V, 60 HZ US")</f>
        <v>POWERMASTER 10 KIT (REALALARM) (915MHZ, 120V, 60 HZ US</v>
      </c>
      <c r="C2229" s="4" t="str">
        <f>IFERROR(__xludf.DUMMYFUNCTION("""COMPUTED_VALUE"""),"PowerMaster 10 kit (Realalarm) (915Mhz, 120V, 60 Hz US Plug) Includes: 1 NEXTCAM K9 PG2, 1 KF-234 PG 2y 1 Contact, plus GPRS Module /// WHITOUT TRANSFORMER")</f>
        <v>PowerMaster 10 kit (Realalarm) (915Mhz, 120V, 60 Hz US Plug) Includes: 1 NEXTCAM K9 PG2, 1 KF-234 PG 2y 1 Contact, plus GPRS Module /// WHITOUT TRANSFORMER</v>
      </c>
      <c r="D2229" s="4" t="str">
        <f>IFERROR(__xludf.DUMMYFUNCTION("""COMPUTED_VALUE"""),"VISONIC")</f>
        <v>VISONIC</v>
      </c>
      <c r="E2229" s="4" t="str">
        <f>IFERROR(__xludf.DUMMYFUNCTION("""COMPUTED_VALUE"""),"PowerMaster10 kit (Realalarm)")</f>
        <v>PowerMaster10 kit (Realalarm)</v>
      </c>
      <c r="F2229" s="4" t="str">
        <f>IFERROR(__xludf.DUMMYFUNCTION("""COMPUTED_VALUE"""),"OUTLET &gt; PANELES INALAMBRICAS Y ACCESORIOS VISONIC")</f>
        <v>OUTLET &gt; PANELES INALAMBRICAS Y ACCESORIOS VISONIC</v>
      </c>
      <c r="G2229" s="5"/>
      <c r="H2229" s="6">
        <f>IFERROR(__xludf.DUMMYFUNCTION("""COMPUTED_VALUE"""),747.92)</f>
        <v>747.92</v>
      </c>
      <c r="I2229" s="7">
        <f>IFERROR(__xludf.DUMMYFUNCTION("""COMPUTED_VALUE"""),21.0)</f>
        <v>21</v>
      </c>
      <c r="J2229" s="6">
        <f>IFERROR(__xludf.DUMMYFUNCTION("""COMPUTED_VALUE"""),897.5)</f>
        <v>897.5</v>
      </c>
      <c r="K2229" s="6">
        <f>IFERROR(__xludf.DUMMYFUNCTION("""COMPUTED_VALUE"""),1047.09)</f>
        <v>1047.09</v>
      </c>
      <c r="L2229" s="3"/>
      <c r="M2229" s="3"/>
    </row>
    <row r="2230" ht="48.0" customHeight="1">
      <c r="A2230" s="3" t="str">
        <f>IFERROR(__xludf.DUMMYFUNCTION("""COMPUTED_VALUE"""),"VSCLIPPG2")</f>
        <v>VSCLIPPG2</v>
      </c>
      <c r="B2230" s="4" t="str">
        <f>IFERROR(__xludf.DUMMYFUNCTION("""COMPUTED_VALUE"""),"CLIP PG2")</f>
        <v>CLIP PG2</v>
      </c>
      <c r="C2230" s="4" t="str">
        <f>IFERROR(__xludf.DUMMYFUNCTION("""COMPUTED_VALUE"""),"Clip PG2 - Micro Pir, Solid Curtain")</f>
        <v>Clip PG2 - Micro Pir, Solid Curtain</v>
      </c>
      <c r="D2230" s="4" t="str">
        <f>IFERROR(__xludf.DUMMYFUNCTION("""COMPUTED_VALUE"""),"VISONIC")</f>
        <v>VISONIC</v>
      </c>
      <c r="E2230" s="4" t="str">
        <f>IFERROR(__xludf.DUMMYFUNCTION("""COMPUTED_VALUE"""),"VSCLIPPG2")</f>
        <v>VSCLIPPG2</v>
      </c>
      <c r="F2230" s="4" t="str">
        <f>IFERROR(__xludf.DUMMYFUNCTION("""COMPUTED_VALUE"""),"OUTLET &gt; PANELES INALAMBRICAS Y ACCESORIOS VISONIC")</f>
        <v>OUTLET &gt; PANELES INALAMBRICAS Y ACCESORIOS VISONIC</v>
      </c>
      <c r="G2230" s="5"/>
      <c r="H2230" s="6">
        <f>IFERROR(__xludf.DUMMYFUNCTION("""COMPUTED_VALUE"""),89.76)</f>
        <v>89.76</v>
      </c>
      <c r="I2230" s="7">
        <f>IFERROR(__xludf.DUMMYFUNCTION("""COMPUTED_VALUE"""),21.0)</f>
        <v>21</v>
      </c>
      <c r="J2230" s="6">
        <f>IFERROR(__xludf.DUMMYFUNCTION("""COMPUTED_VALUE"""),107.71)</f>
        <v>107.71</v>
      </c>
      <c r="K2230" s="6">
        <f>IFERROR(__xludf.DUMMYFUNCTION("""COMPUTED_VALUE"""),125.66)</f>
        <v>125.66</v>
      </c>
      <c r="L2230" s="3"/>
      <c r="M2230" s="3"/>
    </row>
    <row r="2231" ht="48.0" customHeight="1">
      <c r="A2231" s="3" t="str">
        <f>IFERROR(__xludf.DUMMYFUNCTION("""COMPUTED_VALUE"""),"VSKF234PG2")</f>
        <v>VSKF234PG2</v>
      </c>
      <c r="B2231" s="4" t="str">
        <f>IFERROR(__xludf.DUMMYFUNCTION("""COMPUTED_VALUE"""),"KF-234 PG2")</f>
        <v>KF-234 PG2</v>
      </c>
      <c r="C2231" s="4" t="str">
        <f>IFERROR(__xludf.DUMMYFUNCTION("""COMPUTED_VALUE"""),"KF-234 PG2 - KeyFob")</f>
        <v>KF-234 PG2 - KeyFob</v>
      </c>
      <c r="D2231" s="4" t="str">
        <f>IFERROR(__xludf.DUMMYFUNCTION("""COMPUTED_VALUE"""),"VISONIC")</f>
        <v>VISONIC</v>
      </c>
      <c r="E2231" s="4" t="str">
        <f>IFERROR(__xludf.DUMMYFUNCTION("""COMPUTED_VALUE"""),"VSKF234PG2")</f>
        <v>VSKF234PG2</v>
      </c>
      <c r="F2231" s="4" t="str">
        <f>IFERROR(__xludf.DUMMYFUNCTION("""COMPUTED_VALUE"""),"OUTLET &gt; PANELES INALAMBRICAS Y ACCESORIOS VISONIC")</f>
        <v>OUTLET &gt; PANELES INALAMBRICAS Y ACCESORIOS VISONIC</v>
      </c>
      <c r="G2231" s="5"/>
      <c r="H2231" s="6">
        <f>IFERROR(__xludf.DUMMYFUNCTION("""COMPUTED_VALUE"""),50.31)</f>
        <v>50.31</v>
      </c>
      <c r="I2231" s="7">
        <f>IFERROR(__xludf.DUMMYFUNCTION("""COMPUTED_VALUE"""),21.0)</f>
        <v>21</v>
      </c>
      <c r="J2231" s="6">
        <f>IFERROR(__xludf.DUMMYFUNCTION("""COMPUTED_VALUE"""),60.37)</f>
        <v>60.37</v>
      </c>
      <c r="K2231" s="6">
        <f>IFERROR(__xludf.DUMMYFUNCTION("""COMPUTED_VALUE"""),70.43)</f>
        <v>70.43</v>
      </c>
      <c r="L2231" s="3"/>
      <c r="M2231" s="3"/>
    </row>
    <row r="2232" ht="48.0" customHeight="1">
      <c r="A2232" s="3" t="str">
        <f>IFERROR(__xludf.DUMMYFUNCTION("""COMPUTED_VALUE"""),"VSMC302PG2")</f>
        <v>VSMC302PG2</v>
      </c>
      <c r="B2232" s="4" t="str">
        <f>IFERROR(__xludf.DUMMYFUNCTION("""COMPUTED_VALUE"""),"MC-302 PG2")</f>
        <v>MC-302 PG2</v>
      </c>
      <c r="C2232" s="4" t="str">
        <f>IFERROR(__xludf.DUMMYFUNCTION("""COMPUTED_VALUE"""),"MC-302 PG2 - Door/Window Magnetic Contact")</f>
        <v>MC-302 PG2 - Door/Window Magnetic Contact</v>
      </c>
      <c r="D2232" s="4" t="str">
        <f>IFERROR(__xludf.DUMMYFUNCTION("""COMPUTED_VALUE"""),"VISONIC")</f>
        <v>VISONIC</v>
      </c>
      <c r="E2232" s="4" t="str">
        <f>IFERROR(__xludf.DUMMYFUNCTION("""COMPUTED_VALUE"""),"VSMC302PG2")</f>
        <v>VSMC302PG2</v>
      </c>
      <c r="F2232" s="4" t="str">
        <f>IFERROR(__xludf.DUMMYFUNCTION("""COMPUTED_VALUE"""),"OUTLET &gt; PANELES INALAMBRICAS Y ACCESORIOS VISONIC")</f>
        <v>OUTLET &gt; PANELES INALAMBRICAS Y ACCESORIOS VISONIC</v>
      </c>
      <c r="G2232" s="5"/>
      <c r="H2232" s="6">
        <f>IFERROR(__xludf.DUMMYFUNCTION("""COMPUTED_VALUE"""),58.48)</f>
        <v>58.48</v>
      </c>
      <c r="I2232" s="7">
        <f>IFERROR(__xludf.DUMMYFUNCTION("""COMPUTED_VALUE"""),21.0)</f>
        <v>21</v>
      </c>
      <c r="J2232" s="6">
        <f>IFERROR(__xludf.DUMMYFUNCTION("""COMPUTED_VALUE"""),70.18)</f>
        <v>70.18</v>
      </c>
      <c r="K2232" s="6">
        <f>IFERROR(__xludf.DUMMYFUNCTION("""COMPUTED_VALUE"""),81.87)</f>
        <v>81.87</v>
      </c>
      <c r="L2232" s="3"/>
      <c r="M2232" s="3"/>
    </row>
    <row r="2233" ht="48.0" customHeight="1">
      <c r="A2233" s="3" t="str">
        <f>IFERROR(__xludf.DUMMYFUNCTION("""COMPUTED_VALUE"""),"VSMCT302EPG2")</f>
        <v>VSMCT302EPG2</v>
      </c>
      <c r="B2233" s="4" t="str">
        <f>IFERROR(__xludf.DUMMYFUNCTION("""COMPUTED_VALUE"""),"MC-302E PG2 DOOR/WINDOW MAGNETIC CONTACT + 1 AUX INPUT")</f>
        <v>MC-302E PG2 DOOR/WINDOW MAGNETIC CONTACT + 1 AUX INPUT</v>
      </c>
      <c r="C2233" s="4" t="str">
        <f>IFERROR(__xludf.DUMMYFUNCTION("""COMPUTED_VALUE"""),"MC-302E PG2 Door/Window Magnetic Contact + 1 AUX Input")</f>
        <v>MC-302E PG2 Door/Window Magnetic Contact + 1 AUX Input</v>
      </c>
      <c r="D2233" s="4" t="str">
        <f>IFERROR(__xludf.DUMMYFUNCTION("""COMPUTED_VALUE"""),"VISONIC")</f>
        <v>VISONIC</v>
      </c>
      <c r="E2233" s="4" t="str">
        <f>IFERROR(__xludf.DUMMYFUNCTION("""COMPUTED_VALUE"""),"VSMCT302EPG2")</f>
        <v>VSMCT302EPG2</v>
      </c>
      <c r="F2233" s="4" t="str">
        <f>IFERROR(__xludf.DUMMYFUNCTION("""COMPUTED_VALUE"""),"OUTLET &gt; PANELES INALAMBRICAS Y ACCESORIOS VISONIC")</f>
        <v>OUTLET &gt; PANELES INALAMBRICAS Y ACCESORIOS VISONIC</v>
      </c>
      <c r="G2233" s="5"/>
      <c r="H2233" s="6">
        <f>IFERROR(__xludf.DUMMYFUNCTION("""COMPUTED_VALUE"""),61.19)</f>
        <v>61.19</v>
      </c>
      <c r="I2233" s="7">
        <f>IFERROR(__xludf.DUMMYFUNCTION("""COMPUTED_VALUE"""),21.0)</f>
        <v>21</v>
      </c>
      <c r="J2233" s="6">
        <f>IFERROR(__xludf.DUMMYFUNCTION("""COMPUTED_VALUE"""),73.43)</f>
        <v>73.43</v>
      </c>
      <c r="K2233" s="6">
        <f>IFERROR(__xludf.DUMMYFUNCTION("""COMPUTED_VALUE"""),85.67)</f>
        <v>85.67</v>
      </c>
      <c r="L2233" s="3"/>
      <c r="M2233" s="3"/>
    </row>
    <row r="2234" ht="48.0" customHeight="1">
      <c r="A2234" s="3" t="str">
        <f>IFERROR(__xludf.DUMMYFUNCTION("""COMPUTED_VALUE"""),"VSSD304CPG2")</f>
        <v>VSSD304CPG2</v>
      </c>
      <c r="B2234" s="4" t="str">
        <f>IFERROR(__xludf.DUMMYFUNCTION("""COMPUTED_VALUE"""),"SD-304 PG2")</f>
        <v>SD-304 PG2</v>
      </c>
      <c r="C2234" s="4" t="str">
        <f>IFERROR(__xludf.DUMMYFUNCTION("""COMPUTED_VALUE"""),"SD-304 PG2 - Shock Detector (Only Work with Version 16 and Up)")</f>
        <v>SD-304 PG2 - Shock Detector (Only Work with Version 16 and Up)</v>
      </c>
      <c r="D2234" s="4" t="str">
        <f>IFERROR(__xludf.DUMMYFUNCTION("""COMPUTED_VALUE"""),"VISONIC")</f>
        <v>VISONIC</v>
      </c>
      <c r="E2234" s="4" t="str">
        <f>IFERROR(__xludf.DUMMYFUNCTION("""COMPUTED_VALUE"""),"VSSD304CPG2")</f>
        <v>VSSD304CPG2</v>
      </c>
      <c r="F2234" s="4" t="str">
        <f>IFERROR(__xludf.DUMMYFUNCTION("""COMPUTED_VALUE"""),"OUTLET &gt; PANELES INALAMBRICAS Y ACCESORIOS VISONIC")</f>
        <v>OUTLET &gt; PANELES INALAMBRICAS Y ACCESORIOS VISONIC</v>
      </c>
      <c r="G2234" s="5"/>
      <c r="H2234" s="6">
        <f>IFERROR(__xludf.DUMMYFUNCTION("""COMPUTED_VALUE"""),89.75)</f>
        <v>89.75</v>
      </c>
      <c r="I2234" s="7">
        <f>IFERROR(__xludf.DUMMYFUNCTION("""COMPUTED_VALUE"""),21.0)</f>
        <v>21</v>
      </c>
      <c r="J2234" s="6">
        <f>IFERROR(__xludf.DUMMYFUNCTION("""COMPUTED_VALUE"""),107.7)</f>
        <v>107.7</v>
      </c>
      <c r="K2234" s="6">
        <f>IFERROR(__xludf.DUMMYFUNCTION("""COMPUTED_VALUE"""),125.65)</f>
        <v>125.65</v>
      </c>
      <c r="L2234" s="3"/>
      <c r="M2234" s="3"/>
    </row>
    <row r="2235" ht="48.0" customHeight="1">
      <c r="A2235" s="3" t="str">
        <f>IFERROR(__xludf.DUMMYFUNCTION("""COMPUTED_VALUE"""),"VSKP140PG2")</f>
        <v>VSKP140PG2</v>
      </c>
      <c r="B2235" s="4" t="str">
        <f>IFERROR(__xludf.DUMMYFUNCTION("""COMPUTED_VALUE"""),"KP-140 PG2")</f>
        <v>KP-140 PG2</v>
      </c>
      <c r="C2235" s="4" t="str">
        <f>IFERROR(__xludf.DUMMYFUNCTION("""COMPUTED_VALUE"""),"KP-140 PG2 - Keypad without PROX")</f>
        <v>KP-140 PG2 - Keypad without PROX</v>
      </c>
      <c r="D2235" s="4" t="str">
        <f>IFERROR(__xludf.DUMMYFUNCTION("""COMPUTED_VALUE"""),"VISONIC")</f>
        <v>VISONIC</v>
      </c>
      <c r="E2235" s="4" t="str">
        <f>IFERROR(__xludf.DUMMYFUNCTION("""COMPUTED_VALUE"""),"VSKP140PG2")</f>
        <v>VSKP140PG2</v>
      </c>
      <c r="F2235" s="4" t="str">
        <f>IFERROR(__xludf.DUMMYFUNCTION("""COMPUTED_VALUE"""),"OUTLET &gt; PANELES INALAMBRICAS Y ACCESORIOS VISONIC")</f>
        <v>OUTLET &gt; PANELES INALAMBRICAS Y ACCESORIOS VISONIC</v>
      </c>
      <c r="G2235" s="5"/>
      <c r="H2235" s="6">
        <f>IFERROR(__xludf.DUMMYFUNCTION("""COMPUTED_VALUE"""),114.22)</f>
        <v>114.22</v>
      </c>
      <c r="I2235" s="7">
        <f>IFERROR(__xludf.DUMMYFUNCTION("""COMPUTED_VALUE"""),21.0)</f>
        <v>21</v>
      </c>
      <c r="J2235" s="6">
        <f>IFERROR(__xludf.DUMMYFUNCTION("""COMPUTED_VALUE"""),137.06)</f>
        <v>137.06</v>
      </c>
      <c r="K2235" s="6">
        <f>IFERROR(__xludf.DUMMYFUNCTION("""COMPUTED_VALUE"""),159.91)</f>
        <v>159.91</v>
      </c>
      <c r="L2235" s="3"/>
      <c r="M2235" s="3"/>
    </row>
    <row r="2236" ht="48.0" customHeight="1">
      <c r="A2236" s="3" t="str">
        <f>IFERROR(__xludf.DUMMYFUNCTION("""COMPUTED_VALUE"""),"VSKP141PG2")</f>
        <v>VSKP141PG2</v>
      </c>
      <c r="B2236" s="4" t="str">
        <f>IFERROR(__xludf.DUMMYFUNCTION("""COMPUTED_VALUE"""),"KP-141 PG2 -KEYPAD WITH PROX AND INCLUDING 2 PROX TAGS")</f>
        <v>KP-141 PG2 -KEYPAD WITH PROX AND INCLUDING 2 PROX TAGS</v>
      </c>
      <c r="C2236" s="4" t="str">
        <f>IFERROR(__xludf.DUMMYFUNCTION("""COMPUTED_VALUE"""),"KP-141 PG2 -Keypad with PROX and including 2 Prox tags")</f>
        <v>KP-141 PG2 -Keypad with PROX and including 2 Prox tags</v>
      </c>
      <c r="D2236" s="4" t="str">
        <f>IFERROR(__xludf.DUMMYFUNCTION("""COMPUTED_VALUE"""),"VISONIC")</f>
        <v>VISONIC</v>
      </c>
      <c r="E2236" s="4" t="str">
        <f>IFERROR(__xludf.DUMMYFUNCTION("""COMPUTED_VALUE"""),"VSKP141PG2")</f>
        <v>VSKP141PG2</v>
      </c>
      <c r="F2236" s="4" t="str">
        <f>IFERROR(__xludf.DUMMYFUNCTION("""COMPUTED_VALUE"""),"OUTLET &gt; PANELES INALAMBRICAS Y ACCESORIOS VISONIC")</f>
        <v>OUTLET &gt; PANELES INALAMBRICAS Y ACCESORIOS VISONIC</v>
      </c>
      <c r="G2236" s="5"/>
      <c r="H2236" s="6">
        <f>IFERROR(__xludf.DUMMYFUNCTION("""COMPUTED_VALUE"""),152.31)</f>
        <v>152.31</v>
      </c>
      <c r="I2236" s="7">
        <f>IFERROR(__xludf.DUMMYFUNCTION("""COMPUTED_VALUE"""),21.0)</f>
        <v>21</v>
      </c>
      <c r="J2236" s="6">
        <f>IFERROR(__xludf.DUMMYFUNCTION("""COMPUTED_VALUE"""),182.77)</f>
        <v>182.77</v>
      </c>
      <c r="K2236" s="6">
        <f>IFERROR(__xludf.DUMMYFUNCTION("""COMPUTED_VALUE"""),213.23)</f>
        <v>213.23</v>
      </c>
      <c r="L2236" s="3"/>
      <c r="M2236" s="3"/>
    </row>
    <row r="2237" ht="48.0" customHeight="1">
      <c r="A2237" s="3" t="str">
        <f>IFERROR(__xludf.DUMMYFUNCTION("""COMPUTED_VALUE"""),"VSFLD550PG2")</f>
        <v>VSFLD550PG2</v>
      </c>
      <c r="B2237" s="4" t="str">
        <f>IFERROR(__xludf.DUMMYFUNCTION("""COMPUTED_VALUE"""),"FLD-550 PG2")</f>
        <v>FLD-550 PG2</v>
      </c>
      <c r="C2237" s="4" t="str">
        <f>IFERROR(__xludf.DUMMYFUNCTION("""COMPUTED_VALUE"""),"FLD-550 PG2 - Flood Detector")</f>
        <v>FLD-550 PG2 - Flood Detector</v>
      </c>
      <c r="D2237" s="4" t="str">
        <f>IFERROR(__xludf.DUMMYFUNCTION("""COMPUTED_VALUE"""),"VISONIC")</f>
        <v>VISONIC</v>
      </c>
      <c r="E2237" s="4" t="str">
        <f>IFERROR(__xludf.DUMMYFUNCTION("""COMPUTED_VALUE"""),"VSFLD550PG2")</f>
        <v>VSFLD550PG2</v>
      </c>
      <c r="F2237" s="4" t="str">
        <f>IFERROR(__xludf.DUMMYFUNCTION("""COMPUTED_VALUE"""),"OUTLET &gt; PANELES INALAMBRICAS Y ACCESORIOS VISONIC")</f>
        <v>OUTLET &gt; PANELES INALAMBRICAS Y ACCESORIOS VISONIC</v>
      </c>
      <c r="G2237" s="5"/>
      <c r="H2237" s="6">
        <f>IFERROR(__xludf.DUMMYFUNCTION("""COMPUTED_VALUE"""),141.43)</f>
        <v>141.43</v>
      </c>
      <c r="I2237" s="7">
        <f>IFERROR(__xludf.DUMMYFUNCTION("""COMPUTED_VALUE"""),21.0)</f>
        <v>21</v>
      </c>
      <c r="J2237" s="6">
        <f>IFERROR(__xludf.DUMMYFUNCTION("""COMPUTED_VALUE"""),169.72)</f>
        <v>169.72</v>
      </c>
      <c r="K2237" s="6">
        <f>IFERROR(__xludf.DUMMYFUNCTION("""COMPUTED_VALUE"""),198.0)</f>
        <v>198</v>
      </c>
      <c r="L2237" s="3"/>
      <c r="M2237" s="3"/>
    </row>
    <row r="2238" ht="48.0" customHeight="1">
      <c r="A2238" s="3" t="str">
        <f>IFERROR(__xludf.DUMMYFUNCTION("""COMPUTED_VALUE"""),"VSTMD560PG2")</f>
        <v>VSTMD560PG2</v>
      </c>
      <c r="B2238" s="4" t="str">
        <f>IFERROR(__xludf.DUMMYFUNCTION("""COMPUTED_VALUE"""),"TDM-560 PG2")</f>
        <v>TDM-560 PG2</v>
      </c>
      <c r="C2238" s="4" t="str">
        <f>IFERROR(__xludf.DUMMYFUNCTION("""COMPUTED_VALUE"""),"TDM-560 PG2 - Temperature Detector")</f>
        <v>TDM-560 PG2 - Temperature Detector</v>
      </c>
      <c r="D2238" s="4" t="str">
        <f>IFERROR(__xludf.DUMMYFUNCTION("""COMPUTED_VALUE"""),"VISONIC")</f>
        <v>VISONIC</v>
      </c>
      <c r="E2238" s="4" t="str">
        <f>IFERROR(__xludf.DUMMYFUNCTION("""COMPUTED_VALUE"""),"VSTMD560PG2")</f>
        <v>VSTMD560PG2</v>
      </c>
      <c r="F2238" s="4" t="str">
        <f>IFERROR(__xludf.DUMMYFUNCTION("""COMPUTED_VALUE"""),"OUTLET &gt; PANELES INALAMBRICAS Y ACCESORIOS VISONIC")</f>
        <v>OUTLET &gt; PANELES INALAMBRICAS Y ACCESORIOS VISONIC</v>
      </c>
      <c r="G2238" s="5"/>
      <c r="H2238" s="6">
        <f>IFERROR(__xludf.DUMMYFUNCTION("""COMPUTED_VALUE"""),89.75)</f>
        <v>89.75</v>
      </c>
      <c r="I2238" s="7">
        <f>IFERROR(__xludf.DUMMYFUNCTION("""COMPUTED_VALUE"""),21.0)</f>
        <v>21</v>
      </c>
      <c r="J2238" s="6">
        <f>IFERROR(__xludf.DUMMYFUNCTION("""COMPUTED_VALUE"""),107.7)</f>
        <v>107.7</v>
      </c>
      <c r="K2238" s="6">
        <f>IFERROR(__xludf.DUMMYFUNCTION("""COMPUTED_VALUE"""),125.65)</f>
        <v>125.65</v>
      </c>
      <c r="L2238" s="3"/>
      <c r="M2238" s="3"/>
    </row>
    <row r="2239" ht="48.0" customHeight="1">
      <c r="A2239" s="3" t="str">
        <f>IFERROR(__xludf.DUMMYFUNCTION("""COMPUTED_VALUE"""),"VSRP600PG2")</f>
        <v>VSRP600PG2</v>
      </c>
      <c r="B2239" s="4" t="str">
        <f>IFERROR(__xludf.DUMMYFUNCTION("""COMPUTED_VALUE"""),"RP-600 PG2")</f>
        <v>RP-600 PG2</v>
      </c>
      <c r="C2239" s="4" t="str">
        <f>IFERROR(__xludf.DUMMYFUNCTION("""COMPUTED_VALUE"""),"RP-600 PG2 - Repeater")</f>
        <v>RP-600 PG2 - Repeater</v>
      </c>
      <c r="D2239" s="4" t="str">
        <f>IFERROR(__xludf.DUMMYFUNCTION("""COMPUTED_VALUE"""),"VISONIC")</f>
        <v>VISONIC</v>
      </c>
      <c r="E2239" s="4" t="str">
        <f>IFERROR(__xludf.DUMMYFUNCTION("""COMPUTED_VALUE"""),"VSRP600PG2")</f>
        <v>VSRP600PG2</v>
      </c>
      <c r="F2239" s="4" t="str">
        <f>IFERROR(__xludf.DUMMYFUNCTION("""COMPUTED_VALUE"""),"OUTLET &gt; PANELES INALAMBRICAS Y ACCESORIOS VISONIC")</f>
        <v>OUTLET &gt; PANELES INALAMBRICAS Y ACCESORIOS VISONIC</v>
      </c>
      <c r="G2239" s="5"/>
      <c r="H2239" s="6">
        <f>IFERROR(__xludf.DUMMYFUNCTION("""COMPUTED_VALUE"""),141.43)</f>
        <v>141.43</v>
      </c>
      <c r="I2239" s="7">
        <f>IFERROR(__xludf.DUMMYFUNCTION("""COMPUTED_VALUE"""),21.0)</f>
        <v>21</v>
      </c>
      <c r="J2239" s="6">
        <f>IFERROR(__xludf.DUMMYFUNCTION("""COMPUTED_VALUE"""),169.72)</f>
        <v>169.72</v>
      </c>
      <c r="K2239" s="6">
        <f>IFERROR(__xludf.DUMMYFUNCTION("""COMPUTED_VALUE"""),198.0)</f>
        <v>198</v>
      </c>
      <c r="L2239" s="3"/>
      <c r="M2239" s="3"/>
    </row>
    <row r="2240" ht="48.0" customHeight="1">
      <c r="A2240" s="3" t="str">
        <f>IFERROR(__xludf.DUMMYFUNCTION("""COMPUTED_VALUE"""),"GB501PG2")</f>
        <v>GB501PG2</v>
      </c>
      <c r="B2240" s="4" t="str">
        <f>IFERROR(__xludf.DUMMYFUNCTION("""COMPUTED_VALUE"""),"GB-501 PG2- GLASSBREAK DETECTOR")</f>
        <v>GB-501 PG2- GLASSBREAK DETECTOR</v>
      </c>
      <c r="C2240" s="4" t="str">
        <f>IFERROR(__xludf.DUMMYFUNCTION("""COMPUTED_VALUE"""),"GB-501 PG2- Glassbreak Detector")</f>
        <v>GB-501 PG2- Glassbreak Detector</v>
      </c>
      <c r="D2240" s="4" t="str">
        <f>IFERROR(__xludf.DUMMYFUNCTION("""COMPUTED_VALUE"""),"VISONIC")</f>
        <v>VISONIC</v>
      </c>
      <c r="E2240" s="4" t="str">
        <f>IFERROR(__xludf.DUMMYFUNCTION("""COMPUTED_VALUE"""),"GB501PG2")</f>
        <v>GB501PG2</v>
      </c>
      <c r="F2240" s="4" t="str">
        <f>IFERROR(__xludf.DUMMYFUNCTION("""COMPUTED_VALUE"""),"OUTLET &gt; PANELES INALAMBRICAS Y ACCESORIOS VISONIC")</f>
        <v>OUTLET &gt; PANELES INALAMBRICAS Y ACCESORIOS VISONIC</v>
      </c>
      <c r="G2240" s="5"/>
      <c r="H2240" s="6">
        <f>IFERROR(__xludf.DUMMYFUNCTION("""COMPUTED_VALUE"""),203.98)</f>
        <v>203.98</v>
      </c>
      <c r="I2240" s="7">
        <f>IFERROR(__xludf.DUMMYFUNCTION("""COMPUTED_VALUE"""),21.0)</f>
        <v>21</v>
      </c>
      <c r="J2240" s="6">
        <f>IFERROR(__xludf.DUMMYFUNCTION("""COMPUTED_VALUE"""),244.78)</f>
        <v>244.78</v>
      </c>
      <c r="K2240" s="6">
        <f>IFERROR(__xludf.DUMMYFUNCTION("""COMPUTED_VALUE"""),285.57)</f>
        <v>285.57</v>
      </c>
      <c r="L2240" s="3"/>
      <c r="M2240" s="3"/>
    </row>
    <row r="2241" ht="48.0" customHeight="1">
      <c r="A2241" s="3" t="str">
        <f>IFERROR(__xludf.DUMMYFUNCTION("""COMPUTED_VALUE"""),"VSTOWER32AMPG2")</f>
        <v>VSTOWER32AMPG2</v>
      </c>
      <c r="B2241" s="4" t="str">
        <f>IFERROR(__xludf.DUMMYFUNCTION("""COMPUTED_VALUE"""),"TOWER 32 AM")</f>
        <v>TOWER 32 AM</v>
      </c>
      <c r="C2241" s="4" t="str">
        <f>IFERROR(__xludf.DUMMYFUNCTION("""COMPUTED_VALUE"""),"Tower 32 AM - PG 2 - Detector Double Technology (Only Work with Version 16 and Up)")</f>
        <v>Tower 32 AM - PG 2 - Detector Double Technology (Only Work with Version 16 and Up)</v>
      </c>
      <c r="D2241" s="4" t="str">
        <f>IFERROR(__xludf.DUMMYFUNCTION("""COMPUTED_VALUE"""),"VISONIC")</f>
        <v>VISONIC</v>
      </c>
      <c r="E2241" s="4" t="str">
        <f>IFERROR(__xludf.DUMMYFUNCTION("""COMPUTED_VALUE"""),"VSTOWER32AMPG2")</f>
        <v>VSTOWER32AMPG2</v>
      </c>
      <c r="F2241" s="4" t="str">
        <f>IFERROR(__xludf.DUMMYFUNCTION("""COMPUTED_VALUE"""),"OUTLET &gt; PANELES INALAMBRICAS Y ACCESORIOS VISONIC")</f>
        <v>OUTLET &gt; PANELES INALAMBRICAS Y ACCESORIOS VISONIC</v>
      </c>
      <c r="G2241" s="5"/>
      <c r="H2241" s="6">
        <f>IFERROR(__xludf.DUMMYFUNCTION("""COMPUTED_VALUE"""),163.19)</f>
        <v>163.19</v>
      </c>
      <c r="I2241" s="7">
        <f>IFERROR(__xludf.DUMMYFUNCTION("""COMPUTED_VALUE"""),21.0)</f>
        <v>21</v>
      </c>
      <c r="J2241" s="6">
        <f>IFERROR(__xludf.DUMMYFUNCTION("""COMPUTED_VALUE"""),195.83)</f>
        <v>195.83</v>
      </c>
      <c r="K2241" s="6">
        <f>IFERROR(__xludf.DUMMYFUNCTION("""COMPUTED_VALUE"""),228.47)</f>
        <v>228.47</v>
      </c>
      <c r="L2241" s="3"/>
      <c r="M2241" s="3"/>
    </row>
    <row r="2242" ht="48.0" customHeight="1">
      <c r="A2242" s="3" t="str">
        <f>IFERROR(__xludf.DUMMYFUNCTION("""COMPUTED_VALUE"""),"VSTOWER20AMPG2")</f>
        <v>VSTOWER20AMPG2</v>
      </c>
      <c r="B2242" s="4" t="str">
        <f>IFERROR(__xludf.DUMMYFUNCTION("""COMPUTED_VALUE"""),"TOWER 20AM")</f>
        <v>TOWER 20AM</v>
      </c>
      <c r="C2242" s="4" t="str">
        <f>IFERROR(__xludf.DUMMYFUNCTION("""COMPUTED_VALUE"""),"TOWER 20AM - PG2 - Exterior Detector (Only Work with Version 16 and Up)")</f>
        <v>TOWER 20AM - PG2 - Exterior Detector (Only Work with Version 16 and Up)</v>
      </c>
      <c r="D2242" s="4" t="str">
        <f>IFERROR(__xludf.DUMMYFUNCTION("""COMPUTED_VALUE"""),"VISONIC")</f>
        <v>VISONIC</v>
      </c>
      <c r="E2242" s="4" t="str">
        <f>IFERROR(__xludf.DUMMYFUNCTION("""COMPUTED_VALUE"""),"VSTOWER20AMPG2")</f>
        <v>VSTOWER20AMPG2</v>
      </c>
      <c r="F2242" s="4" t="str">
        <f>IFERROR(__xludf.DUMMYFUNCTION("""COMPUTED_VALUE"""),"OUTLET &gt; PANELES INALAMBRICAS Y ACCESORIOS VISONIC")</f>
        <v>OUTLET &gt; PANELES INALAMBRICAS Y ACCESORIOS VISONIC</v>
      </c>
      <c r="G2242" s="5"/>
      <c r="H2242" s="6">
        <f>IFERROR(__xludf.DUMMYFUNCTION("""COMPUTED_VALUE"""),326.37)</f>
        <v>326.37</v>
      </c>
      <c r="I2242" s="7">
        <f>IFERROR(__xludf.DUMMYFUNCTION("""COMPUTED_VALUE"""),21.0)</f>
        <v>21</v>
      </c>
      <c r="J2242" s="6">
        <f>IFERROR(__xludf.DUMMYFUNCTION("""COMPUTED_VALUE"""),391.64)</f>
        <v>391.64</v>
      </c>
      <c r="K2242" s="6">
        <f>IFERROR(__xludf.DUMMYFUNCTION("""COMPUTED_VALUE"""),456.92)</f>
        <v>456.92</v>
      </c>
      <c r="L2242" s="3"/>
      <c r="M2242" s="3"/>
    </row>
    <row r="2243" ht="48.0" customHeight="1">
      <c r="A2243" s="3" t="str">
        <f>IFERROR(__xludf.DUMMYFUNCTION("""COMPUTED_VALUE"""),"VSSR730PG2")</f>
        <v>VSSR730PG2</v>
      </c>
      <c r="B2243" s="4" t="str">
        <f>IFERROR(__xludf.DUMMYFUNCTION("""COMPUTED_VALUE"""),"SR-730 PG2")</f>
        <v>SR-730 PG2</v>
      </c>
      <c r="C2243" s="4" t="str">
        <f>IFERROR(__xludf.DUMMYFUNCTION("""COMPUTED_VALUE"""),"SR-730 PG2 - Exterior Siren")</f>
        <v>SR-730 PG2 - Exterior Siren</v>
      </c>
      <c r="D2243" s="4" t="str">
        <f>IFERROR(__xludf.DUMMYFUNCTION("""COMPUTED_VALUE"""),"VISONIC")</f>
        <v>VISONIC</v>
      </c>
      <c r="E2243" s="4" t="str">
        <f>IFERROR(__xludf.DUMMYFUNCTION("""COMPUTED_VALUE"""),"VSSR730PG2")</f>
        <v>VSSR730PG2</v>
      </c>
      <c r="F2243" s="4" t="str">
        <f>IFERROR(__xludf.DUMMYFUNCTION("""COMPUTED_VALUE"""),"OUTLET &gt; PANELES INALAMBRICAS Y ACCESORIOS VISONIC")</f>
        <v>OUTLET &gt; PANELES INALAMBRICAS Y ACCESORIOS VISONIC</v>
      </c>
      <c r="G2243" s="5"/>
      <c r="H2243" s="6">
        <f>IFERROR(__xludf.DUMMYFUNCTION("""COMPUTED_VALUE"""),184.94)</f>
        <v>184.94</v>
      </c>
      <c r="I2243" s="7">
        <f>IFERROR(__xludf.DUMMYFUNCTION("""COMPUTED_VALUE"""),21.0)</f>
        <v>21</v>
      </c>
      <c r="J2243" s="6">
        <f>IFERROR(__xludf.DUMMYFUNCTION("""COMPUTED_VALUE"""),221.93)</f>
        <v>221.93</v>
      </c>
      <c r="K2243" s="6">
        <f>IFERROR(__xludf.DUMMYFUNCTION("""COMPUTED_VALUE"""),258.92)</f>
        <v>258.92</v>
      </c>
      <c r="L2243" s="3"/>
      <c r="M2243" s="3"/>
    </row>
    <row r="2244" ht="48.0" customHeight="1">
      <c r="A2244" s="3" t="str">
        <f>IFERROR(__xludf.DUMMYFUNCTION("""COMPUTED_VALUE"""),"VSSR720PG2")</f>
        <v>VSSR720PG2</v>
      </c>
      <c r="B2244" s="4" t="str">
        <f>IFERROR(__xludf.DUMMYFUNCTION("""COMPUTED_VALUE"""),"SR-720 PG2")</f>
        <v>SR-720 PG2</v>
      </c>
      <c r="C2244" s="4" t="str">
        <f>IFERROR(__xludf.DUMMYFUNCTION("""COMPUTED_VALUE"""),"SR-720 PG2 - Interior Siren")</f>
        <v>SR-720 PG2 - Interior Siren</v>
      </c>
      <c r="D2244" s="4" t="str">
        <f>IFERROR(__xludf.DUMMYFUNCTION("""COMPUTED_VALUE"""),"VISONIC")</f>
        <v>VISONIC</v>
      </c>
      <c r="E2244" s="4" t="str">
        <f>IFERROR(__xludf.DUMMYFUNCTION("""COMPUTED_VALUE"""),"VSSR720PG2")</f>
        <v>VSSR720PG2</v>
      </c>
      <c r="F2244" s="4" t="str">
        <f>IFERROR(__xludf.DUMMYFUNCTION("""COMPUTED_VALUE"""),"OUTLET &gt; PANELES INALAMBRICAS Y ACCESORIOS VISONIC")</f>
        <v>OUTLET &gt; PANELES INALAMBRICAS Y ACCESORIOS VISONIC</v>
      </c>
      <c r="G2244" s="5"/>
      <c r="H2244" s="6">
        <f>IFERROR(__xludf.DUMMYFUNCTION("""COMPUTED_VALUE"""),189.23)</f>
        <v>189.23</v>
      </c>
      <c r="I2244" s="7">
        <f>IFERROR(__xludf.DUMMYFUNCTION("""COMPUTED_VALUE"""),21.0)</f>
        <v>21</v>
      </c>
      <c r="J2244" s="6">
        <f>IFERROR(__xludf.DUMMYFUNCTION("""COMPUTED_VALUE"""),227.08)</f>
        <v>227.08</v>
      </c>
      <c r="K2244" s="6">
        <f>IFERROR(__xludf.DUMMYFUNCTION("""COMPUTED_VALUE"""),264.92)</f>
        <v>264.92</v>
      </c>
      <c r="L2244" s="3"/>
      <c r="M2244" s="3"/>
    </row>
    <row r="2245" ht="48.0" customHeight="1">
      <c r="A2245" s="3" t="str">
        <f>IFERROR(__xludf.DUMMYFUNCTION("""COMPUTED_VALUE"""),"VSKP160PG2")</f>
        <v>VSKP160PG2</v>
      </c>
      <c r="B2245" s="4" t="str">
        <f>IFERROR(__xludf.DUMMYFUNCTION("""COMPUTED_VALUE"""),"KP-160 PG2")</f>
        <v>KP-160 PG2</v>
      </c>
      <c r="C2245" s="4" t="str">
        <f>IFERROR(__xludf.DUMMYFUNCTION("""COMPUTED_VALUE"""),"KP-160 PG2 - Touchscreen")</f>
        <v>KP-160 PG2 - Touchscreen</v>
      </c>
      <c r="D2245" s="4" t="str">
        <f>IFERROR(__xludf.DUMMYFUNCTION("""COMPUTED_VALUE"""),"VISONIC")</f>
        <v>VISONIC</v>
      </c>
      <c r="E2245" s="4" t="str">
        <f>IFERROR(__xludf.DUMMYFUNCTION("""COMPUTED_VALUE"""),"VSKP160PG2")</f>
        <v>VSKP160PG2</v>
      </c>
      <c r="F2245" s="4" t="str">
        <f>IFERROR(__xludf.DUMMYFUNCTION("""COMPUTED_VALUE"""),"OUTLET &gt; PANELES INALAMBRICAS Y ACCESORIOS VISONIC")</f>
        <v>OUTLET &gt; PANELES INALAMBRICAS Y ACCESORIOS VISONIC</v>
      </c>
      <c r="G2245" s="5"/>
      <c r="H2245" s="6">
        <f>IFERROR(__xludf.DUMMYFUNCTION("""COMPUTED_VALUE"""),217.58)</f>
        <v>217.58</v>
      </c>
      <c r="I2245" s="7">
        <f>IFERROR(__xludf.DUMMYFUNCTION("""COMPUTED_VALUE"""),21.0)</f>
        <v>21</v>
      </c>
      <c r="J2245" s="6">
        <f>IFERROR(__xludf.DUMMYFUNCTION("""COMPUTED_VALUE"""),261.1)</f>
        <v>261.1</v>
      </c>
      <c r="K2245" s="6">
        <f>IFERROR(__xludf.DUMMYFUNCTION("""COMPUTED_VALUE"""),304.61)</f>
        <v>304.61</v>
      </c>
      <c r="L2245" s="3"/>
      <c r="M2245" s="3"/>
    </row>
    <row r="2246" ht="48.0" customHeight="1">
      <c r="A2246" s="3" t="str">
        <f>IFERROR(__xludf.DUMMYFUNCTION("""COMPUTED_VALUE"""),"HWWIP630")</f>
        <v>HWWIP630</v>
      </c>
      <c r="B2246" s="4" t="str">
        <f>IFERROR(__xludf.DUMMYFUNCTION("""COMPUTED_VALUE"""),"CENTRAL DE ALARMA INALÁMBRICA IP COM / 3G BACK-UP")</f>
        <v>CENTRAL DE ALARMA INALÁMBRICA IP COM / 3G BACK-UP</v>
      </c>
      <c r="C2246" s="4" t="str">
        <f>IFERROR(__xludf.DUMMYFUNCTION("""COMPUTED_VALUE"""),"Central de alarma inalámbrica IP Com / 3G Back-up /25 zonas / 4 Areas / 2 Particiones / 50 usuarios. SERIE-W")</f>
        <v>Central de alarma inalámbrica IP Com / 3G Back-up /25 zonas / 4 Areas / 2 Particiones / 50 usuarios. SERIE-W</v>
      </c>
      <c r="D2246" s="4" t="str">
        <f>IFERROR(__xludf.DUMMYFUNCTION("""COMPUTED_VALUE"""),"VIDEOFIED HONEYWELL")</f>
        <v>VIDEOFIED HONEYWELL</v>
      </c>
      <c r="E2246" s="4" t="str">
        <f>IFERROR(__xludf.DUMMYFUNCTION("""COMPUTED_VALUE"""),"HWWIP630")</f>
        <v>HWWIP630</v>
      </c>
      <c r="F2246" s="4" t="str">
        <f>IFERROR(__xludf.DUMMYFUNCTION("""COMPUTED_VALUE"""),"OUTLET &gt; ALARMAS HONEYWELL VIDEOFIED VIDEO VERIFICACION DE ALARMAS")</f>
        <v>OUTLET &gt; ALARMAS HONEYWELL VIDEOFIED VIDEO VERIFICACION DE ALARMAS</v>
      </c>
      <c r="G2246" s="5"/>
      <c r="H2246" s="6">
        <f>IFERROR(__xludf.DUMMYFUNCTION("""COMPUTED_VALUE"""),205.04)</f>
        <v>205.04</v>
      </c>
      <c r="I2246" s="7">
        <f>IFERROR(__xludf.DUMMYFUNCTION("""COMPUTED_VALUE"""),21.0)</f>
        <v>21</v>
      </c>
      <c r="J2246" s="6">
        <f>IFERROR(__xludf.DUMMYFUNCTION("""COMPUTED_VALUE"""),246.05)</f>
        <v>246.05</v>
      </c>
      <c r="K2246" s="6">
        <f>IFERROR(__xludf.DUMMYFUNCTION("""COMPUTED_VALUE"""),287.06)</f>
        <v>287.06</v>
      </c>
      <c r="L2246" s="3"/>
      <c r="M2246" s="3"/>
    </row>
    <row r="2247" ht="48.0" customHeight="1">
      <c r="A2247" s="3" t="str">
        <f>IFERROR(__xludf.DUMMYFUNCTION("""COMPUTED_VALUE"""),"HWIMV601")</f>
        <v>HWIMV601</v>
      </c>
      <c r="B2247" s="4" t="str">
        <f>IFERROR(__xludf.DUMMYFUNCTION("""COMPUTED_VALUE"""),"PIR CON CÁMARA INALÁMBRICA MOTIONVIEWER PARA MONTAJE INTERIOR")</f>
        <v>PIR CON CÁMARA INALÁMBRICA MOTIONVIEWER PARA MONTAJE INTERIOR</v>
      </c>
      <c r="C2247" s="4" t="str">
        <f>IFERROR(__xludf.DUMMYFUNCTION("""COMPUTED_VALUE"""),"PIR con cámara inalámbrica MotionViewer para montaje interior")</f>
        <v>PIR con cámara inalámbrica MotionViewer para montaje interior</v>
      </c>
      <c r="D2247" s="4" t="str">
        <f>IFERROR(__xludf.DUMMYFUNCTION("""COMPUTED_VALUE"""),"VIDEOFIED HONEYWELL")</f>
        <v>VIDEOFIED HONEYWELL</v>
      </c>
      <c r="E2247" s="4" t="str">
        <f>IFERROR(__xludf.DUMMYFUNCTION("""COMPUTED_VALUE"""),"HWIMV601")</f>
        <v>HWIMV601</v>
      </c>
      <c r="F2247" s="4" t="str">
        <f>IFERROR(__xludf.DUMMYFUNCTION("""COMPUTED_VALUE"""),"OUTLET &gt; ALARMAS HONEYWELL VIDEOFIED VIDEO VERIFICACION DE ALARMAS")</f>
        <v>OUTLET &gt; ALARMAS HONEYWELL VIDEOFIED VIDEO VERIFICACION DE ALARMAS</v>
      </c>
      <c r="G2247" s="5"/>
      <c r="H2247" s="6">
        <f>IFERROR(__xludf.DUMMYFUNCTION("""COMPUTED_VALUE"""),103.84)</f>
        <v>103.84</v>
      </c>
      <c r="I2247" s="7">
        <f>IFERROR(__xludf.DUMMYFUNCTION("""COMPUTED_VALUE"""),21.0)</f>
        <v>21</v>
      </c>
      <c r="J2247" s="6">
        <f>IFERROR(__xludf.DUMMYFUNCTION("""COMPUTED_VALUE"""),124.61)</f>
        <v>124.61</v>
      </c>
      <c r="K2247" s="6">
        <f>IFERROR(__xludf.DUMMYFUNCTION("""COMPUTED_VALUE"""),145.38)</f>
        <v>145.38</v>
      </c>
      <c r="L2247" s="3"/>
      <c r="M2247" s="3"/>
    </row>
    <row r="2248" ht="48.0" customHeight="1">
      <c r="A2248" s="3" t="str">
        <f>IFERROR(__xludf.DUMMYFUNCTION("""COMPUTED_VALUE"""),"HWWMB621")</f>
        <v>HWWMB621</v>
      </c>
      <c r="B2248" s="4" t="str">
        <f>IFERROR(__xludf.DUMMYFUNCTION("""COMPUTED_VALUE"""),"TECLADO INALÁMBRICO LCD ALPHA CON 3 BOTONES DE PÁNICO")</f>
        <v>TECLADO INALÁMBRICO LCD ALPHA CON 3 BOTONES DE PÁNICO</v>
      </c>
      <c r="C2248" s="4" t="str">
        <f>IFERROR(__xludf.DUMMYFUNCTION("""COMPUTED_VALUE"""),"Teclado inalámbrico LCD Alpha con 3 botones de pánico + Lector de RFID + 1 Tag")</f>
        <v>Teclado inalámbrico LCD Alpha con 3 botones de pánico + Lector de RFID + 1 Tag</v>
      </c>
      <c r="D2248" s="4" t="str">
        <f>IFERROR(__xludf.DUMMYFUNCTION("""COMPUTED_VALUE"""),"VIDEOFIED HONEYWELL")</f>
        <v>VIDEOFIED HONEYWELL</v>
      </c>
      <c r="E2248" s="4" t="str">
        <f>IFERROR(__xludf.DUMMYFUNCTION("""COMPUTED_VALUE"""),"HWWMB621")</f>
        <v>HWWMB621</v>
      </c>
      <c r="F2248" s="4" t="str">
        <f>IFERROR(__xludf.DUMMYFUNCTION("""COMPUTED_VALUE"""),"OUTLET &gt; ALARMAS HONEYWELL VIDEOFIED VIDEO VERIFICACION DE ALARMAS")</f>
        <v>OUTLET &gt; ALARMAS HONEYWELL VIDEOFIED VIDEO VERIFICACION DE ALARMAS</v>
      </c>
      <c r="G2248" s="5"/>
      <c r="H2248" s="6">
        <f>IFERROR(__xludf.DUMMYFUNCTION("""COMPUTED_VALUE"""),115.28)</f>
        <v>115.28</v>
      </c>
      <c r="I2248" s="7">
        <f>IFERROR(__xludf.DUMMYFUNCTION("""COMPUTED_VALUE"""),21.0)</f>
        <v>21</v>
      </c>
      <c r="J2248" s="6">
        <f>IFERROR(__xludf.DUMMYFUNCTION("""COMPUTED_VALUE"""),138.34)</f>
        <v>138.34</v>
      </c>
      <c r="K2248" s="6">
        <f>IFERROR(__xludf.DUMMYFUNCTION("""COMPUTED_VALUE"""),161.39)</f>
        <v>161.39</v>
      </c>
      <c r="L2248" s="3"/>
      <c r="M2248" s="3"/>
    </row>
    <row r="2249" ht="48.0" customHeight="1">
      <c r="A2249" s="3" t="str">
        <f>IFERROR(__xludf.DUMMYFUNCTION("""COMPUTED_VALUE"""),"HWIMD601")</f>
        <v>HWIMD601</v>
      </c>
      <c r="B2249" s="4" t="str">
        <f>IFERROR(__xludf.DUMMYFUNCTION("""COMPUTED_VALUE"""),"PIR INALÁMBRICO DE INTERIOR")</f>
        <v>PIR INALÁMBRICO DE INTERIOR</v>
      </c>
      <c r="C2249" s="4" t="str">
        <f>IFERROR(__xludf.DUMMYFUNCTION("""COMPUTED_VALUE"""),"PIR inalámbrico de interior")</f>
        <v>PIR inalámbrico de interior</v>
      </c>
      <c r="D2249" s="4" t="str">
        <f>IFERROR(__xludf.DUMMYFUNCTION("""COMPUTED_VALUE"""),"VIDEOFIED HONEYWELL")</f>
        <v>VIDEOFIED HONEYWELL</v>
      </c>
      <c r="E2249" s="4" t="str">
        <f>IFERROR(__xludf.DUMMYFUNCTION("""COMPUTED_VALUE"""),"HWIMD601")</f>
        <v>HWIMD601</v>
      </c>
      <c r="F2249" s="4" t="str">
        <f>IFERROR(__xludf.DUMMYFUNCTION("""COMPUTED_VALUE"""),"OUTLET &gt; ALARMAS HONEYWELL VIDEOFIED VIDEO VERIFICACION DE ALARMAS")</f>
        <v>OUTLET &gt; ALARMAS HONEYWELL VIDEOFIED VIDEO VERIFICACION DE ALARMAS</v>
      </c>
      <c r="G2249" s="5"/>
      <c r="H2249" s="6">
        <f>IFERROR(__xludf.DUMMYFUNCTION("""COMPUTED_VALUE"""),44.0)</f>
        <v>44</v>
      </c>
      <c r="I2249" s="7">
        <f>IFERROR(__xludf.DUMMYFUNCTION("""COMPUTED_VALUE"""),21.0)</f>
        <v>21</v>
      </c>
      <c r="J2249" s="6">
        <f>IFERROR(__xludf.DUMMYFUNCTION("""COMPUTED_VALUE"""),52.8)</f>
        <v>52.8</v>
      </c>
      <c r="K2249" s="6">
        <f>IFERROR(__xludf.DUMMYFUNCTION("""COMPUTED_VALUE"""),61.6)</f>
        <v>61.6</v>
      </c>
      <c r="L2249" s="3"/>
      <c r="M2249" s="3"/>
    </row>
    <row r="2250" ht="48.0" customHeight="1">
      <c r="A2250" s="3" t="str">
        <f>IFERROR(__xludf.DUMMYFUNCTION("""COMPUTED_VALUE"""),"HWIDC601")</f>
        <v>HWIDC601</v>
      </c>
      <c r="B2250" s="4" t="str">
        <f>IFERROR(__xludf.DUMMYFUNCTION("""COMPUTED_VALUE"""),"MAGNETICO INALÁMBRICO")</f>
        <v>MAGNETICO INALÁMBRICO</v>
      </c>
      <c r="C2250" s="4" t="str">
        <f>IFERROR(__xludf.DUMMYFUNCTION("""COMPUTED_VALUE"""),"Magnetico inalámbrico")</f>
        <v>Magnetico inalámbrico</v>
      </c>
      <c r="D2250" s="4" t="str">
        <f>IFERROR(__xludf.DUMMYFUNCTION("""COMPUTED_VALUE"""),"VIDEOFIED HONEYWELL")</f>
        <v>VIDEOFIED HONEYWELL</v>
      </c>
      <c r="E2250" s="4" t="str">
        <f>IFERROR(__xludf.DUMMYFUNCTION("""COMPUTED_VALUE"""),"HWIDC601")</f>
        <v>HWIDC601</v>
      </c>
      <c r="F2250" s="4" t="str">
        <f>IFERROR(__xludf.DUMMYFUNCTION("""COMPUTED_VALUE"""),"OUTLET &gt; ALARMAS HONEYWELL VIDEOFIED VIDEO VERIFICACION DE ALARMAS")</f>
        <v>OUTLET &gt; ALARMAS HONEYWELL VIDEOFIED VIDEO VERIFICACION DE ALARMAS</v>
      </c>
      <c r="G2250" s="5"/>
      <c r="H2250" s="6">
        <f>IFERROR(__xludf.DUMMYFUNCTION("""COMPUTED_VALUE"""),31.68)</f>
        <v>31.68</v>
      </c>
      <c r="I2250" s="7">
        <f>IFERROR(__xludf.DUMMYFUNCTION("""COMPUTED_VALUE"""),21.0)</f>
        <v>21</v>
      </c>
      <c r="J2250" s="6">
        <f>IFERROR(__xludf.DUMMYFUNCTION("""COMPUTED_VALUE"""),38.02)</f>
        <v>38.02</v>
      </c>
      <c r="K2250" s="6">
        <f>IFERROR(__xludf.DUMMYFUNCTION("""COMPUTED_VALUE"""),44.35)</f>
        <v>44.35</v>
      </c>
      <c r="L2250" s="3"/>
      <c r="M2250" s="3"/>
    </row>
    <row r="2251" ht="48.0" customHeight="1">
      <c r="A2251" s="3" t="str">
        <f>IFERROR(__xludf.DUMMYFUNCTION("""COMPUTED_VALUE"""),"HWKF641")</f>
        <v>HWKF641</v>
      </c>
      <c r="B2251" s="4" t="str">
        <f>IFERROR(__xludf.DUMMYFUNCTION("""COMPUTED_VALUE"""),"CONTROL REMOTO / 2-WAY COMMUNICATION")</f>
        <v>CONTROL REMOTO / 2-WAY COMMUNICATION</v>
      </c>
      <c r="C2251" s="4" t="str">
        <f>IFERROR(__xludf.DUMMYFUNCTION("""COMPUTED_VALUE"""),"Control remoto / 2-way communication")</f>
        <v>Control remoto / 2-way communication</v>
      </c>
      <c r="D2251" s="4" t="str">
        <f>IFERROR(__xludf.DUMMYFUNCTION("""COMPUTED_VALUE"""),"VIDEOFIED HONEYWELL")</f>
        <v>VIDEOFIED HONEYWELL</v>
      </c>
      <c r="E2251" s="4" t="str">
        <f>IFERROR(__xludf.DUMMYFUNCTION("""COMPUTED_VALUE"""),"HWKF641")</f>
        <v>HWKF641</v>
      </c>
      <c r="F2251" s="4" t="str">
        <f>IFERROR(__xludf.DUMMYFUNCTION("""COMPUTED_VALUE"""),"OUTLET &gt; ALARMAS HONEYWELL VIDEOFIED VIDEO VERIFICACION DE ALARMAS")</f>
        <v>OUTLET &gt; ALARMAS HONEYWELL VIDEOFIED VIDEO VERIFICACION DE ALARMAS</v>
      </c>
      <c r="G2251" s="5"/>
      <c r="H2251" s="6">
        <f>IFERROR(__xludf.DUMMYFUNCTION("""COMPUTED_VALUE"""),39.6)</f>
        <v>39.6</v>
      </c>
      <c r="I2251" s="7">
        <f>IFERROR(__xludf.DUMMYFUNCTION("""COMPUTED_VALUE"""),21.0)</f>
        <v>21</v>
      </c>
      <c r="J2251" s="6">
        <f>IFERROR(__xludf.DUMMYFUNCTION("""COMPUTED_VALUE"""),47.52)</f>
        <v>47.52</v>
      </c>
      <c r="K2251" s="6">
        <f>IFERROR(__xludf.DUMMYFUNCTION("""COMPUTED_VALUE"""),55.44)</f>
        <v>55.44</v>
      </c>
      <c r="L2251" s="3"/>
      <c r="M2251" s="3"/>
    </row>
    <row r="2252" ht="48.0" customHeight="1">
      <c r="A2252" s="3" t="str">
        <f>IFERROR(__xludf.DUMMYFUNCTION("""COMPUTED_VALUE"""),"HWWIS100")</f>
        <v>HWWIS100</v>
      </c>
      <c r="B2252" s="4" t="str">
        <f>IFERROR(__xludf.DUMMYFUNCTION("""COMPUTED_VALUE"""),"SIRENA INTERIOR CABLEADA PARA W SERIES PANEL")</f>
        <v>SIRENA INTERIOR CABLEADA PARA W SERIES PANEL</v>
      </c>
      <c r="C2252" s="4" t="str">
        <f>IFERROR(__xludf.DUMMYFUNCTION("""COMPUTED_VALUE"""),"Sirena interior cableada para W Series Panel")</f>
        <v>Sirena interior cableada para W Series Panel</v>
      </c>
      <c r="D2252" s="4" t="str">
        <f>IFERROR(__xludf.DUMMYFUNCTION("""COMPUTED_VALUE"""),"VIDEOFIED HONEYWELL")</f>
        <v>VIDEOFIED HONEYWELL</v>
      </c>
      <c r="E2252" s="4" t="str">
        <f>IFERROR(__xludf.DUMMYFUNCTION("""COMPUTED_VALUE"""),"HWWIS100")</f>
        <v>HWWIS100</v>
      </c>
      <c r="F2252" s="4" t="str">
        <f>IFERROR(__xludf.DUMMYFUNCTION("""COMPUTED_VALUE"""),"OUTLET &gt; ALARMAS HONEYWELL VIDEOFIED VIDEO VERIFICACION DE ALARMAS")</f>
        <v>OUTLET &gt; ALARMAS HONEYWELL VIDEOFIED VIDEO VERIFICACION DE ALARMAS</v>
      </c>
      <c r="G2252" s="5"/>
      <c r="H2252" s="6">
        <f>IFERROR(__xludf.DUMMYFUNCTION("""COMPUTED_VALUE"""),24.64)</f>
        <v>24.64</v>
      </c>
      <c r="I2252" s="7">
        <f>IFERROR(__xludf.DUMMYFUNCTION("""COMPUTED_VALUE"""),21.0)</f>
        <v>21</v>
      </c>
      <c r="J2252" s="6">
        <f>IFERROR(__xludf.DUMMYFUNCTION("""COMPUTED_VALUE"""),29.57)</f>
        <v>29.57</v>
      </c>
      <c r="K2252" s="6">
        <f>IFERROR(__xludf.DUMMYFUNCTION("""COMPUTED_VALUE"""),34.5)</f>
        <v>34.5</v>
      </c>
      <c r="L2252" s="3"/>
      <c r="M2252" s="3"/>
    </row>
    <row r="2253" ht="48.0" customHeight="1">
      <c r="A2253" s="3" t="str">
        <f>IFERROR(__xludf.DUMMYFUNCTION("""COMPUTED_VALUE"""),"HWVT100")</f>
        <v>HWVT100</v>
      </c>
      <c r="B2253" s="4" t="str">
        <f>IFERROR(__xludf.DUMMYFUNCTION("""COMPUTED_VALUE"""),"TAG DE PROXIMIDAD X 10 UNIDADES")</f>
        <v>TAG DE PROXIMIDAD X 10 UNIDADES</v>
      </c>
      <c r="C2253" s="4" t="str">
        <f>IFERROR(__xludf.DUMMYFUNCTION("""COMPUTED_VALUE"""),"Tag de proximidad x 10 unidades")</f>
        <v>Tag de proximidad x 10 unidades</v>
      </c>
      <c r="D2253" s="4" t="str">
        <f>IFERROR(__xludf.DUMMYFUNCTION("""COMPUTED_VALUE"""),"VIDEOFIED HONEYWELL")</f>
        <v>VIDEOFIED HONEYWELL</v>
      </c>
      <c r="E2253" s="4" t="str">
        <f>IFERROR(__xludf.DUMMYFUNCTION("""COMPUTED_VALUE"""),"HWVT100")</f>
        <v>HWVT100</v>
      </c>
      <c r="F2253" s="4" t="str">
        <f>IFERROR(__xludf.DUMMYFUNCTION("""COMPUTED_VALUE"""),"OUTLET &gt; ALARMAS HONEYWELL VIDEOFIED VIDEO VERIFICACION DE ALARMAS")</f>
        <v>OUTLET &gt; ALARMAS HONEYWELL VIDEOFIED VIDEO VERIFICACION DE ALARMAS</v>
      </c>
      <c r="G2253" s="5"/>
      <c r="H2253" s="6">
        <f>IFERROR(__xludf.DUMMYFUNCTION("""COMPUTED_VALUE"""),22.88)</f>
        <v>22.88</v>
      </c>
      <c r="I2253" s="7">
        <f>IFERROR(__xludf.DUMMYFUNCTION("""COMPUTED_VALUE"""),21.0)</f>
        <v>21</v>
      </c>
      <c r="J2253" s="6">
        <f>IFERROR(__xludf.DUMMYFUNCTION("""COMPUTED_VALUE"""),27.46)</f>
        <v>27.46</v>
      </c>
      <c r="K2253" s="6">
        <f>IFERROR(__xludf.DUMMYFUNCTION("""COMPUTED_VALUE"""),32.03)</f>
        <v>32.03</v>
      </c>
      <c r="L2253" s="3"/>
      <c r="M2253" s="3"/>
    </row>
    <row r="2254" ht="48.0" customHeight="1">
      <c r="A2254" s="3" t="str">
        <f>IFERROR(__xludf.DUMMYFUNCTION("""COMPUTED_VALUE"""),"AMBER")</f>
        <v>AMBER</v>
      </c>
      <c r="B2254" s="4" t="str">
        <f>IFERROR(__xludf.DUMMYFUNCTION("""COMPUTED_VALUE"""),"KIT PARA CUIDADO DE PERSONAS INALÁMBRICO CON ADMINISTRACIÓN REMOTA")</f>
        <v>KIT PARA CUIDADO DE PERSONAS INALÁMBRICO CON ADMINISTRACIÓN REMOTA</v>
      </c>
      <c r="C2254" s="4" t="str">
        <f>IFERROR(__xludf.DUMMYFUNCTION("""COMPUTED_VALUE"""),"Kit para cuidado de personas inalámbrico con administración remota. Incluye 1 MCT212, Transmisor para cuidado de personas para colgar a prueba de agua")</f>
        <v>Kit para cuidado de personas inalámbrico con administración remota. Incluye 1 MCT212, Transmisor para cuidado de personas para colgar a prueba de agua</v>
      </c>
      <c r="D2254" s="4" t="str">
        <f>IFERROR(__xludf.DUMMYFUNCTION("""COMPUTED_VALUE"""),"VISONIC")</f>
        <v>VISONIC</v>
      </c>
      <c r="E2254" s="4" t="str">
        <f>IFERROR(__xludf.DUMMYFUNCTION("""COMPUTED_VALUE"""),"AMBER")</f>
        <v>AMBER</v>
      </c>
      <c r="F2254" s="4" t="str">
        <f>IFERROR(__xludf.DUMMYFUNCTION("""COMPUTED_VALUE"""),"OUTLET &gt; PANELES PARA CUIDADO DE PERSONAS")</f>
        <v>OUTLET &gt; PANELES PARA CUIDADO DE PERSONAS</v>
      </c>
      <c r="G2254" s="5"/>
      <c r="H2254" s="6">
        <f>IFERROR(__xludf.DUMMYFUNCTION("""COMPUTED_VALUE"""),324.05)</f>
        <v>324.05</v>
      </c>
      <c r="I2254" s="7">
        <f>IFERROR(__xludf.DUMMYFUNCTION("""COMPUTED_VALUE"""),21.0)</f>
        <v>21</v>
      </c>
      <c r="J2254" s="6">
        <f>IFERROR(__xludf.DUMMYFUNCTION("""COMPUTED_VALUE"""),388.86)</f>
        <v>388.86</v>
      </c>
      <c r="K2254" s="6">
        <f>IFERROR(__xludf.DUMMYFUNCTION("""COMPUTED_VALUE"""),453.67)</f>
        <v>453.67</v>
      </c>
      <c r="L2254" s="3"/>
      <c r="M2254" s="3"/>
    </row>
    <row r="2255" ht="48.0" customHeight="1">
      <c r="A2255" s="3" t="str">
        <f>IFERROR(__xludf.DUMMYFUNCTION("""COMPUTED_VALUE"""),"VSMCT241PERS")</f>
        <v>VSMCT241PERS</v>
      </c>
      <c r="B2255" s="4" t="str">
        <f>IFERROR(__xludf.DUMMYFUNCTION("""COMPUTED_VALUE"""),"DETECTOR DE CAÍDAS")</f>
        <v>DETECTOR DE CAÍDAS</v>
      </c>
      <c r="C2255" s="4" t="str">
        <f>IFERROR(__xludf.DUMMYFUNCTION("""COMPUTED_VALUE"""),"Detector de caídas")</f>
        <v>Detector de caídas</v>
      </c>
      <c r="D2255" s="4" t="str">
        <f>IFERROR(__xludf.DUMMYFUNCTION("""COMPUTED_VALUE"""),"VISONIC")</f>
        <v>VISONIC</v>
      </c>
      <c r="E2255" s="4" t="str">
        <f>IFERROR(__xludf.DUMMYFUNCTION("""COMPUTED_VALUE"""),"VSMCT241PERS")</f>
        <v>VSMCT241PERS</v>
      </c>
      <c r="F2255" s="4" t="str">
        <f>IFERROR(__xludf.DUMMYFUNCTION("""COMPUTED_VALUE"""),"OUTLET &gt; PANELES PARA CUIDADO DE PERSONAS")</f>
        <v>OUTLET &gt; PANELES PARA CUIDADO DE PERSONAS</v>
      </c>
      <c r="G2255" s="5"/>
      <c r="H2255" s="6">
        <f>IFERROR(__xludf.DUMMYFUNCTION("""COMPUTED_VALUE"""),100.95)</f>
        <v>100.95</v>
      </c>
      <c r="I2255" s="7">
        <f>IFERROR(__xludf.DUMMYFUNCTION("""COMPUTED_VALUE"""),21.0)</f>
        <v>21</v>
      </c>
      <c r="J2255" s="6">
        <f>IFERROR(__xludf.DUMMYFUNCTION("""COMPUTED_VALUE"""),121.14)</f>
        <v>121.14</v>
      </c>
      <c r="K2255" s="6">
        <f>IFERROR(__xludf.DUMMYFUNCTION("""COMPUTED_VALUE"""),141.33)</f>
        <v>141.33</v>
      </c>
      <c r="L2255" s="3"/>
      <c r="M2255" s="3"/>
    </row>
    <row r="2256" ht="48.0" customHeight="1">
      <c r="A2256" s="3" t="str">
        <f>IFERROR(__xludf.DUMMYFUNCTION("""COMPUTED_VALUE"""),"PCX46PCB")</f>
        <v>PCX46PCB</v>
      </c>
      <c r="B2256" s="4" t="str">
        <f>IFERROR(__xludf.DUMMYFUNCTION("""COMPUTED_VALUE"""),"PANEL DE 8 ZONAS EXPANDIBLE DE 46 ZONAS, 32")</f>
        <v>PANEL DE 8 ZONAS EXPANDIBLE DE 46 ZONAS, 32</v>
      </c>
      <c r="C2256" s="4" t="str">
        <f>IFERROR(__xludf.DUMMYFUNCTION("""COMPUTED_VALUE"""),"Panel de 8 zonas expandible de 46 zonas, 32 entradas inalámbricas, 4 PGM, 100 codigos de usuarios y teclado LCD. No incluye comunicador. Deberá seleccionar entre DIGI-GSM, DIGI-1200 o DIGI-GPRS, incluye gabinete y transformador")</f>
        <v>Panel de 8 zonas expandible de 46 zonas, 32 entradas inalámbricas, 4 PGM, 100 codigos de usuarios y teclado LCD. No incluye comunicador. Deberá seleccionar entre DIGI-GSM, DIGI-1200 o DIGI-GPRS, incluye gabinete y transformador</v>
      </c>
      <c r="D2256" s="4" t="str">
        <f>IFERROR(__xludf.DUMMYFUNCTION("""COMPUTED_VALUE"""),"PYRONIX")</f>
        <v>PYRONIX</v>
      </c>
      <c r="E2256" s="4" t="str">
        <f>IFERROR(__xludf.DUMMYFUNCTION("""COMPUTED_VALUE"""),"PCX46PCB")</f>
        <v>PCX46PCB</v>
      </c>
      <c r="F2256" s="4" t="str">
        <f>IFERROR(__xludf.DUMMYFUNCTION("""COMPUTED_VALUE"""),"OUTLET &gt; ALARMAS PYRONIX LINEA MATRIX")</f>
        <v>OUTLET &gt; ALARMAS PYRONIX LINEA MATRIX</v>
      </c>
      <c r="G2256" s="5"/>
      <c r="H2256" s="6">
        <f>IFERROR(__xludf.DUMMYFUNCTION("""COMPUTED_VALUE"""),82.5)</f>
        <v>82.5</v>
      </c>
      <c r="I2256" s="7">
        <f>IFERROR(__xludf.DUMMYFUNCTION("""COMPUTED_VALUE"""),21.0)</f>
        <v>21</v>
      </c>
      <c r="J2256" s="6">
        <f>IFERROR(__xludf.DUMMYFUNCTION("""COMPUTED_VALUE"""),99.0)</f>
        <v>99</v>
      </c>
      <c r="K2256" s="6">
        <f>IFERROR(__xludf.DUMMYFUNCTION("""COMPUTED_VALUE"""),115.5)</f>
        <v>115.5</v>
      </c>
      <c r="L2256" s="3"/>
      <c r="M2256" s="3"/>
    </row>
    <row r="2257" ht="48.0" customHeight="1">
      <c r="A2257" s="3" t="str">
        <f>IFERROR(__xludf.DUMMYFUNCTION("""COMPUTED_VALUE"""),"MXVOICE")</f>
        <v>MXVOICE</v>
      </c>
      <c r="B2257" s="4" t="str">
        <f>IFERROR(__xludf.DUMMYFUNCTION("""COMPUTED_VALUE"""),"MODULO VOZ Y DISCADOR TELEFONICO PARA MATRIX 6 DE 8 MENSAJES")</f>
        <v>MODULO VOZ Y DISCADOR TELEFONICO PARA MATRIX 6 DE 8 MENSAJES</v>
      </c>
      <c r="C2257" s="4" t="str">
        <f>IFERROR(__xludf.DUMMYFUNCTION("""COMPUTED_VALUE"""),"Modulo voz y discador telefonico para Matrix 6 de 8 mensajes")</f>
        <v>Modulo voz y discador telefonico para Matrix 6 de 8 mensajes</v>
      </c>
      <c r="D2257" s="4" t="str">
        <f>IFERROR(__xludf.DUMMYFUNCTION("""COMPUTED_VALUE"""),"PYRONIX")</f>
        <v>PYRONIX</v>
      </c>
      <c r="E2257" s="4" t="str">
        <f>IFERROR(__xludf.DUMMYFUNCTION("""COMPUTED_VALUE"""),"MXVOICE")</f>
        <v>MXVOICE</v>
      </c>
      <c r="F2257" s="4" t="str">
        <f>IFERROR(__xludf.DUMMYFUNCTION("""COMPUTED_VALUE"""),"OUTLET &gt; ALARMAS PYRONIX LINEA MATRIX")</f>
        <v>OUTLET &gt; ALARMAS PYRONIX LINEA MATRIX</v>
      </c>
      <c r="G2257" s="5"/>
      <c r="H2257" s="6">
        <f>IFERROR(__xludf.DUMMYFUNCTION("""COMPUTED_VALUE"""),29.65)</f>
        <v>29.65</v>
      </c>
      <c r="I2257" s="7">
        <f>IFERROR(__xludf.DUMMYFUNCTION("""COMPUTED_VALUE"""),21.0)</f>
        <v>21</v>
      </c>
      <c r="J2257" s="6">
        <f>IFERROR(__xludf.DUMMYFUNCTION("""COMPUTED_VALUE"""),35.58)</f>
        <v>35.58</v>
      </c>
      <c r="K2257" s="6">
        <f>IFERROR(__xludf.DUMMYFUNCTION("""COMPUTED_VALUE"""),41.51)</f>
        <v>41.51</v>
      </c>
      <c r="L2257" s="3"/>
      <c r="M2257" s="3"/>
    </row>
    <row r="2258" ht="48.0" customHeight="1">
      <c r="A2258" s="3" t="str">
        <f>IFERROR(__xludf.DUMMYFUNCTION("""COMPUTED_VALUE"""),"MX1X16")</f>
        <v>MX1X16</v>
      </c>
      <c r="B2258" s="4" t="str">
        <f>IFERROR(__xludf.DUMMYFUNCTION("""COMPUTED_VALUE"""),"MÓDULO EXPANSOR P/ PANEL MATRIX 8 ZONAS ADICIONALES DUPLICABLES")</f>
        <v>MÓDULO EXPANSOR P/ PANEL MATRIX 8 ZONAS ADICIONALES DUPLICABLES</v>
      </c>
      <c r="C2258" s="4" t="str">
        <f>IFERROR(__xludf.DUMMYFUNCTION("""COMPUTED_VALUE"""),"Módulo expansor p/ panel MATRIX 8 zonas adicionales duplicables")</f>
        <v>Módulo expansor p/ panel MATRIX 8 zonas adicionales duplicables</v>
      </c>
      <c r="D2258" s="4" t="str">
        <f>IFERROR(__xludf.DUMMYFUNCTION("""COMPUTED_VALUE"""),"PYRONIX")</f>
        <v>PYRONIX</v>
      </c>
      <c r="E2258" s="4" t="str">
        <f>IFERROR(__xludf.DUMMYFUNCTION("""COMPUTED_VALUE"""),"MX1X16")</f>
        <v>MX1X16</v>
      </c>
      <c r="F2258" s="4" t="str">
        <f>IFERROR(__xludf.DUMMYFUNCTION("""COMPUTED_VALUE"""),"OUTLET &gt; ALARMAS PYRONIX LINEA MATRIX")</f>
        <v>OUTLET &gt; ALARMAS PYRONIX LINEA MATRIX</v>
      </c>
      <c r="G2258" s="5"/>
      <c r="H2258" s="6">
        <f>IFERROR(__xludf.DUMMYFUNCTION("""COMPUTED_VALUE"""),22.0)</f>
        <v>22</v>
      </c>
      <c r="I2258" s="7">
        <f>IFERROR(__xludf.DUMMYFUNCTION("""COMPUTED_VALUE"""),21.0)</f>
        <v>21</v>
      </c>
      <c r="J2258" s="6">
        <f>IFERROR(__xludf.DUMMYFUNCTION("""COMPUTED_VALUE"""),26.4)</f>
        <v>26.4</v>
      </c>
      <c r="K2258" s="6">
        <f>IFERROR(__xludf.DUMMYFUNCTION("""COMPUTED_VALUE"""),30.8)</f>
        <v>30.8</v>
      </c>
      <c r="L2258" s="3"/>
      <c r="M2258" s="3"/>
    </row>
    <row r="2259" ht="48.0" customHeight="1">
      <c r="A2259" s="3" t="str">
        <f>IFERROR(__xludf.DUMMYFUNCTION("""COMPUTED_VALUE"""),"MXPROX")</f>
        <v>MXPROX</v>
      </c>
      <c r="B2259" s="4" t="str">
        <f>IFERROR(__xludf.DUMMYFUNCTION("""COMPUTED_VALUE"""),"LECTORA DE PROXIMIDAD PARA PANELES MATRIX")</f>
        <v>LECTORA DE PROXIMIDAD PARA PANELES MATRIX</v>
      </c>
      <c r="C2259" s="4" t="str">
        <f>IFERROR(__xludf.DUMMYFUNCTION("""COMPUTED_VALUE"""),"Lectora de proximidad para paneles MATRIX")</f>
        <v>Lectora de proximidad para paneles MATRIX</v>
      </c>
      <c r="D2259" s="4" t="str">
        <f>IFERROR(__xludf.DUMMYFUNCTION("""COMPUTED_VALUE"""),"PYRONIX")</f>
        <v>PYRONIX</v>
      </c>
      <c r="E2259" s="4" t="str">
        <f>IFERROR(__xludf.DUMMYFUNCTION("""COMPUTED_VALUE"""),"MXPROX")</f>
        <v>MXPROX</v>
      </c>
      <c r="F2259" s="4" t="str">
        <f>IFERROR(__xludf.DUMMYFUNCTION("""COMPUTED_VALUE"""),"OUTLET &gt; ALARMAS PYRONIX LINEA MATRIX")</f>
        <v>OUTLET &gt; ALARMAS PYRONIX LINEA MATRIX</v>
      </c>
      <c r="G2259" s="5"/>
      <c r="H2259" s="6">
        <f>IFERROR(__xludf.DUMMYFUNCTION("""COMPUTED_VALUE"""),35.64)</f>
        <v>35.64</v>
      </c>
      <c r="I2259" s="7">
        <f>IFERROR(__xludf.DUMMYFUNCTION("""COMPUTED_VALUE"""),21.0)</f>
        <v>21</v>
      </c>
      <c r="J2259" s="6">
        <f>IFERROR(__xludf.DUMMYFUNCTION("""COMPUTED_VALUE"""),42.77)</f>
        <v>42.77</v>
      </c>
      <c r="K2259" s="6">
        <f>IFERROR(__xludf.DUMMYFUNCTION("""COMPUTED_VALUE"""),49.9)</f>
        <v>49.9</v>
      </c>
      <c r="L2259" s="3"/>
      <c r="M2259" s="3"/>
    </row>
    <row r="2260" ht="48.0" customHeight="1">
      <c r="A2260" s="3" t="str">
        <f>IFERROR(__xludf.DUMMYFUNCTION("""COMPUTED_VALUE"""),"MXRIX")</f>
        <v>MXRIX</v>
      </c>
      <c r="B2260" s="4" t="str">
        <f>IFERROR(__xludf.DUMMYFUNCTION("""COMPUTED_VALUE"""),"EXPANSOR DE 8 ZONAS REMOTO CON ANALIZADOR DE ZONAS")</f>
        <v>EXPANSOR DE 8 ZONAS REMOTO CON ANALIZADOR DE ZONAS</v>
      </c>
      <c r="C2260" s="4" t="str">
        <f>IFERROR(__xludf.DUMMYFUNCTION("""COMPUTED_VALUE"""),"Expansor de 8 zonas remoto con analizador de zonas apto sensores sísmicos. Solo para uso de Matrix 424 y 832.")</f>
        <v>Expansor de 8 zonas remoto con analizador de zonas apto sensores sísmicos. Solo para uso de Matrix 424 y 832.</v>
      </c>
      <c r="D2260" s="4" t="str">
        <f>IFERROR(__xludf.DUMMYFUNCTION("""COMPUTED_VALUE"""),"PYRONIX")</f>
        <v>PYRONIX</v>
      </c>
      <c r="E2260" s="4" t="str">
        <f>IFERROR(__xludf.DUMMYFUNCTION("""COMPUTED_VALUE"""),"MXRIX")</f>
        <v>MXRIX</v>
      </c>
      <c r="F2260" s="4" t="str">
        <f>IFERROR(__xludf.DUMMYFUNCTION("""COMPUTED_VALUE"""),"OUTLET &gt; ALARMAS PYRONIX LINEA MATRIX")</f>
        <v>OUTLET &gt; ALARMAS PYRONIX LINEA MATRIX</v>
      </c>
      <c r="G2260" s="5"/>
      <c r="H2260" s="6">
        <f>IFERROR(__xludf.DUMMYFUNCTION("""COMPUTED_VALUE"""),22.0)</f>
        <v>22</v>
      </c>
      <c r="I2260" s="7">
        <f>IFERROR(__xludf.DUMMYFUNCTION("""COMPUTED_VALUE"""),21.0)</f>
        <v>21</v>
      </c>
      <c r="J2260" s="6">
        <f>IFERROR(__xludf.DUMMYFUNCTION("""COMPUTED_VALUE"""),26.4)</f>
        <v>26.4</v>
      </c>
      <c r="K2260" s="6">
        <f>IFERROR(__xludf.DUMMYFUNCTION("""COMPUTED_VALUE"""),30.8)</f>
        <v>30.8</v>
      </c>
      <c r="L2260" s="3"/>
      <c r="M2260" s="3"/>
    </row>
    <row r="2261" ht="48.0" customHeight="1">
      <c r="A2261" s="3" t="str">
        <f>IFERROR(__xludf.DUMMYFUNCTION("""COMPUTED_VALUE"""),"MXRIX8DW")</f>
        <v>MXRIX8DW</v>
      </c>
      <c r="B2261" s="4" t="str">
        <f>IFERROR(__xludf.DUMMYFUNCTION("""COMPUTED_VALUE"""),"EXPANSOR DE ZONAS REMOTO INALÁMBRICO PARA MATRIX 424 / 832")</f>
        <v>EXPANSOR DE ZONAS REMOTO INALÁMBRICO PARA MATRIX 424 / 832</v>
      </c>
      <c r="C2261" s="4" t="str">
        <f>IFERROR(__xludf.DUMMYFUNCTION("""COMPUTED_VALUE"""),"Expansor de zonas remoto inalámbrico para Matrix 424 / 832")</f>
        <v>Expansor de zonas remoto inalámbrico para Matrix 424 / 832</v>
      </c>
      <c r="D2261" s="4" t="str">
        <f>IFERROR(__xludf.DUMMYFUNCTION("""COMPUTED_VALUE"""),"PYRONIX")</f>
        <v>PYRONIX</v>
      </c>
      <c r="E2261" s="4" t="str">
        <f>IFERROR(__xludf.DUMMYFUNCTION("""COMPUTED_VALUE"""),"MXRIX8DW")</f>
        <v>MXRIX8DW</v>
      </c>
      <c r="F2261" s="4" t="str">
        <f>IFERROR(__xludf.DUMMYFUNCTION("""COMPUTED_VALUE"""),"OUTLET &gt; ALARMAS PYRONIX LINEA MATRIX")</f>
        <v>OUTLET &gt; ALARMAS PYRONIX LINEA MATRIX</v>
      </c>
      <c r="G2261" s="5"/>
      <c r="H2261" s="6">
        <f>IFERROR(__xludf.DUMMYFUNCTION("""COMPUTED_VALUE"""),22.0)</f>
        <v>22</v>
      </c>
      <c r="I2261" s="7">
        <f>IFERROR(__xludf.DUMMYFUNCTION("""COMPUTED_VALUE"""),21.0)</f>
        <v>21</v>
      </c>
      <c r="J2261" s="6">
        <f>IFERROR(__xludf.DUMMYFUNCTION("""COMPUTED_VALUE"""),26.4)</f>
        <v>26.4</v>
      </c>
      <c r="K2261" s="6">
        <f>IFERROR(__xludf.DUMMYFUNCTION("""COMPUTED_VALUE"""),30.8)</f>
        <v>30.8</v>
      </c>
      <c r="L2261" s="3"/>
      <c r="M2261" s="3"/>
    </row>
    <row r="2262" ht="48.0" customHeight="1">
      <c r="A2262" s="3" t="str">
        <f>IFERROR(__xludf.DUMMYFUNCTION("""COMPUTED_VALUE"""),"MXKF4DW")</f>
        <v>MXKF4DW</v>
      </c>
      <c r="B2262" s="4" t="str">
        <f>IFERROR(__xludf.DUMMYFUNCTION("""COMPUTED_VALUE"""),"TRANMISOR INALAMBRICO 4 BOTONES")</f>
        <v>TRANMISOR INALAMBRICO 4 BOTONES</v>
      </c>
      <c r="C2262" s="4" t="str">
        <f>IFERROR(__xludf.DUMMYFUNCTION("""COMPUTED_VALUE"""),"Tranmisor Inalambrico 4 botones")</f>
        <v>Tranmisor Inalambrico 4 botones</v>
      </c>
      <c r="D2262" s="4" t="str">
        <f>IFERROR(__xludf.DUMMYFUNCTION("""COMPUTED_VALUE"""),"PYRONIX")</f>
        <v>PYRONIX</v>
      </c>
      <c r="E2262" s="4" t="str">
        <f>IFERROR(__xludf.DUMMYFUNCTION("""COMPUTED_VALUE"""),"MXKF4DW")</f>
        <v>MXKF4DW</v>
      </c>
      <c r="F2262" s="4" t="str">
        <f>IFERROR(__xludf.DUMMYFUNCTION("""COMPUTED_VALUE"""),"OUTLET &gt; ALARMAS PYRONIX LINEA MATRIX")</f>
        <v>OUTLET &gt; ALARMAS PYRONIX LINEA MATRIX</v>
      </c>
      <c r="G2262" s="5"/>
      <c r="H2262" s="6">
        <f>IFERROR(__xludf.DUMMYFUNCTION("""COMPUTED_VALUE"""),8.25)</f>
        <v>8.25</v>
      </c>
      <c r="I2262" s="7">
        <f>IFERROR(__xludf.DUMMYFUNCTION("""COMPUTED_VALUE"""),21.0)</f>
        <v>21</v>
      </c>
      <c r="J2262" s="6">
        <f>IFERROR(__xludf.DUMMYFUNCTION("""COMPUTED_VALUE"""),9.9)</f>
        <v>9.9</v>
      </c>
      <c r="K2262" s="6">
        <f>IFERROR(__xludf.DUMMYFUNCTION("""COMPUTED_VALUE"""),11.55)</f>
        <v>11.55</v>
      </c>
      <c r="L2262" s="3"/>
      <c r="M2262" s="3"/>
    </row>
    <row r="2263" ht="48.0" customHeight="1">
      <c r="A2263" s="3" t="str">
        <f>IFERROR(__xludf.DUMMYFUNCTION("""COMPUTED_VALUE"""),"UT3DW")</f>
        <v>UT3DW</v>
      </c>
      <c r="B2263" s="4" t="str">
        <f>IFERROR(__xludf.DUMMYFUNCTION("""COMPUTED_VALUE"""),"TRANSMISOR UNIVERSAL PARA MATRIX 424, 832")</f>
        <v>TRANSMISOR UNIVERSAL PARA MATRIX 424, 832</v>
      </c>
      <c r="C2263" s="4" t="str">
        <f>IFERROR(__xludf.DUMMYFUNCTION("""COMPUTED_VALUE"""),"Transmisor universal para Matrix 424, 832.")</f>
        <v>Transmisor universal para Matrix 424, 832.</v>
      </c>
      <c r="D2263" s="4" t="str">
        <f>IFERROR(__xludf.DUMMYFUNCTION("""COMPUTED_VALUE"""),"PYRONIX")</f>
        <v>PYRONIX</v>
      </c>
      <c r="E2263" s="4" t="str">
        <f>IFERROR(__xludf.DUMMYFUNCTION("""COMPUTED_VALUE"""),"UT3DW")</f>
        <v>UT3DW</v>
      </c>
      <c r="F2263" s="4" t="str">
        <f>IFERROR(__xludf.DUMMYFUNCTION("""COMPUTED_VALUE"""),"OUTLET &gt; ALARMAS PYRONIX LINEA MATRIX")</f>
        <v>OUTLET &gt; ALARMAS PYRONIX LINEA MATRIX</v>
      </c>
      <c r="G2263" s="5"/>
      <c r="H2263" s="6">
        <f>IFERROR(__xludf.DUMMYFUNCTION("""COMPUTED_VALUE"""),8.25)</f>
        <v>8.25</v>
      </c>
      <c r="I2263" s="7">
        <f>IFERROR(__xludf.DUMMYFUNCTION("""COMPUTED_VALUE"""),21.0)</f>
        <v>21</v>
      </c>
      <c r="J2263" s="6">
        <f>IFERROR(__xludf.DUMMYFUNCTION("""COMPUTED_VALUE"""),9.9)</f>
        <v>9.9</v>
      </c>
      <c r="K2263" s="6">
        <f>IFERROR(__xludf.DUMMYFUNCTION("""COMPUTED_VALUE"""),11.55)</f>
        <v>11.55</v>
      </c>
      <c r="L2263" s="3"/>
      <c r="M2263" s="3"/>
    </row>
    <row r="2264" ht="48.0" customHeight="1">
      <c r="A2264" s="3" t="str">
        <f>IFERROR(__xludf.DUMMYFUNCTION("""COMPUTED_VALUE"""),"MXLCD")</f>
        <v>MXLCD</v>
      </c>
      <c r="B2264" s="4" t="str">
        <f>IFERROR(__xludf.DUMMYFUNCTION("""COMPUTED_VALUE"""),"TECLADO ADICIONAL LCD PARA MATRIX 424 / 832")</f>
        <v>TECLADO ADICIONAL LCD PARA MATRIX 424 / 832</v>
      </c>
      <c r="C2264" s="4" t="str">
        <f>IFERROR(__xludf.DUMMYFUNCTION("""COMPUTED_VALUE"""),"Teclado adicional LCD para MATRIX 424 / 832")</f>
        <v>Teclado adicional LCD para MATRIX 424 / 832</v>
      </c>
      <c r="D2264" s="4" t="str">
        <f>IFERROR(__xludf.DUMMYFUNCTION("""COMPUTED_VALUE"""),"PYRONIX")</f>
        <v>PYRONIX</v>
      </c>
      <c r="E2264" s="4" t="str">
        <f>IFERROR(__xludf.DUMMYFUNCTION("""COMPUTED_VALUE"""),"MXLCD")</f>
        <v>MXLCD</v>
      </c>
      <c r="F2264" s="4" t="str">
        <f>IFERROR(__xludf.DUMMYFUNCTION("""COMPUTED_VALUE"""),"OUTLET &gt; ALARMAS PYRONIX LINEA MATRIX")</f>
        <v>OUTLET &gt; ALARMAS PYRONIX LINEA MATRIX</v>
      </c>
      <c r="G2264" s="5"/>
      <c r="H2264" s="6">
        <f>IFERROR(__xludf.DUMMYFUNCTION("""COMPUTED_VALUE"""),38.5)</f>
        <v>38.5</v>
      </c>
      <c r="I2264" s="7">
        <f>IFERROR(__xludf.DUMMYFUNCTION("""COMPUTED_VALUE"""),10.5)</f>
        <v>10.5</v>
      </c>
      <c r="J2264" s="6">
        <f>IFERROR(__xludf.DUMMYFUNCTION("""COMPUTED_VALUE"""),46.2)</f>
        <v>46.2</v>
      </c>
      <c r="K2264" s="6">
        <f>IFERROR(__xludf.DUMMYFUNCTION("""COMPUTED_VALUE"""),53.9)</f>
        <v>53.9</v>
      </c>
      <c r="L2264" s="3"/>
      <c r="M2264" s="3"/>
    </row>
    <row r="2265" ht="48.0" customHeight="1">
      <c r="A2265" s="3" t="str">
        <f>IFERROR(__xludf.DUMMYFUNCTION("""COMPUTED_VALUE"""),"MXICON")</f>
        <v>MXICON</v>
      </c>
      <c r="B2265" s="4" t="str">
        <f>IFERROR(__xludf.DUMMYFUNCTION("""COMPUTED_VALUE"""),"TECLADO ADICIONAL LCD DE ICONOS LCD PARA MATRIX 6/424/832")</f>
        <v>TECLADO ADICIONAL LCD DE ICONOS LCD PARA MATRIX 6/424/832</v>
      </c>
      <c r="C2265" s="4" t="str">
        <f>IFERROR(__xludf.DUMMYFUNCTION("""COMPUTED_VALUE"""),"Teclado adicional LCD de iconos LCD para MATRIX 6/424/832")</f>
        <v>Teclado adicional LCD de iconos LCD para MATRIX 6/424/832</v>
      </c>
      <c r="D2265" s="4" t="str">
        <f>IFERROR(__xludf.DUMMYFUNCTION("""COMPUTED_VALUE"""),"PYRONIX")</f>
        <v>PYRONIX</v>
      </c>
      <c r="E2265" s="4" t="str">
        <f>IFERROR(__xludf.DUMMYFUNCTION("""COMPUTED_VALUE"""),"MXICON")</f>
        <v>MXICON</v>
      </c>
      <c r="F2265" s="4" t="str">
        <f>IFERROR(__xludf.DUMMYFUNCTION("""COMPUTED_VALUE"""),"OUTLET &gt; ALARMAS PYRONIX LINEA MATRIX")</f>
        <v>OUTLET &gt; ALARMAS PYRONIX LINEA MATRIX</v>
      </c>
      <c r="G2265" s="5"/>
      <c r="H2265" s="6">
        <f>IFERROR(__xludf.DUMMYFUNCTION("""COMPUTED_VALUE"""),38.5)</f>
        <v>38.5</v>
      </c>
      <c r="I2265" s="7">
        <f>IFERROR(__xludf.DUMMYFUNCTION("""COMPUTED_VALUE"""),10.5)</f>
        <v>10.5</v>
      </c>
      <c r="J2265" s="6">
        <f>IFERROR(__xludf.DUMMYFUNCTION("""COMPUTED_VALUE"""),46.2)</f>
        <v>46.2</v>
      </c>
      <c r="K2265" s="6">
        <f>IFERROR(__xludf.DUMMYFUNCTION("""COMPUTED_VALUE"""),53.9)</f>
        <v>53.9</v>
      </c>
      <c r="L2265" s="3"/>
      <c r="M2265" s="3"/>
    </row>
    <row r="2266" ht="48.0" customHeight="1">
      <c r="A2266" s="3" t="str">
        <f>IFERROR(__xludf.DUMMYFUNCTION("""COMPUTED_VALUE"""),"PCX256")</f>
        <v>PCX256</v>
      </c>
      <c r="B2266" s="4" t="str">
        <f>IFERROR(__xludf.DUMMYFUNCTION("""COMPUTED_VALUE"""),"ROUTER")</f>
        <v>ROUTER</v>
      </c>
      <c r="C2266" s="4" t="str">
        <f>IFERROR(__xludf.DUMMYFUNCTION("""COMPUTED_VALUE"""),"Panel de control expandible de 8 a 256 zonas. Teclado LCD. Gabinete metálico. Tarjeta de modem disponible (no incluída)")</f>
        <v>Panel de control expandible de 8 a 256 zonas. Teclado LCD. Gabinete metálico. Tarjeta de modem disponible (no incluída)</v>
      </c>
      <c r="D2266" s="4" t="str">
        <f>IFERROR(__xludf.DUMMYFUNCTION("""COMPUTED_VALUE"""),"PYRONIX")</f>
        <v>PYRONIX</v>
      </c>
      <c r="E2266" s="4" t="str">
        <f>IFERROR(__xludf.DUMMYFUNCTION("""COMPUTED_VALUE"""),"PCX256")</f>
        <v>PCX256</v>
      </c>
      <c r="F2266" s="4" t="str">
        <f>IFERROR(__xludf.DUMMYFUNCTION("""COMPUTED_VALUE"""),"CONECTIVIDAD &gt; ROUTERS / MODEMS")</f>
        <v>CONECTIVIDAD &gt; ROUTERS / MODEMS</v>
      </c>
      <c r="G2266" s="5"/>
      <c r="H2266" s="6">
        <f>IFERROR(__xludf.DUMMYFUNCTION("""COMPUTED_VALUE"""),583.0)</f>
        <v>583</v>
      </c>
      <c r="I2266" s="7">
        <f>IFERROR(__xludf.DUMMYFUNCTION("""COMPUTED_VALUE"""),21.0)</f>
        <v>21</v>
      </c>
      <c r="J2266" s="6">
        <f>IFERROR(__xludf.DUMMYFUNCTION("""COMPUTED_VALUE"""),699.6)</f>
        <v>699.6</v>
      </c>
      <c r="K2266" s="6">
        <f>IFERROR(__xludf.DUMMYFUNCTION("""COMPUTED_VALUE"""),816.2)</f>
        <v>816.2</v>
      </c>
      <c r="L2266" s="3"/>
      <c r="M2266" s="3"/>
    </row>
    <row r="2267" ht="48.0" customHeight="1">
      <c r="A2267" s="3" t="str">
        <f>IFERROR(__xludf.DUMMYFUNCTION("""COMPUTED_VALUE"""),"PCXROX16R")</f>
        <v>PCXROX16R</v>
      </c>
      <c r="B2267" s="4" t="str">
        <f>IFERROR(__xludf.DUMMYFUNCTION("""COMPUTED_VALUE"""),"MÓDULO EXPANSOR DE 16 SALIDAS POR RELAY 1")</f>
        <v>MÓDULO EXPANSOR DE 16 SALIDAS POR RELAY 1</v>
      </c>
      <c r="C2267" s="4" t="str">
        <f>IFERROR(__xludf.DUMMYFUNCTION("""COMPUTED_VALUE"""),"Módulo expansor de 16 salidas por relay 1.5A. Gabinete metálico. Fuente de alimentación")</f>
        <v>Módulo expansor de 16 salidas por relay 1.5A. Gabinete metálico. Fuente de alimentación</v>
      </c>
      <c r="D2267" s="4" t="str">
        <f>IFERROR(__xludf.DUMMYFUNCTION("""COMPUTED_VALUE"""),"PYRONIX")</f>
        <v>PYRONIX</v>
      </c>
      <c r="E2267" s="4" t="str">
        <f>IFERROR(__xludf.DUMMYFUNCTION("""COMPUTED_VALUE"""),"PCXROX16R")</f>
        <v>PCXROX16R</v>
      </c>
      <c r="F2267" s="4" t="str">
        <f>IFERROR(__xludf.DUMMYFUNCTION("""COMPUTED_VALUE"""),"OUTLET &gt; PANELES EXPANDIBLES LINEA PCX")</f>
        <v>OUTLET &gt; PANELES EXPANDIBLES LINEA PCX</v>
      </c>
      <c r="G2267" s="5"/>
      <c r="H2267" s="6">
        <f>IFERROR(__xludf.DUMMYFUNCTION("""COMPUTED_VALUE"""),221.1)</f>
        <v>221.1</v>
      </c>
      <c r="I2267" s="7">
        <f>IFERROR(__xludf.DUMMYFUNCTION("""COMPUTED_VALUE"""),21.0)</f>
        <v>21</v>
      </c>
      <c r="J2267" s="6">
        <f>IFERROR(__xludf.DUMMYFUNCTION("""COMPUTED_VALUE"""),265.32)</f>
        <v>265.32</v>
      </c>
      <c r="K2267" s="6">
        <f>IFERROR(__xludf.DUMMYFUNCTION("""COMPUTED_VALUE"""),309.54)</f>
        <v>309.54</v>
      </c>
      <c r="L2267" s="3"/>
      <c r="M2267" s="3"/>
    </row>
    <row r="2268" ht="48.0" customHeight="1">
      <c r="A2268" s="3" t="str">
        <f>IFERROR(__xludf.DUMMYFUNCTION("""COMPUTED_VALUE"""),"PCXLCD")</f>
        <v>PCXLCD</v>
      </c>
      <c r="B2268" s="4" t="str">
        <f>IFERROR(__xludf.DUMMYFUNCTION("""COMPUTED_VALUE"""),"TECLADO LCD CON 2 LECTORES DE PROXIMIDAD INCORPORADOS, 2")</f>
        <v>TECLADO LCD CON 2 LECTORES DE PROXIMIDAD INCORPORADOS, 2</v>
      </c>
      <c r="C2268" s="4" t="str">
        <f>IFERROR(__xludf.DUMMYFUNCTION("""COMPUTED_VALUE"""),"teclado LCD con 2 lectores de proximidad incorporados, 2 zonas y 1 PGM.")</f>
        <v>teclado LCD con 2 lectores de proximidad incorporados, 2 zonas y 1 PGM.</v>
      </c>
      <c r="D2268" s="4" t="str">
        <f>IFERROR(__xludf.DUMMYFUNCTION("""COMPUTED_VALUE"""),"PYRONIX")</f>
        <v>PYRONIX</v>
      </c>
      <c r="E2268" s="4" t="str">
        <f>IFERROR(__xludf.DUMMYFUNCTION("""COMPUTED_VALUE"""),"PCXLCD")</f>
        <v>PCXLCD</v>
      </c>
      <c r="F2268" s="4" t="str">
        <f>IFERROR(__xludf.DUMMYFUNCTION("""COMPUTED_VALUE"""),"OUTLET &gt; PANELES EXPANDIBLES LINEA PCX")</f>
        <v>OUTLET &gt; PANELES EXPANDIBLES LINEA PCX</v>
      </c>
      <c r="G2268" s="5"/>
      <c r="H2268" s="6">
        <f>IFERROR(__xludf.DUMMYFUNCTION("""COMPUTED_VALUE"""),174.9)</f>
        <v>174.9</v>
      </c>
      <c r="I2268" s="7">
        <f>IFERROR(__xludf.DUMMYFUNCTION("""COMPUTED_VALUE"""),21.0)</f>
        <v>21</v>
      </c>
      <c r="J2268" s="6">
        <f>IFERROR(__xludf.DUMMYFUNCTION("""COMPUTED_VALUE"""),209.88)</f>
        <v>209.88</v>
      </c>
      <c r="K2268" s="6">
        <f>IFERROR(__xludf.DUMMYFUNCTION("""COMPUTED_VALUE"""),244.86)</f>
        <v>244.86</v>
      </c>
      <c r="L2268" s="3"/>
      <c r="M2268" s="3"/>
    </row>
    <row r="2269" ht="48.0" customHeight="1">
      <c r="A2269" s="3" t="str">
        <f>IFERROR(__xludf.DUMMYFUNCTION("""COMPUTED_VALUE"""),"PCXFPPCXEXTW")</f>
        <v>PCXFPPCXEXTW</v>
      </c>
      <c r="B2269" s="4" t="str">
        <f>IFERROR(__xludf.DUMMYFUNCTION("""COMPUTED_VALUE"""),"PACK DE CONTROL DE ACCESO UNIDAD DE 1 PUERTA")</f>
        <v>PACK DE CONTROL DE ACCESO UNIDAD DE 1 PUERTA</v>
      </c>
      <c r="C2269" s="4" t="str">
        <f>IFERROR(__xludf.DUMMYFUNCTION("""COMPUTED_VALUE"""),"Pack de control de acceso unidad de 1 puerta con lector externo, relay 1.5Amp")</f>
        <v>Pack de control de acceso unidad de 1 puerta con lector externo, relay 1.5Amp</v>
      </c>
      <c r="D2269" s="4" t="str">
        <f>IFERROR(__xludf.DUMMYFUNCTION("""COMPUTED_VALUE"""),"PYRONIX")</f>
        <v>PYRONIX</v>
      </c>
      <c r="E2269" s="4" t="str">
        <f>IFERROR(__xludf.DUMMYFUNCTION("""COMPUTED_VALUE"""),"PCXFPPCXEXTW")</f>
        <v>PCXFPPCXEXTW</v>
      </c>
      <c r="F2269" s="4" t="str">
        <f>IFERROR(__xludf.DUMMYFUNCTION("""COMPUTED_VALUE"""),"OUTLET &gt; PANELES EXPANDIBLES LINEA PCX")</f>
        <v>OUTLET &gt; PANELES EXPANDIBLES LINEA PCX</v>
      </c>
      <c r="G2269" s="5"/>
      <c r="H2269" s="6">
        <f>IFERROR(__xludf.DUMMYFUNCTION("""COMPUTED_VALUE"""),443.3)</f>
        <v>443.3</v>
      </c>
      <c r="I2269" s="7">
        <f>IFERROR(__xludf.DUMMYFUNCTION("""COMPUTED_VALUE"""),21.0)</f>
        <v>21</v>
      </c>
      <c r="J2269" s="6">
        <f>IFERROR(__xludf.DUMMYFUNCTION("""COMPUTED_VALUE"""),531.96)</f>
        <v>531.96</v>
      </c>
      <c r="K2269" s="6">
        <f>IFERROR(__xludf.DUMMYFUNCTION("""COMPUTED_VALUE"""),620.62)</f>
        <v>620.62</v>
      </c>
      <c r="L2269" s="3"/>
      <c r="M2269" s="3"/>
    </row>
    <row r="2270" ht="48.0" customHeight="1">
      <c r="A2270" s="3" t="str">
        <f>IFERROR(__xludf.DUMMYFUNCTION("""COMPUTED_VALUE"""),"PCXDIGI1200")</f>
        <v>PCXDIGI1200</v>
      </c>
      <c r="B2270" s="4" t="str">
        <f>IFERROR(__xludf.DUMMYFUNCTION("""COMPUTED_VALUE"""),"ROUTER")</f>
        <v>ROUTER</v>
      </c>
      <c r="C2270" s="4" t="str">
        <f>IFERROR(__xludf.DUMMYFUNCTION("""COMPUTED_VALUE"""),"Tarjeta Digi modem con posibilidad de ARM (se requiere software adicional).")</f>
        <v>Tarjeta Digi modem con posibilidad de ARM (se requiere software adicional).</v>
      </c>
      <c r="D2270" s="4" t="str">
        <f>IFERROR(__xludf.DUMMYFUNCTION("""COMPUTED_VALUE"""),"PYRONIX")</f>
        <v>PYRONIX</v>
      </c>
      <c r="E2270" s="4" t="str">
        <f>IFERROR(__xludf.DUMMYFUNCTION("""COMPUTED_VALUE"""),"PCXDIGI1200")</f>
        <v>PCXDIGI1200</v>
      </c>
      <c r="F2270" s="4" t="str">
        <f>IFERROR(__xludf.DUMMYFUNCTION("""COMPUTED_VALUE"""),"CONECTIVIDAD &gt; ROUTERS / MODEMS")</f>
        <v>CONECTIVIDAD &gt; ROUTERS / MODEMS</v>
      </c>
      <c r="G2270" s="5"/>
      <c r="H2270" s="6">
        <f>IFERROR(__xludf.DUMMYFUNCTION("""COMPUTED_VALUE"""),104.5)</f>
        <v>104.5</v>
      </c>
      <c r="I2270" s="7">
        <f>IFERROR(__xludf.DUMMYFUNCTION("""COMPUTED_VALUE"""),21.0)</f>
        <v>21</v>
      </c>
      <c r="J2270" s="6">
        <f>IFERROR(__xludf.DUMMYFUNCTION("""COMPUTED_VALUE"""),125.4)</f>
        <v>125.4</v>
      </c>
      <c r="K2270" s="6">
        <f>IFERROR(__xludf.DUMMYFUNCTION("""COMPUTED_VALUE"""),146.3)</f>
        <v>146.3</v>
      </c>
      <c r="L2270" s="3"/>
      <c r="M2270" s="3"/>
    </row>
    <row r="2271" ht="48.0" customHeight="1">
      <c r="A2271" s="3" t="str">
        <f>IFERROR(__xludf.DUMMYFUNCTION("""COMPUTED_VALUE"""),"PCXR1X8")</f>
        <v>PCXR1X8</v>
      </c>
      <c r="B2271" s="4" t="str">
        <f>IFERROR(__xludf.DUMMYFUNCTION("""COMPUTED_VALUE"""),"MÓDULO EXPANSOR DE 8 ENTRADAS CON 4 PGMS")</f>
        <v>MÓDULO EXPANSOR DE 8 ENTRADAS CON 4 PGMS</v>
      </c>
      <c r="C2271" s="4" t="str">
        <f>IFERROR(__xludf.DUMMYFUNCTION("""COMPUTED_VALUE"""),"Módulo expansor de 8 entradas con 4 PGMs")</f>
        <v>Módulo expansor de 8 entradas con 4 PGMs</v>
      </c>
      <c r="D2271" s="4" t="str">
        <f>IFERROR(__xludf.DUMMYFUNCTION("""COMPUTED_VALUE"""),"PYRONIX")</f>
        <v>PYRONIX</v>
      </c>
      <c r="E2271" s="4" t="str">
        <f>IFERROR(__xludf.DUMMYFUNCTION("""COMPUTED_VALUE"""),"PCXR1X8")</f>
        <v>PCXR1X8</v>
      </c>
      <c r="F2271" s="4" t="str">
        <f>IFERROR(__xludf.DUMMYFUNCTION("""COMPUTED_VALUE"""),"OUTLET &gt; PANELES EXPANDIBLES LINEA PCX")</f>
        <v>OUTLET &gt; PANELES EXPANDIBLES LINEA PCX</v>
      </c>
      <c r="G2271" s="5"/>
      <c r="H2271" s="6">
        <f>IFERROR(__xludf.DUMMYFUNCTION("""COMPUTED_VALUE"""),75.02)</f>
        <v>75.02</v>
      </c>
      <c r="I2271" s="7">
        <f>IFERROR(__xludf.DUMMYFUNCTION("""COMPUTED_VALUE"""),21.0)</f>
        <v>21</v>
      </c>
      <c r="J2271" s="6">
        <f>IFERROR(__xludf.DUMMYFUNCTION("""COMPUTED_VALUE"""),90.02)</f>
        <v>90.02</v>
      </c>
      <c r="K2271" s="6">
        <f>IFERROR(__xludf.DUMMYFUNCTION("""COMPUTED_VALUE"""),105.03)</f>
        <v>105.03</v>
      </c>
      <c r="L2271" s="3"/>
      <c r="M2271" s="3"/>
    </row>
    <row r="2272" ht="48.0" customHeight="1">
      <c r="A2272" s="3" t="str">
        <f>IFERROR(__xludf.DUMMYFUNCTION("""COMPUTED_VALUE"""),"PCXPTAG")</f>
        <v>PCXPTAG</v>
      </c>
      <c r="B2272" s="4" t="str">
        <f>IFERROR(__xludf.DUMMYFUNCTION("""COMPUTED_VALUE"""),"TAGS DE PROXIMIDAD")</f>
        <v>TAGS DE PROXIMIDAD</v>
      </c>
      <c r="C2272" s="4" t="str">
        <f>IFERROR(__xludf.DUMMYFUNCTION("""COMPUTED_VALUE"""),"Tags de proximidad")</f>
        <v>Tags de proximidad</v>
      </c>
      <c r="D2272" s="4" t="str">
        <f>IFERROR(__xludf.DUMMYFUNCTION("""COMPUTED_VALUE"""),"PYRONIX")</f>
        <v>PYRONIX</v>
      </c>
      <c r="E2272" s="4" t="str">
        <f>IFERROR(__xludf.DUMMYFUNCTION("""COMPUTED_VALUE"""),"PCXPTAG")</f>
        <v>PCXPTAG</v>
      </c>
      <c r="F2272" s="4" t="str">
        <f>IFERROR(__xludf.DUMMYFUNCTION("""COMPUTED_VALUE"""),"OUTLET &gt; PANELES EXPANDIBLES LINEA PCX")</f>
        <v>OUTLET &gt; PANELES EXPANDIBLES LINEA PCX</v>
      </c>
      <c r="G2272" s="5"/>
      <c r="H2272" s="6">
        <f>IFERROR(__xludf.DUMMYFUNCTION("""COMPUTED_VALUE"""),9.35)</f>
        <v>9.35</v>
      </c>
      <c r="I2272" s="7">
        <f>IFERROR(__xludf.DUMMYFUNCTION("""COMPUTED_VALUE"""),21.0)</f>
        <v>21</v>
      </c>
      <c r="J2272" s="6">
        <f>IFERROR(__xludf.DUMMYFUNCTION("""COMPUTED_VALUE"""),11.22)</f>
        <v>11.22</v>
      </c>
      <c r="K2272" s="6">
        <f>IFERROR(__xludf.DUMMYFUNCTION("""COMPUTED_VALUE"""),13.09)</f>
        <v>13.09</v>
      </c>
      <c r="L2272" s="3"/>
      <c r="M2272" s="3"/>
    </row>
    <row r="2273" ht="48.0" customHeight="1">
      <c r="A2273" s="3" t="str">
        <f>IFERROR(__xludf.DUMMYFUNCTION("""COMPUTED_VALUE"""),"PWSPMS3P")</f>
        <v>PWSPMS3P</v>
      </c>
      <c r="B2273" s="4" t="str">
        <f>IFERROR(__xludf.DUMMYFUNCTION("""COMPUTED_VALUE"""),"PROCESADOR PARA SISTEMA PMS3A")</f>
        <v>PROCESADOR PARA SISTEMA PMS3A</v>
      </c>
      <c r="C2273" s="4" t="str">
        <f>IFERROR(__xludf.DUMMYFUNCTION("""COMPUTED_VALUE"""),"Procesador para sistema PMS3A")</f>
        <v>Procesador para sistema PMS3A</v>
      </c>
      <c r="D2273" s="4" t="str">
        <f>IFERROR(__xludf.DUMMYFUNCTION("""COMPUTED_VALUE"""),"ALIARA")</f>
        <v>ALIARA</v>
      </c>
      <c r="E2273" s="4" t="str">
        <f>IFERROR(__xludf.DUMMYFUNCTION("""COMPUTED_VALUE"""),"PWSPMS3P")</f>
        <v>PWSPMS3P</v>
      </c>
      <c r="F2273" s="4" t="str">
        <f>IFERROR(__xludf.DUMMYFUNCTION("""COMPUTED_VALUE"""),"OUTLET &gt; CABLE SENSOR MICROFÓNICO")</f>
        <v>OUTLET &gt; CABLE SENSOR MICROFÓNICO</v>
      </c>
      <c r="G2273" s="5"/>
      <c r="H2273" s="6">
        <f>IFERROR(__xludf.DUMMYFUNCTION("""COMPUTED_VALUE"""),1028.5)</f>
        <v>1028.5</v>
      </c>
      <c r="I2273" s="7">
        <f>IFERROR(__xludf.DUMMYFUNCTION("""COMPUTED_VALUE"""),21.0)</f>
        <v>21</v>
      </c>
      <c r="J2273" s="6">
        <f>IFERROR(__xludf.DUMMYFUNCTION("""COMPUTED_VALUE"""),1234.2)</f>
        <v>1234.2</v>
      </c>
      <c r="K2273" s="6">
        <f>IFERROR(__xludf.DUMMYFUNCTION("""COMPUTED_VALUE"""),1439.9)</f>
        <v>1439.9</v>
      </c>
      <c r="L2273" s="3"/>
      <c r="M2273" s="3"/>
    </row>
    <row r="2274" ht="48.0" customHeight="1">
      <c r="A2274" s="3" t="str">
        <f>IFERROR(__xludf.DUMMYFUNCTION("""COMPUTED_VALUE"""),"PWSSOP3")</f>
        <v>PWSSOP3</v>
      </c>
      <c r="B2274" s="4" t="str">
        <f>IFERROR(__xludf.DUMMYFUNCTION("""COMPUTED_VALUE"""),"SOPORTE PARA MONTAJE DE PMS3 Y GAB3")</f>
        <v>SOPORTE PARA MONTAJE DE PMS3 Y GAB3</v>
      </c>
      <c r="C2274" s="4" t="str">
        <f>IFERROR(__xludf.DUMMYFUNCTION("""COMPUTED_VALUE"""),"Soporte para Montaje de PMS3 y GAB3")</f>
        <v>Soporte para Montaje de PMS3 y GAB3</v>
      </c>
      <c r="D2274" s="4" t="str">
        <f>IFERROR(__xludf.DUMMYFUNCTION("""COMPUTED_VALUE"""),"ALIARA")</f>
        <v>ALIARA</v>
      </c>
      <c r="E2274" s="4" t="str">
        <f>IFERROR(__xludf.DUMMYFUNCTION("""COMPUTED_VALUE"""),"PWSSOP3")</f>
        <v>PWSSOP3</v>
      </c>
      <c r="F2274" s="4" t="str">
        <f>IFERROR(__xludf.DUMMYFUNCTION("""COMPUTED_VALUE"""),"OUTLET &gt; CABLE SENSOR MICROFÓNICO")</f>
        <v>OUTLET &gt; CABLE SENSOR MICROFÓNICO</v>
      </c>
      <c r="G2274" s="5"/>
      <c r="H2274" s="6">
        <f>IFERROR(__xludf.DUMMYFUNCTION("""COMPUTED_VALUE"""),72.6)</f>
        <v>72.6</v>
      </c>
      <c r="I2274" s="7">
        <f>IFERROR(__xludf.DUMMYFUNCTION("""COMPUTED_VALUE"""),21.0)</f>
        <v>21</v>
      </c>
      <c r="J2274" s="6">
        <f>IFERROR(__xludf.DUMMYFUNCTION("""COMPUTED_VALUE"""),87.12)</f>
        <v>87.12</v>
      </c>
      <c r="K2274" s="6">
        <f>IFERROR(__xludf.DUMMYFUNCTION("""COMPUTED_VALUE"""),101.64)</f>
        <v>101.64</v>
      </c>
      <c r="L2274" s="3"/>
      <c r="M2274" s="3"/>
    </row>
    <row r="2275" ht="48.0" customHeight="1">
      <c r="A2275" s="3" t="str">
        <f>IFERROR(__xludf.DUMMYFUNCTION("""COMPUTED_VALUE"""),"PWSMIC")</f>
        <v>PWSMIC</v>
      </c>
      <c r="B2275" s="4" t="str">
        <f>IFERROR(__xludf.DUMMYFUNCTION("""COMPUTED_VALUE"""),"CABLE SENSOR MICROFÓNICO (PRECIO X METRO)")</f>
        <v>CABLE SENSOR MICROFÓNICO (PRECIO X METRO)</v>
      </c>
      <c r="C2275" s="4" t="str">
        <f>IFERROR(__xludf.DUMMYFUNCTION("""COMPUTED_VALUE"""),"Cable sensor microfónico (precio x metro)")</f>
        <v>Cable sensor microfónico (precio x metro)</v>
      </c>
      <c r="D2275" s="4" t="str">
        <f>IFERROR(__xludf.DUMMYFUNCTION("""COMPUTED_VALUE"""),"ALIARA")</f>
        <v>ALIARA</v>
      </c>
      <c r="E2275" s="4" t="str">
        <f>IFERROR(__xludf.DUMMYFUNCTION("""COMPUTED_VALUE"""),"PWSMIC")</f>
        <v>PWSMIC</v>
      </c>
      <c r="F2275" s="4" t="str">
        <f>IFERROR(__xludf.DUMMYFUNCTION("""COMPUTED_VALUE"""),"OUTLET &gt; CABLE SENSOR MICROFÓNICO")</f>
        <v>OUTLET &gt; CABLE SENSOR MICROFÓNICO</v>
      </c>
      <c r="G2275" s="5"/>
      <c r="H2275" s="6">
        <f>IFERROR(__xludf.DUMMYFUNCTION("""COMPUTED_VALUE"""),4.48)</f>
        <v>4.48</v>
      </c>
      <c r="I2275" s="7">
        <f>IFERROR(__xludf.DUMMYFUNCTION("""COMPUTED_VALUE"""),21.0)</f>
        <v>21</v>
      </c>
      <c r="J2275" s="6">
        <f>IFERROR(__xludf.DUMMYFUNCTION("""COMPUTED_VALUE"""),5.38)</f>
        <v>5.38</v>
      </c>
      <c r="K2275" s="6">
        <f>IFERROR(__xludf.DUMMYFUNCTION("""COMPUTED_VALUE"""),6.27)</f>
        <v>6.27</v>
      </c>
      <c r="L2275" s="3"/>
      <c r="M2275" s="3"/>
    </row>
    <row r="2276" ht="48.0" customHeight="1">
      <c r="A2276" s="3" t="str">
        <f>IFERROR(__xludf.DUMMYFUNCTION("""COMPUTED_VALUE"""),"PWSM36")</f>
        <v>PWSM36</v>
      </c>
      <c r="B2276" s="4" t="str">
        <f>IFERROR(__xludf.DUMMYFUNCTION("""COMPUTED_VALUE"""),"CABLE SENSOR MICROFÓNICO (BOBINA 360 METROS)")</f>
        <v>CABLE SENSOR MICROFÓNICO (BOBINA 360 METROS)</v>
      </c>
      <c r="C2276" s="4" t="str">
        <f>IFERROR(__xludf.DUMMYFUNCTION("""COMPUTED_VALUE"""),"Cable sensor microfónico (bobina 360 metros)")</f>
        <v>Cable sensor microfónico (bobina 360 metros)</v>
      </c>
      <c r="D2276" s="4" t="str">
        <f>IFERROR(__xludf.DUMMYFUNCTION("""COMPUTED_VALUE"""),"ALIARA")</f>
        <v>ALIARA</v>
      </c>
      <c r="E2276" s="4" t="str">
        <f>IFERROR(__xludf.DUMMYFUNCTION("""COMPUTED_VALUE"""),"PWSM36")</f>
        <v>PWSM36</v>
      </c>
      <c r="F2276" s="4" t="str">
        <f>IFERROR(__xludf.DUMMYFUNCTION("""COMPUTED_VALUE"""),"OUTLET &gt; CABLE SENSOR MICROFÓNICO")</f>
        <v>OUTLET &gt; CABLE SENSOR MICROFÓNICO</v>
      </c>
      <c r="G2276" s="5"/>
      <c r="H2276" s="6">
        <f>IFERROR(__xludf.DUMMYFUNCTION("""COMPUTED_VALUE"""),1611.72)</f>
        <v>1611.72</v>
      </c>
      <c r="I2276" s="7">
        <f>IFERROR(__xludf.DUMMYFUNCTION("""COMPUTED_VALUE"""),21.0)</f>
        <v>21</v>
      </c>
      <c r="J2276" s="6">
        <f>IFERROR(__xludf.DUMMYFUNCTION("""COMPUTED_VALUE"""),1934.06)</f>
        <v>1934.06</v>
      </c>
      <c r="K2276" s="6">
        <f>IFERROR(__xludf.DUMMYFUNCTION("""COMPUTED_VALUE"""),2256.41)</f>
        <v>2256.41</v>
      </c>
      <c r="L2276" s="3"/>
      <c r="M2276" s="3"/>
    </row>
    <row r="2277" ht="48.0" customHeight="1">
      <c r="A2277" s="3" t="str">
        <f>IFERROR(__xludf.DUMMYFUNCTION("""COMPUTED_VALUE"""),"PWSM27")</f>
        <v>PWSM27</v>
      </c>
      <c r="B2277" s="4" t="str">
        <f>IFERROR(__xludf.DUMMYFUNCTION("""COMPUTED_VALUE"""),"CABLE SENSOR MICROFÓNICO (BOBINA 270 METROS)")</f>
        <v>CABLE SENSOR MICROFÓNICO (BOBINA 270 METROS)</v>
      </c>
      <c r="C2277" s="4" t="str">
        <f>IFERROR(__xludf.DUMMYFUNCTION("""COMPUTED_VALUE"""),"Cable sensor microfónico (bobina 270 metros)")</f>
        <v>Cable sensor microfónico (bobina 270 metros)</v>
      </c>
      <c r="D2277" s="4" t="str">
        <f>IFERROR(__xludf.DUMMYFUNCTION("""COMPUTED_VALUE"""),"ALIARA")</f>
        <v>ALIARA</v>
      </c>
      <c r="E2277" s="4" t="str">
        <f>IFERROR(__xludf.DUMMYFUNCTION("""COMPUTED_VALUE"""),"PWSM27")</f>
        <v>PWSM27</v>
      </c>
      <c r="F2277" s="4" t="str">
        <f>IFERROR(__xludf.DUMMYFUNCTION("""COMPUTED_VALUE"""),"OUTLET &gt; CABLE SENSOR MICROFÓNICO")</f>
        <v>OUTLET &gt; CABLE SENSOR MICROFÓNICO</v>
      </c>
      <c r="G2277" s="5"/>
      <c r="H2277" s="6">
        <f>IFERROR(__xludf.DUMMYFUNCTION("""COMPUTED_VALUE"""),1208.48)</f>
        <v>1208.48</v>
      </c>
      <c r="I2277" s="7">
        <f>IFERROR(__xludf.DUMMYFUNCTION("""COMPUTED_VALUE"""),21.0)</f>
        <v>21</v>
      </c>
      <c r="J2277" s="6">
        <f>IFERROR(__xludf.DUMMYFUNCTION("""COMPUTED_VALUE"""),1450.18)</f>
        <v>1450.18</v>
      </c>
      <c r="K2277" s="6">
        <f>IFERROR(__xludf.DUMMYFUNCTION("""COMPUTED_VALUE"""),1691.87)</f>
        <v>1691.87</v>
      </c>
      <c r="L2277" s="3"/>
      <c r="M2277" s="3"/>
    </row>
    <row r="2278" ht="48.0" customHeight="1">
      <c r="A2278" s="3" t="str">
        <f>IFERROR(__xludf.DUMMYFUNCTION("""COMPUTED_VALUE"""),"PWSM18")</f>
        <v>PWSM18</v>
      </c>
      <c r="B2278" s="4" t="str">
        <f>IFERROR(__xludf.DUMMYFUNCTION("""COMPUTED_VALUE"""),"CABLE SENSOR MICROFÓNICO (BOBINA 180 METROS)")</f>
        <v>CABLE SENSOR MICROFÓNICO (BOBINA 180 METROS)</v>
      </c>
      <c r="C2278" s="4" t="str">
        <f>IFERROR(__xludf.DUMMYFUNCTION("""COMPUTED_VALUE"""),"Cable sensor microfónico (bobina 180 metros)")</f>
        <v>Cable sensor microfónico (bobina 180 metros)</v>
      </c>
      <c r="D2278" s="4" t="str">
        <f>IFERROR(__xludf.DUMMYFUNCTION("""COMPUTED_VALUE"""),"ALIARA")</f>
        <v>ALIARA</v>
      </c>
      <c r="E2278" s="4" t="str">
        <f>IFERROR(__xludf.DUMMYFUNCTION("""COMPUTED_VALUE"""),"PWSM18")</f>
        <v>PWSM18</v>
      </c>
      <c r="F2278" s="4" t="str">
        <f>IFERROR(__xludf.DUMMYFUNCTION("""COMPUTED_VALUE"""),"OUTLET &gt; CABLE SENSOR MICROFÓNICO")</f>
        <v>OUTLET &gt; CABLE SENSOR MICROFÓNICO</v>
      </c>
      <c r="G2278" s="5"/>
      <c r="H2278" s="6">
        <f>IFERROR(__xludf.DUMMYFUNCTION("""COMPUTED_VALUE"""),806.17)</f>
        <v>806.17</v>
      </c>
      <c r="I2278" s="7">
        <f>IFERROR(__xludf.DUMMYFUNCTION("""COMPUTED_VALUE"""),21.0)</f>
        <v>21</v>
      </c>
      <c r="J2278" s="6">
        <f>IFERROR(__xludf.DUMMYFUNCTION("""COMPUTED_VALUE"""),967.4)</f>
        <v>967.4</v>
      </c>
      <c r="K2278" s="6">
        <f>IFERROR(__xludf.DUMMYFUNCTION("""COMPUTED_VALUE"""),1128.64)</f>
        <v>1128.64</v>
      </c>
      <c r="L2278" s="3"/>
      <c r="M2278" s="3"/>
    </row>
    <row r="2279" ht="48.0" customHeight="1">
      <c r="A2279" s="3" t="str">
        <f>IFERROR(__xludf.DUMMYFUNCTION("""COMPUTED_VALUE"""),"PWSPRECINT")</f>
        <v>PWSPRECINT</v>
      </c>
      <c r="B2279" s="4" t="str">
        <f>IFERROR(__xludf.DUMMYFUNCTION("""COMPUTED_VALUE"""),"BOLSA CONTENIENDO 100 PRECINTOS CON PROTECCION UV PARA SIST")</f>
        <v>BOLSA CONTENIENDO 100 PRECINTOS CON PROTECCION UV PARA SIST</v>
      </c>
      <c r="C2279" s="4" t="str">
        <f>IFERROR(__xludf.DUMMYFUNCTION("""COMPUTED_VALUE"""),"Bolsa conteniendo 100 precintos con proteccion UV para sist. PMS2A y PMS3A")</f>
        <v>Bolsa conteniendo 100 precintos con proteccion UV para sist. PMS2A y PMS3A</v>
      </c>
      <c r="D2279" s="4" t="str">
        <f>IFERROR(__xludf.DUMMYFUNCTION("""COMPUTED_VALUE"""),"ALIARA")</f>
        <v>ALIARA</v>
      </c>
      <c r="E2279" s="4" t="str">
        <f>IFERROR(__xludf.DUMMYFUNCTION("""COMPUTED_VALUE"""),"PWSPRECINT")</f>
        <v>PWSPRECINT</v>
      </c>
      <c r="F2279" s="4" t="str">
        <f>IFERROR(__xludf.DUMMYFUNCTION("""COMPUTED_VALUE"""),"OUTLET &gt; CABLE SENSOR MICROFÓNICO")</f>
        <v>OUTLET &gt; CABLE SENSOR MICROFÓNICO</v>
      </c>
      <c r="G2279" s="5"/>
      <c r="H2279" s="6">
        <f>IFERROR(__xludf.DUMMYFUNCTION("""COMPUTED_VALUE"""),7.41)</f>
        <v>7.41</v>
      </c>
      <c r="I2279" s="7">
        <f>IFERROR(__xludf.DUMMYFUNCTION("""COMPUTED_VALUE"""),21.0)</f>
        <v>21</v>
      </c>
      <c r="J2279" s="6">
        <f>IFERROR(__xludf.DUMMYFUNCTION("""COMPUTED_VALUE"""),8.89)</f>
        <v>8.89</v>
      </c>
      <c r="K2279" s="6">
        <f>IFERROR(__xludf.DUMMYFUNCTION("""COMPUTED_VALUE"""),10.37)</f>
        <v>10.37</v>
      </c>
      <c r="L2279" s="3"/>
      <c r="M2279" s="3"/>
    </row>
    <row r="2280" ht="48.0" customHeight="1">
      <c r="A2280" s="3" t="str">
        <f>IFERROR(__xludf.DUMMYFUNCTION("""COMPUTED_VALUE"""),"PWSANEMOM")</f>
        <v>PWSANEMOM</v>
      </c>
      <c r="B2280" s="4" t="str">
        <f>IFERROR(__xludf.DUMMYFUNCTION("""COMPUTED_VALUE"""),"ANEMÓMETRO PLÁSTICO DE CONTROL PARA SISTEMAS PMS2 Y PMS3")</f>
        <v>ANEMÓMETRO PLÁSTICO DE CONTROL PARA SISTEMAS PMS2 Y PMS3</v>
      </c>
      <c r="C2280" s="4" t="str">
        <f>IFERROR(__xludf.DUMMYFUNCTION("""COMPUTED_VALUE"""),"Anemómetro plástico de control para sistemas PMS2 y PMS3")</f>
        <v>Anemómetro plástico de control para sistemas PMS2 y PMS3</v>
      </c>
      <c r="D2280" s="4" t="str">
        <f>IFERROR(__xludf.DUMMYFUNCTION("""COMPUTED_VALUE"""),"ALIARA")</f>
        <v>ALIARA</v>
      </c>
      <c r="E2280" s="4" t="str">
        <f>IFERROR(__xludf.DUMMYFUNCTION("""COMPUTED_VALUE"""),"PWSANEMOM")</f>
        <v>PWSANEMOM</v>
      </c>
      <c r="F2280" s="4" t="str">
        <f>IFERROR(__xludf.DUMMYFUNCTION("""COMPUTED_VALUE"""),"OUTLET &gt; CABLE SENSOR MICROFÓNICO")</f>
        <v>OUTLET &gt; CABLE SENSOR MICROFÓNICO</v>
      </c>
      <c r="G2280" s="5"/>
      <c r="H2280" s="6">
        <f>IFERROR(__xludf.DUMMYFUNCTION("""COMPUTED_VALUE"""),127.05)</f>
        <v>127.05</v>
      </c>
      <c r="I2280" s="7">
        <f>IFERROR(__xludf.DUMMYFUNCTION("""COMPUTED_VALUE"""),21.0)</f>
        <v>21</v>
      </c>
      <c r="J2280" s="6">
        <f>IFERROR(__xludf.DUMMYFUNCTION("""COMPUTED_VALUE"""),152.46)</f>
        <v>152.46</v>
      </c>
      <c r="K2280" s="6">
        <f>IFERROR(__xludf.DUMMYFUNCTION("""COMPUTED_VALUE"""),177.87)</f>
        <v>177.87</v>
      </c>
      <c r="L2280" s="3"/>
      <c r="M2280" s="3"/>
    </row>
    <row r="2281" ht="48.0" customHeight="1">
      <c r="A2281" s="3" t="str">
        <f>IFERROR(__xludf.DUMMYFUNCTION("""COMPUTED_VALUE"""),"PWSPMSDPY")</f>
        <v>PWSPMSDPY</v>
      </c>
      <c r="B2281" s="4" t="str">
        <f>IFERROR(__xludf.DUMMYFUNCTION("""COMPUTED_VALUE"""),"DISPLAY EXTERNO, HERRAMIENTA DE AJUSTE Y CONFIGURACIÓN DE PROCESADORES")</f>
        <v>DISPLAY EXTERNO, HERRAMIENTA DE AJUSTE Y CONFIGURACIÓN DE PROCESADORES</v>
      </c>
      <c r="C2281" s="4" t="str">
        <f>IFERROR(__xludf.DUMMYFUNCTION("""COMPUTED_VALUE"""),"Display Externo, Herramienta de ajuste y configuración de procesadores PMS2, PMS3 y PMS4")</f>
        <v>Display Externo, Herramienta de ajuste y configuración de procesadores PMS2, PMS3 y PMS4</v>
      </c>
      <c r="D2281" s="4" t="str">
        <f>IFERROR(__xludf.DUMMYFUNCTION("""COMPUTED_VALUE"""),"ALIARA")</f>
        <v>ALIARA</v>
      </c>
      <c r="E2281" s="4" t="str">
        <f>IFERROR(__xludf.DUMMYFUNCTION("""COMPUTED_VALUE"""),"PWSPMSDPY")</f>
        <v>PWSPMSDPY</v>
      </c>
      <c r="F2281" s="4" t="str">
        <f>IFERROR(__xludf.DUMMYFUNCTION("""COMPUTED_VALUE"""),"OUTLET &gt; CABLE SENSOR MICROFÓNICO")</f>
        <v>OUTLET &gt; CABLE SENSOR MICROFÓNICO</v>
      </c>
      <c r="G2281" s="5"/>
      <c r="H2281" s="6">
        <f>IFERROR(__xludf.DUMMYFUNCTION("""COMPUTED_VALUE"""),308.55)</f>
        <v>308.55</v>
      </c>
      <c r="I2281" s="7">
        <f>IFERROR(__xludf.DUMMYFUNCTION("""COMPUTED_VALUE"""),21.0)</f>
        <v>21</v>
      </c>
      <c r="J2281" s="6">
        <f>IFERROR(__xludf.DUMMYFUNCTION("""COMPUTED_VALUE"""),370.26)</f>
        <v>370.26</v>
      </c>
      <c r="K2281" s="6">
        <f>IFERROR(__xludf.DUMMYFUNCTION("""COMPUTED_VALUE"""),431.97)</f>
        <v>431.97</v>
      </c>
      <c r="L2281" s="3"/>
      <c r="M2281" s="3"/>
    </row>
    <row r="2282" ht="48.0" customHeight="1">
      <c r="A2282" s="3" t="str">
        <f>IFERROR(__xludf.DUMMYFUNCTION("""COMPUTED_VALUE"""),"PWSPMS2")</f>
        <v>PWSPMS2</v>
      </c>
      <c r="B2282" s="4" t="str">
        <f>IFERROR(__xludf.DUMMYFUNCTION("""COMPUTED_VALUE"""),"PROCESADOR PARA SIST")</f>
        <v>PROCESADOR PARA SIST</v>
      </c>
      <c r="C2282" s="4" t="str">
        <f>IFERROR(__xludf.DUMMYFUNCTION("""COMPUTED_VALUE"""),"Procesador para sist. PMS2 (Inc. Fuente de Alimentacion y Placa Comunicación)")</f>
        <v>Procesador para sist. PMS2 (Inc. Fuente de Alimentacion y Placa Comunicación)</v>
      </c>
      <c r="D2282" s="4" t="str">
        <f>IFERROR(__xludf.DUMMYFUNCTION("""COMPUTED_VALUE"""),"ALIARA")</f>
        <v>ALIARA</v>
      </c>
      <c r="E2282" s="4" t="str">
        <f>IFERROR(__xludf.DUMMYFUNCTION("""COMPUTED_VALUE"""),"PWSPMS2")</f>
        <v>PWSPMS2</v>
      </c>
      <c r="F2282" s="4" t="str">
        <f>IFERROR(__xludf.DUMMYFUNCTION("""COMPUTED_VALUE"""),"OUTLET &gt; INTEGRACIÓN DE SISTEMAS DE SEGURIDAD")</f>
        <v>OUTLET &gt; INTEGRACIÓN DE SISTEMAS DE SEGURIDAD</v>
      </c>
      <c r="G2282" s="5"/>
      <c r="H2282" s="6">
        <f>IFERROR(__xludf.DUMMYFUNCTION("""COMPUTED_VALUE"""),2418.48)</f>
        <v>2418.48</v>
      </c>
      <c r="I2282" s="7">
        <f>IFERROR(__xludf.DUMMYFUNCTION("""COMPUTED_VALUE"""),21.0)</f>
        <v>21</v>
      </c>
      <c r="J2282" s="6">
        <f>IFERROR(__xludf.DUMMYFUNCTION("""COMPUTED_VALUE"""),2902.18)</f>
        <v>2902.18</v>
      </c>
      <c r="K2282" s="6">
        <f>IFERROR(__xludf.DUMMYFUNCTION("""COMPUTED_VALUE"""),3385.87)</f>
        <v>3385.87</v>
      </c>
      <c r="L2282" s="3"/>
      <c r="M2282" s="3"/>
    </row>
    <row r="2283" ht="48.0" customHeight="1">
      <c r="A2283" s="3" t="str">
        <f>IFERROR(__xludf.DUMMYFUNCTION("""COMPUTED_VALUE"""),"PWSPMS2PZ")</f>
        <v>PWSPMS2PZ</v>
      </c>
      <c r="B2283" s="4" t="str">
        <f>IFERROR(__xludf.DUMMYFUNCTION("""COMPUTED_VALUE"""),"PLACA PROCESADOR DE CABLE MICROFÓNICO PARA SISTEMA PMS2")</f>
        <v>PLACA PROCESADOR DE CABLE MICROFÓNICO PARA SISTEMA PMS2</v>
      </c>
      <c r="C2283" s="4" t="str">
        <f>IFERROR(__xludf.DUMMYFUNCTION("""COMPUTED_VALUE"""),"Placa Procesador de cable microfónico para sistema PMS2")</f>
        <v>Placa Procesador de cable microfónico para sistema PMS2</v>
      </c>
      <c r="D2283" s="4" t="str">
        <f>IFERROR(__xludf.DUMMYFUNCTION("""COMPUTED_VALUE"""),"ALIARA")</f>
        <v>ALIARA</v>
      </c>
      <c r="E2283" s="4" t="str">
        <f>IFERROR(__xludf.DUMMYFUNCTION("""COMPUTED_VALUE"""),"PWSPMS2PZ")</f>
        <v>PWSPMS2PZ</v>
      </c>
      <c r="F2283" s="4" t="str">
        <f>IFERROR(__xludf.DUMMYFUNCTION("""COMPUTED_VALUE"""),"OUTLET &gt; INTEGRACIÓN DE SISTEMAS DE SEGURIDAD")</f>
        <v>OUTLET &gt; INTEGRACIÓN DE SISTEMAS DE SEGURIDAD</v>
      </c>
      <c r="G2283" s="5"/>
      <c r="H2283" s="6">
        <f>IFERROR(__xludf.DUMMYFUNCTION("""COMPUTED_VALUE"""),949.85)</f>
        <v>949.85</v>
      </c>
      <c r="I2283" s="7">
        <f>IFERROR(__xludf.DUMMYFUNCTION("""COMPUTED_VALUE"""),21.0)</f>
        <v>21</v>
      </c>
      <c r="J2283" s="6">
        <f>IFERROR(__xludf.DUMMYFUNCTION("""COMPUTED_VALUE"""),1139.82)</f>
        <v>1139.82</v>
      </c>
      <c r="K2283" s="6">
        <f>IFERROR(__xludf.DUMMYFUNCTION("""COMPUTED_VALUE"""),1329.79)</f>
        <v>1329.79</v>
      </c>
      <c r="L2283" s="3"/>
      <c r="M2283" s="3"/>
    </row>
    <row r="2284" ht="48.0" customHeight="1">
      <c r="A2284" s="3" t="str">
        <f>IFERROR(__xludf.DUMMYFUNCTION("""COMPUTED_VALUE"""),"PWSPMS2PC")</f>
        <v>PWSPMS2PC</v>
      </c>
      <c r="B2284" s="4" t="str">
        <f>IFERROR(__xludf.DUMMYFUNCTION("""COMPUTED_VALUE"""),"PLACA DE COMUNICACIÓN PARA SISTEMA PMS2")</f>
        <v>PLACA DE COMUNICACIÓN PARA SISTEMA PMS2</v>
      </c>
      <c r="C2284" s="4" t="str">
        <f>IFERROR(__xludf.DUMMYFUNCTION("""COMPUTED_VALUE"""),"Placa de Comunicación para sistema PMS2")</f>
        <v>Placa de Comunicación para sistema PMS2</v>
      </c>
      <c r="D2284" s="4" t="str">
        <f>IFERROR(__xludf.DUMMYFUNCTION("""COMPUTED_VALUE"""),"ALIARA")</f>
        <v>ALIARA</v>
      </c>
      <c r="E2284" s="4" t="str">
        <f>IFERROR(__xludf.DUMMYFUNCTION("""COMPUTED_VALUE"""),"PWSPMS2PC")</f>
        <v>PWSPMS2PC</v>
      </c>
      <c r="F2284" s="4" t="str">
        <f>IFERROR(__xludf.DUMMYFUNCTION("""COMPUTED_VALUE"""),"OUTLET &gt; INTEGRACIÓN DE SISTEMAS DE SEGURIDAD")</f>
        <v>OUTLET &gt; INTEGRACIÓN DE SISTEMAS DE SEGURIDAD</v>
      </c>
      <c r="G2284" s="5"/>
      <c r="H2284" s="6">
        <f>IFERROR(__xludf.DUMMYFUNCTION("""COMPUTED_VALUE"""),329.12)</f>
        <v>329.12</v>
      </c>
      <c r="I2284" s="7">
        <f>IFERROR(__xludf.DUMMYFUNCTION("""COMPUTED_VALUE"""),21.0)</f>
        <v>21</v>
      </c>
      <c r="J2284" s="6">
        <f>IFERROR(__xludf.DUMMYFUNCTION("""COMPUTED_VALUE"""),394.94)</f>
        <v>394.94</v>
      </c>
      <c r="K2284" s="6">
        <f>IFERROR(__xludf.DUMMYFUNCTION("""COMPUTED_VALUE"""),460.77)</f>
        <v>460.77</v>
      </c>
      <c r="L2284" s="3"/>
      <c r="M2284" s="3"/>
    </row>
    <row r="2285" ht="48.0" customHeight="1">
      <c r="A2285" s="3" t="str">
        <f>IFERROR(__xludf.DUMMYFUNCTION("""COMPUTED_VALUE"""),"PWSSOP2")</f>
        <v>PWSSOP2</v>
      </c>
      <c r="B2285" s="4" t="str">
        <f>IFERROR(__xludf.DUMMYFUNCTION("""COMPUTED_VALUE"""),"SOPORTE PARA MONTAJE DE GAB2 Y ANEMOM")</f>
        <v>SOPORTE PARA MONTAJE DE GAB2 Y ANEMOM</v>
      </c>
      <c r="C2285" s="4" t="str">
        <f>IFERROR(__xludf.DUMMYFUNCTION("""COMPUTED_VALUE"""),"Soporte para Montaje de GAB2 y ANEMOM")</f>
        <v>Soporte para Montaje de GAB2 y ANEMOM</v>
      </c>
      <c r="D2285" s="4" t="str">
        <f>IFERROR(__xludf.DUMMYFUNCTION("""COMPUTED_VALUE"""),"ALIARA")</f>
        <v>ALIARA</v>
      </c>
      <c r="E2285" s="4" t="str">
        <f>IFERROR(__xludf.DUMMYFUNCTION("""COMPUTED_VALUE"""),"PWSSOP2")</f>
        <v>PWSSOP2</v>
      </c>
      <c r="F2285" s="4" t="str">
        <f>IFERROR(__xludf.DUMMYFUNCTION("""COMPUTED_VALUE"""),"OUTLET &gt; INTEGRACIÓN DE SISTEMAS DE SEGURIDAD")</f>
        <v>OUTLET &gt; INTEGRACIÓN DE SISTEMAS DE SEGURIDAD</v>
      </c>
      <c r="G2285" s="5"/>
      <c r="H2285" s="6">
        <f>IFERROR(__xludf.DUMMYFUNCTION("""COMPUTED_VALUE"""),95.28)</f>
        <v>95.28</v>
      </c>
      <c r="I2285" s="7">
        <f>IFERROR(__xludf.DUMMYFUNCTION("""COMPUTED_VALUE"""),21.0)</f>
        <v>21</v>
      </c>
      <c r="J2285" s="6">
        <f>IFERROR(__xludf.DUMMYFUNCTION("""COMPUTED_VALUE"""),114.34)</f>
        <v>114.34</v>
      </c>
      <c r="K2285" s="6">
        <f>IFERROR(__xludf.DUMMYFUNCTION("""COMPUTED_VALUE"""),133.39)</f>
        <v>133.39</v>
      </c>
      <c r="L2285" s="3"/>
      <c r="M2285" s="3"/>
    </row>
    <row r="2286" ht="48.0" customHeight="1">
      <c r="A2286" s="3" t="str">
        <f>IFERROR(__xludf.DUMMYFUNCTION("""COMPUTED_VALUE"""),"PWSVM4")</f>
        <v>PWSVM4</v>
      </c>
      <c r="B2286" s="4" t="str">
        <f>IFERROR(__xludf.DUMMYFUNCTION("""COMPUTED_VALUE"""),"VARILLA METÁLICA DE ALUMINIO INTERMEDIA, ALTURA 0,6 MT")</f>
        <v>VARILLA METÁLICA DE ALUMINIO INTERMEDIA, ALTURA 0,6 MT</v>
      </c>
      <c r="C2286" s="4" t="str">
        <f>IFERROR(__xludf.DUMMYFUNCTION("""COMPUTED_VALUE"""),"Varilla Metálica de Aluminio Intermedia, altura 0,6 mt.Para montaje lateral (Incluye 4 PWSAPC). Se instala una Varilla Entre 5 a 7 metros (opcion montaje lateral PWSVM4L y montaje superficie PWSVM4S)")</f>
        <v>Varilla Metálica de Aluminio Intermedia, altura 0,6 mt.Para montaje lateral (Incluye 4 PWSAPC). Se instala una Varilla Entre 5 a 7 metros (opcion montaje lateral PWSVM4L y montaje superficie PWSVM4S)</v>
      </c>
      <c r="D2286" s="4" t="str">
        <f>IFERROR(__xludf.DUMMYFUNCTION("""COMPUTED_VALUE"""),"ALIARA")</f>
        <v>ALIARA</v>
      </c>
      <c r="E2286" s="4" t="str">
        <f>IFERROR(__xludf.DUMMYFUNCTION("""COMPUTED_VALUE"""),"PWSVM4")</f>
        <v>PWSVM4</v>
      </c>
      <c r="F2286" s="4" t="str">
        <f>IFERROR(__xludf.DUMMYFUNCTION("""COMPUTED_VALUE"""),"OUTLET &gt; HERRERÍA PARA MONTAJE SOBRE MURO")</f>
        <v>OUTLET &gt; HERRERÍA PARA MONTAJE SOBRE MURO</v>
      </c>
      <c r="G2286" s="5"/>
      <c r="H2286" s="6">
        <f>IFERROR(__xludf.DUMMYFUNCTION("""COMPUTED_VALUE"""),5.5)</f>
        <v>5.5</v>
      </c>
      <c r="I2286" s="7">
        <f>IFERROR(__xludf.DUMMYFUNCTION("""COMPUTED_VALUE"""),21.0)</f>
        <v>21</v>
      </c>
      <c r="J2286" s="6">
        <f>IFERROR(__xludf.DUMMYFUNCTION("""COMPUTED_VALUE"""),6.6)</f>
        <v>6.6</v>
      </c>
      <c r="K2286" s="6">
        <f>IFERROR(__xludf.DUMMYFUNCTION("""COMPUTED_VALUE"""),7.7)</f>
        <v>7.7</v>
      </c>
      <c r="L2286" s="3"/>
      <c r="M2286" s="3"/>
    </row>
    <row r="2287" ht="48.0" customHeight="1">
      <c r="A2287" s="3" t="str">
        <f>IFERROR(__xludf.DUMMYFUNCTION("""COMPUTED_VALUE"""),"PWSVM6")</f>
        <v>PWSVM6</v>
      </c>
      <c r="B2287" s="4" t="str">
        <f>IFERROR(__xludf.DUMMYFUNCTION("""COMPUTED_VALUE"""),"VARILLA METÁLICA DE ALUMINIO INTERMEDIA, ALTURA 0,9 MT")</f>
        <v>VARILLA METÁLICA DE ALUMINIO INTERMEDIA, ALTURA 0,9 MT</v>
      </c>
      <c r="C2287" s="4" t="str">
        <f>IFERROR(__xludf.DUMMYFUNCTION("""COMPUTED_VALUE"""),"Varilla Metálica de Aluminio Intermedia, altura 0,9 mt.Para montaje lateral (Incluye 6 PWSAPC). Se instala una Varilla Entre 5 a 7 metros (opcion montaje lateral PWSVM6L y montaje superficie PWSVM6S)")</f>
        <v>Varilla Metálica de Aluminio Intermedia, altura 0,9 mt.Para montaje lateral (Incluye 6 PWSAPC). Se instala una Varilla Entre 5 a 7 metros (opcion montaje lateral PWSVM6L y montaje superficie PWSVM6S)</v>
      </c>
      <c r="D2287" s="4" t="str">
        <f>IFERROR(__xludf.DUMMYFUNCTION("""COMPUTED_VALUE"""),"ALIARA")</f>
        <v>ALIARA</v>
      </c>
      <c r="E2287" s="4" t="str">
        <f>IFERROR(__xludf.DUMMYFUNCTION("""COMPUTED_VALUE"""),"PWSVM6")</f>
        <v>PWSVM6</v>
      </c>
      <c r="F2287" s="4" t="str">
        <f>IFERROR(__xludf.DUMMYFUNCTION("""COMPUTED_VALUE"""),"OUTLET &gt; HERRERÍA PARA MONTAJE SOBRE MURO")</f>
        <v>OUTLET &gt; HERRERÍA PARA MONTAJE SOBRE MURO</v>
      </c>
      <c r="G2287" s="5"/>
      <c r="H2287" s="6">
        <f>IFERROR(__xludf.DUMMYFUNCTION("""COMPUTED_VALUE"""),5.5)</f>
        <v>5.5</v>
      </c>
      <c r="I2287" s="7">
        <f>IFERROR(__xludf.DUMMYFUNCTION("""COMPUTED_VALUE"""),21.0)</f>
        <v>21</v>
      </c>
      <c r="J2287" s="6">
        <f>IFERROR(__xludf.DUMMYFUNCTION("""COMPUTED_VALUE"""),6.6)</f>
        <v>6.6</v>
      </c>
      <c r="K2287" s="6">
        <f>IFERROR(__xludf.DUMMYFUNCTION("""COMPUTED_VALUE"""),7.7)</f>
        <v>7.7</v>
      </c>
      <c r="L2287" s="3"/>
      <c r="M2287" s="3"/>
    </row>
    <row r="2288" ht="48.0" customHeight="1">
      <c r="A2288" s="3" t="str">
        <f>IFERROR(__xludf.DUMMYFUNCTION("""COMPUTED_VALUE"""),"PWSVM8")</f>
        <v>PWSVM8</v>
      </c>
      <c r="B2288" s="4" t="str">
        <f>IFERROR(__xludf.DUMMYFUNCTION("""COMPUTED_VALUE"""),"VARILLA METÁLICA DE ALUMINIO INTERMEDIA, ALTURA 1")</f>
        <v>VARILLA METÁLICA DE ALUMINIO INTERMEDIA, ALTURA 1</v>
      </c>
      <c r="C2288" s="4" t="str">
        <f>IFERROR(__xludf.DUMMYFUNCTION("""COMPUTED_VALUE"""),"Varilla Metálica de Aluminio Intermedia, altura 1.2 mt.Para montaje lateral (Incluye 8 PWSAPC). Se instala una Varilla Entre 5 a 7 metros (opcion montaje lateral PWSVM8L y montaje superficie PWSVM8S)")</f>
        <v>Varilla Metálica de Aluminio Intermedia, altura 1.2 mt.Para montaje lateral (Incluye 8 PWSAPC). Se instala una Varilla Entre 5 a 7 metros (opcion montaje lateral PWSVM8L y montaje superficie PWSVM8S)</v>
      </c>
      <c r="D2288" s="4" t="str">
        <f>IFERROR(__xludf.DUMMYFUNCTION("""COMPUTED_VALUE"""),"ALIARA")</f>
        <v>ALIARA</v>
      </c>
      <c r="E2288" s="4" t="str">
        <f>IFERROR(__xludf.DUMMYFUNCTION("""COMPUTED_VALUE"""),"PWSVM8")</f>
        <v>PWSVM8</v>
      </c>
      <c r="F2288" s="4" t="str">
        <f>IFERROR(__xludf.DUMMYFUNCTION("""COMPUTED_VALUE"""),"OUTLET &gt; HERRERÍA PARA MONTAJE SOBRE MURO")</f>
        <v>OUTLET &gt; HERRERÍA PARA MONTAJE SOBRE MURO</v>
      </c>
      <c r="G2288" s="5"/>
      <c r="H2288" s="6">
        <f>IFERROR(__xludf.DUMMYFUNCTION("""COMPUTED_VALUE"""),5.5)</f>
        <v>5.5</v>
      </c>
      <c r="I2288" s="7">
        <f>IFERROR(__xludf.DUMMYFUNCTION("""COMPUTED_VALUE"""),21.0)</f>
        <v>21</v>
      </c>
      <c r="J2288" s="6">
        <f>IFERROR(__xludf.DUMMYFUNCTION("""COMPUTED_VALUE"""),6.6)</f>
        <v>6.6</v>
      </c>
      <c r="K2288" s="6">
        <f>IFERROR(__xludf.DUMMYFUNCTION("""COMPUTED_VALUE"""),7.7)</f>
        <v>7.7</v>
      </c>
      <c r="L2288" s="3"/>
      <c r="M2288" s="3"/>
    </row>
    <row r="2289" ht="48.0" customHeight="1">
      <c r="A2289" s="3" t="str">
        <f>IFERROR(__xludf.DUMMYFUNCTION("""COMPUTED_VALUE"""),"PWSSM4RL")</f>
        <v>PWSSM4RL</v>
      </c>
      <c r="B2289" s="4" t="str">
        <f>IFERROR(__xludf.DUMMYFUNCTION("""COMPUTED_VALUE"""),"SOPORTE PASANTE DE 4 HILOS POR LADO, A 90º")</f>
        <v>SOPORTE PASANTE DE 4 HILOS POR LADO, A 90º</v>
      </c>
      <c r="C2289" s="4" t="str">
        <f>IFERROR(__xludf.DUMMYFUNCTION("""COMPUTED_VALUE"""),"Soporte pasante de 4 hilos por lado, a 90º o 180º, para montaje lateral, altura 0,6 mts. Por cada PWSSM4RL/S van 8 APT y 8 RAG/RAI (opcion montaje lateral PWSSM4RL 90º/180º y montaje superficie PWSSM4RS 90º/180º)")</f>
        <v>Soporte pasante de 4 hilos por lado, a 90º o 180º, para montaje lateral, altura 0,6 mts. Por cada PWSSM4RL/S van 8 APT y 8 RAG/RAI (opcion montaje lateral PWSSM4RL 90º/180º y montaje superficie PWSSM4RS 90º/180º)</v>
      </c>
      <c r="D2289" s="4" t="str">
        <f>IFERROR(__xludf.DUMMYFUNCTION("""COMPUTED_VALUE"""),"ALIARA")</f>
        <v>ALIARA</v>
      </c>
      <c r="E2289" s="4" t="str">
        <f>IFERROR(__xludf.DUMMYFUNCTION("""COMPUTED_VALUE"""),"PWSSM4RL")</f>
        <v>PWSSM4RL</v>
      </c>
      <c r="F2289" s="4" t="str">
        <f>IFERROR(__xludf.DUMMYFUNCTION("""COMPUTED_VALUE"""),"OUTLET &gt; HERRERÍA PARA MONTAJE SOBRE MURO")</f>
        <v>OUTLET &gt; HERRERÍA PARA MONTAJE SOBRE MURO</v>
      </c>
      <c r="G2289" s="5"/>
      <c r="H2289" s="6">
        <f>IFERROR(__xludf.DUMMYFUNCTION("""COMPUTED_VALUE"""),5.5)</f>
        <v>5.5</v>
      </c>
      <c r="I2289" s="7">
        <f>IFERROR(__xludf.DUMMYFUNCTION("""COMPUTED_VALUE"""),21.0)</f>
        <v>21</v>
      </c>
      <c r="J2289" s="6">
        <f>IFERROR(__xludf.DUMMYFUNCTION("""COMPUTED_VALUE"""),6.6)</f>
        <v>6.6</v>
      </c>
      <c r="K2289" s="6">
        <f>IFERROR(__xludf.DUMMYFUNCTION("""COMPUTED_VALUE"""),7.7)</f>
        <v>7.7</v>
      </c>
      <c r="L2289" s="3"/>
      <c r="M2289" s="3"/>
    </row>
    <row r="2290" ht="48.0" customHeight="1">
      <c r="A2290" s="3" t="str">
        <f>IFERROR(__xludf.DUMMYFUNCTION("""COMPUTED_VALUE"""),"PWSSM6RL")</f>
        <v>PWSSM6RL</v>
      </c>
      <c r="B2290" s="4" t="str">
        <f>IFERROR(__xludf.DUMMYFUNCTION("""COMPUTED_VALUE"""),"SOPORTE PASANTE DE 6 HILOS POR LADO, A 90º")</f>
        <v>SOPORTE PASANTE DE 6 HILOS POR LADO, A 90º</v>
      </c>
      <c r="C2290" s="4" t="str">
        <f>IFERROR(__xludf.DUMMYFUNCTION("""COMPUTED_VALUE"""),"Soporte pasante de 6 hilos por lado, a 90º o 180º, para montaje lateral, altura 0,9 mts. Por cada PWSSM6RL/S van 12 APT y 12 RAG/RAI (opcion montaje lateral PWSSM6RL 90º/180º y montaje superficie PWSSM6RS 90º/180º)")</f>
        <v>Soporte pasante de 6 hilos por lado, a 90º o 180º, para montaje lateral, altura 0,9 mts. Por cada PWSSM6RL/S van 12 APT y 12 RAG/RAI (opcion montaje lateral PWSSM6RL 90º/180º y montaje superficie PWSSM6RS 90º/180º)</v>
      </c>
      <c r="D2290" s="4" t="str">
        <f>IFERROR(__xludf.DUMMYFUNCTION("""COMPUTED_VALUE"""),"ALIARA")</f>
        <v>ALIARA</v>
      </c>
      <c r="E2290" s="4" t="str">
        <f>IFERROR(__xludf.DUMMYFUNCTION("""COMPUTED_VALUE"""),"PWSSM6RL")</f>
        <v>PWSSM6RL</v>
      </c>
      <c r="F2290" s="4" t="str">
        <f>IFERROR(__xludf.DUMMYFUNCTION("""COMPUTED_VALUE"""),"OUTLET &gt; HERRERÍA PARA MONTAJE SOBRE MURO")</f>
        <v>OUTLET &gt; HERRERÍA PARA MONTAJE SOBRE MURO</v>
      </c>
      <c r="G2290" s="5"/>
      <c r="H2290" s="6">
        <f>IFERROR(__xludf.DUMMYFUNCTION("""COMPUTED_VALUE"""),5.5)</f>
        <v>5.5</v>
      </c>
      <c r="I2290" s="7">
        <f>IFERROR(__xludf.DUMMYFUNCTION("""COMPUTED_VALUE"""),21.0)</f>
        <v>21</v>
      </c>
      <c r="J2290" s="6">
        <f>IFERROR(__xludf.DUMMYFUNCTION("""COMPUTED_VALUE"""),6.6)</f>
        <v>6.6</v>
      </c>
      <c r="K2290" s="6">
        <f>IFERROR(__xludf.DUMMYFUNCTION("""COMPUTED_VALUE"""),7.7)</f>
        <v>7.7</v>
      </c>
      <c r="L2290" s="3"/>
      <c r="M2290" s="3"/>
    </row>
    <row r="2291" ht="48.0" customHeight="1">
      <c r="A2291" s="3" t="str">
        <f>IFERROR(__xludf.DUMMYFUNCTION("""COMPUTED_VALUE"""),"PWSSM8RL")</f>
        <v>PWSSM8RL</v>
      </c>
      <c r="B2291" s="4" t="str">
        <f>IFERROR(__xludf.DUMMYFUNCTION("""COMPUTED_VALUE"""),"SOPORTE PASANTE DE 8HILOS POR LADO, A 90º O")</f>
        <v>SOPORTE PASANTE DE 8HILOS POR LADO, A 90º O</v>
      </c>
      <c r="C2291" s="4" t="str">
        <f>IFERROR(__xludf.DUMMYFUNCTION("""COMPUTED_VALUE"""),"Soporte pasante de 8hilos por lado, a 90º o 180º, para montaje lateral, altura 1,2mts. Por cada PWSSM8RL/S van 16 APT y 16 RAG/RAI (opcion montaje lateral PWSSM8RL 90º/180º y montaje superficie PWSSM8RS 90º/180º)")</f>
        <v>Soporte pasante de 8hilos por lado, a 90º o 180º, para montaje lateral, altura 1,2mts. Por cada PWSSM8RL/S van 16 APT y 16 RAG/RAI (opcion montaje lateral PWSSM8RL 90º/180º y montaje superficie PWSSM8RS 90º/180º)</v>
      </c>
      <c r="D2291" s="4" t="str">
        <f>IFERROR(__xludf.DUMMYFUNCTION("""COMPUTED_VALUE"""),"ALIARA")</f>
        <v>ALIARA</v>
      </c>
      <c r="E2291" s="4" t="str">
        <f>IFERROR(__xludf.DUMMYFUNCTION("""COMPUTED_VALUE"""),"PWSSM8RL")</f>
        <v>PWSSM8RL</v>
      </c>
      <c r="F2291" s="4" t="str">
        <f>IFERROR(__xludf.DUMMYFUNCTION("""COMPUTED_VALUE"""),"OUTLET &gt; HERRERÍA PARA MONTAJE SOBRE MURO")</f>
        <v>OUTLET &gt; HERRERÍA PARA MONTAJE SOBRE MURO</v>
      </c>
      <c r="G2291" s="5"/>
      <c r="H2291" s="6">
        <f>IFERROR(__xludf.DUMMYFUNCTION("""COMPUTED_VALUE"""),5.5)</f>
        <v>5.5</v>
      </c>
      <c r="I2291" s="7">
        <f>IFERROR(__xludf.DUMMYFUNCTION("""COMPUTED_VALUE"""),21.0)</f>
        <v>21</v>
      </c>
      <c r="J2291" s="6">
        <f>IFERROR(__xludf.DUMMYFUNCTION("""COMPUTED_VALUE"""),6.6)</f>
        <v>6.6</v>
      </c>
      <c r="K2291" s="6">
        <f>IFERROR(__xludf.DUMMYFUNCTION("""COMPUTED_VALUE"""),7.7)</f>
        <v>7.7</v>
      </c>
      <c r="L2291" s="3"/>
      <c r="M2291" s="3"/>
    </row>
    <row r="2292" ht="48.0" customHeight="1">
      <c r="A2292" s="3" t="str">
        <f>IFERROR(__xludf.DUMMYFUNCTION("""COMPUTED_VALUE"""),"PWSSM4T")</f>
        <v>PWSSM4T</v>
      </c>
      <c r="B2292" s="4" t="str">
        <f>IFERROR(__xludf.DUMMYFUNCTION("""COMPUTED_VALUE"""),"SOPORTE DE TERMINACIÓN DE 4 HILOS,PARA MONTAJE LATERAL ALTURA 0,6MTS")</f>
        <v>SOPORTE DE TERMINACIÓN DE 4 HILOS,PARA MONTAJE LATERAL ALTURA 0,6MTS</v>
      </c>
      <c r="C2292" s="4" t="str">
        <f>IFERROR(__xludf.DUMMYFUNCTION("""COMPUTED_VALUE"""),"Soporte de Terminación de 4 hilos,para montaje lateral altura 0,6mts. Por cada PWSSM4TL/S van 4 APT y 4 RAG/RAI (opcion montaje lateral PWSSM4TL y montaje superficie PWSSM4TS)")</f>
        <v>Soporte de Terminación de 4 hilos,para montaje lateral altura 0,6mts. Por cada PWSSM4TL/S van 4 APT y 4 RAG/RAI (opcion montaje lateral PWSSM4TL y montaje superficie PWSSM4TS)</v>
      </c>
      <c r="D2292" s="4" t="str">
        <f>IFERROR(__xludf.DUMMYFUNCTION("""COMPUTED_VALUE"""),"ALIARA")</f>
        <v>ALIARA</v>
      </c>
      <c r="E2292" s="4" t="str">
        <f>IFERROR(__xludf.DUMMYFUNCTION("""COMPUTED_VALUE"""),"PWSSM4T")</f>
        <v>PWSSM4T</v>
      </c>
      <c r="F2292" s="4" t="str">
        <f>IFERROR(__xludf.DUMMYFUNCTION("""COMPUTED_VALUE"""),"OUTLET &gt; HERRERÍA PARA MONTAJE SOBRE MURO")</f>
        <v>OUTLET &gt; HERRERÍA PARA MONTAJE SOBRE MURO</v>
      </c>
      <c r="G2292" s="5"/>
      <c r="H2292" s="6">
        <f>IFERROR(__xludf.DUMMYFUNCTION("""COMPUTED_VALUE"""),5.5)</f>
        <v>5.5</v>
      </c>
      <c r="I2292" s="7">
        <f>IFERROR(__xludf.DUMMYFUNCTION("""COMPUTED_VALUE"""),21.0)</f>
        <v>21</v>
      </c>
      <c r="J2292" s="6">
        <f>IFERROR(__xludf.DUMMYFUNCTION("""COMPUTED_VALUE"""),6.6)</f>
        <v>6.6</v>
      </c>
      <c r="K2292" s="6">
        <f>IFERROR(__xludf.DUMMYFUNCTION("""COMPUTED_VALUE"""),7.7)</f>
        <v>7.7</v>
      </c>
      <c r="L2292" s="3"/>
      <c r="M2292" s="3"/>
    </row>
    <row r="2293" ht="48.0" customHeight="1">
      <c r="A2293" s="3" t="str">
        <f>IFERROR(__xludf.DUMMYFUNCTION("""COMPUTED_VALUE"""),"PWSSM6T")</f>
        <v>PWSSM6T</v>
      </c>
      <c r="B2293" s="4" t="str">
        <f>IFERROR(__xludf.DUMMYFUNCTION("""COMPUTED_VALUE"""),"SOPORTE DE TERMINACIÓN DE 6 HILOS,PARA MONTAJE LATERAL ALTURA 0,9MTS")</f>
        <v>SOPORTE DE TERMINACIÓN DE 6 HILOS,PARA MONTAJE LATERAL ALTURA 0,9MTS</v>
      </c>
      <c r="C2293" s="4" t="str">
        <f>IFERROR(__xludf.DUMMYFUNCTION("""COMPUTED_VALUE"""),"Soporte de Terminación de 6 hilos,para montaje lateral altura 0,9mts. Por cada PWSSM6TL/S van 6 APT y 6 RAG/RAI (opcion montaje lateral PWSSM6TL y montaje superficie PWSSM8TS)")</f>
        <v>Soporte de Terminación de 6 hilos,para montaje lateral altura 0,9mts. Por cada PWSSM6TL/S van 6 APT y 6 RAG/RAI (opcion montaje lateral PWSSM6TL y montaje superficie PWSSM8TS)</v>
      </c>
      <c r="D2293" s="4" t="str">
        <f>IFERROR(__xludf.DUMMYFUNCTION("""COMPUTED_VALUE"""),"ALIARA")</f>
        <v>ALIARA</v>
      </c>
      <c r="E2293" s="4" t="str">
        <f>IFERROR(__xludf.DUMMYFUNCTION("""COMPUTED_VALUE"""),"PWSSM6T")</f>
        <v>PWSSM6T</v>
      </c>
      <c r="F2293" s="4" t="str">
        <f>IFERROR(__xludf.DUMMYFUNCTION("""COMPUTED_VALUE"""),"OUTLET &gt; HERRERÍA PARA MONTAJE SOBRE MURO")</f>
        <v>OUTLET &gt; HERRERÍA PARA MONTAJE SOBRE MURO</v>
      </c>
      <c r="G2293" s="5"/>
      <c r="H2293" s="6">
        <f>IFERROR(__xludf.DUMMYFUNCTION("""COMPUTED_VALUE"""),5.5)</f>
        <v>5.5</v>
      </c>
      <c r="I2293" s="7">
        <f>IFERROR(__xludf.DUMMYFUNCTION("""COMPUTED_VALUE"""),21.0)</f>
        <v>21</v>
      </c>
      <c r="J2293" s="6">
        <f>IFERROR(__xludf.DUMMYFUNCTION("""COMPUTED_VALUE"""),6.6)</f>
        <v>6.6</v>
      </c>
      <c r="K2293" s="6">
        <f>IFERROR(__xludf.DUMMYFUNCTION("""COMPUTED_VALUE"""),7.7)</f>
        <v>7.7</v>
      </c>
      <c r="L2293" s="3"/>
      <c r="M2293" s="3"/>
    </row>
    <row r="2294" ht="48.0" customHeight="1">
      <c r="A2294" s="3" t="str">
        <f>IFERROR(__xludf.DUMMYFUNCTION("""COMPUTED_VALUE"""),"PWSSM8T")</f>
        <v>PWSSM8T</v>
      </c>
      <c r="B2294" s="4" t="str">
        <f>IFERROR(__xludf.DUMMYFUNCTION("""COMPUTED_VALUE"""),"SOPORTE DE TERMINACIÓN DE 8 HILOS,PARA MONTAJE LATERAL ALTURA 1")</f>
        <v>SOPORTE DE TERMINACIÓN DE 8 HILOS,PARA MONTAJE LATERAL ALTURA 1</v>
      </c>
      <c r="C2294" s="4" t="str">
        <f>IFERROR(__xludf.DUMMYFUNCTION("""COMPUTED_VALUE"""),"Soporte de Terminación de 8 hilos,para montaje lateral altura 1.2mts. Por cada PWSSM8TL/S van 8 APT y 8 RAG/RAI (opcion montaje lateral PWSSM8TL y montaje superficie PWSSM8TS)")</f>
        <v>Soporte de Terminación de 8 hilos,para montaje lateral altura 1.2mts. Por cada PWSSM8TL/S van 8 APT y 8 RAG/RAI (opcion montaje lateral PWSSM8TL y montaje superficie PWSSM8TS)</v>
      </c>
      <c r="D2294" s="4" t="str">
        <f>IFERROR(__xludf.DUMMYFUNCTION("""COMPUTED_VALUE"""),"ALIARA")</f>
        <v>ALIARA</v>
      </c>
      <c r="E2294" s="4" t="str">
        <f>IFERROR(__xludf.DUMMYFUNCTION("""COMPUTED_VALUE"""),"PWSSM8T")</f>
        <v>PWSSM8T</v>
      </c>
      <c r="F2294" s="4" t="str">
        <f>IFERROR(__xludf.DUMMYFUNCTION("""COMPUTED_VALUE"""),"OUTLET &gt; HERRERÍA PARA MONTAJE SOBRE MURO")</f>
        <v>OUTLET &gt; HERRERÍA PARA MONTAJE SOBRE MURO</v>
      </c>
      <c r="G2294" s="5"/>
      <c r="H2294" s="6">
        <f>IFERROR(__xludf.DUMMYFUNCTION("""COMPUTED_VALUE"""),5.5)</f>
        <v>5.5</v>
      </c>
      <c r="I2294" s="7">
        <f>IFERROR(__xludf.DUMMYFUNCTION("""COMPUTED_VALUE"""),21.0)</f>
        <v>21</v>
      </c>
      <c r="J2294" s="6">
        <f>IFERROR(__xludf.DUMMYFUNCTION("""COMPUTED_VALUE"""),6.6)</f>
        <v>6.6</v>
      </c>
      <c r="K2294" s="6">
        <f>IFERROR(__xludf.DUMMYFUNCTION("""COMPUTED_VALUE"""),7.7)</f>
        <v>7.7</v>
      </c>
      <c r="L2294" s="3"/>
      <c r="M2294" s="3"/>
    </row>
    <row r="2295" ht="48.0" customHeight="1">
      <c r="A2295" s="3" t="str">
        <f>IFERROR(__xludf.DUMMYFUNCTION("""COMPUTED_VALUE"""),"EXPRECIUM2-DUP1")</f>
        <v>EXPRECIUM2-DUP1</v>
      </c>
      <c r="B2295" s="4" t="str">
        <f>IFERROR(__xludf.DUMMYFUNCTION("""COMPUTED_VALUE"""),"PLACA RECEPTORA DE MONITOREO (BUS PCI ) 2 LÍNEAS")</f>
        <v>PLACA RECEPTORA DE MONITOREO (BUS PCI ) 2 LÍNEAS</v>
      </c>
      <c r="C2295" s="4" t="str">
        <f>IFERROR(__xludf.DUMMYFUNCTION("""COMPUTED_VALUE"""),"Placa receptora de monitoreo (bus PCI ) 2 líneas")</f>
        <v>Placa receptora de monitoreo (bus PCI ) 2 líneas</v>
      </c>
      <c r="D2295" s="4" t="str">
        <f>IFERROR(__xludf.DUMMYFUNCTION("""COMPUTED_VALUE"""),"MCDI")</f>
        <v>MCDI</v>
      </c>
      <c r="E2295" s="4" t="str">
        <f>IFERROR(__xludf.DUMMYFUNCTION("""COMPUTED_VALUE"""),"EXPRECIUM2")</f>
        <v>EXPRECIUM2</v>
      </c>
      <c r="F2295" s="4" t="str">
        <f>IFERROR(__xludf.DUMMYFUNCTION("""COMPUTED_VALUE"""),"OUTLET &gt; EQUIPAMIENTO DE MONITOREO TELEFONICO")</f>
        <v>OUTLET &gt; EQUIPAMIENTO DE MONITOREO TELEFONICO</v>
      </c>
      <c r="G2295" s="5"/>
      <c r="H2295" s="6">
        <f>IFERROR(__xludf.DUMMYFUNCTION("""COMPUTED_VALUE"""),0.0)</f>
        <v>0</v>
      </c>
      <c r="I2295" s="7">
        <f>IFERROR(__xludf.DUMMYFUNCTION("""COMPUTED_VALUE"""),21.0)</f>
        <v>21</v>
      </c>
      <c r="J2295" s="6">
        <f>IFERROR(__xludf.DUMMYFUNCTION("""COMPUTED_VALUE"""),0.0)</f>
        <v>0</v>
      </c>
      <c r="K2295" s="6">
        <f>IFERROR(__xludf.DUMMYFUNCTION("""COMPUTED_VALUE"""),0.0)</f>
        <v>0</v>
      </c>
      <c r="L2295" s="3"/>
      <c r="M2295" s="3"/>
    </row>
    <row r="2296" ht="48.0" customHeight="1">
      <c r="A2296" s="3" t="str">
        <f>IFERROR(__xludf.DUMMYFUNCTION("""COMPUTED_VALUE"""),"EXSA")</f>
        <v>EXSA</v>
      </c>
      <c r="B2296" s="4" t="str">
        <f>IFERROR(__xludf.DUMMYFUNCTION("""COMPUTED_VALUE"""),"RECEPTOR TELEFONICO 2 LÍNEAS")</f>
        <v>RECEPTOR TELEFONICO 2 LÍNEAS</v>
      </c>
      <c r="C2296" s="4" t="str">
        <f>IFERROR(__xludf.DUMMYFUNCTION("""COMPUTED_VALUE"""),"Receptor Telefonico 2 líneas . Salida USB. Múltiples formatos de comunicación.")</f>
        <v>Receptor Telefonico 2 líneas . Salida USB. Múltiples formatos de comunicación.</v>
      </c>
      <c r="D2296" s="4" t="str">
        <f>IFERROR(__xludf.DUMMYFUNCTION("""COMPUTED_VALUE"""),"MCDI")</f>
        <v>MCDI</v>
      </c>
      <c r="E2296" s="4" t="str">
        <f>IFERROR(__xludf.DUMMYFUNCTION("""COMPUTED_VALUE"""),"EXSA")</f>
        <v>EXSA</v>
      </c>
      <c r="F2296" s="4" t="str">
        <f>IFERROR(__xludf.DUMMYFUNCTION("""COMPUTED_VALUE"""),"OUTLET &gt; EQUIPAMIENTO DE MONITOREO TELEFONICO")</f>
        <v>OUTLET &gt; EQUIPAMIENTO DE MONITOREO TELEFONICO</v>
      </c>
      <c r="G2296" s="5"/>
      <c r="H2296" s="6">
        <f>IFERROR(__xludf.DUMMYFUNCTION("""COMPUTED_VALUE"""),0.0)</f>
        <v>0</v>
      </c>
      <c r="I2296" s="7">
        <f>IFERROR(__xludf.DUMMYFUNCTION("""COMPUTED_VALUE"""),21.0)</f>
        <v>21</v>
      </c>
      <c r="J2296" s="6">
        <f>IFERROR(__xludf.DUMMYFUNCTION("""COMPUTED_VALUE"""),0.0)</f>
        <v>0</v>
      </c>
      <c r="K2296" s="6">
        <f>IFERROR(__xludf.DUMMYFUNCTION("""COMPUTED_VALUE"""),0.0)</f>
        <v>0</v>
      </c>
      <c r="L2296" s="3"/>
      <c r="M2296" s="3"/>
    </row>
    <row r="2297" ht="48.0" customHeight="1">
      <c r="A2297" s="3" t="str">
        <f>IFERROR(__xludf.DUMMYFUNCTION("""COMPUTED_VALUE"""),"DECRYPTA2")</f>
        <v>DECRYPTA2</v>
      </c>
      <c r="B2297" s="4" t="str">
        <f>IFERROR(__xludf.DUMMYFUNCTION("""COMPUTED_VALUE"""),"RECEPTOR TELEFONICO 2 LÍNEAS")</f>
        <v>RECEPTOR TELEFONICO 2 LÍNEAS</v>
      </c>
      <c r="C2297" s="4" t="str">
        <f>IFERROR(__xludf.DUMMYFUNCTION("""COMPUTED_VALUE"""),"Receptor Telefonico 2 líneas . Display LCD. Múltiples formatos de comunicación.")</f>
        <v>Receptor Telefonico 2 líneas . Display LCD. Múltiples formatos de comunicación.</v>
      </c>
      <c r="D2297" s="4" t="str">
        <f>IFERROR(__xludf.DUMMYFUNCTION("""COMPUTED_VALUE"""),"MCDI")</f>
        <v>MCDI</v>
      </c>
      <c r="E2297" s="4" t="str">
        <f>IFERROR(__xludf.DUMMYFUNCTION("""COMPUTED_VALUE"""),"DECRYPTA2")</f>
        <v>DECRYPTA2</v>
      </c>
      <c r="F2297" s="4" t="str">
        <f>IFERROR(__xludf.DUMMYFUNCTION("""COMPUTED_VALUE"""),"OUTLET &gt; EQUIPAMIENTO DE MONITOREO TELEFONICO")</f>
        <v>OUTLET &gt; EQUIPAMIENTO DE MONITOREO TELEFONICO</v>
      </c>
      <c r="G2297" s="5"/>
      <c r="H2297" s="6">
        <f>IFERROR(__xludf.DUMMYFUNCTION("""COMPUTED_VALUE"""),0.0)</f>
        <v>0</v>
      </c>
      <c r="I2297" s="7">
        <f>IFERROR(__xludf.DUMMYFUNCTION("""COMPUTED_VALUE"""),21.0)</f>
        <v>21</v>
      </c>
      <c r="J2297" s="6">
        <f>IFERROR(__xludf.DUMMYFUNCTION("""COMPUTED_VALUE"""),0.0)</f>
        <v>0</v>
      </c>
      <c r="K2297" s="6">
        <f>IFERROR(__xludf.DUMMYFUNCTION("""COMPUTED_VALUE"""),0.0)</f>
        <v>0</v>
      </c>
      <c r="L2297" s="3"/>
      <c r="M2297" s="3"/>
    </row>
    <row r="2298" ht="48.0" customHeight="1">
      <c r="A2298" s="3"/>
      <c r="B2298" s="4"/>
      <c r="C2298" s="4"/>
      <c r="D2298" s="4"/>
      <c r="E2298" s="4"/>
      <c r="F2298" s="4"/>
      <c r="G2298" s="5"/>
      <c r="H2298" s="6"/>
      <c r="I2298" s="7"/>
      <c r="J2298" s="6"/>
      <c r="K2298" s="6"/>
      <c r="L2298" s="3"/>
      <c r="M2298" s="3" t="str">
        <f>IFERROR(__xludf.DUMMYFUNCTION("""COMPUTED_VALUE"""),"")</f>
        <v/>
      </c>
    </row>
    <row r="2299" ht="48.0" customHeight="1">
      <c r="A2299" s="3"/>
      <c r="B2299" s="4"/>
      <c r="C2299" s="4"/>
      <c r="D2299" s="4"/>
      <c r="E2299" s="4"/>
      <c r="F2299" s="4"/>
      <c r="G2299" s="5"/>
      <c r="H2299" s="6"/>
      <c r="I2299" s="7"/>
      <c r="J2299" s="6"/>
      <c r="K2299" s="6"/>
      <c r="L2299" s="3"/>
      <c r="M2299" s="3" t="str">
        <f>IFERROR(__xludf.DUMMYFUNCTION("""COMPUTED_VALUE"""),"")</f>
        <v/>
      </c>
    </row>
    <row r="2300" ht="48.0" customHeight="1">
      <c r="A2300" s="3"/>
      <c r="B2300" s="4"/>
      <c r="C2300" s="4"/>
      <c r="D2300" s="4"/>
      <c r="E2300" s="4"/>
      <c r="F2300" s="4"/>
      <c r="G2300" s="5"/>
      <c r="H2300" s="6"/>
      <c r="I2300" s="7"/>
      <c r="J2300" s="6"/>
      <c r="K2300" s="6"/>
      <c r="L2300" s="3"/>
      <c r="M2300" s="3" t="str">
        <f>IFERROR(__xludf.DUMMYFUNCTION("""COMPUTED_VALUE"""),"")</f>
        <v/>
      </c>
    </row>
    <row r="2301" ht="48.0" customHeight="1">
      <c r="A2301" s="3"/>
      <c r="B2301" s="4"/>
      <c r="C2301" s="4"/>
      <c r="D2301" s="4"/>
      <c r="E2301" s="4"/>
      <c r="F2301" s="4"/>
      <c r="G2301" s="5"/>
      <c r="H2301" s="6"/>
      <c r="I2301" s="7"/>
      <c r="J2301" s="6"/>
      <c r="K2301" s="6"/>
      <c r="L2301" s="3"/>
      <c r="M2301" s="3" t="str">
        <f>IFERROR(__xludf.DUMMYFUNCTION("""COMPUTED_VALUE"""),"")</f>
        <v/>
      </c>
    </row>
    <row r="2302" ht="48.0" customHeight="1">
      <c r="A2302" s="3"/>
      <c r="B2302" s="4"/>
      <c r="C2302" s="4"/>
      <c r="D2302" s="4"/>
      <c r="E2302" s="4"/>
      <c r="F2302" s="4"/>
      <c r="G2302" s="5"/>
      <c r="H2302" s="6"/>
      <c r="I2302" s="7"/>
      <c r="J2302" s="6"/>
      <c r="K2302" s="6"/>
      <c r="L2302" s="3"/>
      <c r="M2302" s="3" t="str">
        <f>IFERROR(__xludf.DUMMYFUNCTION("""COMPUTED_VALUE"""),"")</f>
        <v/>
      </c>
    </row>
    <row r="2303" ht="48.0" customHeight="1">
      <c r="A2303" s="3"/>
      <c r="B2303" s="4"/>
      <c r="C2303" s="4"/>
      <c r="D2303" s="4"/>
      <c r="E2303" s="4"/>
      <c r="F2303" s="4"/>
      <c r="G2303" s="5"/>
      <c r="H2303" s="6"/>
      <c r="I2303" s="7"/>
      <c r="J2303" s="6"/>
      <c r="K2303" s="6"/>
      <c r="L2303" s="3"/>
      <c r="M2303" s="3" t="str">
        <f>IFERROR(__xludf.DUMMYFUNCTION("""COMPUTED_VALUE"""),"")</f>
        <v/>
      </c>
    </row>
    <row r="2304" ht="48.0" customHeight="1">
      <c r="A2304" s="3"/>
      <c r="B2304" s="4"/>
      <c r="C2304" s="4"/>
      <c r="D2304" s="4"/>
      <c r="E2304" s="4"/>
      <c r="F2304" s="4"/>
      <c r="G2304" s="5"/>
      <c r="H2304" s="6"/>
      <c r="I2304" s="7"/>
      <c r="J2304" s="6"/>
      <c r="K2304" s="6"/>
      <c r="L2304" s="3"/>
      <c r="M2304" s="3" t="str">
        <f>IFERROR(__xludf.DUMMYFUNCTION("""COMPUTED_VALUE"""),"")</f>
        <v/>
      </c>
    </row>
    <row r="2305" ht="48.0" customHeight="1">
      <c r="A2305" s="3"/>
      <c r="B2305" s="4"/>
      <c r="C2305" s="4"/>
      <c r="D2305" s="4"/>
      <c r="E2305" s="4"/>
      <c r="F2305" s="4"/>
      <c r="G2305" s="5"/>
      <c r="H2305" s="6"/>
      <c r="I2305" s="7"/>
      <c r="J2305" s="6"/>
      <c r="K2305" s="6"/>
      <c r="L2305" s="3"/>
      <c r="M2305" s="3" t="str">
        <f>IFERROR(__xludf.DUMMYFUNCTION("""COMPUTED_VALUE"""),"")</f>
        <v/>
      </c>
    </row>
    <row r="2306" ht="48.0" customHeight="1">
      <c r="A2306" s="3"/>
      <c r="B2306" s="4"/>
      <c r="C2306" s="4"/>
      <c r="D2306" s="4"/>
      <c r="E2306" s="4"/>
      <c r="F2306" s="4"/>
      <c r="G2306" s="5"/>
      <c r="H2306" s="6"/>
      <c r="I2306" s="7"/>
      <c r="J2306" s="6"/>
      <c r="K2306" s="6"/>
      <c r="L2306" s="3"/>
      <c r="M2306" s="3" t="str">
        <f>IFERROR(__xludf.DUMMYFUNCTION("""COMPUTED_VALUE"""),"")</f>
        <v/>
      </c>
    </row>
    <row r="2307" ht="48.0" customHeight="1">
      <c r="A2307" s="3"/>
      <c r="B2307" s="4"/>
      <c r="C2307" s="4"/>
      <c r="D2307" s="4"/>
      <c r="E2307" s="4"/>
      <c r="F2307" s="4"/>
      <c r="G2307" s="5"/>
      <c r="H2307" s="6"/>
      <c r="I2307" s="7"/>
      <c r="J2307" s="6"/>
      <c r="K2307" s="6"/>
      <c r="L2307" s="3"/>
      <c r="M2307" s="3" t="str">
        <f>IFERROR(__xludf.DUMMYFUNCTION("""COMPUTED_VALUE"""),"")</f>
        <v/>
      </c>
    </row>
    <row r="2308" ht="48.0" customHeight="1">
      <c r="A2308" s="3"/>
      <c r="B2308" s="4"/>
      <c r="C2308" s="4"/>
      <c r="D2308" s="4"/>
      <c r="E2308" s="4"/>
      <c r="F2308" s="4"/>
      <c r="G2308" s="5"/>
      <c r="H2308" s="6"/>
      <c r="I2308" s="7"/>
      <c r="J2308" s="6"/>
      <c r="K2308" s="6"/>
      <c r="L2308" s="3"/>
      <c r="M2308" s="3" t="str">
        <f>IFERROR(__xludf.DUMMYFUNCTION("""COMPUTED_VALUE"""),"")</f>
        <v/>
      </c>
    </row>
    <row r="2309" ht="48.0" customHeight="1">
      <c r="A2309" s="3"/>
      <c r="B2309" s="4"/>
      <c r="C2309" s="4"/>
      <c r="D2309" s="4"/>
      <c r="E2309" s="4"/>
      <c r="F2309" s="4"/>
      <c r="G2309" s="5"/>
      <c r="H2309" s="6"/>
      <c r="I2309" s="7"/>
      <c r="J2309" s="6"/>
      <c r="K2309" s="6"/>
      <c r="L2309" s="3"/>
      <c r="M2309" s="3" t="str">
        <f>IFERROR(__xludf.DUMMYFUNCTION("""COMPUTED_VALUE"""),"")</f>
        <v/>
      </c>
    </row>
    <row r="2310" ht="48.0" customHeight="1">
      <c r="A2310" s="3"/>
      <c r="B2310" s="4"/>
      <c r="C2310" s="4"/>
      <c r="D2310" s="4"/>
      <c r="E2310" s="4"/>
      <c r="F2310" s="4"/>
      <c r="G2310" s="5"/>
      <c r="H2310" s="6"/>
      <c r="I2310" s="7"/>
      <c r="J2310" s="6"/>
      <c r="K2310" s="6"/>
      <c r="L2310" s="3"/>
      <c r="M2310" s="3" t="str">
        <f>IFERROR(__xludf.DUMMYFUNCTION("""COMPUTED_VALUE"""),"")</f>
        <v/>
      </c>
    </row>
    <row r="2311" ht="48.0" customHeight="1">
      <c r="A2311" s="3"/>
      <c r="B2311" s="4"/>
      <c r="C2311" s="4"/>
      <c r="D2311" s="4"/>
      <c r="E2311" s="4"/>
      <c r="F2311" s="4"/>
      <c r="G2311" s="5"/>
      <c r="H2311" s="6"/>
      <c r="I2311" s="7"/>
      <c r="J2311" s="6"/>
      <c r="K2311" s="6"/>
      <c r="L2311" s="3"/>
      <c r="M2311" s="3" t="str">
        <f>IFERROR(__xludf.DUMMYFUNCTION("""COMPUTED_VALUE"""),"")</f>
        <v/>
      </c>
    </row>
    <row r="2312" ht="48.0" customHeight="1">
      <c r="A2312" s="3"/>
      <c r="B2312" s="4"/>
      <c r="C2312" s="4"/>
      <c r="D2312" s="4"/>
      <c r="E2312" s="4"/>
      <c r="F2312" s="4"/>
      <c r="G2312" s="5"/>
      <c r="H2312" s="6"/>
      <c r="I2312" s="7"/>
      <c r="J2312" s="6"/>
      <c r="K2312" s="6"/>
      <c r="L2312" s="3"/>
      <c r="M2312" s="3" t="str">
        <f>IFERROR(__xludf.DUMMYFUNCTION("""COMPUTED_VALUE"""),"")</f>
        <v/>
      </c>
    </row>
    <row r="2313" ht="48.0" customHeight="1">
      <c r="A2313" s="3"/>
      <c r="B2313" s="4"/>
      <c r="C2313" s="4"/>
      <c r="D2313" s="4"/>
      <c r="E2313" s="4"/>
      <c r="F2313" s="4"/>
      <c r="G2313" s="5"/>
      <c r="H2313" s="6"/>
      <c r="I2313" s="7"/>
      <c r="J2313" s="6"/>
      <c r="K2313" s="6"/>
      <c r="L2313" s="3"/>
      <c r="M2313" s="3" t="str">
        <f>IFERROR(__xludf.DUMMYFUNCTION("""COMPUTED_VALUE"""),"")</f>
        <v/>
      </c>
    </row>
    <row r="2314" ht="48.0" customHeight="1">
      <c r="A2314" s="3"/>
      <c r="B2314" s="4"/>
      <c r="C2314" s="4"/>
      <c r="D2314" s="4"/>
      <c r="E2314" s="4"/>
      <c r="F2314" s="4"/>
      <c r="G2314" s="5"/>
      <c r="H2314" s="6"/>
      <c r="I2314" s="7"/>
      <c r="J2314" s="6"/>
      <c r="K2314" s="6"/>
      <c r="L2314" s="3"/>
      <c r="M2314" s="3" t="str">
        <f>IFERROR(__xludf.DUMMYFUNCTION("""COMPUTED_VALUE"""),"")</f>
        <v/>
      </c>
    </row>
    <row r="2315" ht="48.0" customHeight="1">
      <c r="A2315" s="3"/>
      <c r="B2315" s="4"/>
      <c r="C2315" s="4"/>
      <c r="D2315" s="4"/>
      <c r="E2315" s="4"/>
      <c r="F2315" s="4"/>
      <c r="G2315" s="5"/>
      <c r="H2315" s="6"/>
      <c r="I2315" s="7"/>
      <c r="J2315" s="6"/>
      <c r="K2315" s="6"/>
      <c r="L2315" s="3"/>
      <c r="M2315" s="3" t="str">
        <f>IFERROR(__xludf.DUMMYFUNCTION("""COMPUTED_VALUE"""),"")</f>
        <v/>
      </c>
    </row>
    <row r="2316" ht="48.0" customHeight="1">
      <c r="A2316" s="3"/>
      <c r="B2316" s="4"/>
      <c r="C2316" s="4"/>
      <c r="D2316" s="4"/>
      <c r="E2316" s="4"/>
      <c r="F2316" s="4"/>
      <c r="G2316" s="5"/>
      <c r="H2316" s="6"/>
      <c r="I2316" s="7"/>
      <c r="J2316" s="6"/>
      <c r="K2316" s="6"/>
      <c r="L2316" s="3"/>
      <c r="M2316" s="3" t="str">
        <f>IFERROR(__xludf.DUMMYFUNCTION("""COMPUTED_VALUE"""),"")</f>
        <v/>
      </c>
    </row>
    <row r="2317" ht="48.0" customHeight="1">
      <c r="A2317" s="3"/>
      <c r="B2317" s="4"/>
      <c r="C2317" s="4"/>
      <c r="D2317" s="4"/>
      <c r="E2317" s="4"/>
      <c r="F2317" s="4"/>
      <c r="G2317" s="5"/>
      <c r="H2317" s="6"/>
      <c r="I2317" s="7"/>
      <c r="J2317" s="6"/>
      <c r="K2317" s="6"/>
      <c r="L2317" s="3"/>
      <c r="M2317" s="3" t="str">
        <f>IFERROR(__xludf.DUMMYFUNCTION("""COMPUTED_VALUE"""),"")</f>
        <v/>
      </c>
    </row>
    <row r="2318" ht="48.0" customHeight="1">
      <c r="A2318" s="3"/>
      <c r="B2318" s="4"/>
      <c r="C2318" s="4"/>
      <c r="D2318" s="4"/>
      <c r="E2318" s="4"/>
      <c r="F2318" s="4"/>
      <c r="G2318" s="5"/>
      <c r="H2318" s="6"/>
      <c r="I2318" s="7"/>
      <c r="J2318" s="6"/>
      <c r="K2318" s="6"/>
      <c r="L2318" s="3"/>
      <c r="M2318" s="3" t="str">
        <f>IFERROR(__xludf.DUMMYFUNCTION("""COMPUTED_VALUE"""),"")</f>
        <v/>
      </c>
    </row>
    <row r="2319" ht="48.0" customHeight="1">
      <c r="A2319" s="3"/>
      <c r="B2319" s="4"/>
      <c r="C2319" s="4"/>
      <c r="D2319" s="4"/>
      <c r="E2319" s="4"/>
      <c r="F2319" s="4"/>
      <c r="G2319" s="5"/>
      <c r="H2319" s="6"/>
      <c r="I2319" s="7"/>
      <c r="J2319" s="6"/>
      <c r="K2319" s="6"/>
      <c r="L2319" s="3"/>
      <c r="M2319" s="3" t="str">
        <f>IFERROR(__xludf.DUMMYFUNCTION("""COMPUTED_VALUE"""),"")</f>
        <v/>
      </c>
    </row>
    <row r="2320" ht="48.0" customHeight="1">
      <c r="A2320" s="3"/>
      <c r="B2320" s="4"/>
      <c r="C2320" s="4"/>
      <c r="D2320" s="4"/>
      <c r="E2320" s="4"/>
      <c r="F2320" s="4"/>
      <c r="G2320" s="5"/>
      <c r="H2320" s="6"/>
      <c r="I2320" s="7"/>
      <c r="J2320" s="6"/>
      <c r="K2320" s="6"/>
      <c r="L2320" s="3"/>
      <c r="M2320" s="3" t="str">
        <f>IFERROR(__xludf.DUMMYFUNCTION("""COMPUTED_VALUE"""),"")</f>
        <v/>
      </c>
    </row>
    <row r="2321" ht="48.0" customHeight="1">
      <c r="A2321" s="3"/>
      <c r="B2321" s="4"/>
      <c r="C2321" s="4"/>
      <c r="D2321" s="4"/>
      <c r="E2321" s="4"/>
      <c r="F2321" s="4"/>
      <c r="G2321" s="5"/>
      <c r="H2321" s="6"/>
      <c r="I2321" s="7"/>
      <c r="J2321" s="6"/>
      <c r="K2321" s="6"/>
      <c r="L2321" s="3"/>
      <c r="M2321" s="3" t="str">
        <f>IFERROR(__xludf.DUMMYFUNCTION("""COMPUTED_VALUE"""),"")</f>
        <v/>
      </c>
    </row>
    <row r="2322" ht="48.0" customHeight="1">
      <c r="A2322" s="3"/>
      <c r="B2322" s="4"/>
      <c r="C2322" s="4"/>
      <c r="D2322" s="4"/>
      <c r="E2322" s="4"/>
      <c r="F2322" s="4"/>
      <c r="G2322" s="5"/>
      <c r="H2322" s="6"/>
      <c r="I2322" s="7"/>
      <c r="J2322" s="6"/>
      <c r="K2322" s="6"/>
      <c r="L2322" s="3"/>
      <c r="M2322" s="3" t="str">
        <f>IFERROR(__xludf.DUMMYFUNCTION("""COMPUTED_VALUE"""),"")</f>
        <v/>
      </c>
    </row>
    <row r="2323" ht="48.0" customHeight="1">
      <c r="A2323" s="3"/>
      <c r="B2323" s="4"/>
      <c r="C2323" s="4"/>
      <c r="D2323" s="4"/>
      <c r="E2323" s="4"/>
      <c r="F2323" s="4"/>
      <c r="G2323" s="5"/>
      <c r="H2323" s="6"/>
      <c r="I2323" s="7"/>
      <c r="J2323" s="6"/>
      <c r="K2323" s="6"/>
      <c r="L2323" s="3"/>
      <c r="M2323" s="3" t="str">
        <f>IFERROR(__xludf.DUMMYFUNCTION("""COMPUTED_VALUE"""),"")</f>
        <v/>
      </c>
    </row>
    <row r="2324" ht="48.0" customHeight="1">
      <c r="A2324" s="3"/>
      <c r="B2324" s="4"/>
      <c r="C2324" s="4"/>
      <c r="D2324" s="4"/>
      <c r="E2324" s="4"/>
      <c r="F2324" s="4"/>
      <c r="G2324" s="5"/>
      <c r="H2324" s="6"/>
      <c r="I2324" s="7"/>
      <c r="J2324" s="6"/>
      <c r="K2324" s="6"/>
      <c r="L2324" s="3"/>
      <c r="M2324" s="3" t="str">
        <f>IFERROR(__xludf.DUMMYFUNCTION("""COMPUTED_VALUE"""),"")</f>
        <v/>
      </c>
    </row>
    <row r="2325" ht="48.0" customHeight="1">
      <c r="A2325" s="3"/>
      <c r="B2325" s="4"/>
      <c r="C2325" s="4"/>
      <c r="D2325" s="4"/>
      <c r="E2325" s="4"/>
      <c r="F2325" s="4"/>
      <c r="G2325" s="5"/>
      <c r="H2325" s="6"/>
      <c r="I2325" s="7"/>
      <c r="J2325" s="6"/>
      <c r="K2325" s="6"/>
      <c r="L2325" s="3"/>
      <c r="M2325" s="3" t="str">
        <f>IFERROR(__xludf.DUMMYFUNCTION("""COMPUTED_VALUE"""),"")</f>
        <v/>
      </c>
    </row>
    <row r="2326" ht="48.0" customHeight="1">
      <c r="A2326" s="3"/>
      <c r="B2326" s="4"/>
      <c r="C2326" s="4"/>
      <c r="D2326" s="4"/>
      <c r="E2326" s="4"/>
      <c r="F2326" s="4"/>
      <c r="G2326" s="5"/>
      <c r="H2326" s="6"/>
      <c r="I2326" s="7"/>
      <c r="J2326" s="6"/>
      <c r="K2326" s="6"/>
      <c r="L2326" s="3"/>
      <c r="M2326" s="3" t="str">
        <f>IFERROR(__xludf.DUMMYFUNCTION("""COMPUTED_VALUE"""),"")</f>
        <v/>
      </c>
    </row>
    <row r="2327" ht="48.0" customHeight="1">
      <c r="A2327" s="3"/>
      <c r="B2327" s="4"/>
      <c r="C2327" s="4"/>
      <c r="D2327" s="4"/>
      <c r="E2327" s="4"/>
      <c r="F2327" s="4"/>
      <c r="G2327" s="5"/>
      <c r="H2327" s="6"/>
      <c r="I2327" s="7"/>
      <c r="J2327" s="6"/>
      <c r="K2327" s="6"/>
      <c r="L2327" s="3"/>
      <c r="M2327" s="3" t="str">
        <f>IFERROR(__xludf.DUMMYFUNCTION("""COMPUTED_VALUE"""),"")</f>
        <v/>
      </c>
    </row>
    <row r="2328" ht="48.0" customHeight="1">
      <c r="A2328" s="3"/>
      <c r="B2328" s="4"/>
      <c r="C2328" s="4"/>
      <c r="D2328" s="4"/>
      <c r="E2328" s="4"/>
      <c r="F2328" s="4"/>
      <c r="G2328" s="5"/>
      <c r="H2328" s="6"/>
      <c r="I2328" s="7"/>
      <c r="J2328" s="6"/>
      <c r="K2328" s="6"/>
      <c r="L2328" s="3"/>
      <c r="M2328" s="3" t="str">
        <f>IFERROR(__xludf.DUMMYFUNCTION("""COMPUTED_VALUE"""),"")</f>
        <v/>
      </c>
    </row>
    <row r="2329" ht="48.0" customHeight="1">
      <c r="A2329" s="3"/>
      <c r="B2329" s="4"/>
      <c r="C2329" s="4"/>
      <c r="D2329" s="4"/>
      <c r="E2329" s="4"/>
      <c r="F2329" s="4"/>
      <c r="G2329" s="5"/>
      <c r="H2329" s="6"/>
      <c r="I2329" s="7"/>
      <c r="J2329" s="6"/>
      <c r="K2329" s="6"/>
      <c r="L2329" s="3"/>
      <c r="M2329" s="3" t="str">
        <f>IFERROR(__xludf.DUMMYFUNCTION("""COMPUTED_VALUE"""),"")</f>
        <v/>
      </c>
    </row>
    <row r="2330" ht="48.0" customHeight="1">
      <c r="A2330" s="3"/>
      <c r="B2330" s="4"/>
      <c r="C2330" s="4"/>
      <c r="D2330" s="4"/>
      <c r="E2330" s="4"/>
      <c r="F2330" s="4"/>
      <c r="G2330" s="5"/>
      <c r="H2330" s="6"/>
      <c r="I2330" s="7"/>
      <c r="J2330" s="6"/>
      <c r="K2330" s="6"/>
      <c r="L2330" s="3"/>
      <c r="M2330" s="3" t="str">
        <f>IFERROR(__xludf.DUMMYFUNCTION("""COMPUTED_VALUE"""),"")</f>
        <v/>
      </c>
    </row>
    <row r="2331" ht="48.0" customHeight="1">
      <c r="A2331" s="3"/>
      <c r="B2331" s="4"/>
      <c r="C2331" s="4"/>
      <c r="D2331" s="4"/>
      <c r="E2331" s="4"/>
      <c r="F2331" s="4"/>
      <c r="G2331" s="5"/>
      <c r="H2331" s="6"/>
      <c r="I2331" s="7"/>
      <c r="J2331" s="6"/>
      <c r="K2331" s="6"/>
      <c r="L2331" s="3"/>
      <c r="M2331" s="3" t="str">
        <f>IFERROR(__xludf.DUMMYFUNCTION("""COMPUTED_VALUE"""),"")</f>
        <v/>
      </c>
    </row>
    <row r="2332" ht="48.0" customHeight="1">
      <c r="A2332" s="3"/>
      <c r="B2332" s="4"/>
      <c r="C2332" s="4"/>
      <c r="D2332" s="4"/>
      <c r="E2332" s="4"/>
      <c r="F2332" s="4"/>
      <c r="G2332" s="5"/>
      <c r="H2332" s="6"/>
      <c r="I2332" s="7"/>
      <c r="J2332" s="6"/>
      <c r="K2332" s="6"/>
      <c r="L2332" s="3"/>
      <c r="M2332" s="3" t="str">
        <f>IFERROR(__xludf.DUMMYFUNCTION("""COMPUTED_VALUE"""),"")</f>
        <v/>
      </c>
    </row>
    <row r="2333" ht="48.0" customHeight="1">
      <c r="A2333" s="3"/>
      <c r="B2333" s="4"/>
      <c r="C2333" s="4"/>
      <c r="D2333" s="4"/>
      <c r="E2333" s="4"/>
      <c r="F2333" s="4"/>
      <c r="G2333" s="5"/>
      <c r="H2333" s="6"/>
      <c r="I2333" s="7"/>
      <c r="J2333" s="6"/>
      <c r="K2333" s="6"/>
      <c r="L2333" s="3"/>
      <c r="M2333" s="3" t="str">
        <f>IFERROR(__xludf.DUMMYFUNCTION("""COMPUTED_VALUE"""),"")</f>
        <v/>
      </c>
    </row>
    <row r="2334" ht="48.0" customHeight="1">
      <c r="A2334" s="3"/>
      <c r="B2334" s="4"/>
      <c r="C2334" s="4"/>
      <c r="D2334" s="4"/>
      <c r="E2334" s="4"/>
      <c r="F2334" s="4"/>
      <c r="G2334" s="5"/>
      <c r="H2334" s="6"/>
      <c r="I2334" s="7"/>
      <c r="J2334" s="6"/>
      <c r="K2334" s="6"/>
      <c r="L2334" s="3"/>
      <c r="M2334" s="3" t="str">
        <f>IFERROR(__xludf.DUMMYFUNCTION("""COMPUTED_VALUE"""),"")</f>
        <v/>
      </c>
    </row>
    <row r="2335" ht="48.0" customHeight="1">
      <c r="A2335" s="3"/>
      <c r="B2335" s="4"/>
      <c r="C2335" s="4"/>
      <c r="D2335" s="4"/>
      <c r="E2335" s="4"/>
      <c r="F2335" s="4"/>
      <c r="G2335" s="5"/>
      <c r="H2335" s="6"/>
      <c r="I2335" s="7"/>
      <c r="J2335" s="6"/>
      <c r="K2335" s="6"/>
      <c r="L2335" s="3"/>
      <c r="M2335" s="3" t="str">
        <f>IFERROR(__xludf.DUMMYFUNCTION("""COMPUTED_VALUE"""),"")</f>
        <v/>
      </c>
    </row>
    <row r="2336" ht="48.0" customHeight="1">
      <c r="A2336" s="3"/>
      <c r="B2336" s="4"/>
      <c r="C2336" s="4"/>
      <c r="D2336" s="4"/>
      <c r="E2336" s="4"/>
      <c r="F2336" s="4"/>
      <c r="G2336" s="5"/>
      <c r="H2336" s="6"/>
      <c r="I2336" s="7"/>
      <c r="J2336" s="6"/>
      <c r="K2336" s="6"/>
      <c r="L2336" s="3"/>
      <c r="M2336" s="3" t="str">
        <f>IFERROR(__xludf.DUMMYFUNCTION("""COMPUTED_VALUE"""),"")</f>
        <v/>
      </c>
    </row>
    <row r="2337" ht="48.0" customHeight="1">
      <c r="A2337" s="3"/>
      <c r="B2337" s="4"/>
      <c r="C2337" s="4"/>
      <c r="D2337" s="4"/>
      <c r="E2337" s="4"/>
      <c r="F2337" s="4"/>
      <c r="G2337" s="5"/>
      <c r="H2337" s="6"/>
      <c r="I2337" s="7"/>
      <c r="J2337" s="6"/>
      <c r="K2337" s="6"/>
      <c r="L2337" s="3"/>
      <c r="M2337" s="3" t="str">
        <f>IFERROR(__xludf.DUMMYFUNCTION("""COMPUTED_VALUE"""),"")</f>
        <v/>
      </c>
    </row>
    <row r="2338" ht="48.0" customHeight="1">
      <c r="A2338" s="3"/>
      <c r="B2338" s="4"/>
      <c r="C2338" s="4"/>
      <c r="D2338" s="4"/>
      <c r="E2338" s="4"/>
      <c r="F2338" s="4"/>
      <c r="G2338" s="5"/>
      <c r="H2338" s="6"/>
      <c r="I2338" s="7"/>
      <c r="J2338" s="6"/>
      <c r="K2338" s="6"/>
      <c r="L2338" s="3"/>
      <c r="M2338" s="3" t="str">
        <f>IFERROR(__xludf.DUMMYFUNCTION("""COMPUTED_VALUE"""),"")</f>
        <v/>
      </c>
    </row>
    <row r="2339" ht="48.0" customHeight="1">
      <c r="A2339" s="3"/>
      <c r="B2339" s="4"/>
      <c r="C2339" s="4"/>
      <c r="D2339" s="4"/>
      <c r="E2339" s="4"/>
      <c r="F2339" s="4"/>
      <c r="G2339" s="5"/>
      <c r="H2339" s="6"/>
      <c r="I2339" s="7"/>
      <c r="J2339" s="6"/>
      <c r="K2339" s="6"/>
      <c r="L2339" s="3"/>
      <c r="M2339" s="3" t="str">
        <f>IFERROR(__xludf.DUMMYFUNCTION("""COMPUTED_VALUE"""),"")</f>
        <v/>
      </c>
    </row>
    <row r="2340" ht="48.0" customHeight="1">
      <c r="A2340" s="3"/>
      <c r="B2340" s="4"/>
      <c r="C2340" s="4"/>
      <c r="D2340" s="4"/>
      <c r="E2340" s="4"/>
      <c r="F2340" s="4"/>
      <c r="G2340" s="5"/>
      <c r="H2340" s="6"/>
      <c r="I2340" s="7"/>
      <c r="J2340" s="6"/>
      <c r="K2340" s="6"/>
      <c r="L2340" s="3"/>
      <c r="M2340" s="3" t="str">
        <f>IFERROR(__xludf.DUMMYFUNCTION("""COMPUTED_VALUE"""),"")</f>
        <v/>
      </c>
    </row>
    <row r="2341" ht="48.0" customHeight="1">
      <c r="A2341" s="3"/>
      <c r="B2341" s="4"/>
      <c r="C2341" s="4"/>
      <c r="D2341" s="4"/>
      <c r="E2341" s="4"/>
      <c r="F2341" s="4"/>
      <c r="G2341" s="5"/>
      <c r="H2341" s="6"/>
      <c r="I2341" s="7"/>
      <c r="J2341" s="6"/>
      <c r="K2341" s="6"/>
      <c r="L2341" s="3"/>
      <c r="M2341" s="3" t="str">
        <f>IFERROR(__xludf.DUMMYFUNCTION("""COMPUTED_VALUE"""),"")</f>
        <v/>
      </c>
    </row>
    <row r="2342" ht="48.0" customHeight="1">
      <c r="A2342" s="3"/>
      <c r="B2342" s="4"/>
      <c r="C2342" s="4"/>
      <c r="D2342" s="4"/>
      <c r="E2342" s="4"/>
      <c r="F2342" s="4"/>
      <c r="G2342" s="5"/>
      <c r="H2342" s="6"/>
      <c r="I2342" s="7"/>
      <c r="J2342" s="6"/>
      <c r="K2342" s="6"/>
      <c r="L2342" s="3"/>
      <c r="M2342" s="3" t="str">
        <f>IFERROR(__xludf.DUMMYFUNCTION("""COMPUTED_VALUE"""),"")</f>
        <v/>
      </c>
    </row>
    <row r="2343" ht="48.0" customHeight="1">
      <c r="A2343" s="3"/>
      <c r="B2343" s="4"/>
      <c r="C2343" s="4"/>
      <c r="D2343" s="4"/>
      <c r="E2343" s="4"/>
      <c r="F2343" s="4"/>
      <c r="G2343" s="5"/>
      <c r="H2343" s="6"/>
      <c r="I2343" s="7"/>
      <c r="J2343" s="6"/>
      <c r="K2343" s="6"/>
      <c r="L2343" s="3"/>
      <c r="M2343" s="3" t="str">
        <f>IFERROR(__xludf.DUMMYFUNCTION("""COMPUTED_VALUE"""),"")</f>
        <v/>
      </c>
    </row>
    <row r="2344" ht="48.0" customHeight="1">
      <c r="A2344" s="3"/>
      <c r="B2344" s="4"/>
      <c r="C2344" s="4"/>
      <c r="D2344" s="4"/>
      <c r="E2344" s="4"/>
      <c r="F2344" s="4"/>
      <c r="G2344" s="5"/>
      <c r="H2344" s="6"/>
      <c r="I2344" s="7"/>
      <c r="J2344" s="6"/>
      <c r="K2344" s="6"/>
      <c r="L2344" s="3"/>
      <c r="M2344" s="3" t="str">
        <f>IFERROR(__xludf.DUMMYFUNCTION("""COMPUTED_VALUE"""),"")</f>
        <v/>
      </c>
    </row>
    <row r="2345" ht="48.0" customHeight="1">
      <c r="A2345" s="3"/>
      <c r="B2345" s="4"/>
      <c r="C2345" s="4"/>
      <c r="D2345" s="4"/>
      <c r="E2345" s="4"/>
      <c r="F2345" s="4"/>
      <c r="G2345" s="5"/>
      <c r="H2345" s="6"/>
      <c r="I2345" s="7"/>
      <c r="J2345" s="6"/>
      <c r="K2345" s="6"/>
      <c r="L2345" s="3"/>
      <c r="M2345" s="3" t="str">
        <f>IFERROR(__xludf.DUMMYFUNCTION("""COMPUTED_VALUE"""),"")</f>
        <v/>
      </c>
    </row>
    <row r="2346" ht="48.0" customHeight="1">
      <c r="A2346" s="3"/>
      <c r="B2346" s="4"/>
      <c r="C2346" s="4"/>
      <c r="D2346" s="4"/>
      <c r="E2346" s="4"/>
      <c r="F2346" s="4"/>
      <c r="G2346" s="5"/>
      <c r="H2346" s="6"/>
      <c r="I2346" s="7"/>
      <c r="J2346" s="6"/>
      <c r="K2346" s="6"/>
      <c r="L2346" s="3"/>
      <c r="M2346" s="3" t="str">
        <f>IFERROR(__xludf.DUMMYFUNCTION("""COMPUTED_VALUE"""),"")</f>
        <v/>
      </c>
    </row>
    <row r="2347" ht="48.0" customHeight="1">
      <c r="A2347" s="3"/>
      <c r="B2347" s="4"/>
      <c r="C2347" s="4"/>
      <c r="D2347" s="4"/>
      <c r="E2347" s="4"/>
      <c r="F2347" s="4"/>
      <c r="G2347" s="5"/>
      <c r="H2347" s="6"/>
      <c r="I2347" s="7"/>
      <c r="J2347" s="6"/>
      <c r="K2347" s="6"/>
      <c r="L2347" s="3"/>
      <c r="M2347" s="3" t="str">
        <f>IFERROR(__xludf.DUMMYFUNCTION("""COMPUTED_VALUE"""),"")</f>
        <v/>
      </c>
    </row>
    <row r="2348" ht="48.0" customHeight="1">
      <c r="A2348" s="3"/>
      <c r="B2348" s="4"/>
      <c r="C2348" s="4"/>
      <c r="D2348" s="4"/>
      <c r="E2348" s="4"/>
      <c r="F2348" s="4"/>
      <c r="G2348" s="5"/>
      <c r="H2348" s="6"/>
      <c r="I2348" s="7"/>
      <c r="J2348" s="6"/>
      <c r="K2348" s="6"/>
      <c r="L2348" s="3"/>
      <c r="M2348" s="3" t="str">
        <f>IFERROR(__xludf.DUMMYFUNCTION("""COMPUTED_VALUE"""),"")</f>
        <v/>
      </c>
    </row>
    <row r="2349" ht="48.0" customHeight="1">
      <c r="A2349" s="3"/>
      <c r="B2349" s="4"/>
      <c r="C2349" s="4"/>
      <c r="D2349" s="4"/>
      <c r="E2349" s="4"/>
      <c r="F2349" s="4"/>
      <c r="G2349" s="5"/>
      <c r="H2349" s="6"/>
      <c r="I2349" s="7"/>
      <c r="J2349" s="6"/>
      <c r="K2349" s="6"/>
      <c r="L2349" s="3"/>
      <c r="M2349" s="3" t="str">
        <f>IFERROR(__xludf.DUMMYFUNCTION("""COMPUTED_VALUE"""),"")</f>
        <v/>
      </c>
    </row>
    <row r="2350" ht="48.0" customHeight="1">
      <c r="A2350" s="3"/>
      <c r="B2350" s="4"/>
      <c r="C2350" s="4"/>
      <c r="D2350" s="4"/>
      <c r="E2350" s="4"/>
      <c r="F2350" s="4"/>
      <c r="G2350" s="5"/>
      <c r="H2350" s="6"/>
      <c r="I2350" s="7"/>
      <c r="J2350" s="6"/>
      <c r="K2350" s="6"/>
      <c r="L2350" s="3"/>
      <c r="M2350" s="3" t="str">
        <f>IFERROR(__xludf.DUMMYFUNCTION("""COMPUTED_VALUE"""),"")</f>
        <v/>
      </c>
    </row>
    <row r="2351" ht="48.0" customHeight="1">
      <c r="A2351" s="3"/>
      <c r="B2351" s="4"/>
      <c r="C2351" s="4"/>
      <c r="D2351" s="4"/>
      <c r="E2351" s="4"/>
      <c r="F2351" s="4"/>
      <c r="G2351" s="5"/>
      <c r="H2351" s="6"/>
      <c r="I2351" s="7"/>
      <c r="J2351" s="6"/>
      <c r="K2351" s="6"/>
      <c r="L2351" s="3"/>
      <c r="M2351" s="3" t="str">
        <f>IFERROR(__xludf.DUMMYFUNCTION("""COMPUTED_VALUE"""),"")</f>
        <v/>
      </c>
    </row>
    <row r="2352" ht="48.0" customHeight="1">
      <c r="A2352" s="3"/>
      <c r="B2352" s="4"/>
      <c r="C2352" s="4"/>
      <c r="D2352" s="4"/>
      <c r="E2352" s="4"/>
      <c r="F2352" s="4"/>
      <c r="G2352" s="5"/>
      <c r="H2352" s="6"/>
      <c r="I2352" s="7"/>
      <c r="J2352" s="6"/>
      <c r="K2352" s="6"/>
      <c r="L2352" s="3"/>
      <c r="M2352" s="3" t="str">
        <f>IFERROR(__xludf.DUMMYFUNCTION("""COMPUTED_VALUE"""),"")</f>
        <v/>
      </c>
    </row>
    <row r="2353" ht="48.0" customHeight="1">
      <c r="A2353" s="3"/>
      <c r="B2353" s="4"/>
      <c r="C2353" s="4"/>
      <c r="D2353" s="4"/>
      <c r="E2353" s="4"/>
      <c r="F2353" s="4"/>
      <c r="G2353" s="5"/>
      <c r="H2353" s="6"/>
      <c r="I2353" s="7"/>
      <c r="J2353" s="6"/>
      <c r="K2353" s="6"/>
      <c r="L2353" s="3"/>
      <c r="M2353" s="3" t="str">
        <f>IFERROR(__xludf.DUMMYFUNCTION("""COMPUTED_VALUE"""),"")</f>
        <v/>
      </c>
    </row>
    <row r="2354" ht="48.0" customHeight="1">
      <c r="A2354" s="3"/>
      <c r="B2354" s="4"/>
      <c r="C2354" s="4"/>
      <c r="D2354" s="4"/>
      <c r="E2354" s="4"/>
      <c r="F2354" s="4"/>
      <c r="G2354" s="5"/>
      <c r="H2354" s="6"/>
      <c r="I2354" s="7"/>
      <c r="J2354" s="6"/>
      <c r="K2354" s="6"/>
      <c r="L2354" s="3"/>
      <c r="M2354" s="3" t="str">
        <f>IFERROR(__xludf.DUMMYFUNCTION("""COMPUTED_VALUE"""),"")</f>
        <v/>
      </c>
    </row>
    <row r="2355" ht="48.0" customHeight="1">
      <c r="A2355" s="3"/>
      <c r="B2355" s="4"/>
      <c r="C2355" s="4"/>
      <c r="D2355" s="4"/>
      <c r="E2355" s="4"/>
      <c r="F2355" s="4"/>
      <c r="G2355" s="5"/>
      <c r="H2355" s="6"/>
      <c r="I2355" s="7"/>
      <c r="J2355" s="6"/>
      <c r="K2355" s="6"/>
      <c r="L2355" s="3"/>
      <c r="M2355" s="3" t="str">
        <f>IFERROR(__xludf.DUMMYFUNCTION("""COMPUTED_VALUE"""),"")</f>
        <v/>
      </c>
    </row>
    <row r="2356" ht="48.0" customHeight="1">
      <c r="A2356" s="3"/>
      <c r="B2356" s="4"/>
      <c r="C2356" s="4"/>
      <c r="D2356" s="4"/>
      <c r="E2356" s="4"/>
      <c r="F2356" s="4"/>
      <c r="G2356" s="5"/>
      <c r="H2356" s="6"/>
      <c r="I2356" s="7"/>
      <c r="J2356" s="6"/>
      <c r="K2356" s="6"/>
      <c r="L2356" s="3"/>
      <c r="M2356" s="3" t="str">
        <f>IFERROR(__xludf.DUMMYFUNCTION("""COMPUTED_VALUE"""),"")</f>
        <v/>
      </c>
    </row>
    <row r="2357" ht="48.0" customHeight="1">
      <c r="A2357" s="3"/>
      <c r="B2357" s="4"/>
      <c r="C2357" s="4"/>
      <c r="D2357" s="4"/>
      <c r="E2357" s="4"/>
      <c r="F2357" s="4"/>
      <c r="G2357" s="5"/>
      <c r="H2357" s="6"/>
      <c r="I2357" s="7"/>
      <c r="J2357" s="6"/>
      <c r="K2357" s="6"/>
      <c r="L2357" s="3"/>
      <c r="M2357" s="3" t="str">
        <f>IFERROR(__xludf.DUMMYFUNCTION("""COMPUTED_VALUE"""),"")</f>
        <v/>
      </c>
    </row>
    <row r="2358" ht="48.0" customHeight="1">
      <c r="A2358" s="3"/>
      <c r="B2358" s="4"/>
      <c r="C2358" s="4"/>
      <c r="D2358" s="4"/>
      <c r="E2358" s="4"/>
      <c r="F2358" s="4"/>
      <c r="G2358" s="5"/>
      <c r="H2358" s="6"/>
      <c r="I2358" s="7"/>
      <c r="J2358" s="6"/>
      <c r="K2358" s="6"/>
      <c r="L2358" s="3"/>
      <c r="M2358" s="3" t="str">
        <f>IFERROR(__xludf.DUMMYFUNCTION("""COMPUTED_VALUE"""),"")</f>
        <v/>
      </c>
    </row>
    <row r="2359" ht="48.0" customHeight="1">
      <c r="A2359" s="3"/>
      <c r="B2359" s="4"/>
      <c r="C2359" s="4"/>
      <c r="D2359" s="4"/>
      <c r="E2359" s="4"/>
      <c r="F2359" s="4"/>
      <c r="G2359" s="5"/>
      <c r="H2359" s="6"/>
      <c r="I2359" s="7"/>
      <c r="J2359" s="6"/>
      <c r="K2359" s="6"/>
      <c r="L2359" s="3"/>
      <c r="M2359" s="3" t="str">
        <f>IFERROR(__xludf.DUMMYFUNCTION("""COMPUTED_VALUE"""),"")</f>
        <v/>
      </c>
    </row>
    <row r="2360" ht="48.0" customHeight="1">
      <c r="A2360" s="3"/>
      <c r="B2360" s="4"/>
      <c r="C2360" s="4"/>
      <c r="D2360" s="4"/>
      <c r="E2360" s="4"/>
      <c r="F2360" s="4"/>
      <c r="G2360" s="5"/>
      <c r="H2360" s="6"/>
      <c r="I2360" s="7"/>
      <c r="J2360" s="6"/>
      <c r="K2360" s="6"/>
      <c r="L2360" s="3"/>
      <c r="M2360" s="3" t="str">
        <f>IFERROR(__xludf.DUMMYFUNCTION("""COMPUTED_VALUE"""),"")</f>
        <v/>
      </c>
    </row>
    <row r="2361" ht="48.0" customHeight="1">
      <c r="A2361" s="3"/>
      <c r="B2361" s="4"/>
      <c r="C2361" s="4"/>
      <c r="D2361" s="4"/>
      <c r="E2361" s="4"/>
      <c r="F2361" s="4"/>
      <c r="G2361" s="5"/>
      <c r="H2361" s="6"/>
      <c r="I2361" s="7"/>
      <c r="J2361" s="6"/>
      <c r="K2361" s="6"/>
      <c r="L2361" s="3"/>
      <c r="M2361" s="3" t="str">
        <f>IFERROR(__xludf.DUMMYFUNCTION("""COMPUTED_VALUE"""),"")</f>
        <v/>
      </c>
    </row>
    <row r="2362" ht="48.0" customHeight="1">
      <c r="A2362" s="3"/>
      <c r="B2362" s="4"/>
      <c r="C2362" s="4"/>
      <c r="D2362" s="4"/>
      <c r="E2362" s="4"/>
      <c r="F2362" s="4"/>
      <c r="G2362" s="5"/>
      <c r="H2362" s="6"/>
      <c r="I2362" s="7"/>
      <c r="J2362" s="6"/>
      <c r="K2362" s="6"/>
      <c r="L2362" s="3"/>
      <c r="M2362" s="3" t="str">
        <f>IFERROR(__xludf.DUMMYFUNCTION("""COMPUTED_VALUE"""),"")</f>
        <v/>
      </c>
    </row>
    <row r="2363" ht="48.0" customHeight="1">
      <c r="A2363" s="3"/>
      <c r="B2363" s="4"/>
      <c r="C2363" s="4"/>
      <c r="D2363" s="4"/>
      <c r="E2363" s="4"/>
      <c r="F2363" s="4"/>
      <c r="G2363" s="5"/>
      <c r="H2363" s="6"/>
      <c r="I2363" s="7"/>
      <c r="J2363" s="6"/>
      <c r="K2363" s="6"/>
      <c r="L2363" s="3"/>
      <c r="M2363" s="3" t="str">
        <f>IFERROR(__xludf.DUMMYFUNCTION("""COMPUTED_VALUE"""),"")</f>
        <v/>
      </c>
    </row>
    <row r="2364" ht="48.0" customHeight="1">
      <c r="A2364" s="3"/>
      <c r="B2364" s="4"/>
      <c r="C2364" s="4"/>
      <c r="D2364" s="4"/>
      <c r="E2364" s="4"/>
      <c r="F2364" s="4"/>
      <c r="G2364" s="5"/>
      <c r="H2364" s="6"/>
      <c r="I2364" s="7"/>
      <c r="J2364" s="6"/>
      <c r="K2364" s="6"/>
      <c r="L2364" s="3"/>
      <c r="M2364" s="3" t="str">
        <f>IFERROR(__xludf.DUMMYFUNCTION("""COMPUTED_VALUE"""),"")</f>
        <v/>
      </c>
    </row>
    <row r="2365" ht="48.0" customHeight="1">
      <c r="A2365" s="3"/>
      <c r="B2365" s="4"/>
      <c r="C2365" s="4"/>
      <c r="D2365" s="4"/>
      <c r="E2365" s="4"/>
      <c r="F2365" s="4"/>
      <c r="G2365" s="5"/>
      <c r="H2365" s="6"/>
      <c r="I2365" s="7"/>
      <c r="J2365" s="6"/>
      <c r="K2365" s="6"/>
      <c r="L2365" s="3"/>
      <c r="M2365" s="3" t="str">
        <f>IFERROR(__xludf.DUMMYFUNCTION("""COMPUTED_VALUE"""),"")</f>
        <v/>
      </c>
    </row>
    <row r="2366" ht="48.0" customHeight="1">
      <c r="A2366" s="3"/>
      <c r="B2366" s="4"/>
      <c r="C2366" s="4"/>
      <c r="D2366" s="4"/>
      <c r="E2366" s="4"/>
      <c r="F2366" s="4"/>
      <c r="G2366" s="5"/>
      <c r="H2366" s="6"/>
      <c r="I2366" s="7"/>
      <c r="J2366" s="6"/>
      <c r="K2366" s="6"/>
      <c r="L2366" s="3"/>
      <c r="M2366" s="3" t="str">
        <f>IFERROR(__xludf.DUMMYFUNCTION("""COMPUTED_VALUE"""),"")</f>
        <v/>
      </c>
    </row>
    <row r="2367" ht="48.0" customHeight="1">
      <c r="A2367" s="3"/>
      <c r="B2367" s="4"/>
      <c r="C2367" s="4"/>
      <c r="D2367" s="4"/>
      <c r="E2367" s="4"/>
      <c r="F2367" s="4"/>
      <c r="G2367" s="5"/>
      <c r="H2367" s="6"/>
      <c r="I2367" s="7"/>
      <c r="J2367" s="6"/>
      <c r="K2367" s="6"/>
      <c r="L2367" s="3"/>
      <c r="M2367" s="3" t="str">
        <f>IFERROR(__xludf.DUMMYFUNCTION("""COMPUTED_VALUE"""),"")</f>
        <v/>
      </c>
    </row>
    <row r="2368" ht="48.0" customHeight="1">
      <c r="A2368" s="3"/>
      <c r="B2368" s="4"/>
      <c r="C2368" s="4"/>
      <c r="D2368" s="4"/>
      <c r="E2368" s="4"/>
      <c r="F2368" s="4"/>
      <c r="G2368" s="5"/>
      <c r="H2368" s="6"/>
      <c r="I2368" s="7"/>
      <c r="J2368" s="6"/>
      <c r="K2368" s="6"/>
      <c r="L2368" s="3"/>
      <c r="M2368" s="3" t="str">
        <f>IFERROR(__xludf.DUMMYFUNCTION("""COMPUTED_VALUE"""),"")</f>
        <v/>
      </c>
    </row>
    <row r="2369" ht="48.0" customHeight="1">
      <c r="A2369" s="3"/>
      <c r="B2369" s="4"/>
      <c r="C2369" s="4"/>
      <c r="D2369" s="4"/>
      <c r="E2369" s="4"/>
      <c r="F2369" s="4"/>
      <c r="G2369" s="5"/>
      <c r="H2369" s="6"/>
      <c r="I2369" s="7"/>
      <c r="J2369" s="6"/>
      <c r="K2369" s="6"/>
      <c r="L2369" s="3"/>
      <c r="M2369" s="3" t="str">
        <f>IFERROR(__xludf.DUMMYFUNCTION("""COMPUTED_VALUE"""),"")</f>
        <v/>
      </c>
    </row>
    <row r="2370" ht="48.0" customHeight="1">
      <c r="A2370" s="3"/>
      <c r="B2370" s="4"/>
      <c r="C2370" s="4"/>
      <c r="D2370" s="4"/>
      <c r="E2370" s="4"/>
      <c r="F2370" s="4"/>
      <c r="G2370" s="5"/>
      <c r="H2370" s="6"/>
      <c r="I2370" s="7"/>
      <c r="J2370" s="6"/>
      <c r="K2370" s="6"/>
      <c r="L2370" s="3"/>
      <c r="M2370" s="3" t="str">
        <f>IFERROR(__xludf.DUMMYFUNCTION("""COMPUTED_VALUE"""),"")</f>
        <v/>
      </c>
    </row>
    <row r="2371" ht="48.0" customHeight="1">
      <c r="A2371" s="3"/>
      <c r="B2371" s="4"/>
      <c r="C2371" s="4"/>
      <c r="D2371" s="4"/>
      <c r="E2371" s="4"/>
      <c r="F2371" s="4"/>
      <c r="G2371" s="5"/>
      <c r="H2371" s="6"/>
      <c r="I2371" s="7"/>
      <c r="J2371" s="6"/>
      <c r="K2371" s="6"/>
      <c r="L2371" s="3"/>
      <c r="M2371" s="3" t="str">
        <f>IFERROR(__xludf.DUMMYFUNCTION("""COMPUTED_VALUE"""),"")</f>
        <v/>
      </c>
    </row>
    <row r="2372" ht="48.0" customHeight="1">
      <c r="A2372" s="3"/>
      <c r="B2372" s="4"/>
      <c r="C2372" s="4"/>
      <c r="D2372" s="4"/>
      <c r="E2372" s="4"/>
      <c r="F2372" s="4"/>
      <c r="G2372" s="5"/>
      <c r="H2372" s="6"/>
      <c r="I2372" s="7"/>
      <c r="J2372" s="6"/>
      <c r="K2372" s="6"/>
      <c r="L2372" s="3"/>
      <c r="M2372" s="3" t="str">
        <f>IFERROR(__xludf.DUMMYFUNCTION("""COMPUTED_VALUE"""),"")</f>
        <v/>
      </c>
    </row>
    <row r="2373" ht="48.0" customHeight="1">
      <c r="A2373" s="3"/>
      <c r="B2373" s="4"/>
      <c r="C2373" s="4"/>
      <c r="D2373" s="4"/>
      <c r="E2373" s="4"/>
      <c r="F2373" s="4"/>
      <c r="G2373" s="5"/>
      <c r="H2373" s="6"/>
      <c r="I2373" s="7"/>
      <c r="J2373" s="6"/>
      <c r="K2373" s="6"/>
      <c r="L2373" s="3"/>
      <c r="M2373" s="3" t="str">
        <f>IFERROR(__xludf.DUMMYFUNCTION("""COMPUTED_VALUE"""),"")</f>
        <v/>
      </c>
    </row>
    <row r="2374" ht="48.0" customHeight="1">
      <c r="A2374" s="3"/>
      <c r="B2374" s="4"/>
      <c r="C2374" s="4"/>
      <c r="D2374" s="4"/>
      <c r="E2374" s="4"/>
      <c r="F2374" s="4"/>
      <c r="G2374" s="5"/>
      <c r="H2374" s="6"/>
      <c r="I2374" s="7"/>
      <c r="J2374" s="6"/>
      <c r="K2374" s="6"/>
      <c r="L2374" s="3"/>
      <c r="M2374" s="3" t="str">
        <f>IFERROR(__xludf.DUMMYFUNCTION("""COMPUTED_VALUE"""),"")</f>
        <v/>
      </c>
    </row>
    <row r="2375" ht="48.0" customHeight="1">
      <c r="A2375" s="3"/>
      <c r="B2375" s="4"/>
      <c r="C2375" s="4"/>
      <c r="D2375" s="4"/>
      <c r="E2375" s="4"/>
      <c r="F2375" s="4"/>
      <c r="G2375" s="5"/>
      <c r="H2375" s="6"/>
      <c r="I2375" s="7"/>
      <c r="J2375" s="6"/>
      <c r="K2375" s="6"/>
      <c r="L2375" s="3"/>
      <c r="M2375" s="3" t="str">
        <f>IFERROR(__xludf.DUMMYFUNCTION("""COMPUTED_VALUE"""),"")</f>
        <v/>
      </c>
    </row>
    <row r="2376" ht="48.0" customHeight="1">
      <c r="A2376" s="3"/>
      <c r="B2376" s="4"/>
      <c r="C2376" s="4"/>
      <c r="D2376" s="4"/>
      <c r="E2376" s="4"/>
      <c r="F2376" s="4"/>
      <c r="G2376" s="5"/>
      <c r="H2376" s="6"/>
      <c r="I2376" s="7"/>
      <c r="J2376" s="6"/>
      <c r="K2376" s="6"/>
      <c r="L2376" s="3"/>
      <c r="M2376" s="3" t="str">
        <f>IFERROR(__xludf.DUMMYFUNCTION("""COMPUTED_VALUE"""),"")</f>
        <v/>
      </c>
    </row>
    <row r="2377" ht="48.0" customHeight="1">
      <c r="A2377" s="3"/>
      <c r="B2377" s="4"/>
      <c r="C2377" s="4"/>
      <c r="D2377" s="4"/>
      <c r="E2377" s="4"/>
      <c r="F2377" s="4"/>
      <c r="G2377" s="5"/>
      <c r="H2377" s="6"/>
      <c r="I2377" s="7"/>
      <c r="J2377" s="6"/>
      <c r="K2377" s="6"/>
      <c r="L2377" s="3"/>
      <c r="M2377" s="3" t="str">
        <f>IFERROR(__xludf.DUMMYFUNCTION("""COMPUTED_VALUE"""),"")</f>
        <v/>
      </c>
    </row>
    <row r="2378" ht="48.0" customHeight="1">
      <c r="A2378" s="3"/>
      <c r="B2378" s="4"/>
      <c r="C2378" s="4"/>
      <c r="D2378" s="4"/>
      <c r="E2378" s="4"/>
      <c r="F2378" s="4"/>
      <c r="G2378" s="5"/>
      <c r="H2378" s="6"/>
      <c r="I2378" s="7"/>
      <c r="J2378" s="6"/>
      <c r="K2378" s="6"/>
      <c r="L2378" s="3"/>
      <c r="M2378" s="3" t="str">
        <f>IFERROR(__xludf.DUMMYFUNCTION("""COMPUTED_VALUE"""),"")</f>
        <v/>
      </c>
    </row>
    <row r="2379" ht="48.0" customHeight="1">
      <c r="A2379" s="3"/>
      <c r="B2379" s="4"/>
      <c r="C2379" s="4"/>
      <c r="D2379" s="4"/>
      <c r="E2379" s="4"/>
      <c r="F2379" s="4"/>
      <c r="G2379" s="5"/>
      <c r="H2379" s="6"/>
      <c r="I2379" s="7"/>
      <c r="J2379" s="6"/>
      <c r="K2379" s="6"/>
      <c r="L2379" s="3"/>
      <c r="M2379" s="3" t="str">
        <f>IFERROR(__xludf.DUMMYFUNCTION("""COMPUTED_VALUE"""),"")</f>
        <v/>
      </c>
    </row>
    <row r="2380" ht="48.0" customHeight="1">
      <c r="A2380" s="3"/>
      <c r="B2380" s="4"/>
      <c r="C2380" s="4"/>
      <c r="D2380" s="4"/>
      <c r="E2380" s="4"/>
      <c r="F2380" s="4"/>
      <c r="G2380" s="5"/>
      <c r="H2380" s="6"/>
      <c r="I2380" s="7"/>
      <c r="J2380" s="6"/>
      <c r="K2380" s="6"/>
      <c r="L2380" s="3"/>
      <c r="M2380" s="3" t="str">
        <f>IFERROR(__xludf.DUMMYFUNCTION("""COMPUTED_VALUE"""),"")</f>
        <v/>
      </c>
    </row>
    <row r="2381" ht="48.0" customHeight="1">
      <c r="A2381" s="3"/>
      <c r="B2381" s="4"/>
      <c r="C2381" s="4"/>
      <c r="D2381" s="4"/>
      <c r="E2381" s="4"/>
      <c r="F2381" s="4"/>
      <c r="G2381" s="5"/>
      <c r="H2381" s="6"/>
      <c r="I2381" s="7"/>
      <c r="J2381" s="6"/>
      <c r="K2381" s="6"/>
      <c r="L2381" s="3"/>
      <c r="M2381" s="3" t="str">
        <f>IFERROR(__xludf.DUMMYFUNCTION("""COMPUTED_VALUE"""),"")</f>
        <v/>
      </c>
    </row>
    <row r="2382" ht="48.0" customHeight="1">
      <c r="A2382" s="3"/>
      <c r="B2382" s="4"/>
      <c r="C2382" s="4"/>
      <c r="D2382" s="4"/>
      <c r="E2382" s="4"/>
      <c r="F2382" s="4"/>
      <c r="G2382" s="5"/>
      <c r="H2382" s="6"/>
      <c r="I2382" s="7"/>
      <c r="J2382" s="6"/>
      <c r="K2382" s="6"/>
      <c r="L2382" s="3"/>
      <c r="M2382" s="3" t="str">
        <f>IFERROR(__xludf.DUMMYFUNCTION("""COMPUTED_VALUE"""),"")</f>
        <v/>
      </c>
    </row>
    <row r="2383" ht="48.0" customHeight="1">
      <c r="A2383" s="3"/>
      <c r="B2383" s="4"/>
      <c r="C2383" s="4"/>
      <c r="D2383" s="4"/>
      <c r="E2383" s="4"/>
      <c r="F2383" s="4"/>
      <c r="G2383" s="5"/>
      <c r="H2383" s="6"/>
      <c r="I2383" s="7"/>
      <c r="J2383" s="6"/>
      <c r="K2383" s="6"/>
      <c r="L2383" s="3"/>
      <c r="M2383" s="3" t="str">
        <f>IFERROR(__xludf.DUMMYFUNCTION("""COMPUTED_VALUE"""),"")</f>
        <v/>
      </c>
    </row>
    <row r="2384" ht="48.0" customHeight="1">
      <c r="A2384" s="3"/>
      <c r="B2384" s="4"/>
      <c r="C2384" s="4"/>
      <c r="D2384" s="4"/>
      <c r="E2384" s="4"/>
      <c r="F2384" s="4"/>
      <c r="G2384" s="5"/>
      <c r="H2384" s="6"/>
      <c r="I2384" s="7"/>
      <c r="J2384" s="6"/>
      <c r="K2384" s="6"/>
      <c r="L2384" s="3"/>
      <c r="M2384" s="3" t="str">
        <f>IFERROR(__xludf.DUMMYFUNCTION("""COMPUTED_VALUE"""),"")</f>
        <v/>
      </c>
    </row>
    <row r="2385" ht="48.0" customHeight="1">
      <c r="A2385" s="3"/>
      <c r="B2385" s="4"/>
      <c r="C2385" s="4"/>
      <c r="D2385" s="4"/>
      <c r="E2385" s="4"/>
      <c r="F2385" s="4"/>
      <c r="G2385" s="5"/>
      <c r="H2385" s="6"/>
      <c r="I2385" s="7"/>
      <c r="J2385" s="6"/>
      <c r="K2385" s="6"/>
      <c r="L2385" s="3"/>
      <c r="M2385" s="3" t="str">
        <f>IFERROR(__xludf.DUMMYFUNCTION("""COMPUTED_VALUE"""),"")</f>
        <v/>
      </c>
    </row>
    <row r="2386" ht="48.0" customHeight="1">
      <c r="A2386" s="3"/>
      <c r="B2386" s="4"/>
      <c r="C2386" s="4"/>
      <c r="D2386" s="4"/>
      <c r="E2386" s="4"/>
      <c r="F2386" s="4"/>
      <c r="G2386" s="5"/>
      <c r="H2386" s="6"/>
      <c r="I2386" s="7"/>
      <c r="J2386" s="6"/>
      <c r="K2386" s="6"/>
      <c r="L2386" s="3"/>
      <c r="M2386" s="3" t="str">
        <f>IFERROR(__xludf.DUMMYFUNCTION("""COMPUTED_VALUE"""),"")</f>
        <v/>
      </c>
    </row>
    <row r="2387" ht="48.0" customHeight="1">
      <c r="A2387" s="3"/>
      <c r="B2387" s="4"/>
      <c r="C2387" s="4"/>
      <c r="D2387" s="4"/>
      <c r="E2387" s="4"/>
      <c r="F2387" s="4"/>
      <c r="G2387" s="5"/>
      <c r="H2387" s="6"/>
      <c r="I2387" s="7"/>
      <c r="J2387" s="6"/>
      <c r="K2387" s="6"/>
      <c r="L2387" s="3"/>
      <c r="M2387" s="3" t="str">
        <f>IFERROR(__xludf.DUMMYFUNCTION("""COMPUTED_VALUE"""),"")</f>
        <v/>
      </c>
    </row>
    <row r="2388" ht="48.0" customHeight="1">
      <c r="A2388" s="3"/>
      <c r="B2388" s="4"/>
      <c r="C2388" s="4"/>
      <c r="D2388" s="4"/>
      <c r="E2388" s="4"/>
      <c r="F2388" s="4"/>
      <c r="G2388" s="5"/>
      <c r="H2388" s="6"/>
      <c r="I2388" s="7"/>
      <c r="J2388" s="6"/>
      <c r="K2388" s="6"/>
      <c r="L2388" s="3"/>
      <c r="M2388" s="3" t="str">
        <f>IFERROR(__xludf.DUMMYFUNCTION("""COMPUTED_VALUE"""),"")</f>
        <v/>
      </c>
    </row>
    <row r="2389" ht="48.0" customHeight="1">
      <c r="A2389" s="3"/>
      <c r="B2389" s="4"/>
      <c r="C2389" s="4"/>
      <c r="D2389" s="4"/>
      <c r="E2389" s="4"/>
      <c r="F2389" s="4"/>
      <c r="G2389" s="5"/>
      <c r="H2389" s="6"/>
      <c r="I2389" s="7"/>
      <c r="J2389" s="6"/>
      <c r="K2389" s="6"/>
      <c r="L2389" s="3"/>
      <c r="M2389" s="3" t="str">
        <f>IFERROR(__xludf.DUMMYFUNCTION("""COMPUTED_VALUE"""),"")</f>
        <v/>
      </c>
    </row>
    <row r="2390" ht="48.0" customHeight="1">
      <c r="A2390" s="3"/>
      <c r="B2390" s="4"/>
      <c r="C2390" s="4"/>
      <c r="D2390" s="4"/>
      <c r="E2390" s="4"/>
      <c r="F2390" s="4"/>
      <c r="G2390" s="5"/>
      <c r="H2390" s="6"/>
      <c r="I2390" s="7"/>
      <c r="J2390" s="6"/>
      <c r="K2390" s="6"/>
      <c r="L2390" s="3"/>
      <c r="M2390" s="3" t="str">
        <f>IFERROR(__xludf.DUMMYFUNCTION("""COMPUTED_VALUE"""),"")</f>
        <v/>
      </c>
    </row>
    <row r="2391" ht="48.0" customHeight="1">
      <c r="A2391" s="3"/>
      <c r="B2391" s="4"/>
      <c r="C2391" s="4"/>
      <c r="D2391" s="4"/>
      <c r="E2391" s="4"/>
      <c r="F2391" s="4"/>
      <c r="G2391" s="5"/>
      <c r="H2391" s="6"/>
      <c r="I2391" s="7"/>
      <c r="J2391" s="6"/>
      <c r="K2391" s="6"/>
      <c r="L2391" s="3"/>
      <c r="M2391" s="3" t="str">
        <f>IFERROR(__xludf.DUMMYFUNCTION("""COMPUTED_VALUE"""),"")</f>
        <v/>
      </c>
    </row>
    <row r="2392" ht="48.0" customHeight="1">
      <c r="A2392" s="3"/>
      <c r="B2392" s="4"/>
      <c r="C2392" s="4"/>
      <c r="D2392" s="4"/>
      <c r="E2392" s="4"/>
      <c r="F2392" s="4"/>
      <c r="G2392" s="5"/>
      <c r="H2392" s="6"/>
      <c r="I2392" s="7"/>
      <c r="J2392" s="6"/>
      <c r="K2392" s="6"/>
      <c r="L2392" s="3"/>
      <c r="M2392" s="3" t="str">
        <f>IFERROR(__xludf.DUMMYFUNCTION("""COMPUTED_VALUE"""),"")</f>
        <v/>
      </c>
    </row>
    <row r="2393" ht="48.0" customHeight="1">
      <c r="A2393" s="3"/>
      <c r="B2393" s="4"/>
      <c r="C2393" s="4"/>
      <c r="D2393" s="4"/>
      <c r="E2393" s="4"/>
      <c r="F2393" s="4"/>
      <c r="G2393" s="5"/>
      <c r="H2393" s="6"/>
      <c r="I2393" s="7"/>
      <c r="J2393" s="6"/>
      <c r="K2393" s="6"/>
      <c r="L2393" s="3"/>
      <c r="M2393" s="3" t="str">
        <f>IFERROR(__xludf.DUMMYFUNCTION("""COMPUTED_VALUE"""),"")</f>
        <v/>
      </c>
    </row>
    <row r="2394" ht="48.0" customHeight="1">
      <c r="A2394" s="3"/>
      <c r="B2394" s="4"/>
      <c r="C2394" s="4"/>
      <c r="D2394" s="4"/>
      <c r="E2394" s="4"/>
      <c r="F2394" s="4"/>
      <c r="G2394" s="5"/>
      <c r="H2394" s="6"/>
      <c r="I2394" s="7"/>
      <c r="J2394" s="6"/>
      <c r="K2394" s="6"/>
      <c r="L2394" s="3"/>
      <c r="M2394" s="3" t="str">
        <f>IFERROR(__xludf.DUMMYFUNCTION("""COMPUTED_VALUE"""),"")</f>
        <v/>
      </c>
    </row>
    <row r="2395" ht="48.0" customHeight="1">
      <c r="A2395" s="3"/>
      <c r="B2395" s="4"/>
      <c r="C2395" s="4"/>
      <c r="D2395" s="4"/>
      <c r="E2395" s="4"/>
      <c r="F2395" s="4"/>
      <c r="G2395" s="5"/>
      <c r="H2395" s="6"/>
      <c r="I2395" s="7"/>
      <c r="J2395" s="6"/>
      <c r="K2395" s="6"/>
      <c r="L2395" s="3"/>
      <c r="M2395" s="3" t="str">
        <f>IFERROR(__xludf.DUMMYFUNCTION("""COMPUTED_VALUE"""),"")</f>
        <v/>
      </c>
    </row>
    <row r="2396" ht="48.0" customHeight="1">
      <c r="A2396" s="3"/>
      <c r="B2396" s="4"/>
      <c r="C2396" s="4"/>
      <c r="D2396" s="4"/>
      <c r="E2396" s="4"/>
      <c r="F2396" s="4"/>
      <c r="G2396" s="5"/>
      <c r="H2396" s="6"/>
      <c r="I2396" s="7"/>
      <c r="J2396" s="6"/>
      <c r="K2396" s="6"/>
      <c r="L2396" s="3"/>
      <c r="M2396" s="3" t="str">
        <f>IFERROR(__xludf.DUMMYFUNCTION("""COMPUTED_VALUE"""),"")</f>
        <v/>
      </c>
    </row>
    <row r="2397" ht="48.0" customHeight="1">
      <c r="A2397" s="3"/>
      <c r="B2397" s="4"/>
      <c r="C2397" s="4"/>
      <c r="D2397" s="4"/>
      <c r="E2397" s="4"/>
      <c r="F2397" s="4"/>
      <c r="G2397" s="5"/>
      <c r="H2397" s="6"/>
      <c r="I2397" s="7"/>
      <c r="J2397" s="6"/>
      <c r="K2397" s="6"/>
      <c r="L2397" s="3"/>
      <c r="M2397" s="3" t="str">
        <f>IFERROR(__xludf.DUMMYFUNCTION("""COMPUTED_VALUE"""),"")</f>
        <v/>
      </c>
    </row>
    <row r="2398" ht="48.0" customHeight="1">
      <c r="A2398" s="3"/>
      <c r="B2398" s="4"/>
      <c r="C2398" s="4"/>
      <c r="D2398" s="4"/>
      <c r="E2398" s="4"/>
      <c r="F2398" s="4"/>
      <c r="G2398" s="5"/>
      <c r="H2398" s="6"/>
      <c r="I2398" s="7"/>
      <c r="J2398" s="6"/>
      <c r="K2398" s="6"/>
      <c r="L2398" s="3"/>
      <c r="M2398" s="3" t="str">
        <f>IFERROR(__xludf.DUMMYFUNCTION("""COMPUTED_VALUE"""),"")</f>
        <v/>
      </c>
    </row>
    <row r="2399" ht="48.0" customHeight="1">
      <c r="A2399" s="3"/>
      <c r="B2399" s="4"/>
      <c r="C2399" s="4"/>
      <c r="D2399" s="4"/>
      <c r="E2399" s="4"/>
      <c r="F2399" s="4"/>
      <c r="G2399" s="5"/>
      <c r="H2399" s="6"/>
      <c r="I2399" s="7"/>
      <c r="J2399" s="6"/>
      <c r="K2399" s="6"/>
      <c r="L2399" s="3"/>
      <c r="M2399" s="3" t="str">
        <f>IFERROR(__xludf.DUMMYFUNCTION("""COMPUTED_VALUE"""),"")</f>
        <v/>
      </c>
    </row>
    <row r="2400" ht="48.0" customHeight="1">
      <c r="A2400" s="3"/>
      <c r="B2400" s="4"/>
      <c r="C2400" s="4"/>
      <c r="D2400" s="4"/>
      <c r="E2400" s="4"/>
      <c r="F2400" s="4"/>
      <c r="G2400" s="5"/>
      <c r="H2400" s="6"/>
      <c r="I2400" s="7"/>
      <c r="J2400" s="6"/>
      <c r="K2400" s="6"/>
      <c r="L2400" s="3"/>
      <c r="M2400" s="3" t="str">
        <f>IFERROR(__xludf.DUMMYFUNCTION("""COMPUTED_VALUE"""),"")</f>
        <v/>
      </c>
    </row>
    <row r="2401" ht="48.0" customHeight="1">
      <c r="A2401" s="3"/>
      <c r="B2401" s="4"/>
      <c r="C2401" s="4"/>
      <c r="D2401" s="4"/>
      <c r="E2401" s="4"/>
      <c r="F2401" s="4"/>
      <c r="G2401" s="5"/>
      <c r="H2401" s="6"/>
      <c r="I2401" s="7"/>
      <c r="J2401" s="6"/>
      <c r="K2401" s="6"/>
      <c r="L2401" s="3"/>
      <c r="M2401" s="3" t="str">
        <f>IFERROR(__xludf.DUMMYFUNCTION("""COMPUTED_VALUE"""),"")</f>
        <v/>
      </c>
    </row>
    <row r="2402" ht="48.0" customHeight="1">
      <c r="A2402" s="3"/>
      <c r="B2402" s="4"/>
      <c r="C2402" s="4"/>
      <c r="D2402" s="4"/>
      <c r="E2402" s="4"/>
      <c r="F2402" s="4"/>
      <c r="G2402" s="5"/>
      <c r="H2402" s="6"/>
      <c r="I2402" s="7"/>
      <c r="J2402" s="6"/>
      <c r="K2402" s="6"/>
      <c r="L2402" s="3"/>
      <c r="M2402" s="3" t="str">
        <f>IFERROR(__xludf.DUMMYFUNCTION("""COMPUTED_VALUE"""),"")</f>
        <v/>
      </c>
    </row>
    <row r="2403" ht="48.0" customHeight="1">
      <c r="A2403" s="3"/>
      <c r="B2403" s="4"/>
      <c r="C2403" s="4"/>
      <c r="D2403" s="4"/>
      <c r="E2403" s="4"/>
      <c r="F2403" s="4"/>
      <c r="G2403" s="5"/>
      <c r="H2403" s="6"/>
      <c r="I2403" s="7"/>
      <c r="J2403" s="6"/>
      <c r="K2403" s="6"/>
      <c r="L2403" s="3"/>
      <c r="M2403" s="3" t="str">
        <f>IFERROR(__xludf.DUMMYFUNCTION("""COMPUTED_VALUE"""),"")</f>
        <v/>
      </c>
    </row>
    <row r="2404" ht="48.0" customHeight="1">
      <c r="A2404" s="3"/>
      <c r="B2404" s="4"/>
      <c r="C2404" s="4"/>
      <c r="D2404" s="4"/>
      <c r="E2404" s="4"/>
      <c r="F2404" s="4"/>
      <c r="G2404" s="5"/>
      <c r="H2404" s="6"/>
      <c r="I2404" s="7"/>
      <c r="J2404" s="6"/>
      <c r="K2404" s="6"/>
      <c r="L2404" s="3"/>
      <c r="M2404" s="3" t="str">
        <f>IFERROR(__xludf.DUMMYFUNCTION("""COMPUTED_VALUE"""),"")</f>
        <v/>
      </c>
    </row>
    <row r="2405" ht="48.0" customHeight="1">
      <c r="A2405" s="3"/>
      <c r="B2405" s="4"/>
      <c r="C2405" s="4"/>
      <c r="D2405" s="4"/>
      <c r="E2405" s="4"/>
      <c r="F2405" s="4"/>
      <c r="G2405" s="5"/>
      <c r="H2405" s="6"/>
      <c r="I2405" s="7"/>
      <c r="J2405" s="6"/>
      <c r="K2405" s="6"/>
      <c r="L2405" s="3"/>
      <c r="M2405" s="3" t="str">
        <f>IFERROR(__xludf.DUMMYFUNCTION("""COMPUTED_VALUE"""),"")</f>
        <v/>
      </c>
    </row>
    <row r="2406" ht="48.0" customHeight="1">
      <c r="A2406" s="3"/>
      <c r="B2406" s="4"/>
      <c r="C2406" s="4"/>
      <c r="D2406" s="4"/>
      <c r="E2406" s="4"/>
      <c r="F2406" s="4"/>
      <c r="G2406" s="5"/>
      <c r="H2406" s="6"/>
      <c r="I2406" s="7"/>
      <c r="J2406" s="6"/>
      <c r="K2406" s="6"/>
      <c r="L2406" s="3"/>
      <c r="M2406" s="3" t="str">
        <f>IFERROR(__xludf.DUMMYFUNCTION("""COMPUTED_VALUE"""),"")</f>
        <v/>
      </c>
    </row>
    <row r="2407" ht="48.0" customHeight="1">
      <c r="A2407" s="3"/>
      <c r="B2407" s="4"/>
      <c r="C2407" s="4"/>
      <c r="D2407" s="4"/>
      <c r="E2407" s="4"/>
      <c r="F2407" s="4"/>
      <c r="G2407" s="5"/>
      <c r="H2407" s="6"/>
      <c r="I2407" s="7"/>
      <c r="J2407" s="6"/>
      <c r="K2407" s="6"/>
      <c r="L2407" s="3"/>
      <c r="M2407" s="3" t="str">
        <f>IFERROR(__xludf.DUMMYFUNCTION("""COMPUTED_VALUE"""),"")</f>
        <v/>
      </c>
    </row>
    <row r="2408" ht="48.0" customHeight="1">
      <c r="A2408" s="3"/>
      <c r="B2408" s="4"/>
      <c r="C2408" s="4"/>
      <c r="D2408" s="4"/>
      <c r="E2408" s="4"/>
      <c r="F2408" s="4"/>
      <c r="G2408" s="5"/>
      <c r="H2408" s="6"/>
      <c r="I2408" s="7"/>
      <c r="J2408" s="6"/>
      <c r="K2408" s="6"/>
      <c r="L2408" s="3"/>
      <c r="M2408" s="3" t="str">
        <f>IFERROR(__xludf.DUMMYFUNCTION("""COMPUTED_VALUE"""),"")</f>
        <v/>
      </c>
    </row>
    <row r="2409" ht="48.0" customHeight="1">
      <c r="A2409" s="3"/>
      <c r="B2409" s="4"/>
      <c r="C2409" s="4"/>
      <c r="D2409" s="4"/>
      <c r="E2409" s="4"/>
      <c r="F2409" s="4"/>
      <c r="G2409" s="5"/>
      <c r="H2409" s="6"/>
      <c r="I2409" s="7"/>
      <c r="J2409" s="6"/>
      <c r="K2409" s="6"/>
      <c r="L2409" s="3"/>
      <c r="M2409" s="3" t="str">
        <f>IFERROR(__xludf.DUMMYFUNCTION("""COMPUTED_VALUE"""),"")</f>
        <v/>
      </c>
    </row>
    <row r="2410" ht="48.0" customHeight="1">
      <c r="A2410" s="3"/>
      <c r="B2410" s="4"/>
      <c r="C2410" s="4"/>
      <c r="D2410" s="4"/>
      <c r="E2410" s="4"/>
      <c r="F2410" s="4"/>
      <c r="G2410" s="5"/>
      <c r="H2410" s="6"/>
      <c r="I2410" s="7"/>
      <c r="J2410" s="6"/>
      <c r="K2410" s="6"/>
      <c r="L2410" s="3"/>
      <c r="M2410" s="3" t="str">
        <f>IFERROR(__xludf.DUMMYFUNCTION("""COMPUTED_VALUE"""),"")</f>
        <v/>
      </c>
    </row>
    <row r="2411" ht="48.0" customHeight="1">
      <c r="A2411" s="3"/>
      <c r="B2411" s="4"/>
      <c r="C2411" s="4"/>
      <c r="D2411" s="4"/>
      <c r="E2411" s="4"/>
      <c r="F2411" s="4"/>
      <c r="G2411" s="5"/>
      <c r="H2411" s="6"/>
      <c r="I2411" s="7"/>
      <c r="J2411" s="6"/>
      <c r="K2411" s="6"/>
      <c r="L2411" s="3"/>
      <c r="M2411" s="3" t="str">
        <f>IFERROR(__xludf.DUMMYFUNCTION("""COMPUTED_VALUE"""),"")</f>
        <v/>
      </c>
    </row>
    <row r="2412" ht="48.0" customHeight="1">
      <c r="A2412" s="3"/>
      <c r="B2412" s="4"/>
      <c r="C2412" s="4"/>
      <c r="D2412" s="4"/>
      <c r="E2412" s="4"/>
      <c r="F2412" s="4"/>
      <c r="G2412" s="5"/>
      <c r="H2412" s="6"/>
      <c r="I2412" s="7"/>
      <c r="J2412" s="6"/>
      <c r="K2412" s="6"/>
      <c r="L2412" s="3"/>
      <c r="M2412" s="3" t="str">
        <f>IFERROR(__xludf.DUMMYFUNCTION("""COMPUTED_VALUE"""),"")</f>
        <v/>
      </c>
    </row>
    <row r="2413" ht="48.0" customHeight="1">
      <c r="A2413" s="3"/>
      <c r="B2413" s="4"/>
      <c r="C2413" s="4"/>
      <c r="D2413" s="4"/>
      <c r="E2413" s="4"/>
      <c r="F2413" s="4"/>
      <c r="G2413" s="5"/>
      <c r="H2413" s="6"/>
      <c r="I2413" s="7"/>
      <c r="J2413" s="6"/>
      <c r="K2413" s="6"/>
      <c r="L2413" s="3"/>
      <c r="M2413" s="3" t="str">
        <f>IFERROR(__xludf.DUMMYFUNCTION("""COMPUTED_VALUE"""),"")</f>
        <v/>
      </c>
    </row>
    <row r="2414" ht="48.0" customHeight="1">
      <c r="A2414" s="3"/>
      <c r="B2414" s="4"/>
      <c r="C2414" s="4"/>
      <c r="D2414" s="4"/>
      <c r="E2414" s="4"/>
      <c r="F2414" s="4"/>
      <c r="G2414" s="5"/>
      <c r="H2414" s="6"/>
      <c r="I2414" s="7"/>
      <c r="J2414" s="6"/>
      <c r="K2414" s="6"/>
      <c r="L2414" s="3"/>
      <c r="M2414" s="3" t="str">
        <f>IFERROR(__xludf.DUMMYFUNCTION("""COMPUTED_VALUE"""),"")</f>
        <v/>
      </c>
    </row>
    <row r="2415" ht="48.0" customHeight="1">
      <c r="A2415" s="3"/>
      <c r="B2415" s="4"/>
      <c r="C2415" s="4"/>
      <c r="D2415" s="4"/>
      <c r="E2415" s="4"/>
      <c r="F2415" s="4"/>
      <c r="G2415" s="5"/>
      <c r="H2415" s="6"/>
      <c r="I2415" s="7"/>
      <c r="J2415" s="6"/>
      <c r="K2415" s="6"/>
      <c r="L2415" s="3"/>
      <c r="M2415" s="3" t="str">
        <f>IFERROR(__xludf.DUMMYFUNCTION("""COMPUTED_VALUE"""),"")</f>
        <v/>
      </c>
    </row>
    <row r="2416" ht="48.0" customHeight="1">
      <c r="A2416" s="3"/>
      <c r="B2416" s="4"/>
      <c r="C2416" s="4"/>
      <c r="D2416" s="4"/>
      <c r="E2416" s="4"/>
      <c r="F2416" s="4"/>
      <c r="G2416" s="5"/>
      <c r="H2416" s="6"/>
      <c r="I2416" s="7"/>
      <c r="J2416" s="6"/>
      <c r="K2416" s="6"/>
      <c r="L2416" s="3"/>
      <c r="M2416" s="3" t="str">
        <f>IFERROR(__xludf.DUMMYFUNCTION("""COMPUTED_VALUE"""),"")</f>
        <v/>
      </c>
    </row>
    <row r="2417" ht="48.0" customHeight="1">
      <c r="A2417" s="3"/>
      <c r="B2417" s="4"/>
      <c r="C2417" s="4"/>
      <c r="D2417" s="4"/>
      <c r="E2417" s="4"/>
      <c r="F2417" s="4"/>
      <c r="G2417" s="5"/>
      <c r="H2417" s="6"/>
      <c r="I2417" s="7"/>
      <c r="J2417" s="6"/>
      <c r="K2417" s="6"/>
      <c r="L2417" s="3"/>
      <c r="M2417" s="3" t="str">
        <f>IFERROR(__xludf.DUMMYFUNCTION("""COMPUTED_VALUE"""),"")</f>
        <v/>
      </c>
    </row>
    <row r="2418" ht="48.0" customHeight="1">
      <c r="A2418" s="3"/>
      <c r="B2418" s="4"/>
      <c r="C2418" s="4"/>
      <c r="D2418" s="4"/>
      <c r="E2418" s="4"/>
      <c r="F2418" s="4"/>
      <c r="G2418" s="5"/>
      <c r="H2418" s="6"/>
      <c r="I2418" s="7"/>
      <c r="J2418" s="6"/>
      <c r="K2418" s="6"/>
      <c r="L2418" s="3"/>
      <c r="M2418" s="3" t="str">
        <f>IFERROR(__xludf.DUMMYFUNCTION("""COMPUTED_VALUE"""),"")</f>
        <v/>
      </c>
    </row>
    <row r="2419" ht="48.0" customHeight="1">
      <c r="A2419" s="3"/>
      <c r="B2419" s="4"/>
      <c r="C2419" s="4"/>
      <c r="D2419" s="4"/>
      <c r="E2419" s="4"/>
      <c r="F2419" s="4"/>
      <c r="G2419" s="5"/>
      <c r="H2419" s="6"/>
      <c r="I2419" s="7"/>
      <c r="J2419" s="6"/>
      <c r="K2419" s="6"/>
      <c r="L2419" s="3"/>
      <c r="M2419" s="3" t="str">
        <f>IFERROR(__xludf.DUMMYFUNCTION("""COMPUTED_VALUE"""),"")</f>
        <v/>
      </c>
    </row>
    <row r="2420" ht="48.0" customHeight="1">
      <c r="A2420" s="3"/>
      <c r="B2420" s="4"/>
      <c r="C2420" s="4"/>
      <c r="D2420" s="4"/>
      <c r="E2420" s="4"/>
      <c r="F2420" s="4"/>
      <c r="G2420" s="5"/>
      <c r="H2420" s="6"/>
      <c r="I2420" s="7"/>
      <c r="J2420" s="6"/>
      <c r="K2420" s="6"/>
      <c r="L2420" s="3"/>
      <c r="M2420" s="3" t="str">
        <f>IFERROR(__xludf.DUMMYFUNCTION("""COMPUTED_VALUE"""),"")</f>
        <v/>
      </c>
    </row>
    <row r="2421" ht="48.0" customHeight="1">
      <c r="A2421" s="3"/>
      <c r="B2421" s="4"/>
      <c r="C2421" s="4"/>
      <c r="D2421" s="4"/>
      <c r="E2421" s="4"/>
      <c r="F2421" s="4"/>
      <c r="G2421" s="5"/>
      <c r="H2421" s="6"/>
      <c r="I2421" s="7"/>
      <c r="J2421" s="6"/>
      <c r="K2421" s="6"/>
      <c r="L2421" s="3"/>
      <c r="M2421" s="3" t="str">
        <f>IFERROR(__xludf.DUMMYFUNCTION("""COMPUTED_VALUE"""),"")</f>
        <v/>
      </c>
    </row>
    <row r="2422" ht="48.0" customHeight="1">
      <c r="A2422" s="3"/>
      <c r="B2422" s="4"/>
      <c r="C2422" s="4"/>
      <c r="D2422" s="4"/>
      <c r="E2422" s="4"/>
      <c r="F2422" s="4"/>
      <c r="G2422" s="5"/>
      <c r="H2422" s="6"/>
      <c r="I2422" s="7"/>
      <c r="J2422" s="6"/>
      <c r="K2422" s="6"/>
      <c r="L2422" s="3"/>
      <c r="M2422" s="3" t="str">
        <f>IFERROR(__xludf.DUMMYFUNCTION("""COMPUTED_VALUE"""),"")</f>
        <v/>
      </c>
    </row>
    <row r="2423" ht="48.0" customHeight="1">
      <c r="A2423" s="3"/>
      <c r="B2423" s="4"/>
      <c r="C2423" s="4"/>
      <c r="D2423" s="4"/>
      <c r="E2423" s="4"/>
      <c r="F2423" s="4"/>
      <c r="G2423" s="5"/>
      <c r="H2423" s="6"/>
      <c r="I2423" s="7"/>
      <c r="J2423" s="6"/>
      <c r="K2423" s="6"/>
      <c r="L2423" s="3"/>
      <c r="M2423" s="3" t="str">
        <f>IFERROR(__xludf.DUMMYFUNCTION("""COMPUTED_VALUE"""),"")</f>
        <v/>
      </c>
    </row>
    <row r="2424" ht="48.0" customHeight="1">
      <c r="A2424" s="3"/>
      <c r="B2424" s="4"/>
      <c r="C2424" s="4"/>
      <c r="D2424" s="4"/>
      <c r="E2424" s="4"/>
      <c r="F2424" s="4"/>
      <c r="G2424" s="5"/>
      <c r="H2424" s="6"/>
      <c r="I2424" s="7"/>
      <c r="J2424" s="6"/>
      <c r="K2424" s="6"/>
      <c r="L2424" s="3"/>
      <c r="M2424" s="3" t="str">
        <f>IFERROR(__xludf.DUMMYFUNCTION("""COMPUTED_VALUE"""),"")</f>
        <v/>
      </c>
    </row>
    <row r="2425" ht="48.0" customHeight="1">
      <c r="A2425" s="3"/>
      <c r="B2425" s="4"/>
      <c r="C2425" s="4"/>
      <c r="D2425" s="4"/>
      <c r="E2425" s="4"/>
      <c r="F2425" s="4"/>
      <c r="G2425" s="5"/>
      <c r="H2425" s="6"/>
      <c r="I2425" s="7"/>
      <c r="J2425" s="6"/>
      <c r="K2425" s="6"/>
      <c r="L2425" s="3"/>
      <c r="M2425" s="3" t="str">
        <f>IFERROR(__xludf.DUMMYFUNCTION("""COMPUTED_VALUE"""),"")</f>
        <v/>
      </c>
    </row>
    <row r="2426" ht="48.0" customHeight="1">
      <c r="A2426" s="3"/>
      <c r="B2426" s="4"/>
      <c r="C2426" s="4"/>
      <c r="D2426" s="4"/>
      <c r="E2426" s="4"/>
      <c r="F2426" s="4"/>
      <c r="G2426" s="5"/>
      <c r="H2426" s="6"/>
      <c r="I2426" s="7"/>
      <c r="J2426" s="6"/>
      <c r="K2426" s="6"/>
      <c r="L2426" s="3"/>
      <c r="M2426" s="3" t="str">
        <f>IFERROR(__xludf.DUMMYFUNCTION("""COMPUTED_VALUE"""),"")</f>
        <v/>
      </c>
    </row>
    <row r="2427" ht="48.0" customHeight="1">
      <c r="A2427" s="3"/>
      <c r="B2427" s="4"/>
      <c r="C2427" s="4"/>
      <c r="D2427" s="4"/>
      <c r="E2427" s="4"/>
      <c r="F2427" s="4"/>
      <c r="G2427" s="5"/>
      <c r="H2427" s="6"/>
      <c r="I2427" s="7"/>
      <c r="J2427" s="6"/>
      <c r="K2427" s="6"/>
      <c r="L2427" s="3"/>
      <c r="M2427" s="3" t="str">
        <f>IFERROR(__xludf.DUMMYFUNCTION("""COMPUTED_VALUE"""),"")</f>
        <v/>
      </c>
    </row>
    <row r="2428" ht="48.0" customHeight="1">
      <c r="A2428" s="3"/>
      <c r="B2428" s="4"/>
      <c r="C2428" s="4"/>
      <c r="D2428" s="4"/>
      <c r="E2428" s="4"/>
      <c r="F2428" s="4"/>
      <c r="G2428" s="5"/>
      <c r="H2428" s="6"/>
      <c r="I2428" s="7"/>
      <c r="J2428" s="6"/>
      <c r="K2428" s="6"/>
      <c r="L2428" s="3"/>
      <c r="M2428" s="3" t="str">
        <f>IFERROR(__xludf.DUMMYFUNCTION("""COMPUTED_VALUE"""),"")</f>
        <v/>
      </c>
    </row>
    <row r="2429" ht="48.0" customHeight="1">
      <c r="A2429" s="3"/>
      <c r="B2429" s="4"/>
      <c r="C2429" s="4"/>
      <c r="D2429" s="4"/>
      <c r="E2429" s="4"/>
      <c r="F2429" s="4"/>
      <c r="G2429" s="5"/>
      <c r="H2429" s="6"/>
      <c r="I2429" s="7"/>
      <c r="J2429" s="6"/>
      <c r="K2429" s="6"/>
      <c r="L2429" s="3"/>
      <c r="M2429" s="3" t="str">
        <f>IFERROR(__xludf.DUMMYFUNCTION("""COMPUTED_VALUE"""),"")</f>
        <v/>
      </c>
    </row>
    <row r="2430" ht="48.0" customHeight="1">
      <c r="A2430" s="3"/>
      <c r="B2430" s="4"/>
      <c r="C2430" s="4"/>
      <c r="D2430" s="4"/>
      <c r="E2430" s="4"/>
      <c r="F2430" s="4"/>
      <c r="G2430" s="5"/>
      <c r="H2430" s="6"/>
      <c r="I2430" s="7"/>
      <c r="J2430" s="6"/>
      <c r="K2430" s="6"/>
      <c r="L2430" s="3"/>
      <c r="M2430" s="3" t="str">
        <f>IFERROR(__xludf.DUMMYFUNCTION("""COMPUTED_VALUE"""),"")</f>
        <v/>
      </c>
    </row>
    <row r="2431" ht="48.0" customHeight="1">
      <c r="A2431" s="3"/>
      <c r="B2431" s="4"/>
      <c r="C2431" s="4"/>
      <c r="D2431" s="4"/>
      <c r="E2431" s="4"/>
      <c r="F2431" s="4"/>
      <c r="G2431" s="5"/>
      <c r="H2431" s="6"/>
      <c r="I2431" s="7"/>
      <c r="J2431" s="6"/>
      <c r="K2431" s="6"/>
      <c r="L2431" s="3"/>
      <c r="M2431" s="3" t="str">
        <f>IFERROR(__xludf.DUMMYFUNCTION("""COMPUTED_VALUE"""),"")</f>
        <v/>
      </c>
    </row>
    <row r="2432" ht="48.0" customHeight="1">
      <c r="A2432" s="3"/>
      <c r="B2432" s="4"/>
      <c r="C2432" s="4"/>
      <c r="D2432" s="4"/>
      <c r="E2432" s="4"/>
      <c r="F2432" s="4"/>
      <c r="G2432" s="5"/>
      <c r="H2432" s="6"/>
      <c r="I2432" s="7"/>
      <c r="J2432" s="6"/>
      <c r="K2432" s="6"/>
      <c r="L2432" s="3"/>
      <c r="M2432" s="3" t="str">
        <f>IFERROR(__xludf.DUMMYFUNCTION("""COMPUTED_VALUE"""),"")</f>
        <v/>
      </c>
    </row>
    <row r="2433" ht="48.0" customHeight="1">
      <c r="A2433" s="3"/>
      <c r="B2433" s="4"/>
      <c r="C2433" s="4"/>
      <c r="D2433" s="4"/>
      <c r="E2433" s="4"/>
      <c r="F2433" s="4"/>
      <c r="G2433" s="5"/>
      <c r="H2433" s="6"/>
      <c r="I2433" s="7"/>
      <c r="J2433" s="6"/>
      <c r="K2433" s="6"/>
      <c r="L2433" s="3"/>
      <c r="M2433" s="3" t="str">
        <f>IFERROR(__xludf.DUMMYFUNCTION("""COMPUTED_VALUE"""),"")</f>
        <v/>
      </c>
    </row>
    <row r="2434" ht="48.0" customHeight="1">
      <c r="A2434" s="3"/>
      <c r="B2434" s="4"/>
      <c r="C2434" s="4"/>
      <c r="D2434" s="4"/>
      <c r="E2434" s="4"/>
      <c r="F2434" s="4"/>
      <c r="G2434" s="5"/>
      <c r="H2434" s="6"/>
      <c r="I2434" s="7"/>
      <c r="J2434" s="6"/>
      <c r="K2434" s="6"/>
      <c r="L2434" s="3"/>
      <c r="M2434" s="3" t="str">
        <f>IFERROR(__xludf.DUMMYFUNCTION("""COMPUTED_VALUE"""),"")</f>
        <v/>
      </c>
    </row>
    <row r="2435" ht="48.0" customHeight="1">
      <c r="A2435" s="3"/>
      <c r="B2435" s="4"/>
      <c r="C2435" s="4"/>
      <c r="D2435" s="4"/>
      <c r="E2435" s="4"/>
      <c r="F2435" s="4"/>
      <c r="G2435" s="5"/>
      <c r="H2435" s="6"/>
      <c r="I2435" s="7"/>
      <c r="J2435" s="6"/>
      <c r="K2435" s="6"/>
      <c r="L2435" s="3"/>
      <c r="M2435" s="3" t="str">
        <f>IFERROR(__xludf.DUMMYFUNCTION("""COMPUTED_VALUE"""),"")</f>
        <v/>
      </c>
    </row>
    <row r="2436" ht="48.0" customHeight="1">
      <c r="A2436" s="3"/>
      <c r="B2436" s="4"/>
      <c r="C2436" s="4"/>
      <c r="D2436" s="4"/>
      <c r="E2436" s="4"/>
      <c r="F2436" s="4"/>
      <c r="G2436" s="5"/>
      <c r="H2436" s="6"/>
      <c r="I2436" s="7"/>
      <c r="J2436" s="6"/>
      <c r="K2436" s="6"/>
      <c r="L2436" s="3"/>
      <c r="M2436" s="3" t="str">
        <f>IFERROR(__xludf.DUMMYFUNCTION("""COMPUTED_VALUE"""),"")</f>
        <v/>
      </c>
    </row>
    <row r="2437" ht="48.0" customHeight="1">
      <c r="A2437" s="3"/>
      <c r="B2437" s="4"/>
      <c r="C2437" s="4"/>
      <c r="D2437" s="4"/>
      <c r="E2437" s="4"/>
      <c r="F2437" s="4"/>
      <c r="G2437" s="5"/>
      <c r="H2437" s="6"/>
      <c r="I2437" s="7"/>
      <c r="J2437" s="6"/>
      <c r="K2437" s="6"/>
      <c r="L2437" s="3"/>
      <c r="M2437" s="3" t="str">
        <f>IFERROR(__xludf.DUMMYFUNCTION("""COMPUTED_VALUE"""),"")</f>
        <v/>
      </c>
    </row>
    <row r="2438" ht="48.0" customHeight="1">
      <c r="A2438" s="3"/>
      <c r="B2438" s="4"/>
      <c r="C2438" s="4"/>
      <c r="D2438" s="4"/>
      <c r="E2438" s="4"/>
      <c r="F2438" s="4"/>
      <c r="G2438" s="5"/>
      <c r="H2438" s="6"/>
      <c r="I2438" s="7"/>
      <c r="J2438" s="6"/>
      <c r="K2438" s="6"/>
      <c r="L2438" s="3"/>
      <c r="M2438" s="3" t="str">
        <f>IFERROR(__xludf.DUMMYFUNCTION("""COMPUTED_VALUE"""),"")</f>
        <v/>
      </c>
    </row>
    <row r="2439" ht="48.0" customHeight="1">
      <c r="A2439" s="3"/>
      <c r="B2439" s="4"/>
      <c r="C2439" s="4"/>
      <c r="D2439" s="4"/>
      <c r="E2439" s="4"/>
      <c r="F2439" s="4"/>
      <c r="G2439" s="5"/>
      <c r="H2439" s="6"/>
      <c r="I2439" s="7"/>
      <c r="J2439" s="6"/>
      <c r="K2439" s="6"/>
      <c r="L2439" s="3"/>
      <c r="M2439" s="3" t="str">
        <f>IFERROR(__xludf.DUMMYFUNCTION("""COMPUTED_VALUE"""),"")</f>
        <v/>
      </c>
    </row>
    <row r="2440" ht="48.0" customHeight="1">
      <c r="A2440" s="3"/>
      <c r="B2440" s="4"/>
      <c r="C2440" s="4"/>
      <c r="D2440" s="4"/>
      <c r="E2440" s="4"/>
      <c r="F2440" s="4"/>
      <c r="G2440" s="5"/>
      <c r="H2440" s="6"/>
      <c r="I2440" s="7"/>
      <c r="J2440" s="6"/>
      <c r="K2440" s="6"/>
      <c r="L2440" s="3"/>
      <c r="M2440" s="3" t="str">
        <f>IFERROR(__xludf.DUMMYFUNCTION("""COMPUTED_VALUE"""),"")</f>
        <v/>
      </c>
    </row>
    <row r="2441" ht="48.0" customHeight="1">
      <c r="A2441" s="3"/>
      <c r="B2441" s="4"/>
      <c r="C2441" s="4"/>
      <c r="D2441" s="4"/>
      <c r="E2441" s="4"/>
      <c r="F2441" s="4"/>
      <c r="G2441" s="5"/>
      <c r="H2441" s="6"/>
      <c r="I2441" s="7"/>
      <c r="J2441" s="6"/>
      <c r="K2441" s="6"/>
      <c r="L2441" s="3"/>
      <c r="M2441" s="3" t="str">
        <f>IFERROR(__xludf.DUMMYFUNCTION("""COMPUTED_VALUE"""),"")</f>
        <v/>
      </c>
    </row>
    <row r="2442" ht="48.0" customHeight="1">
      <c r="A2442" s="3"/>
      <c r="B2442" s="4"/>
      <c r="C2442" s="4"/>
      <c r="D2442" s="4"/>
      <c r="E2442" s="4"/>
      <c r="F2442" s="4"/>
      <c r="G2442" s="5"/>
      <c r="H2442" s="6"/>
      <c r="I2442" s="7"/>
      <c r="J2442" s="6"/>
      <c r="K2442" s="6"/>
      <c r="L2442" s="3"/>
      <c r="M2442" s="3" t="str">
        <f>IFERROR(__xludf.DUMMYFUNCTION("""COMPUTED_VALUE"""),"")</f>
        <v/>
      </c>
    </row>
    <row r="2443" ht="48.0" customHeight="1">
      <c r="A2443" s="3"/>
      <c r="B2443" s="4"/>
      <c r="C2443" s="4"/>
      <c r="D2443" s="4"/>
      <c r="E2443" s="4"/>
      <c r="F2443" s="4"/>
      <c r="G2443" s="5"/>
      <c r="H2443" s="6"/>
      <c r="I2443" s="7"/>
      <c r="J2443" s="6"/>
      <c r="K2443" s="6"/>
      <c r="L2443" s="3"/>
      <c r="M2443" s="3" t="str">
        <f>IFERROR(__xludf.DUMMYFUNCTION("""COMPUTED_VALUE"""),"")</f>
        <v/>
      </c>
    </row>
    <row r="2444" ht="48.0" customHeight="1">
      <c r="A2444" s="3"/>
      <c r="B2444" s="4"/>
      <c r="C2444" s="4"/>
      <c r="D2444" s="4"/>
      <c r="E2444" s="4"/>
      <c r="F2444" s="4"/>
      <c r="G2444" s="5"/>
      <c r="H2444" s="6"/>
      <c r="I2444" s="7"/>
      <c r="J2444" s="6"/>
      <c r="K2444" s="6"/>
      <c r="L2444" s="3"/>
      <c r="M2444" s="3" t="str">
        <f>IFERROR(__xludf.DUMMYFUNCTION("""COMPUTED_VALUE"""),"")</f>
        <v/>
      </c>
    </row>
    <row r="2445" ht="48.0" customHeight="1">
      <c r="A2445" s="3"/>
      <c r="B2445" s="4"/>
      <c r="C2445" s="4"/>
      <c r="D2445" s="4"/>
      <c r="E2445" s="4"/>
      <c r="F2445" s="4"/>
      <c r="G2445" s="5"/>
      <c r="H2445" s="6"/>
      <c r="I2445" s="7"/>
      <c r="J2445" s="6"/>
      <c r="K2445" s="6"/>
      <c r="L2445" s="3"/>
      <c r="M2445" s="3" t="str">
        <f>IFERROR(__xludf.DUMMYFUNCTION("""COMPUTED_VALUE"""),"")</f>
        <v/>
      </c>
    </row>
    <row r="2446" ht="48.0" customHeight="1">
      <c r="A2446" s="3"/>
      <c r="B2446" s="4"/>
      <c r="C2446" s="4"/>
      <c r="D2446" s="4"/>
      <c r="E2446" s="4"/>
      <c r="F2446" s="4"/>
      <c r="G2446" s="5"/>
      <c r="H2446" s="6"/>
      <c r="I2446" s="7"/>
      <c r="J2446" s="6"/>
      <c r="K2446" s="6"/>
      <c r="L2446" s="3"/>
      <c r="M2446" s="3" t="str">
        <f>IFERROR(__xludf.DUMMYFUNCTION("""COMPUTED_VALUE"""),"")</f>
        <v/>
      </c>
    </row>
    <row r="2447" ht="48.0" customHeight="1">
      <c r="A2447" s="3"/>
      <c r="B2447" s="4"/>
      <c r="C2447" s="4"/>
      <c r="D2447" s="4"/>
      <c r="E2447" s="4"/>
      <c r="F2447" s="4"/>
      <c r="G2447" s="5"/>
      <c r="H2447" s="6"/>
      <c r="I2447" s="7"/>
      <c r="J2447" s="6"/>
      <c r="K2447" s="6"/>
      <c r="L2447" s="3"/>
      <c r="M2447" s="3" t="str">
        <f>IFERROR(__xludf.DUMMYFUNCTION("""COMPUTED_VALUE"""),"")</f>
        <v/>
      </c>
    </row>
    <row r="2448" ht="48.0" customHeight="1">
      <c r="A2448" s="3"/>
      <c r="B2448" s="4"/>
      <c r="C2448" s="4"/>
      <c r="D2448" s="4"/>
      <c r="E2448" s="4"/>
      <c r="F2448" s="4"/>
      <c r="G2448" s="5"/>
      <c r="H2448" s="6"/>
      <c r="I2448" s="7"/>
      <c r="J2448" s="6"/>
      <c r="K2448" s="6"/>
      <c r="L2448" s="3"/>
      <c r="M2448" s="3" t="str">
        <f>IFERROR(__xludf.DUMMYFUNCTION("""COMPUTED_VALUE"""),"")</f>
        <v/>
      </c>
    </row>
    <row r="2449" ht="48.0" customHeight="1">
      <c r="A2449" s="3"/>
      <c r="B2449" s="4"/>
      <c r="C2449" s="4"/>
      <c r="D2449" s="4"/>
      <c r="E2449" s="4"/>
      <c r="F2449" s="4"/>
      <c r="G2449" s="5"/>
      <c r="H2449" s="6"/>
      <c r="I2449" s="7"/>
      <c r="J2449" s="6"/>
      <c r="K2449" s="6"/>
      <c r="L2449" s="3"/>
      <c r="M2449" s="3" t="str">
        <f>IFERROR(__xludf.DUMMYFUNCTION("""COMPUTED_VALUE"""),"")</f>
        <v/>
      </c>
    </row>
    <row r="2450" ht="48.0" customHeight="1">
      <c r="A2450" s="3"/>
      <c r="B2450" s="4"/>
      <c r="C2450" s="4"/>
      <c r="D2450" s="4"/>
      <c r="E2450" s="4"/>
      <c r="F2450" s="4"/>
      <c r="G2450" s="5"/>
      <c r="H2450" s="6"/>
      <c r="I2450" s="7"/>
      <c r="J2450" s="6"/>
      <c r="K2450" s="6"/>
      <c r="L2450" s="3"/>
      <c r="M2450" s="3" t="str">
        <f>IFERROR(__xludf.DUMMYFUNCTION("""COMPUTED_VALUE"""),"")</f>
        <v/>
      </c>
    </row>
    <row r="2451" ht="48.0" customHeight="1">
      <c r="A2451" s="3"/>
      <c r="B2451" s="4"/>
      <c r="C2451" s="4"/>
      <c r="D2451" s="4"/>
      <c r="E2451" s="4"/>
      <c r="F2451" s="4"/>
      <c r="G2451" s="5"/>
      <c r="H2451" s="6"/>
      <c r="I2451" s="7"/>
      <c r="J2451" s="6"/>
      <c r="K2451" s="6"/>
      <c r="L2451" s="3"/>
      <c r="M2451" s="3" t="str">
        <f>IFERROR(__xludf.DUMMYFUNCTION("""COMPUTED_VALUE"""),"")</f>
        <v/>
      </c>
    </row>
    <row r="2452" ht="48.0" customHeight="1">
      <c r="A2452" s="3"/>
      <c r="B2452" s="4"/>
      <c r="C2452" s="4"/>
      <c r="D2452" s="4"/>
      <c r="E2452" s="4"/>
      <c r="F2452" s="4"/>
      <c r="G2452" s="5"/>
      <c r="H2452" s="6"/>
      <c r="I2452" s="7"/>
      <c r="J2452" s="6"/>
      <c r="K2452" s="6"/>
      <c r="L2452" s="3"/>
      <c r="M2452" s="3" t="str">
        <f>IFERROR(__xludf.DUMMYFUNCTION("""COMPUTED_VALUE"""),"")</f>
        <v/>
      </c>
    </row>
    <row r="2453" ht="48.0" customHeight="1">
      <c r="A2453" s="3"/>
      <c r="B2453" s="4"/>
      <c r="C2453" s="4"/>
      <c r="D2453" s="4"/>
      <c r="E2453" s="4"/>
      <c r="F2453" s="4"/>
      <c r="G2453" s="5"/>
      <c r="H2453" s="6"/>
      <c r="I2453" s="7"/>
      <c r="J2453" s="6"/>
      <c r="K2453" s="6"/>
      <c r="L2453" s="3"/>
      <c r="M2453" s="3" t="str">
        <f>IFERROR(__xludf.DUMMYFUNCTION("""COMPUTED_VALUE"""),"")</f>
        <v/>
      </c>
    </row>
    <row r="2454" ht="48.0" customHeight="1">
      <c r="A2454" s="3"/>
      <c r="B2454" s="4"/>
      <c r="C2454" s="4"/>
      <c r="D2454" s="4"/>
      <c r="E2454" s="4"/>
      <c r="F2454" s="4"/>
      <c r="G2454" s="5"/>
      <c r="H2454" s="6"/>
      <c r="I2454" s="7"/>
      <c r="J2454" s="6"/>
      <c r="K2454" s="6"/>
      <c r="L2454" s="3"/>
      <c r="M2454" s="3" t="str">
        <f>IFERROR(__xludf.DUMMYFUNCTION("""COMPUTED_VALUE"""),"")</f>
        <v/>
      </c>
    </row>
    <row r="2455" ht="48.0" customHeight="1">
      <c r="A2455" s="3"/>
      <c r="B2455" s="4"/>
      <c r="C2455" s="4"/>
      <c r="D2455" s="4"/>
      <c r="E2455" s="4"/>
      <c r="F2455" s="4"/>
      <c r="G2455" s="5"/>
      <c r="H2455" s="6"/>
      <c r="I2455" s="7"/>
      <c r="J2455" s="6"/>
      <c r="K2455" s="6"/>
      <c r="L2455" s="3"/>
      <c r="M2455" s="3" t="str">
        <f>IFERROR(__xludf.DUMMYFUNCTION("""COMPUTED_VALUE"""),"")</f>
        <v/>
      </c>
    </row>
    <row r="2456" ht="48.0" customHeight="1">
      <c r="A2456" s="3"/>
      <c r="B2456" s="4"/>
      <c r="C2456" s="4"/>
      <c r="D2456" s="4"/>
      <c r="E2456" s="4"/>
      <c r="F2456" s="4"/>
      <c r="G2456" s="5"/>
      <c r="H2456" s="6"/>
      <c r="I2456" s="7"/>
      <c r="J2456" s="6"/>
      <c r="K2456" s="6"/>
      <c r="L2456" s="3"/>
      <c r="M2456" s="3" t="str">
        <f>IFERROR(__xludf.DUMMYFUNCTION("""COMPUTED_VALUE"""),"")</f>
        <v/>
      </c>
    </row>
    <row r="2457" ht="48.0" customHeight="1">
      <c r="A2457" s="3"/>
      <c r="B2457" s="4"/>
      <c r="C2457" s="4"/>
      <c r="D2457" s="4"/>
      <c r="E2457" s="4"/>
      <c r="F2457" s="4"/>
      <c r="G2457" s="5"/>
      <c r="H2457" s="6"/>
      <c r="I2457" s="7"/>
      <c r="J2457" s="6"/>
      <c r="K2457" s="6"/>
      <c r="L2457" s="3"/>
      <c r="M2457" s="3" t="str">
        <f>IFERROR(__xludf.DUMMYFUNCTION("""COMPUTED_VALUE"""),"")</f>
        <v/>
      </c>
    </row>
    <row r="2458" ht="48.0" customHeight="1">
      <c r="A2458" s="3"/>
      <c r="B2458" s="4"/>
      <c r="C2458" s="4"/>
      <c r="D2458" s="4"/>
      <c r="E2458" s="4"/>
      <c r="F2458" s="4"/>
      <c r="G2458" s="5"/>
      <c r="H2458" s="6"/>
      <c r="I2458" s="7"/>
      <c r="J2458" s="6"/>
      <c r="K2458" s="6"/>
      <c r="L2458" s="3"/>
      <c r="M2458" s="3" t="str">
        <f>IFERROR(__xludf.DUMMYFUNCTION("""COMPUTED_VALUE"""),"")</f>
        <v/>
      </c>
    </row>
    <row r="2459" ht="48.0" customHeight="1">
      <c r="A2459" s="3"/>
      <c r="B2459" s="4"/>
      <c r="C2459" s="4"/>
      <c r="D2459" s="4"/>
      <c r="E2459" s="4"/>
      <c r="F2459" s="4"/>
      <c r="G2459" s="5"/>
      <c r="H2459" s="6"/>
      <c r="I2459" s="7"/>
      <c r="J2459" s="6"/>
      <c r="K2459" s="6"/>
      <c r="L2459" s="3"/>
      <c r="M2459" s="3" t="str">
        <f>IFERROR(__xludf.DUMMYFUNCTION("""COMPUTED_VALUE"""),"")</f>
        <v/>
      </c>
    </row>
    <row r="2460" ht="48.0" customHeight="1">
      <c r="A2460" s="3"/>
      <c r="B2460" s="4"/>
      <c r="C2460" s="4"/>
      <c r="D2460" s="4"/>
      <c r="E2460" s="4"/>
      <c r="F2460" s="4"/>
      <c r="G2460" s="5"/>
      <c r="H2460" s="6"/>
      <c r="I2460" s="7"/>
      <c r="J2460" s="6"/>
      <c r="K2460" s="6"/>
      <c r="L2460" s="3"/>
      <c r="M2460" s="3" t="str">
        <f>IFERROR(__xludf.DUMMYFUNCTION("""COMPUTED_VALUE"""),"")</f>
        <v/>
      </c>
    </row>
    <row r="2461" ht="48.0" customHeight="1">
      <c r="A2461" s="3"/>
      <c r="B2461" s="4"/>
      <c r="C2461" s="4"/>
      <c r="D2461" s="4"/>
      <c r="E2461" s="4"/>
      <c r="F2461" s="4"/>
      <c r="G2461" s="5"/>
      <c r="H2461" s="6"/>
      <c r="I2461" s="7"/>
      <c r="J2461" s="6"/>
      <c r="K2461" s="6"/>
      <c r="L2461" s="3"/>
      <c r="M2461" s="3" t="str">
        <f>IFERROR(__xludf.DUMMYFUNCTION("""COMPUTED_VALUE"""),"")</f>
        <v/>
      </c>
    </row>
    <row r="2462" ht="48.0" customHeight="1">
      <c r="A2462" s="3"/>
      <c r="B2462" s="4"/>
      <c r="C2462" s="4"/>
      <c r="D2462" s="4"/>
      <c r="E2462" s="4"/>
      <c r="F2462" s="4"/>
      <c r="G2462" s="5"/>
      <c r="H2462" s="6"/>
      <c r="I2462" s="7"/>
      <c r="J2462" s="6"/>
      <c r="K2462" s="6"/>
      <c r="L2462" s="3"/>
      <c r="M2462" s="3" t="str">
        <f>IFERROR(__xludf.DUMMYFUNCTION("""COMPUTED_VALUE"""),"")</f>
        <v/>
      </c>
    </row>
    <row r="2463" ht="48.0" customHeight="1">
      <c r="A2463" s="3"/>
      <c r="B2463" s="4"/>
      <c r="C2463" s="4"/>
      <c r="D2463" s="4"/>
      <c r="E2463" s="4"/>
      <c r="F2463" s="4"/>
      <c r="G2463" s="5"/>
      <c r="H2463" s="6"/>
      <c r="I2463" s="7"/>
      <c r="J2463" s="6"/>
      <c r="K2463" s="6"/>
      <c r="L2463" s="3"/>
      <c r="M2463" s="3" t="str">
        <f>IFERROR(__xludf.DUMMYFUNCTION("""COMPUTED_VALUE"""),"")</f>
        <v/>
      </c>
    </row>
    <row r="2464" ht="48.0" customHeight="1">
      <c r="A2464" s="3"/>
      <c r="B2464" s="4"/>
      <c r="C2464" s="4"/>
      <c r="D2464" s="4"/>
      <c r="E2464" s="4"/>
      <c r="F2464" s="4"/>
      <c r="G2464" s="5"/>
      <c r="H2464" s="6"/>
      <c r="I2464" s="7"/>
      <c r="J2464" s="6"/>
      <c r="K2464" s="6"/>
      <c r="L2464" s="3"/>
      <c r="M2464" s="3" t="str">
        <f>IFERROR(__xludf.DUMMYFUNCTION("""COMPUTED_VALUE"""),"")</f>
        <v/>
      </c>
    </row>
    <row r="2465" ht="48.0" customHeight="1">
      <c r="A2465" s="3"/>
      <c r="B2465" s="4"/>
      <c r="C2465" s="4"/>
      <c r="D2465" s="4"/>
      <c r="E2465" s="4"/>
      <c r="F2465" s="4"/>
      <c r="G2465" s="5"/>
      <c r="H2465" s="6"/>
      <c r="I2465" s="7"/>
      <c r="J2465" s="6"/>
      <c r="K2465" s="6"/>
      <c r="L2465" s="3"/>
      <c r="M2465" s="3" t="str">
        <f>IFERROR(__xludf.DUMMYFUNCTION("""COMPUTED_VALUE"""),"")</f>
        <v/>
      </c>
    </row>
    <row r="2466" ht="48.0" customHeight="1">
      <c r="A2466" s="3"/>
      <c r="B2466" s="4"/>
      <c r="C2466" s="4"/>
      <c r="D2466" s="4"/>
      <c r="E2466" s="4"/>
      <c r="F2466" s="4"/>
      <c r="G2466" s="5"/>
      <c r="H2466" s="6"/>
      <c r="I2466" s="7"/>
      <c r="J2466" s="6"/>
      <c r="K2466" s="6"/>
      <c r="L2466" s="3"/>
      <c r="M2466" s="3" t="str">
        <f>IFERROR(__xludf.DUMMYFUNCTION("""COMPUTED_VALUE"""),"")</f>
        <v/>
      </c>
    </row>
    <row r="2467" ht="48.0" customHeight="1">
      <c r="A2467" s="3"/>
      <c r="B2467" s="4"/>
      <c r="C2467" s="4"/>
      <c r="D2467" s="4"/>
      <c r="E2467" s="4"/>
      <c r="F2467" s="4"/>
      <c r="G2467" s="5"/>
      <c r="H2467" s="6"/>
      <c r="I2467" s="7"/>
      <c r="J2467" s="6"/>
      <c r="K2467" s="6"/>
      <c r="L2467" s="3"/>
      <c r="M2467" s="3" t="str">
        <f>IFERROR(__xludf.DUMMYFUNCTION("""COMPUTED_VALUE"""),"")</f>
        <v/>
      </c>
    </row>
    <row r="2468" ht="48.0" customHeight="1">
      <c r="A2468" s="3"/>
      <c r="B2468" s="4"/>
      <c r="C2468" s="4"/>
      <c r="D2468" s="4"/>
      <c r="E2468" s="4"/>
      <c r="F2468" s="4"/>
      <c r="G2468" s="5"/>
      <c r="H2468" s="6"/>
      <c r="I2468" s="7"/>
      <c r="J2468" s="6"/>
      <c r="K2468" s="6"/>
      <c r="L2468" s="3"/>
      <c r="M2468" s="3" t="str">
        <f>IFERROR(__xludf.DUMMYFUNCTION("""COMPUTED_VALUE"""),"")</f>
        <v/>
      </c>
    </row>
    <row r="2469" ht="48.0" customHeight="1">
      <c r="A2469" s="3"/>
      <c r="B2469" s="4"/>
      <c r="C2469" s="4"/>
      <c r="D2469" s="4"/>
      <c r="E2469" s="4"/>
      <c r="F2469" s="4"/>
      <c r="G2469" s="5"/>
      <c r="H2469" s="6"/>
      <c r="I2469" s="7"/>
      <c r="J2469" s="6"/>
      <c r="K2469" s="6"/>
      <c r="L2469" s="3"/>
      <c r="M2469" s="3" t="str">
        <f>IFERROR(__xludf.DUMMYFUNCTION("""COMPUTED_VALUE"""),"")</f>
        <v/>
      </c>
    </row>
    <row r="2470" ht="48.0" customHeight="1">
      <c r="A2470" s="3"/>
      <c r="B2470" s="4"/>
      <c r="C2470" s="4"/>
      <c r="D2470" s="4"/>
      <c r="E2470" s="4"/>
      <c r="F2470" s="4"/>
      <c r="G2470" s="5"/>
      <c r="H2470" s="6"/>
      <c r="I2470" s="7"/>
      <c r="J2470" s="6"/>
      <c r="K2470" s="6"/>
      <c r="L2470" s="3"/>
      <c r="M2470" s="3" t="str">
        <f>IFERROR(__xludf.DUMMYFUNCTION("""COMPUTED_VALUE"""),"")</f>
        <v/>
      </c>
    </row>
    <row r="2471" ht="48.0" customHeight="1">
      <c r="A2471" s="3"/>
      <c r="B2471" s="4"/>
      <c r="C2471" s="4"/>
      <c r="D2471" s="4"/>
      <c r="E2471" s="4"/>
      <c r="F2471" s="4"/>
      <c r="G2471" s="5"/>
      <c r="H2471" s="6"/>
      <c r="I2471" s="7"/>
      <c r="J2471" s="6"/>
      <c r="K2471" s="6"/>
      <c r="L2471" s="3"/>
      <c r="M2471" s="3" t="str">
        <f>IFERROR(__xludf.DUMMYFUNCTION("""COMPUTED_VALUE"""),"")</f>
        <v/>
      </c>
    </row>
    <row r="2472" ht="48.0" customHeight="1">
      <c r="A2472" s="3"/>
      <c r="B2472" s="4"/>
      <c r="C2472" s="4"/>
      <c r="D2472" s="4"/>
      <c r="E2472" s="4"/>
      <c r="F2472" s="4"/>
      <c r="G2472" s="5"/>
      <c r="H2472" s="6"/>
      <c r="I2472" s="7"/>
      <c r="J2472" s="6"/>
      <c r="K2472" s="6"/>
      <c r="L2472" s="3"/>
      <c r="M2472" s="3" t="str">
        <f>IFERROR(__xludf.DUMMYFUNCTION("""COMPUTED_VALUE"""),"")</f>
        <v/>
      </c>
    </row>
    <row r="2473" ht="48.0" customHeight="1">
      <c r="A2473" s="3"/>
      <c r="B2473" s="4"/>
      <c r="C2473" s="4"/>
      <c r="D2473" s="4"/>
      <c r="E2473" s="4"/>
      <c r="F2473" s="4"/>
      <c r="G2473" s="5"/>
      <c r="H2473" s="6"/>
      <c r="I2473" s="7"/>
      <c r="J2473" s="6"/>
      <c r="K2473" s="6"/>
      <c r="L2473" s="3"/>
      <c r="M2473" s="3" t="str">
        <f>IFERROR(__xludf.DUMMYFUNCTION("""COMPUTED_VALUE"""),"")</f>
        <v/>
      </c>
    </row>
    <row r="2474" ht="48.0" customHeight="1">
      <c r="A2474" s="3"/>
      <c r="B2474" s="4"/>
      <c r="C2474" s="4"/>
      <c r="D2474" s="4"/>
      <c r="E2474" s="4"/>
      <c r="F2474" s="4"/>
      <c r="G2474" s="5"/>
      <c r="H2474" s="6"/>
      <c r="I2474" s="7"/>
      <c r="J2474" s="6"/>
      <c r="K2474" s="6"/>
      <c r="L2474" s="3"/>
      <c r="M2474" s="3" t="str">
        <f>IFERROR(__xludf.DUMMYFUNCTION("""COMPUTED_VALUE"""),"")</f>
        <v/>
      </c>
    </row>
    <row r="2475" ht="48.0" customHeight="1">
      <c r="A2475" s="3"/>
      <c r="B2475" s="4"/>
      <c r="C2475" s="4"/>
      <c r="D2475" s="4"/>
      <c r="E2475" s="4"/>
      <c r="F2475" s="4"/>
      <c r="G2475" s="5"/>
      <c r="H2475" s="6"/>
      <c r="I2475" s="7"/>
      <c r="J2475" s="6"/>
      <c r="K2475" s="6"/>
      <c r="L2475" s="3"/>
      <c r="M2475" s="3" t="str">
        <f>IFERROR(__xludf.DUMMYFUNCTION("""COMPUTED_VALUE"""),"")</f>
        <v/>
      </c>
    </row>
    <row r="2476" ht="48.0" customHeight="1">
      <c r="A2476" s="3"/>
      <c r="B2476" s="4"/>
      <c r="C2476" s="4"/>
      <c r="D2476" s="4"/>
      <c r="E2476" s="4"/>
      <c r="F2476" s="4"/>
      <c r="G2476" s="5"/>
      <c r="H2476" s="6"/>
      <c r="I2476" s="7"/>
      <c r="J2476" s="6"/>
      <c r="K2476" s="6"/>
      <c r="L2476" s="3"/>
      <c r="M2476" s="3" t="str">
        <f>IFERROR(__xludf.DUMMYFUNCTION("""COMPUTED_VALUE"""),"")</f>
        <v/>
      </c>
    </row>
    <row r="2477" ht="48.0" customHeight="1">
      <c r="A2477" s="3"/>
      <c r="B2477" s="4"/>
      <c r="C2477" s="4"/>
      <c r="D2477" s="4"/>
      <c r="E2477" s="4"/>
      <c r="F2477" s="4"/>
      <c r="G2477" s="5"/>
      <c r="H2477" s="6"/>
      <c r="I2477" s="7"/>
      <c r="J2477" s="6"/>
      <c r="K2477" s="6"/>
      <c r="L2477" s="3"/>
      <c r="M2477" s="3" t="str">
        <f>IFERROR(__xludf.DUMMYFUNCTION("""COMPUTED_VALUE"""),"")</f>
        <v/>
      </c>
    </row>
    <row r="2478" ht="48.0" customHeight="1">
      <c r="A2478" s="3"/>
      <c r="B2478" s="4"/>
      <c r="C2478" s="4"/>
      <c r="D2478" s="4"/>
      <c r="E2478" s="4"/>
      <c r="F2478" s="4"/>
      <c r="G2478" s="5"/>
      <c r="H2478" s="6"/>
      <c r="I2478" s="7"/>
      <c r="J2478" s="6"/>
      <c r="K2478" s="6"/>
      <c r="L2478" s="3"/>
      <c r="M2478" s="3" t="str">
        <f>IFERROR(__xludf.DUMMYFUNCTION("""COMPUTED_VALUE"""),"")</f>
        <v/>
      </c>
    </row>
    <row r="2479" ht="48.0" customHeight="1">
      <c r="A2479" s="3"/>
      <c r="B2479" s="4"/>
      <c r="C2479" s="4"/>
      <c r="D2479" s="4"/>
      <c r="E2479" s="4"/>
      <c r="F2479" s="4"/>
      <c r="G2479" s="5"/>
      <c r="H2479" s="6"/>
      <c r="I2479" s="7"/>
      <c r="J2479" s="6"/>
      <c r="K2479" s="6"/>
      <c r="L2479" s="3"/>
      <c r="M2479" s="3" t="str">
        <f>IFERROR(__xludf.DUMMYFUNCTION("""COMPUTED_VALUE"""),"")</f>
        <v/>
      </c>
    </row>
    <row r="2480" ht="48.0" customHeight="1">
      <c r="A2480" s="3"/>
      <c r="B2480" s="4"/>
      <c r="C2480" s="4"/>
      <c r="D2480" s="4"/>
      <c r="E2480" s="4"/>
      <c r="F2480" s="4"/>
      <c r="G2480" s="5"/>
      <c r="H2480" s="6"/>
      <c r="I2480" s="7"/>
      <c r="J2480" s="6"/>
      <c r="K2480" s="6"/>
      <c r="L2480" s="3"/>
      <c r="M2480" s="3" t="str">
        <f>IFERROR(__xludf.DUMMYFUNCTION("""COMPUTED_VALUE"""),"")</f>
        <v/>
      </c>
    </row>
    <row r="2481" ht="48.0" customHeight="1">
      <c r="A2481" s="3"/>
      <c r="B2481" s="4"/>
      <c r="C2481" s="4"/>
      <c r="D2481" s="4"/>
      <c r="E2481" s="4"/>
      <c r="F2481" s="4"/>
      <c r="G2481" s="5"/>
      <c r="H2481" s="6"/>
      <c r="I2481" s="7"/>
      <c r="J2481" s="6"/>
      <c r="K2481" s="6"/>
      <c r="L2481" s="3"/>
      <c r="M2481" s="3" t="str">
        <f>IFERROR(__xludf.DUMMYFUNCTION("""COMPUTED_VALUE"""),"")</f>
        <v/>
      </c>
    </row>
    <row r="2482" ht="48.0" customHeight="1">
      <c r="A2482" s="3"/>
      <c r="B2482" s="4"/>
      <c r="C2482" s="4"/>
      <c r="D2482" s="4"/>
      <c r="E2482" s="4"/>
      <c r="F2482" s="4"/>
      <c r="G2482" s="5"/>
      <c r="H2482" s="6"/>
      <c r="I2482" s="7"/>
      <c r="J2482" s="6"/>
      <c r="K2482" s="6"/>
      <c r="L2482" s="3"/>
      <c r="M2482" s="3" t="str">
        <f>IFERROR(__xludf.DUMMYFUNCTION("""COMPUTED_VALUE"""),"")</f>
        <v/>
      </c>
    </row>
    <row r="2483" ht="48.0" customHeight="1">
      <c r="A2483" s="3"/>
      <c r="B2483" s="4"/>
      <c r="C2483" s="4"/>
      <c r="D2483" s="4"/>
      <c r="E2483" s="4"/>
      <c r="F2483" s="4"/>
      <c r="G2483" s="5"/>
      <c r="H2483" s="6"/>
      <c r="I2483" s="7"/>
      <c r="J2483" s="6"/>
      <c r="K2483" s="6"/>
      <c r="L2483" s="3"/>
      <c r="M2483" s="3" t="str">
        <f>IFERROR(__xludf.DUMMYFUNCTION("""COMPUTED_VALUE"""),"")</f>
        <v/>
      </c>
    </row>
    <row r="2484" ht="48.0" customHeight="1">
      <c r="A2484" s="3"/>
      <c r="B2484" s="4"/>
      <c r="C2484" s="4"/>
      <c r="D2484" s="4"/>
      <c r="E2484" s="4"/>
      <c r="F2484" s="4"/>
      <c r="G2484" s="5"/>
      <c r="H2484" s="6"/>
      <c r="I2484" s="7"/>
      <c r="J2484" s="6"/>
      <c r="K2484" s="6"/>
      <c r="L2484" s="3"/>
      <c r="M2484" s="3" t="str">
        <f>IFERROR(__xludf.DUMMYFUNCTION("""COMPUTED_VALUE"""),"")</f>
        <v/>
      </c>
    </row>
    <row r="2485" ht="48.0" customHeight="1">
      <c r="A2485" s="3"/>
      <c r="B2485" s="4"/>
      <c r="C2485" s="4"/>
      <c r="D2485" s="4"/>
      <c r="E2485" s="4"/>
      <c r="F2485" s="4"/>
      <c r="G2485" s="5"/>
      <c r="H2485" s="6"/>
      <c r="I2485" s="7"/>
      <c r="J2485" s="6"/>
      <c r="K2485" s="6"/>
      <c r="L2485" s="3"/>
      <c r="M2485" s="3" t="str">
        <f>IFERROR(__xludf.DUMMYFUNCTION("""COMPUTED_VALUE"""),"")</f>
        <v/>
      </c>
    </row>
    <row r="2486" ht="48.0" customHeight="1">
      <c r="A2486" s="3"/>
      <c r="B2486" s="4"/>
      <c r="C2486" s="4"/>
      <c r="D2486" s="4"/>
      <c r="E2486" s="4"/>
      <c r="F2486" s="4"/>
      <c r="G2486" s="5"/>
      <c r="H2486" s="6"/>
      <c r="I2486" s="7"/>
      <c r="J2486" s="6"/>
      <c r="K2486" s="6"/>
      <c r="L2486" s="3"/>
      <c r="M2486" s="3" t="str">
        <f>IFERROR(__xludf.DUMMYFUNCTION("""COMPUTED_VALUE"""),"")</f>
        <v/>
      </c>
    </row>
    <row r="2487" ht="48.0" customHeight="1">
      <c r="A2487" s="3"/>
      <c r="B2487" s="4"/>
      <c r="C2487" s="4"/>
      <c r="D2487" s="4"/>
      <c r="E2487" s="4"/>
      <c r="F2487" s="4"/>
      <c r="G2487" s="5"/>
      <c r="H2487" s="6"/>
      <c r="I2487" s="7"/>
      <c r="J2487" s="6"/>
      <c r="K2487" s="6"/>
      <c r="L2487" s="3"/>
      <c r="M2487" s="3" t="str">
        <f>IFERROR(__xludf.DUMMYFUNCTION("""COMPUTED_VALUE"""),"")</f>
        <v/>
      </c>
    </row>
    <row r="2488" ht="48.0" customHeight="1">
      <c r="A2488" s="3"/>
      <c r="B2488" s="4"/>
      <c r="C2488" s="4"/>
      <c r="D2488" s="4"/>
      <c r="E2488" s="4"/>
      <c r="F2488" s="4"/>
      <c r="G2488" s="5"/>
      <c r="H2488" s="6"/>
      <c r="I2488" s="7"/>
      <c r="J2488" s="6"/>
      <c r="K2488" s="6"/>
      <c r="L2488" s="3"/>
      <c r="M2488" s="3" t="str">
        <f>IFERROR(__xludf.DUMMYFUNCTION("""COMPUTED_VALUE"""),"")</f>
        <v/>
      </c>
    </row>
    <row r="2489" ht="48.0" customHeight="1">
      <c r="A2489" s="3"/>
      <c r="B2489" s="4"/>
      <c r="C2489" s="4"/>
      <c r="D2489" s="4"/>
      <c r="E2489" s="4"/>
      <c r="F2489" s="4"/>
      <c r="G2489" s="5"/>
      <c r="H2489" s="6"/>
      <c r="I2489" s="7"/>
      <c r="J2489" s="6"/>
      <c r="K2489" s="6"/>
      <c r="L2489" s="3"/>
      <c r="M2489" s="3" t="str">
        <f>IFERROR(__xludf.DUMMYFUNCTION("""COMPUTED_VALUE"""),"")</f>
        <v/>
      </c>
    </row>
    <row r="2490" ht="48.0" customHeight="1">
      <c r="A2490" s="3"/>
      <c r="B2490" s="4"/>
      <c r="C2490" s="4"/>
      <c r="D2490" s="4"/>
      <c r="E2490" s="4"/>
      <c r="F2490" s="4"/>
      <c r="G2490" s="5"/>
      <c r="H2490" s="6"/>
      <c r="I2490" s="7"/>
      <c r="J2490" s="6"/>
      <c r="K2490" s="6"/>
      <c r="L2490" s="3"/>
      <c r="M2490" s="3" t="str">
        <f>IFERROR(__xludf.DUMMYFUNCTION("""COMPUTED_VALUE"""),"")</f>
        <v/>
      </c>
    </row>
    <row r="2491" ht="48.0" customHeight="1">
      <c r="A2491" s="3"/>
      <c r="B2491" s="4"/>
      <c r="C2491" s="4"/>
      <c r="D2491" s="4"/>
      <c r="E2491" s="4"/>
      <c r="F2491" s="4"/>
      <c r="G2491" s="5"/>
      <c r="H2491" s="6"/>
      <c r="I2491" s="7"/>
      <c r="J2491" s="6"/>
      <c r="K2491" s="6"/>
      <c r="L2491" s="3"/>
      <c r="M2491" s="3" t="str">
        <f>IFERROR(__xludf.DUMMYFUNCTION("""COMPUTED_VALUE"""),"")</f>
        <v/>
      </c>
    </row>
    <row r="2492" ht="48.0" customHeight="1">
      <c r="A2492" s="3"/>
      <c r="B2492" s="4"/>
      <c r="C2492" s="4"/>
      <c r="D2492" s="4"/>
      <c r="E2492" s="4"/>
      <c r="F2492" s="4"/>
      <c r="G2492" s="5"/>
      <c r="H2492" s="6"/>
      <c r="I2492" s="7"/>
      <c r="J2492" s="6"/>
      <c r="K2492" s="6"/>
      <c r="L2492" s="3"/>
      <c r="M2492" s="3" t="str">
        <f>IFERROR(__xludf.DUMMYFUNCTION("""COMPUTED_VALUE"""),"")</f>
        <v/>
      </c>
    </row>
    <row r="2493" ht="48.0" customHeight="1">
      <c r="A2493" s="3"/>
      <c r="B2493" s="4"/>
      <c r="C2493" s="4"/>
      <c r="D2493" s="4"/>
      <c r="E2493" s="4"/>
      <c r="F2493" s="4"/>
      <c r="G2493" s="5"/>
      <c r="H2493" s="6"/>
      <c r="I2493" s="7"/>
      <c r="J2493" s="6"/>
      <c r="K2493" s="6"/>
      <c r="L2493" s="3"/>
      <c r="M2493" s="3" t="str">
        <f>IFERROR(__xludf.DUMMYFUNCTION("""COMPUTED_VALUE"""),"")</f>
        <v/>
      </c>
    </row>
    <row r="2494" ht="48.0" customHeight="1">
      <c r="A2494" s="3"/>
      <c r="B2494" s="4"/>
      <c r="C2494" s="4"/>
      <c r="D2494" s="4"/>
      <c r="E2494" s="4"/>
      <c r="F2494" s="4"/>
      <c r="G2494" s="5"/>
      <c r="H2494" s="6"/>
      <c r="I2494" s="7"/>
      <c r="J2494" s="6"/>
      <c r="K2494" s="6"/>
      <c r="L2494" s="3"/>
      <c r="M2494" s="3" t="str">
        <f>IFERROR(__xludf.DUMMYFUNCTION("""COMPUTED_VALUE"""),"")</f>
        <v/>
      </c>
    </row>
    <row r="2495" ht="48.0" customHeight="1">
      <c r="A2495" s="3"/>
      <c r="B2495" s="4"/>
      <c r="C2495" s="4"/>
      <c r="D2495" s="4"/>
      <c r="E2495" s="4"/>
      <c r="F2495" s="4"/>
      <c r="G2495" s="5"/>
      <c r="H2495" s="6"/>
      <c r="I2495" s="7"/>
      <c r="J2495" s="6"/>
      <c r="K2495" s="6"/>
      <c r="L2495" s="3"/>
      <c r="M2495" s="3" t="str">
        <f>IFERROR(__xludf.DUMMYFUNCTION("""COMPUTED_VALUE"""),"")</f>
        <v/>
      </c>
    </row>
    <row r="2496" ht="48.0" customHeight="1">
      <c r="A2496" s="3"/>
      <c r="B2496" s="4"/>
      <c r="C2496" s="4"/>
      <c r="D2496" s="4"/>
      <c r="E2496" s="4"/>
      <c r="F2496" s="4"/>
      <c r="G2496" s="5"/>
      <c r="H2496" s="6"/>
      <c r="I2496" s="7"/>
      <c r="J2496" s="6"/>
      <c r="K2496" s="6"/>
      <c r="L2496" s="3"/>
      <c r="M2496" s="3" t="str">
        <f>IFERROR(__xludf.DUMMYFUNCTION("""COMPUTED_VALUE"""),"")</f>
        <v/>
      </c>
    </row>
    <row r="2497" ht="48.0" customHeight="1">
      <c r="A2497" s="3"/>
      <c r="B2497" s="4"/>
      <c r="C2497" s="4"/>
      <c r="D2497" s="4"/>
      <c r="E2497" s="4"/>
      <c r="F2497" s="4"/>
      <c r="G2497" s="5"/>
      <c r="H2497" s="6"/>
      <c r="I2497" s="7"/>
      <c r="J2497" s="6"/>
      <c r="K2497" s="6"/>
      <c r="L2497" s="3"/>
      <c r="M2497" s="3" t="str">
        <f>IFERROR(__xludf.DUMMYFUNCTION("""COMPUTED_VALUE"""),"")</f>
        <v/>
      </c>
    </row>
    <row r="2498" ht="48.0" customHeight="1">
      <c r="A2498" s="3"/>
      <c r="B2498" s="4"/>
      <c r="C2498" s="4"/>
      <c r="D2498" s="4"/>
      <c r="E2498" s="4"/>
      <c r="F2498" s="4"/>
      <c r="G2498" s="5"/>
      <c r="H2498" s="6"/>
      <c r="I2498" s="7"/>
      <c r="J2498" s="6"/>
      <c r="K2498" s="6"/>
      <c r="L2498" s="3"/>
      <c r="M2498" s="3" t="str">
        <f>IFERROR(__xludf.DUMMYFUNCTION("""COMPUTED_VALUE"""),"")</f>
        <v/>
      </c>
    </row>
    <row r="2499" ht="48.0" customHeight="1">
      <c r="A2499" s="3"/>
      <c r="B2499" s="4"/>
      <c r="C2499" s="4"/>
      <c r="D2499" s="4"/>
      <c r="E2499" s="4"/>
      <c r="F2499" s="4"/>
      <c r="G2499" s="5"/>
      <c r="H2499" s="6"/>
      <c r="I2499" s="7"/>
      <c r="J2499" s="6"/>
      <c r="K2499" s="6"/>
      <c r="L2499" s="3"/>
      <c r="M2499" s="3" t="str">
        <f>IFERROR(__xludf.DUMMYFUNCTION("""COMPUTED_VALUE"""),"")</f>
        <v/>
      </c>
    </row>
    <row r="2500" ht="48.0" customHeight="1">
      <c r="A2500" s="3"/>
      <c r="B2500" s="4"/>
      <c r="C2500" s="4"/>
      <c r="D2500" s="4"/>
      <c r="E2500" s="4"/>
      <c r="F2500" s="4"/>
      <c r="G2500" s="5"/>
      <c r="H2500" s="6"/>
      <c r="I2500" s="7"/>
      <c r="J2500" s="6"/>
      <c r="K2500" s="6"/>
      <c r="L2500" s="3"/>
      <c r="M2500" s="3" t="str">
        <f>IFERROR(__xludf.DUMMYFUNCTION("""COMPUTED_VALUE"""),"")</f>
        <v/>
      </c>
    </row>
    <row r="2501" ht="48.0" customHeight="1">
      <c r="A2501" s="3"/>
      <c r="B2501" s="4"/>
      <c r="C2501" s="4"/>
      <c r="D2501" s="4"/>
      <c r="E2501" s="4"/>
      <c r="F2501" s="4"/>
      <c r="G2501" s="5"/>
      <c r="H2501" s="6"/>
      <c r="I2501" s="7"/>
      <c r="J2501" s="6"/>
      <c r="K2501" s="6"/>
      <c r="L2501" s="3"/>
      <c r="M2501" s="3" t="str">
        <f>IFERROR(__xludf.DUMMYFUNCTION("""COMPUTED_VALUE"""),"")</f>
        <v/>
      </c>
    </row>
    <row r="2502" ht="48.0" customHeight="1">
      <c r="A2502" s="3"/>
      <c r="B2502" s="4"/>
      <c r="C2502" s="4"/>
      <c r="D2502" s="4"/>
      <c r="E2502" s="4"/>
      <c r="F2502" s="4"/>
      <c r="G2502" s="5"/>
      <c r="H2502" s="6"/>
      <c r="I2502" s="7"/>
      <c r="J2502" s="6"/>
      <c r="K2502" s="6"/>
      <c r="L2502" s="3"/>
      <c r="M2502" s="3" t="str">
        <f>IFERROR(__xludf.DUMMYFUNCTION("""COMPUTED_VALUE"""),"")</f>
        <v/>
      </c>
    </row>
    <row r="2503" ht="48.0" customHeight="1">
      <c r="A2503" s="3"/>
      <c r="B2503" s="4"/>
      <c r="C2503" s="4"/>
      <c r="D2503" s="4"/>
      <c r="E2503" s="4"/>
      <c r="F2503" s="4"/>
      <c r="G2503" s="5"/>
      <c r="H2503" s="6"/>
      <c r="I2503" s="7"/>
      <c r="J2503" s="6"/>
      <c r="K2503" s="6"/>
      <c r="L2503" s="3"/>
      <c r="M2503" s="3" t="str">
        <f>IFERROR(__xludf.DUMMYFUNCTION("""COMPUTED_VALUE"""),"")</f>
        <v/>
      </c>
    </row>
    <row r="2504" ht="48.0" customHeight="1">
      <c r="A2504" s="3"/>
      <c r="B2504" s="4"/>
      <c r="C2504" s="4"/>
      <c r="D2504" s="4"/>
      <c r="E2504" s="4"/>
      <c r="F2504" s="4"/>
      <c r="G2504" s="5"/>
      <c r="H2504" s="6"/>
      <c r="I2504" s="7"/>
      <c r="J2504" s="6"/>
      <c r="K2504" s="6"/>
      <c r="L2504" s="3"/>
      <c r="M2504" s="3" t="str">
        <f>IFERROR(__xludf.DUMMYFUNCTION("""COMPUTED_VALUE"""),"")</f>
        <v/>
      </c>
    </row>
    <row r="2505" ht="48.0" customHeight="1">
      <c r="A2505" s="3"/>
      <c r="B2505" s="4"/>
      <c r="C2505" s="4"/>
      <c r="D2505" s="4"/>
      <c r="E2505" s="4"/>
      <c r="F2505" s="4"/>
      <c r="G2505" s="5"/>
      <c r="H2505" s="6"/>
      <c r="I2505" s="7"/>
      <c r="J2505" s="6"/>
      <c r="K2505" s="6"/>
      <c r="L2505" s="3"/>
      <c r="M2505" s="3" t="str">
        <f>IFERROR(__xludf.DUMMYFUNCTION("""COMPUTED_VALUE"""),"")</f>
        <v/>
      </c>
    </row>
    <row r="2506" ht="48.0" customHeight="1">
      <c r="A2506" s="3"/>
      <c r="B2506" s="4"/>
      <c r="C2506" s="4"/>
      <c r="D2506" s="4"/>
      <c r="E2506" s="4"/>
      <c r="F2506" s="4"/>
      <c r="G2506" s="5"/>
      <c r="H2506" s="6"/>
      <c r="I2506" s="7"/>
      <c r="J2506" s="6"/>
      <c r="K2506" s="6"/>
      <c r="L2506" s="3"/>
      <c r="M2506" s="3" t="str">
        <f>IFERROR(__xludf.DUMMYFUNCTION("""COMPUTED_VALUE"""),"")</f>
        <v/>
      </c>
    </row>
    <row r="2507" ht="48.0" customHeight="1">
      <c r="A2507" s="3"/>
      <c r="B2507" s="4"/>
      <c r="C2507" s="4"/>
      <c r="D2507" s="4"/>
      <c r="E2507" s="4"/>
      <c r="F2507" s="4"/>
      <c r="G2507" s="5"/>
      <c r="H2507" s="6"/>
      <c r="I2507" s="7"/>
      <c r="J2507" s="6"/>
      <c r="K2507" s="6"/>
      <c r="L2507" s="3"/>
      <c r="M2507" s="3" t="str">
        <f>IFERROR(__xludf.DUMMYFUNCTION("""COMPUTED_VALUE"""),"")</f>
        <v/>
      </c>
    </row>
    <row r="2508" ht="48.0" customHeight="1">
      <c r="A2508" s="3"/>
      <c r="B2508" s="4"/>
      <c r="C2508" s="4"/>
      <c r="D2508" s="4"/>
      <c r="E2508" s="4"/>
      <c r="F2508" s="4"/>
      <c r="G2508" s="5"/>
      <c r="H2508" s="6"/>
      <c r="I2508" s="7"/>
      <c r="J2508" s="6"/>
      <c r="K2508" s="6"/>
      <c r="L2508" s="3"/>
      <c r="M2508" s="3" t="str">
        <f>IFERROR(__xludf.DUMMYFUNCTION("""COMPUTED_VALUE"""),"")</f>
        <v/>
      </c>
    </row>
    <row r="2509" ht="48.0" customHeight="1">
      <c r="A2509" s="3"/>
      <c r="B2509" s="4"/>
      <c r="C2509" s="4"/>
      <c r="D2509" s="4"/>
      <c r="E2509" s="4"/>
      <c r="F2509" s="4"/>
      <c r="G2509" s="5"/>
      <c r="H2509" s="6"/>
      <c r="I2509" s="7"/>
      <c r="J2509" s="6"/>
      <c r="K2509" s="6"/>
      <c r="L2509" s="3"/>
      <c r="M2509" s="3" t="str">
        <f>IFERROR(__xludf.DUMMYFUNCTION("""COMPUTED_VALUE"""),"")</f>
        <v/>
      </c>
    </row>
    <row r="2510" ht="48.0" customHeight="1">
      <c r="A2510" s="3"/>
      <c r="B2510" s="4"/>
      <c r="C2510" s="4"/>
      <c r="D2510" s="4"/>
      <c r="E2510" s="4"/>
      <c r="F2510" s="4"/>
      <c r="G2510" s="5"/>
      <c r="H2510" s="6"/>
      <c r="I2510" s="7"/>
      <c r="J2510" s="6"/>
      <c r="K2510" s="6"/>
      <c r="L2510" s="3"/>
      <c r="M2510" s="3" t="str">
        <f>IFERROR(__xludf.DUMMYFUNCTION("""COMPUTED_VALUE"""),"")</f>
        <v/>
      </c>
    </row>
    <row r="2511" ht="48.0" customHeight="1">
      <c r="A2511" s="3"/>
      <c r="B2511" s="4"/>
      <c r="C2511" s="4"/>
      <c r="D2511" s="4"/>
      <c r="E2511" s="4"/>
      <c r="F2511" s="4"/>
      <c r="G2511" s="5"/>
      <c r="H2511" s="6"/>
      <c r="I2511" s="7"/>
      <c r="J2511" s="6"/>
      <c r="K2511" s="6"/>
      <c r="L2511" s="3"/>
      <c r="M2511" s="3" t="str">
        <f>IFERROR(__xludf.DUMMYFUNCTION("""COMPUTED_VALUE"""),"")</f>
        <v/>
      </c>
    </row>
    <row r="2512" ht="48.0" customHeight="1">
      <c r="A2512" s="3"/>
      <c r="B2512" s="4"/>
      <c r="C2512" s="4"/>
      <c r="D2512" s="4"/>
      <c r="E2512" s="4"/>
      <c r="F2512" s="4"/>
      <c r="G2512" s="5"/>
      <c r="H2512" s="6"/>
      <c r="I2512" s="7"/>
      <c r="J2512" s="6"/>
      <c r="K2512" s="6"/>
      <c r="L2512" s="3"/>
      <c r="M2512" s="3" t="str">
        <f>IFERROR(__xludf.DUMMYFUNCTION("""COMPUTED_VALUE"""),"")</f>
        <v/>
      </c>
    </row>
    <row r="2513" ht="48.0" customHeight="1">
      <c r="A2513" s="3"/>
      <c r="B2513" s="4"/>
      <c r="C2513" s="4"/>
      <c r="D2513" s="4"/>
      <c r="E2513" s="4"/>
      <c r="F2513" s="4"/>
      <c r="G2513" s="5"/>
      <c r="H2513" s="6"/>
      <c r="I2513" s="7"/>
      <c r="J2513" s="6"/>
      <c r="K2513" s="6"/>
      <c r="L2513" s="3"/>
      <c r="M2513" s="3" t="str">
        <f>IFERROR(__xludf.DUMMYFUNCTION("""COMPUTED_VALUE"""),"")</f>
        <v/>
      </c>
    </row>
    <row r="2514" ht="48.0" customHeight="1">
      <c r="A2514" s="3"/>
      <c r="B2514" s="4"/>
      <c r="C2514" s="4"/>
      <c r="D2514" s="4"/>
      <c r="E2514" s="4"/>
      <c r="F2514" s="4"/>
      <c r="G2514" s="5"/>
      <c r="H2514" s="6"/>
      <c r="I2514" s="7"/>
      <c r="J2514" s="6"/>
      <c r="K2514" s="6"/>
      <c r="L2514" s="3"/>
      <c r="M2514" s="3" t="str">
        <f>IFERROR(__xludf.DUMMYFUNCTION("""COMPUTED_VALUE"""),"")</f>
        <v/>
      </c>
    </row>
    <row r="2515" ht="48.0" customHeight="1">
      <c r="A2515" s="3"/>
      <c r="B2515" s="4"/>
      <c r="C2515" s="4"/>
      <c r="D2515" s="4"/>
      <c r="E2515" s="4"/>
      <c r="F2515" s="4"/>
      <c r="G2515" s="5"/>
      <c r="H2515" s="6"/>
      <c r="I2515" s="7"/>
      <c r="J2515" s="6"/>
      <c r="K2515" s="6"/>
      <c r="L2515" s="3"/>
      <c r="M2515" s="3" t="str">
        <f>IFERROR(__xludf.DUMMYFUNCTION("""COMPUTED_VALUE"""),"")</f>
        <v/>
      </c>
    </row>
    <row r="2516" ht="48.0" customHeight="1">
      <c r="A2516" s="3"/>
      <c r="B2516" s="4"/>
      <c r="C2516" s="4"/>
      <c r="D2516" s="4"/>
      <c r="E2516" s="4"/>
      <c r="F2516" s="4"/>
      <c r="G2516" s="5"/>
      <c r="H2516" s="6"/>
      <c r="I2516" s="7"/>
      <c r="J2516" s="6"/>
      <c r="K2516" s="6"/>
      <c r="L2516" s="3"/>
      <c r="M2516" s="3" t="str">
        <f>IFERROR(__xludf.DUMMYFUNCTION("""COMPUTED_VALUE"""),"")</f>
        <v/>
      </c>
    </row>
    <row r="2517" ht="48.0" customHeight="1">
      <c r="A2517" s="3"/>
      <c r="B2517" s="4"/>
      <c r="C2517" s="4"/>
      <c r="D2517" s="4"/>
      <c r="E2517" s="4"/>
      <c r="F2517" s="4"/>
      <c r="G2517" s="5"/>
      <c r="H2517" s="6"/>
      <c r="I2517" s="7"/>
      <c r="J2517" s="6"/>
      <c r="K2517" s="6"/>
      <c r="L2517" s="3"/>
      <c r="M2517" s="3" t="str">
        <f>IFERROR(__xludf.DUMMYFUNCTION("""COMPUTED_VALUE"""),"")</f>
        <v/>
      </c>
    </row>
    <row r="2518" ht="48.0" customHeight="1">
      <c r="A2518" s="3"/>
      <c r="B2518" s="4"/>
      <c r="C2518" s="4"/>
      <c r="D2518" s="4"/>
      <c r="E2518" s="4"/>
      <c r="F2518" s="4"/>
      <c r="G2518" s="5"/>
      <c r="H2518" s="6"/>
      <c r="I2518" s="7"/>
      <c r="J2518" s="6"/>
      <c r="K2518" s="6"/>
      <c r="L2518" s="3"/>
      <c r="M2518" s="3" t="str">
        <f>IFERROR(__xludf.DUMMYFUNCTION("""COMPUTED_VALUE"""),"")</f>
        <v/>
      </c>
    </row>
    <row r="2519" ht="48.0" customHeight="1">
      <c r="A2519" s="3"/>
      <c r="B2519" s="4"/>
      <c r="C2519" s="4"/>
      <c r="D2519" s="4"/>
      <c r="E2519" s="4"/>
      <c r="F2519" s="4"/>
      <c r="G2519" s="5"/>
      <c r="H2519" s="6"/>
      <c r="I2519" s="7"/>
      <c r="J2519" s="6"/>
      <c r="K2519" s="6"/>
      <c r="L2519" s="3"/>
      <c r="M2519" s="3" t="str">
        <f>IFERROR(__xludf.DUMMYFUNCTION("""COMPUTED_VALUE"""),"")</f>
        <v/>
      </c>
    </row>
    <row r="2520" ht="48.0" customHeight="1">
      <c r="A2520" s="3"/>
      <c r="B2520" s="4"/>
      <c r="C2520" s="4"/>
      <c r="D2520" s="4"/>
      <c r="E2520" s="4"/>
      <c r="F2520" s="4"/>
      <c r="G2520" s="5"/>
      <c r="H2520" s="6"/>
      <c r="I2520" s="7"/>
      <c r="J2520" s="6"/>
      <c r="K2520" s="6"/>
      <c r="L2520" s="3"/>
      <c r="M2520" s="3" t="str">
        <f>IFERROR(__xludf.DUMMYFUNCTION("""COMPUTED_VALUE"""),"")</f>
        <v/>
      </c>
    </row>
    <row r="2521" ht="48.0" customHeight="1">
      <c r="A2521" s="3"/>
      <c r="B2521" s="4"/>
      <c r="C2521" s="4"/>
      <c r="D2521" s="4"/>
      <c r="E2521" s="4"/>
      <c r="F2521" s="4"/>
      <c r="G2521" s="5"/>
      <c r="H2521" s="6"/>
      <c r="I2521" s="7"/>
      <c r="J2521" s="6"/>
      <c r="K2521" s="6"/>
      <c r="L2521" s="3"/>
      <c r="M2521" s="3" t="str">
        <f>IFERROR(__xludf.DUMMYFUNCTION("""COMPUTED_VALUE"""),"")</f>
        <v/>
      </c>
    </row>
    <row r="2522" ht="48.0" customHeight="1">
      <c r="A2522" s="3"/>
      <c r="B2522" s="4"/>
      <c r="C2522" s="4"/>
      <c r="D2522" s="4"/>
      <c r="E2522" s="4"/>
      <c r="F2522" s="4"/>
      <c r="G2522" s="5"/>
      <c r="H2522" s="6"/>
      <c r="I2522" s="7"/>
      <c r="J2522" s="6"/>
      <c r="K2522" s="6"/>
      <c r="L2522" s="3"/>
      <c r="M2522" s="3" t="str">
        <f>IFERROR(__xludf.DUMMYFUNCTION("""COMPUTED_VALUE"""),"")</f>
        <v/>
      </c>
    </row>
    <row r="2523" ht="48.0" customHeight="1">
      <c r="A2523" s="3"/>
      <c r="B2523" s="4"/>
      <c r="C2523" s="4"/>
      <c r="D2523" s="4"/>
      <c r="E2523" s="4"/>
      <c r="F2523" s="4"/>
      <c r="G2523" s="5"/>
      <c r="H2523" s="6"/>
      <c r="I2523" s="7"/>
      <c r="J2523" s="6"/>
      <c r="K2523" s="6"/>
      <c r="L2523" s="3"/>
      <c r="M2523" s="3" t="str">
        <f>IFERROR(__xludf.DUMMYFUNCTION("""COMPUTED_VALUE"""),"")</f>
        <v/>
      </c>
    </row>
    <row r="2524" ht="48.0" customHeight="1">
      <c r="A2524" s="3"/>
      <c r="B2524" s="4"/>
      <c r="C2524" s="4"/>
      <c r="D2524" s="4"/>
      <c r="E2524" s="4"/>
      <c r="F2524" s="4"/>
      <c r="G2524" s="5"/>
      <c r="H2524" s="6"/>
      <c r="I2524" s="7"/>
      <c r="J2524" s="6"/>
      <c r="K2524" s="6"/>
      <c r="L2524" s="3"/>
      <c r="M2524" s="3" t="str">
        <f>IFERROR(__xludf.DUMMYFUNCTION("""COMPUTED_VALUE"""),"")</f>
        <v/>
      </c>
    </row>
    <row r="2525" ht="48.0" customHeight="1">
      <c r="A2525" s="3"/>
      <c r="B2525" s="4"/>
      <c r="C2525" s="4"/>
      <c r="D2525" s="4"/>
      <c r="E2525" s="4"/>
      <c r="F2525" s="4"/>
      <c r="G2525" s="5"/>
      <c r="H2525" s="6"/>
      <c r="I2525" s="7"/>
      <c r="J2525" s="6"/>
      <c r="K2525" s="6"/>
      <c r="L2525" s="3"/>
      <c r="M2525" s="3" t="str">
        <f>IFERROR(__xludf.DUMMYFUNCTION("""COMPUTED_VALUE"""),"")</f>
        <v/>
      </c>
    </row>
    <row r="2526" ht="48.0" customHeight="1">
      <c r="A2526" s="3"/>
      <c r="B2526" s="4"/>
      <c r="C2526" s="4"/>
      <c r="D2526" s="4"/>
      <c r="E2526" s="4"/>
      <c r="F2526" s="4"/>
      <c r="G2526" s="5"/>
      <c r="H2526" s="6"/>
      <c r="I2526" s="7"/>
      <c r="J2526" s="6"/>
      <c r="K2526" s="6"/>
      <c r="L2526" s="3"/>
      <c r="M2526" s="3" t="str">
        <f>IFERROR(__xludf.DUMMYFUNCTION("""COMPUTED_VALUE"""),"")</f>
        <v/>
      </c>
    </row>
    <row r="2527" ht="48.0" customHeight="1">
      <c r="A2527" s="3"/>
      <c r="B2527" s="4"/>
      <c r="C2527" s="4"/>
      <c r="D2527" s="4"/>
      <c r="E2527" s="4"/>
      <c r="F2527" s="4"/>
      <c r="G2527" s="5"/>
      <c r="H2527" s="6"/>
      <c r="I2527" s="7"/>
      <c r="J2527" s="6"/>
      <c r="K2527" s="6"/>
      <c r="L2527" s="3"/>
      <c r="M2527" s="3" t="str">
        <f>IFERROR(__xludf.DUMMYFUNCTION("""COMPUTED_VALUE"""),"")</f>
        <v/>
      </c>
    </row>
    <row r="2528" ht="48.0" customHeight="1">
      <c r="A2528" s="3"/>
      <c r="B2528" s="4"/>
      <c r="C2528" s="4"/>
      <c r="D2528" s="4"/>
      <c r="E2528" s="4"/>
      <c r="F2528" s="4"/>
      <c r="G2528" s="5"/>
      <c r="H2528" s="6"/>
      <c r="I2528" s="7"/>
      <c r="J2528" s="6"/>
      <c r="K2528" s="6"/>
      <c r="L2528" s="3"/>
      <c r="M2528" s="3" t="str">
        <f>IFERROR(__xludf.DUMMYFUNCTION("""COMPUTED_VALUE"""),"")</f>
        <v/>
      </c>
    </row>
    <row r="2529" ht="48.0" customHeight="1">
      <c r="A2529" s="3"/>
      <c r="B2529" s="4"/>
      <c r="C2529" s="4"/>
      <c r="D2529" s="4"/>
      <c r="E2529" s="4"/>
      <c r="F2529" s="4"/>
      <c r="G2529" s="5"/>
      <c r="H2529" s="6"/>
      <c r="I2529" s="7"/>
      <c r="J2529" s="6"/>
      <c r="K2529" s="6"/>
      <c r="L2529" s="3"/>
      <c r="M2529" s="3" t="str">
        <f>IFERROR(__xludf.DUMMYFUNCTION("""COMPUTED_VALUE"""),"")</f>
        <v/>
      </c>
    </row>
    <row r="2530" ht="48.0" customHeight="1">
      <c r="A2530" s="3"/>
      <c r="B2530" s="4"/>
      <c r="C2530" s="4"/>
      <c r="D2530" s="4"/>
      <c r="E2530" s="4"/>
      <c r="F2530" s="4"/>
      <c r="G2530" s="5"/>
      <c r="H2530" s="6"/>
      <c r="I2530" s="7"/>
      <c r="J2530" s="6"/>
      <c r="K2530" s="6"/>
      <c r="L2530" s="3"/>
      <c r="M2530" s="3" t="str">
        <f>IFERROR(__xludf.DUMMYFUNCTION("""COMPUTED_VALUE"""),"")</f>
        <v/>
      </c>
    </row>
    <row r="2531" ht="48.0" customHeight="1">
      <c r="A2531" s="3"/>
      <c r="B2531" s="4"/>
      <c r="C2531" s="4"/>
      <c r="D2531" s="4"/>
      <c r="E2531" s="4"/>
      <c r="F2531" s="4"/>
      <c r="G2531" s="5"/>
      <c r="H2531" s="6"/>
      <c r="I2531" s="7"/>
      <c r="J2531" s="6"/>
      <c r="K2531" s="6"/>
      <c r="L2531" s="3"/>
      <c r="M2531" s="3" t="str">
        <f>IFERROR(__xludf.DUMMYFUNCTION("""COMPUTED_VALUE"""),"")</f>
        <v/>
      </c>
    </row>
    <row r="2532" ht="48.0" customHeight="1">
      <c r="A2532" s="3"/>
      <c r="B2532" s="4"/>
      <c r="C2532" s="4"/>
      <c r="D2532" s="4"/>
      <c r="E2532" s="4"/>
      <c r="F2532" s="4"/>
      <c r="G2532" s="5"/>
      <c r="H2532" s="6"/>
      <c r="I2532" s="7"/>
      <c r="J2532" s="6"/>
      <c r="K2532" s="6"/>
      <c r="L2532" s="3"/>
      <c r="M2532" s="3" t="str">
        <f>IFERROR(__xludf.DUMMYFUNCTION("""COMPUTED_VALUE"""),"")</f>
        <v/>
      </c>
    </row>
    <row r="2533" ht="48.0" customHeight="1">
      <c r="A2533" s="3"/>
      <c r="B2533" s="4"/>
      <c r="C2533" s="4"/>
      <c r="D2533" s="4"/>
      <c r="E2533" s="4"/>
      <c r="F2533" s="4"/>
      <c r="G2533" s="5"/>
      <c r="H2533" s="6"/>
      <c r="I2533" s="7"/>
      <c r="J2533" s="6"/>
      <c r="K2533" s="6"/>
      <c r="L2533" s="3"/>
      <c r="M2533" s="3" t="str">
        <f>IFERROR(__xludf.DUMMYFUNCTION("""COMPUTED_VALUE"""),"")</f>
        <v/>
      </c>
    </row>
    <row r="2534" ht="48.0" customHeight="1">
      <c r="A2534" s="3"/>
      <c r="B2534" s="4"/>
      <c r="C2534" s="4"/>
      <c r="D2534" s="4"/>
      <c r="E2534" s="4"/>
      <c r="F2534" s="4"/>
      <c r="G2534" s="5"/>
      <c r="H2534" s="6"/>
      <c r="I2534" s="7"/>
      <c r="J2534" s="6"/>
      <c r="K2534" s="6"/>
      <c r="L2534" s="3"/>
      <c r="M2534" s="3" t="str">
        <f>IFERROR(__xludf.DUMMYFUNCTION("""COMPUTED_VALUE"""),"")</f>
        <v/>
      </c>
    </row>
    <row r="2535" ht="48.0" customHeight="1">
      <c r="A2535" s="3"/>
      <c r="B2535" s="4"/>
      <c r="C2535" s="4"/>
      <c r="D2535" s="4"/>
      <c r="E2535" s="4"/>
      <c r="F2535" s="4"/>
      <c r="G2535" s="5"/>
      <c r="H2535" s="6"/>
      <c r="I2535" s="7"/>
      <c r="J2535" s="6"/>
      <c r="K2535" s="6"/>
      <c r="L2535" s="3"/>
      <c r="M2535" s="3" t="str">
        <f>IFERROR(__xludf.DUMMYFUNCTION("""COMPUTED_VALUE"""),"")</f>
        <v/>
      </c>
    </row>
    <row r="2536" ht="48.0" customHeight="1">
      <c r="A2536" s="3"/>
      <c r="B2536" s="4"/>
      <c r="C2536" s="4"/>
      <c r="D2536" s="4"/>
      <c r="E2536" s="4"/>
      <c r="F2536" s="4"/>
      <c r="G2536" s="5"/>
      <c r="H2536" s="6"/>
      <c r="I2536" s="7"/>
      <c r="J2536" s="6"/>
      <c r="K2536" s="6"/>
      <c r="L2536" s="3"/>
      <c r="M2536" s="3" t="str">
        <f>IFERROR(__xludf.DUMMYFUNCTION("""COMPUTED_VALUE"""),"")</f>
        <v/>
      </c>
    </row>
    <row r="2537" ht="48.0" customHeight="1">
      <c r="A2537" s="3"/>
      <c r="B2537" s="4"/>
      <c r="C2537" s="4"/>
      <c r="D2537" s="4"/>
      <c r="E2537" s="4"/>
      <c r="F2537" s="4"/>
      <c r="G2537" s="5"/>
      <c r="H2537" s="6"/>
      <c r="I2537" s="7"/>
      <c r="J2537" s="6"/>
      <c r="K2537" s="6"/>
      <c r="L2537" s="3"/>
      <c r="M2537" s="3" t="str">
        <f>IFERROR(__xludf.DUMMYFUNCTION("""COMPUTED_VALUE"""),"")</f>
        <v/>
      </c>
    </row>
    <row r="2538" ht="48.0" customHeight="1">
      <c r="A2538" s="3"/>
      <c r="B2538" s="4"/>
      <c r="C2538" s="4"/>
      <c r="D2538" s="4"/>
      <c r="E2538" s="4"/>
      <c r="F2538" s="4"/>
      <c r="G2538" s="5"/>
      <c r="H2538" s="6"/>
      <c r="I2538" s="7"/>
      <c r="J2538" s="6"/>
      <c r="K2538" s="6"/>
      <c r="L2538" s="3"/>
      <c r="M2538" s="3" t="str">
        <f>IFERROR(__xludf.DUMMYFUNCTION("""COMPUTED_VALUE"""),"")</f>
        <v/>
      </c>
    </row>
    <row r="2539" ht="48.0" customHeight="1">
      <c r="A2539" s="3"/>
      <c r="B2539" s="4"/>
      <c r="C2539" s="4"/>
      <c r="D2539" s="4"/>
      <c r="E2539" s="4"/>
      <c r="F2539" s="4"/>
      <c r="G2539" s="5"/>
      <c r="H2539" s="6"/>
      <c r="I2539" s="7"/>
      <c r="J2539" s="6"/>
      <c r="K2539" s="6"/>
      <c r="L2539" s="3"/>
      <c r="M2539" s="3" t="str">
        <f>IFERROR(__xludf.DUMMYFUNCTION("""COMPUTED_VALUE"""),"")</f>
        <v/>
      </c>
    </row>
    <row r="2540" ht="48.0" customHeight="1">
      <c r="A2540" s="3"/>
      <c r="B2540" s="4"/>
      <c r="C2540" s="4"/>
      <c r="D2540" s="4"/>
      <c r="E2540" s="4"/>
      <c r="F2540" s="4"/>
      <c r="G2540" s="5"/>
      <c r="H2540" s="6"/>
      <c r="I2540" s="7"/>
      <c r="J2540" s="6"/>
      <c r="K2540" s="6"/>
      <c r="L2540" s="3"/>
      <c r="M2540" s="3" t="str">
        <f>IFERROR(__xludf.DUMMYFUNCTION("""COMPUTED_VALUE"""),"")</f>
        <v/>
      </c>
    </row>
    <row r="2541" ht="48.0" customHeight="1">
      <c r="A2541" s="3"/>
      <c r="B2541" s="4"/>
      <c r="C2541" s="4"/>
      <c r="D2541" s="4"/>
      <c r="E2541" s="4"/>
      <c r="F2541" s="4"/>
      <c r="G2541" s="5"/>
      <c r="H2541" s="6"/>
      <c r="I2541" s="7"/>
      <c r="J2541" s="6"/>
      <c r="K2541" s="6"/>
      <c r="L2541" s="3"/>
      <c r="M2541" s="3" t="str">
        <f>IFERROR(__xludf.DUMMYFUNCTION("""COMPUTED_VALUE"""),"")</f>
        <v/>
      </c>
    </row>
    <row r="2542" ht="48.0" customHeight="1">
      <c r="A2542" s="3"/>
      <c r="B2542" s="4"/>
      <c r="C2542" s="4"/>
      <c r="D2542" s="4"/>
      <c r="E2542" s="4"/>
      <c r="F2542" s="4"/>
      <c r="G2542" s="5"/>
      <c r="H2542" s="6"/>
      <c r="I2542" s="7"/>
      <c r="J2542" s="6"/>
      <c r="K2542" s="6"/>
      <c r="L2542" s="3"/>
      <c r="M2542" s="3" t="str">
        <f>IFERROR(__xludf.DUMMYFUNCTION("""COMPUTED_VALUE"""),"")</f>
        <v/>
      </c>
    </row>
    <row r="2543" ht="48.0" customHeight="1">
      <c r="A2543" s="3"/>
      <c r="B2543" s="4"/>
      <c r="C2543" s="4"/>
      <c r="D2543" s="4"/>
      <c r="E2543" s="4"/>
      <c r="F2543" s="4"/>
      <c r="G2543" s="5"/>
      <c r="H2543" s="6"/>
      <c r="I2543" s="7"/>
      <c r="J2543" s="6"/>
      <c r="K2543" s="6"/>
      <c r="L2543" s="3"/>
      <c r="M2543" s="3" t="str">
        <f>IFERROR(__xludf.DUMMYFUNCTION("""COMPUTED_VALUE"""),"")</f>
        <v/>
      </c>
    </row>
    <row r="2544" ht="48.0" customHeight="1">
      <c r="A2544" s="3"/>
      <c r="B2544" s="4"/>
      <c r="C2544" s="4"/>
      <c r="D2544" s="4"/>
      <c r="E2544" s="4"/>
      <c r="F2544" s="4"/>
      <c r="G2544" s="5"/>
      <c r="H2544" s="6"/>
      <c r="I2544" s="7"/>
      <c r="J2544" s="6"/>
      <c r="K2544" s="6"/>
      <c r="L2544" s="3"/>
      <c r="M2544" s="3" t="str">
        <f>IFERROR(__xludf.DUMMYFUNCTION("""COMPUTED_VALUE"""),"")</f>
        <v/>
      </c>
    </row>
    <row r="2545" ht="48.0" customHeight="1">
      <c r="A2545" s="3"/>
      <c r="B2545" s="4"/>
      <c r="C2545" s="4"/>
      <c r="D2545" s="4"/>
      <c r="E2545" s="4"/>
      <c r="F2545" s="4"/>
      <c r="G2545" s="5"/>
      <c r="H2545" s="6"/>
      <c r="I2545" s="7"/>
      <c r="J2545" s="6"/>
      <c r="K2545" s="6"/>
      <c r="L2545" s="3"/>
      <c r="M2545" s="3" t="str">
        <f>IFERROR(__xludf.DUMMYFUNCTION("""COMPUTED_VALUE"""),"")</f>
        <v/>
      </c>
    </row>
    <row r="2546" ht="48.0" customHeight="1">
      <c r="A2546" s="3"/>
      <c r="B2546" s="4"/>
      <c r="C2546" s="4"/>
      <c r="D2546" s="4"/>
      <c r="E2546" s="4"/>
      <c r="F2546" s="4"/>
      <c r="G2546" s="5"/>
      <c r="H2546" s="6"/>
      <c r="I2546" s="7"/>
      <c r="J2546" s="6"/>
      <c r="K2546" s="6"/>
      <c r="L2546" s="3"/>
      <c r="M2546" s="3" t="str">
        <f>IFERROR(__xludf.DUMMYFUNCTION("""COMPUTED_VALUE"""),"")</f>
        <v/>
      </c>
    </row>
    <row r="2547" ht="48.0" customHeight="1">
      <c r="A2547" s="3"/>
      <c r="B2547" s="4"/>
      <c r="C2547" s="4"/>
      <c r="D2547" s="4"/>
      <c r="E2547" s="4"/>
      <c r="F2547" s="4"/>
      <c r="G2547" s="5"/>
      <c r="H2547" s="6"/>
      <c r="I2547" s="7"/>
      <c r="J2547" s="6"/>
      <c r="K2547" s="6"/>
      <c r="L2547" s="3"/>
      <c r="M2547" s="3" t="str">
        <f>IFERROR(__xludf.DUMMYFUNCTION("""COMPUTED_VALUE"""),"")</f>
        <v/>
      </c>
    </row>
    <row r="2548" ht="48.0" customHeight="1">
      <c r="A2548" s="3"/>
      <c r="B2548" s="4"/>
      <c r="C2548" s="4"/>
      <c r="D2548" s="4"/>
      <c r="E2548" s="4"/>
      <c r="F2548" s="4"/>
      <c r="G2548" s="5"/>
      <c r="H2548" s="6"/>
      <c r="I2548" s="7"/>
      <c r="J2548" s="6"/>
      <c r="K2548" s="6"/>
      <c r="L2548" s="3"/>
      <c r="M2548" s="3" t="str">
        <f>IFERROR(__xludf.DUMMYFUNCTION("""COMPUTED_VALUE"""),"")</f>
        <v/>
      </c>
    </row>
    <row r="2549" ht="48.0" customHeight="1">
      <c r="A2549" s="3"/>
      <c r="B2549" s="4"/>
      <c r="C2549" s="4"/>
      <c r="D2549" s="4"/>
      <c r="E2549" s="4"/>
      <c r="F2549" s="4"/>
      <c r="G2549" s="5"/>
      <c r="H2549" s="6"/>
      <c r="I2549" s="7"/>
      <c r="J2549" s="6"/>
      <c r="K2549" s="6"/>
      <c r="L2549" s="3"/>
      <c r="M2549" s="3" t="str">
        <f>IFERROR(__xludf.DUMMYFUNCTION("""COMPUTED_VALUE"""),"")</f>
        <v/>
      </c>
    </row>
    <row r="2550" ht="48.0" customHeight="1">
      <c r="A2550" s="3"/>
      <c r="B2550" s="4"/>
      <c r="C2550" s="4"/>
      <c r="D2550" s="4"/>
      <c r="E2550" s="4"/>
      <c r="F2550" s="4"/>
      <c r="G2550" s="5"/>
      <c r="H2550" s="6"/>
      <c r="I2550" s="7"/>
      <c r="J2550" s="6"/>
      <c r="K2550" s="6"/>
      <c r="L2550" s="3"/>
      <c r="M2550" s="3" t="str">
        <f>IFERROR(__xludf.DUMMYFUNCTION("""COMPUTED_VALUE"""),"")</f>
        <v/>
      </c>
    </row>
    <row r="2551" ht="48.0" customHeight="1">
      <c r="A2551" s="3"/>
      <c r="B2551" s="4"/>
      <c r="C2551" s="4"/>
      <c r="D2551" s="4"/>
      <c r="E2551" s="4"/>
      <c r="F2551" s="4"/>
      <c r="G2551" s="5"/>
      <c r="H2551" s="6"/>
      <c r="I2551" s="7"/>
      <c r="J2551" s="6"/>
      <c r="K2551" s="6"/>
      <c r="L2551" s="3"/>
      <c r="M2551" s="3" t="str">
        <f>IFERROR(__xludf.DUMMYFUNCTION("""COMPUTED_VALUE"""),"")</f>
        <v/>
      </c>
    </row>
    <row r="2552" ht="48.0" customHeight="1">
      <c r="A2552" s="3"/>
      <c r="B2552" s="4"/>
      <c r="C2552" s="4"/>
      <c r="D2552" s="4"/>
      <c r="E2552" s="4"/>
      <c r="F2552" s="4"/>
      <c r="G2552" s="5"/>
      <c r="H2552" s="6"/>
      <c r="I2552" s="7"/>
      <c r="J2552" s="6"/>
      <c r="K2552" s="6"/>
      <c r="L2552" s="3"/>
      <c r="M2552" s="3" t="str">
        <f>IFERROR(__xludf.DUMMYFUNCTION("""COMPUTED_VALUE"""),"")</f>
        <v/>
      </c>
    </row>
    <row r="2553" ht="48.0" customHeight="1">
      <c r="A2553" s="3"/>
      <c r="B2553" s="4"/>
      <c r="C2553" s="4"/>
      <c r="D2553" s="4"/>
      <c r="E2553" s="4"/>
      <c r="F2553" s="4"/>
      <c r="G2553" s="5"/>
      <c r="H2553" s="6"/>
      <c r="I2553" s="7"/>
      <c r="J2553" s="6"/>
      <c r="K2553" s="6"/>
      <c r="L2553" s="3"/>
      <c r="M2553" s="3" t="str">
        <f>IFERROR(__xludf.DUMMYFUNCTION("""COMPUTED_VALUE"""),"")</f>
        <v/>
      </c>
    </row>
    <row r="2554" ht="48.0" customHeight="1">
      <c r="A2554" s="3"/>
      <c r="B2554" s="4"/>
      <c r="C2554" s="4"/>
      <c r="D2554" s="4"/>
      <c r="E2554" s="4"/>
      <c r="F2554" s="4"/>
      <c r="G2554" s="5"/>
      <c r="H2554" s="6"/>
      <c r="I2554" s="7"/>
      <c r="J2554" s="6"/>
      <c r="K2554" s="6"/>
      <c r="L2554" s="3"/>
      <c r="M2554" s="3" t="str">
        <f>IFERROR(__xludf.DUMMYFUNCTION("""COMPUTED_VALUE"""),"")</f>
        <v/>
      </c>
    </row>
    <row r="2555" ht="48.0" customHeight="1">
      <c r="A2555" s="3"/>
      <c r="B2555" s="4"/>
      <c r="C2555" s="4"/>
      <c r="D2555" s="4"/>
      <c r="E2555" s="4"/>
      <c r="F2555" s="4"/>
      <c r="G2555" s="5"/>
      <c r="H2555" s="6"/>
      <c r="I2555" s="7"/>
      <c r="J2555" s="6"/>
      <c r="K2555" s="6"/>
      <c r="L2555" s="3"/>
      <c r="M2555" s="3" t="str">
        <f>IFERROR(__xludf.DUMMYFUNCTION("""COMPUTED_VALUE"""),"")</f>
        <v/>
      </c>
    </row>
    <row r="2556" ht="48.0" customHeight="1">
      <c r="A2556" s="3"/>
      <c r="B2556" s="4"/>
      <c r="C2556" s="4"/>
      <c r="D2556" s="4"/>
      <c r="E2556" s="4"/>
      <c r="F2556" s="4"/>
      <c r="G2556" s="5"/>
      <c r="H2556" s="6"/>
      <c r="I2556" s="7"/>
      <c r="J2556" s="6"/>
      <c r="K2556" s="6"/>
      <c r="L2556" s="3"/>
      <c r="M2556" s="3" t="str">
        <f>IFERROR(__xludf.DUMMYFUNCTION("""COMPUTED_VALUE"""),"")</f>
        <v/>
      </c>
    </row>
    <row r="2557" ht="48.0" customHeight="1">
      <c r="A2557" s="3"/>
      <c r="B2557" s="4"/>
      <c r="C2557" s="4"/>
      <c r="D2557" s="4"/>
      <c r="E2557" s="4"/>
      <c r="F2557" s="4"/>
      <c r="G2557" s="5"/>
      <c r="H2557" s="6"/>
      <c r="I2557" s="7"/>
      <c r="J2557" s="6"/>
      <c r="K2557" s="6"/>
      <c r="L2557" s="3"/>
      <c r="M2557" s="3" t="str">
        <f>IFERROR(__xludf.DUMMYFUNCTION("""COMPUTED_VALUE"""),"")</f>
        <v/>
      </c>
    </row>
    <row r="2558" ht="48.0" customHeight="1">
      <c r="A2558" s="3"/>
      <c r="B2558" s="4"/>
      <c r="C2558" s="4"/>
      <c r="D2558" s="4"/>
      <c r="E2558" s="4"/>
      <c r="F2558" s="4"/>
      <c r="G2558" s="5"/>
      <c r="H2558" s="6"/>
      <c r="I2558" s="7"/>
      <c r="J2558" s="6"/>
      <c r="K2558" s="6"/>
      <c r="L2558" s="3"/>
      <c r="M2558" s="3" t="str">
        <f>IFERROR(__xludf.DUMMYFUNCTION("""COMPUTED_VALUE"""),"")</f>
        <v/>
      </c>
    </row>
    <row r="2559" ht="48.0" customHeight="1">
      <c r="A2559" s="3"/>
      <c r="B2559" s="4"/>
      <c r="C2559" s="4"/>
      <c r="D2559" s="4"/>
      <c r="E2559" s="4"/>
      <c r="F2559" s="4"/>
      <c r="G2559" s="5"/>
      <c r="H2559" s="6"/>
      <c r="I2559" s="7"/>
      <c r="J2559" s="6"/>
      <c r="K2559" s="6"/>
      <c r="L2559" s="3"/>
      <c r="M2559" s="3" t="str">
        <f>IFERROR(__xludf.DUMMYFUNCTION("""COMPUTED_VALUE"""),"")</f>
        <v/>
      </c>
    </row>
    <row r="2560" ht="48.0" customHeight="1">
      <c r="A2560" s="3"/>
      <c r="B2560" s="4"/>
      <c r="C2560" s="4"/>
      <c r="D2560" s="4"/>
      <c r="E2560" s="4"/>
      <c r="F2560" s="4"/>
      <c r="G2560" s="5"/>
      <c r="H2560" s="6"/>
      <c r="I2560" s="7"/>
      <c r="J2560" s="6"/>
      <c r="K2560" s="6"/>
      <c r="L2560" s="3"/>
      <c r="M2560" s="3" t="str">
        <f>IFERROR(__xludf.DUMMYFUNCTION("""COMPUTED_VALUE"""),"")</f>
        <v/>
      </c>
    </row>
    <row r="2561" ht="48.0" customHeight="1">
      <c r="A2561" s="3"/>
      <c r="B2561" s="4"/>
      <c r="C2561" s="4"/>
      <c r="D2561" s="4"/>
      <c r="E2561" s="4"/>
      <c r="F2561" s="4"/>
      <c r="G2561" s="5"/>
      <c r="H2561" s="6"/>
      <c r="I2561" s="7"/>
      <c r="J2561" s="6"/>
      <c r="K2561" s="6"/>
      <c r="L2561" s="3"/>
      <c r="M2561" s="3" t="str">
        <f>IFERROR(__xludf.DUMMYFUNCTION("""COMPUTED_VALUE"""),"")</f>
        <v/>
      </c>
    </row>
    <row r="2562" ht="48.0" customHeight="1">
      <c r="A2562" s="3"/>
      <c r="B2562" s="4"/>
      <c r="C2562" s="4"/>
      <c r="D2562" s="4"/>
      <c r="E2562" s="4"/>
      <c r="F2562" s="4"/>
      <c r="G2562" s="5"/>
      <c r="H2562" s="6"/>
      <c r="I2562" s="7"/>
      <c r="J2562" s="6"/>
      <c r="K2562" s="6"/>
      <c r="L2562" s="3"/>
      <c r="M2562" s="3" t="str">
        <f>IFERROR(__xludf.DUMMYFUNCTION("""COMPUTED_VALUE"""),"")</f>
        <v/>
      </c>
    </row>
    <row r="2563" ht="48.0" customHeight="1">
      <c r="A2563" s="3"/>
      <c r="B2563" s="4"/>
      <c r="C2563" s="4"/>
      <c r="D2563" s="4"/>
      <c r="E2563" s="4"/>
      <c r="F2563" s="4"/>
      <c r="G2563" s="5"/>
      <c r="H2563" s="6"/>
      <c r="I2563" s="7"/>
      <c r="J2563" s="6"/>
      <c r="K2563" s="6"/>
      <c r="L2563" s="3"/>
      <c r="M2563" s="3" t="str">
        <f>IFERROR(__xludf.DUMMYFUNCTION("""COMPUTED_VALUE"""),"")</f>
        <v/>
      </c>
    </row>
    <row r="2564" ht="48.0" customHeight="1">
      <c r="A2564" s="3"/>
      <c r="B2564" s="4"/>
      <c r="C2564" s="4"/>
      <c r="D2564" s="4"/>
      <c r="E2564" s="4"/>
      <c r="F2564" s="4"/>
      <c r="G2564" s="5"/>
      <c r="H2564" s="6"/>
      <c r="I2564" s="7"/>
      <c r="J2564" s="6"/>
      <c r="K2564" s="6"/>
      <c r="L2564" s="3"/>
      <c r="M2564" s="3" t="str">
        <f>IFERROR(__xludf.DUMMYFUNCTION("""COMPUTED_VALUE"""),"")</f>
        <v/>
      </c>
    </row>
    <row r="2565" ht="48.0" customHeight="1">
      <c r="A2565" s="3"/>
      <c r="B2565" s="4"/>
      <c r="C2565" s="4"/>
      <c r="D2565" s="4"/>
      <c r="E2565" s="4"/>
      <c r="F2565" s="4"/>
      <c r="G2565" s="5"/>
      <c r="H2565" s="6"/>
      <c r="I2565" s="7"/>
      <c r="J2565" s="6"/>
      <c r="K2565" s="6"/>
      <c r="L2565" s="3"/>
      <c r="M2565" s="3" t="str">
        <f>IFERROR(__xludf.DUMMYFUNCTION("""COMPUTED_VALUE"""),"")</f>
        <v/>
      </c>
    </row>
    <row r="2566" ht="48.0" customHeight="1">
      <c r="A2566" s="3"/>
      <c r="B2566" s="4"/>
      <c r="C2566" s="4"/>
      <c r="D2566" s="4"/>
      <c r="E2566" s="4"/>
      <c r="F2566" s="4"/>
      <c r="G2566" s="5"/>
      <c r="H2566" s="6"/>
      <c r="I2566" s="7"/>
      <c r="J2566" s="6"/>
      <c r="K2566" s="6"/>
      <c r="L2566" s="3"/>
      <c r="M2566" s="3" t="str">
        <f>IFERROR(__xludf.DUMMYFUNCTION("""COMPUTED_VALUE"""),"")</f>
        <v/>
      </c>
    </row>
    <row r="2567" ht="48.0" customHeight="1">
      <c r="A2567" s="3"/>
      <c r="B2567" s="4"/>
      <c r="C2567" s="4"/>
      <c r="D2567" s="4"/>
      <c r="E2567" s="4"/>
      <c r="F2567" s="4"/>
      <c r="G2567" s="5"/>
      <c r="H2567" s="6"/>
      <c r="I2567" s="7"/>
      <c r="J2567" s="6"/>
      <c r="K2567" s="6"/>
      <c r="L2567" s="3"/>
      <c r="M2567" s="3" t="str">
        <f>IFERROR(__xludf.DUMMYFUNCTION("""COMPUTED_VALUE"""),"")</f>
        <v/>
      </c>
    </row>
    <row r="2568" ht="48.0" customHeight="1">
      <c r="A2568" s="3"/>
      <c r="B2568" s="4"/>
      <c r="C2568" s="4"/>
      <c r="D2568" s="4"/>
      <c r="E2568" s="4"/>
      <c r="F2568" s="4"/>
      <c r="G2568" s="5"/>
      <c r="H2568" s="6"/>
      <c r="I2568" s="7"/>
      <c r="J2568" s="6"/>
      <c r="K2568" s="6"/>
      <c r="L2568" s="3"/>
      <c r="M2568" s="3" t="str">
        <f>IFERROR(__xludf.DUMMYFUNCTION("""COMPUTED_VALUE"""),"")</f>
        <v/>
      </c>
    </row>
    <row r="2569" ht="48.0" customHeight="1">
      <c r="A2569" s="3"/>
      <c r="B2569" s="4"/>
      <c r="C2569" s="4"/>
      <c r="D2569" s="4"/>
      <c r="E2569" s="4"/>
      <c r="F2569" s="4"/>
      <c r="G2569" s="5"/>
      <c r="H2569" s="6"/>
      <c r="I2569" s="7"/>
      <c r="J2569" s="6"/>
      <c r="K2569" s="6"/>
      <c r="L2569" s="3"/>
      <c r="M2569" s="3" t="str">
        <f>IFERROR(__xludf.DUMMYFUNCTION("""COMPUTED_VALUE"""),"")</f>
        <v/>
      </c>
    </row>
    <row r="2570" ht="48.0" customHeight="1">
      <c r="A2570" s="3"/>
      <c r="B2570" s="4"/>
      <c r="C2570" s="4"/>
      <c r="D2570" s="4"/>
      <c r="E2570" s="4"/>
      <c r="F2570" s="4"/>
      <c r="G2570" s="5"/>
      <c r="H2570" s="6"/>
      <c r="I2570" s="7"/>
      <c r="J2570" s="6"/>
      <c r="K2570" s="6"/>
      <c r="L2570" s="3"/>
      <c r="M2570" s="3" t="str">
        <f>IFERROR(__xludf.DUMMYFUNCTION("""COMPUTED_VALUE"""),"")</f>
        <v/>
      </c>
    </row>
    <row r="2571" ht="48.0" customHeight="1">
      <c r="A2571" s="3"/>
      <c r="B2571" s="4"/>
      <c r="C2571" s="4"/>
      <c r="D2571" s="4"/>
      <c r="E2571" s="4"/>
      <c r="F2571" s="4"/>
      <c r="G2571" s="5"/>
      <c r="H2571" s="6"/>
      <c r="I2571" s="7"/>
      <c r="J2571" s="6"/>
      <c r="K2571" s="6"/>
      <c r="L2571" s="3"/>
      <c r="M2571" s="3" t="str">
        <f>IFERROR(__xludf.DUMMYFUNCTION("""COMPUTED_VALUE"""),"")</f>
        <v/>
      </c>
    </row>
    <row r="2572" ht="48.0" customHeight="1">
      <c r="A2572" s="3"/>
      <c r="B2572" s="4"/>
      <c r="C2572" s="4"/>
      <c r="D2572" s="4"/>
      <c r="E2572" s="4"/>
      <c r="F2572" s="4"/>
      <c r="G2572" s="5"/>
      <c r="H2572" s="6"/>
      <c r="I2572" s="7"/>
      <c r="J2572" s="6"/>
      <c r="K2572" s="6"/>
      <c r="L2572" s="3"/>
      <c r="M2572" s="3" t="str">
        <f>IFERROR(__xludf.DUMMYFUNCTION("""COMPUTED_VALUE"""),"")</f>
        <v/>
      </c>
    </row>
    <row r="2573" ht="48.0" customHeight="1">
      <c r="A2573" s="3"/>
      <c r="B2573" s="4"/>
      <c r="C2573" s="4"/>
      <c r="D2573" s="4"/>
      <c r="E2573" s="4"/>
      <c r="F2573" s="4"/>
      <c r="G2573" s="5"/>
      <c r="H2573" s="6"/>
      <c r="I2573" s="7"/>
      <c r="J2573" s="6"/>
      <c r="K2573" s="6"/>
      <c r="L2573" s="3"/>
      <c r="M2573" s="3" t="str">
        <f>IFERROR(__xludf.DUMMYFUNCTION("""COMPUTED_VALUE"""),"")</f>
        <v/>
      </c>
    </row>
    <row r="2574" ht="48.0" customHeight="1">
      <c r="A2574" s="3"/>
      <c r="B2574" s="4"/>
      <c r="C2574" s="4"/>
      <c r="D2574" s="4"/>
      <c r="E2574" s="4"/>
      <c r="F2574" s="4"/>
      <c r="G2574" s="5"/>
      <c r="H2574" s="6"/>
      <c r="I2574" s="7"/>
      <c r="J2574" s="6"/>
      <c r="K2574" s="6"/>
      <c r="L2574" s="3"/>
      <c r="M2574" s="3" t="str">
        <f>IFERROR(__xludf.DUMMYFUNCTION("""COMPUTED_VALUE"""),"")</f>
        <v/>
      </c>
    </row>
    <row r="2575" ht="48.0" customHeight="1">
      <c r="A2575" s="3"/>
      <c r="B2575" s="4"/>
      <c r="C2575" s="4"/>
      <c r="D2575" s="4"/>
      <c r="E2575" s="4"/>
      <c r="F2575" s="4"/>
      <c r="G2575" s="5"/>
      <c r="H2575" s="6"/>
      <c r="I2575" s="7"/>
      <c r="J2575" s="6"/>
      <c r="K2575" s="6"/>
      <c r="L2575" s="3"/>
      <c r="M2575" s="3" t="str">
        <f>IFERROR(__xludf.DUMMYFUNCTION("""COMPUTED_VALUE"""),"")</f>
        <v/>
      </c>
    </row>
    <row r="2576" ht="48.0" customHeight="1">
      <c r="A2576" s="3"/>
      <c r="B2576" s="4"/>
      <c r="C2576" s="4"/>
      <c r="D2576" s="4"/>
      <c r="E2576" s="4"/>
      <c r="F2576" s="4"/>
      <c r="G2576" s="5"/>
      <c r="H2576" s="6"/>
      <c r="I2576" s="7"/>
      <c r="J2576" s="6"/>
      <c r="K2576" s="6"/>
      <c r="L2576" s="3"/>
      <c r="M2576" s="3" t="str">
        <f>IFERROR(__xludf.DUMMYFUNCTION("""COMPUTED_VALUE"""),"")</f>
        <v/>
      </c>
    </row>
    <row r="2577" ht="48.0" customHeight="1">
      <c r="A2577" s="3"/>
      <c r="B2577" s="4"/>
      <c r="C2577" s="4"/>
      <c r="D2577" s="4"/>
      <c r="E2577" s="4"/>
      <c r="F2577" s="4"/>
      <c r="G2577" s="5"/>
      <c r="H2577" s="6"/>
      <c r="I2577" s="7"/>
      <c r="J2577" s="6"/>
      <c r="K2577" s="6"/>
      <c r="L2577" s="3"/>
      <c r="M2577" s="3" t="str">
        <f>IFERROR(__xludf.DUMMYFUNCTION("""COMPUTED_VALUE"""),"")</f>
        <v/>
      </c>
    </row>
    <row r="2578" ht="48.0" customHeight="1">
      <c r="A2578" s="3"/>
      <c r="B2578" s="4"/>
      <c r="C2578" s="4"/>
      <c r="D2578" s="4"/>
      <c r="E2578" s="4"/>
      <c r="F2578" s="4"/>
      <c r="G2578" s="5"/>
      <c r="H2578" s="6"/>
      <c r="I2578" s="7"/>
      <c r="J2578" s="6"/>
      <c r="K2578" s="6"/>
      <c r="L2578" s="3"/>
      <c r="M2578" s="3" t="str">
        <f>IFERROR(__xludf.DUMMYFUNCTION("""COMPUTED_VALUE"""),"")</f>
        <v/>
      </c>
    </row>
    <row r="2579" ht="48.0" customHeight="1">
      <c r="A2579" s="3"/>
      <c r="B2579" s="4"/>
      <c r="C2579" s="4"/>
      <c r="D2579" s="4"/>
      <c r="E2579" s="4"/>
      <c r="F2579" s="4"/>
      <c r="G2579" s="5"/>
      <c r="H2579" s="6"/>
      <c r="I2579" s="7"/>
      <c r="J2579" s="6"/>
      <c r="K2579" s="6"/>
      <c r="L2579" s="3"/>
      <c r="M2579" s="3" t="str">
        <f>IFERROR(__xludf.DUMMYFUNCTION("""COMPUTED_VALUE"""),"")</f>
        <v/>
      </c>
    </row>
    <row r="2580" ht="48.0" customHeight="1">
      <c r="A2580" s="3"/>
      <c r="B2580" s="4"/>
      <c r="C2580" s="4"/>
      <c r="D2580" s="4"/>
      <c r="E2580" s="4"/>
      <c r="F2580" s="4"/>
      <c r="G2580" s="5"/>
      <c r="H2580" s="6"/>
      <c r="I2580" s="7"/>
      <c r="J2580" s="6"/>
      <c r="K2580" s="6"/>
      <c r="L2580" s="3"/>
      <c r="M2580" s="3" t="str">
        <f>IFERROR(__xludf.DUMMYFUNCTION("""COMPUTED_VALUE"""),"")</f>
        <v/>
      </c>
    </row>
    <row r="2581" ht="48.0" customHeight="1">
      <c r="A2581" s="3"/>
      <c r="B2581" s="4"/>
      <c r="C2581" s="4"/>
      <c r="D2581" s="4"/>
      <c r="E2581" s="4"/>
      <c r="F2581" s="4"/>
      <c r="G2581" s="5"/>
      <c r="H2581" s="6"/>
      <c r="I2581" s="7"/>
      <c r="J2581" s="6"/>
      <c r="K2581" s="6"/>
      <c r="L2581" s="3"/>
      <c r="M2581" s="3" t="str">
        <f>IFERROR(__xludf.DUMMYFUNCTION("""COMPUTED_VALUE"""),"")</f>
        <v/>
      </c>
    </row>
    <row r="2582" ht="48.0" customHeight="1">
      <c r="A2582" s="3"/>
      <c r="B2582" s="4"/>
      <c r="C2582" s="4"/>
      <c r="D2582" s="4"/>
      <c r="E2582" s="4"/>
      <c r="F2582" s="4"/>
      <c r="G2582" s="5"/>
      <c r="H2582" s="6"/>
      <c r="I2582" s="7"/>
      <c r="J2582" s="6"/>
      <c r="K2582" s="6"/>
      <c r="L2582" s="3"/>
      <c r="M2582" s="3" t="str">
        <f>IFERROR(__xludf.DUMMYFUNCTION("""COMPUTED_VALUE"""),"")</f>
        <v/>
      </c>
    </row>
    <row r="2583" ht="48.0" customHeight="1">
      <c r="A2583" s="3"/>
      <c r="B2583" s="4"/>
      <c r="C2583" s="4"/>
      <c r="D2583" s="4"/>
      <c r="E2583" s="4"/>
      <c r="F2583" s="4"/>
      <c r="G2583" s="5"/>
      <c r="H2583" s="6"/>
      <c r="I2583" s="7"/>
      <c r="J2583" s="6"/>
      <c r="K2583" s="6"/>
      <c r="L2583" s="3"/>
      <c r="M2583" s="3" t="str">
        <f>IFERROR(__xludf.DUMMYFUNCTION("""COMPUTED_VALUE"""),"")</f>
        <v/>
      </c>
    </row>
    <row r="2584" ht="48.0" customHeight="1">
      <c r="A2584" s="3"/>
      <c r="B2584" s="4"/>
      <c r="C2584" s="4"/>
      <c r="D2584" s="4"/>
      <c r="E2584" s="4"/>
      <c r="F2584" s="4"/>
      <c r="G2584" s="5"/>
      <c r="H2584" s="6"/>
      <c r="I2584" s="7"/>
      <c r="J2584" s="6"/>
      <c r="K2584" s="6"/>
      <c r="L2584" s="3"/>
      <c r="M2584" s="3" t="str">
        <f>IFERROR(__xludf.DUMMYFUNCTION("""COMPUTED_VALUE"""),"")</f>
        <v/>
      </c>
    </row>
    <row r="2585" ht="48.0" customHeight="1">
      <c r="A2585" s="3"/>
      <c r="B2585" s="4"/>
      <c r="C2585" s="4"/>
      <c r="D2585" s="4"/>
      <c r="E2585" s="4"/>
      <c r="F2585" s="4"/>
      <c r="G2585" s="5"/>
      <c r="H2585" s="6"/>
      <c r="I2585" s="7"/>
      <c r="J2585" s="6"/>
      <c r="K2585" s="6"/>
      <c r="L2585" s="3"/>
      <c r="M2585" s="3" t="str">
        <f>IFERROR(__xludf.DUMMYFUNCTION("""COMPUTED_VALUE"""),"")</f>
        <v/>
      </c>
    </row>
    <row r="2586" ht="48.0" customHeight="1">
      <c r="A2586" s="3"/>
      <c r="B2586" s="4"/>
      <c r="C2586" s="4"/>
      <c r="D2586" s="4"/>
      <c r="E2586" s="4"/>
      <c r="F2586" s="4"/>
      <c r="G2586" s="5"/>
      <c r="H2586" s="6"/>
      <c r="I2586" s="7"/>
      <c r="J2586" s="6"/>
      <c r="K2586" s="6"/>
      <c r="L2586" s="3"/>
      <c r="M2586" s="3" t="str">
        <f>IFERROR(__xludf.DUMMYFUNCTION("""COMPUTED_VALUE"""),"")</f>
        <v/>
      </c>
    </row>
    <row r="2587" ht="48.0" customHeight="1">
      <c r="A2587" s="3"/>
      <c r="B2587" s="4"/>
      <c r="C2587" s="4"/>
      <c r="D2587" s="4"/>
      <c r="E2587" s="4"/>
      <c r="F2587" s="4"/>
      <c r="G2587" s="5"/>
      <c r="H2587" s="6"/>
      <c r="I2587" s="7"/>
      <c r="J2587" s="6"/>
      <c r="K2587" s="6"/>
      <c r="L2587" s="3"/>
      <c r="M2587" s="3" t="str">
        <f>IFERROR(__xludf.DUMMYFUNCTION("""COMPUTED_VALUE"""),"")</f>
        <v/>
      </c>
    </row>
    <row r="2588" ht="48.0" customHeight="1">
      <c r="A2588" s="3"/>
      <c r="B2588" s="4"/>
      <c r="C2588" s="4"/>
      <c r="D2588" s="4"/>
      <c r="E2588" s="4"/>
      <c r="F2588" s="4"/>
      <c r="G2588" s="5"/>
      <c r="H2588" s="6"/>
      <c r="I2588" s="7"/>
      <c r="J2588" s="6"/>
      <c r="K2588" s="6"/>
      <c r="L2588" s="3"/>
      <c r="M2588" s="3" t="str">
        <f>IFERROR(__xludf.DUMMYFUNCTION("""COMPUTED_VALUE"""),"")</f>
        <v/>
      </c>
    </row>
    <row r="2589" ht="48.0" customHeight="1">
      <c r="A2589" s="3"/>
      <c r="B2589" s="4"/>
      <c r="C2589" s="4"/>
      <c r="D2589" s="4"/>
      <c r="E2589" s="4"/>
      <c r="F2589" s="4"/>
      <c r="G2589" s="5"/>
      <c r="H2589" s="6"/>
      <c r="I2589" s="7"/>
      <c r="J2589" s="6"/>
      <c r="K2589" s="6"/>
      <c r="L2589" s="3"/>
      <c r="M2589" s="3" t="str">
        <f>IFERROR(__xludf.DUMMYFUNCTION("""COMPUTED_VALUE"""),"")</f>
        <v/>
      </c>
    </row>
    <row r="2590" ht="48.0" customHeight="1">
      <c r="A2590" s="3"/>
      <c r="B2590" s="4"/>
      <c r="C2590" s="4"/>
      <c r="D2590" s="4"/>
      <c r="E2590" s="4"/>
      <c r="F2590" s="4"/>
      <c r="G2590" s="5"/>
      <c r="H2590" s="6"/>
      <c r="I2590" s="7"/>
      <c r="J2590" s="6"/>
      <c r="K2590" s="6"/>
      <c r="L2590" s="3"/>
      <c r="M2590" s="3" t="str">
        <f>IFERROR(__xludf.DUMMYFUNCTION("""COMPUTED_VALUE"""),"")</f>
        <v/>
      </c>
    </row>
    <row r="2591" ht="48.0" customHeight="1">
      <c r="A2591" s="3"/>
      <c r="B2591" s="4"/>
      <c r="C2591" s="4"/>
      <c r="D2591" s="4"/>
      <c r="E2591" s="4"/>
      <c r="F2591" s="4"/>
      <c r="G2591" s="5"/>
      <c r="H2591" s="6"/>
      <c r="I2591" s="7"/>
      <c r="J2591" s="6"/>
      <c r="K2591" s="6"/>
      <c r="L2591" s="3"/>
      <c r="M2591" s="3" t="str">
        <f>IFERROR(__xludf.DUMMYFUNCTION("""COMPUTED_VALUE"""),"")</f>
        <v/>
      </c>
    </row>
    <row r="2592" ht="48.0" customHeight="1">
      <c r="A2592" s="3"/>
      <c r="B2592" s="4"/>
      <c r="C2592" s="4"/>
      <c r="D2592" s="4"/>
      <c r="E2592" s="4"/>
      <c r="F2592" s="4"/>
      <c r="G2592" s="5"/>
      <c r="H2592" s="6"/>
      <c r="I2592" s="7"/>
      <c r="J2592" s="6"/>
      <c r="K2592" s="6"/>
      <c r="L2592" s="3"/>
      <c r="M2592" s="3" t="str">
        <f>IFERROR(__xludf.DUMMYFUNCTION("""COMPUTED_VALUE"""),"")</f>
        <v/>
      </c>
    </row>
    <row r="2593" ht="48.0" customHeight="1">
      <c r="A2593" s="3"/>
      <c r="B2593" s="4"/>
      <c r="C2593" s="4"/>
      <c r="D2593" s="4"/>
      <c r="E2593" s="4"/>
      <c r="F2593" s="4"/>
      <c r="G2593" s="5"/>
      <c r="H2593" s="6"/>
      <c r="I2593" s="7"/>
      <c r="J2593" s="6"/>
      <c r="K2593" s="6"/>
      <c r="L2593" s="3"/>
      <c r="M2593" s="3" t="str">
        <f>IFERROR(__xludf.DUMMYFUNCTION("""COMPUTED_VALUE"""),"")</f>
        <v/>
      </c>
    </row>
    <row r="2594" ht="48.0" customHeight="1">
      <c r="A2594" s="3"/>
      <c r="B2594" s="4"/>
      <c r="C2594" s="4"/>
      <c r="D2594" s="4"/>
      <c r="E2594" s="4"/>
      <c r="F2594" s="4"/>
      <c r="G2594" s="5"/>
      <c r="H2594" s="6"/>
      <c r="I2594" s="7"/>
      <c r="J2594" s="6"/>
      <c r="K2594" s="6"/>
      <c r="L2594" s="3"/>
      <c r="M2594" s="3" t="str">
        <f>IFERROR(__xludf.DUMMYFUNCTION("""COMPUTED_VALUE"""),"")</f>
        <v/>
      </c>
    </row>
    <row r="2595" ht="48.0" customHeight="1">
      <c r="A2595" s="3"/>
      <c r="B2595" s="4"/>
      <c r="C2595" s="4"/>
      <c r="D2595" s="4"/>
      <c r="E2595" s="4"/>
      <c r="F2595" s="4"/>
      <c r="G2595" s="5"/>
      <c r="H2595" s="6"/>
      <c r="I2595" s="7"/>
      <c r="J2595" s="6"/>
      <c r="K2595" s="6"/>
      <c r="L2595" s="3"/>
      <c r="M2595" s="3" t="str">
        <f>IFERROR(__xludf.DUMMYFUNCTION("""COMPUTED_VALUE"""),"")</f>
        <v/>
      </c>
    </row>
    <row r="2596" ht="48.0" customHeight="1">
      <c r="A2596" s="3"/>
      <c r="B2596" s="4"/>
      <c r="C2596" s="4"/>
      <c r="D2596" s="4"/>
      <c r="E2596" s="4"/>
      <c r="F2596" s="4"/>
      <c r="G2596" s="5"/>
      <c r="H2596" s="6"/>
      <c r="I2596" s="7"/>
      <c r="J2596" s="6"/>
      <c r="K2596" s="6"/>
      <c r="L2596" s="3"/>
      <c r="M2596" s="3" t="str">
        <f>IFERROR(__xludf.DUMMYFUNCTION("""COMPUTED_VALUE"""),"")</f>
        <v/>
      </c>
    </row>
    <row r="2597" ht="48.0" customHeight="1">
      <c r="A2597" s="3"/>
      <c r="B2597" s="4"/>
      <c r="C2597" s="4"/>
      <c r="D2597" s="4"/>
      <c r="E2597" s="4"/>
      <c r="F2597" s="4"/>
      <c r="G2597" s="5"/>
      <c r="H2597" s="6"/>
      <c r="I2597" s="7"/>
      <c r="J2597" s="6"/>
      <c r="K2597" s="6"/>
      <c r="L2597" s="3"/>
      <c r="M2597" s="3" t="str">
        <f>IFERROR(__xludf.DUMMYFUNCTION("""COMPUTED_VALUE"""),"")</f>
        <v/>
      </c>
    </row>
    <row r="2598" ht="48.0" customHeight="1">
      <c r="A2598" s="3"/>
      <c r="B2598" s="4"/>
      <c r="C2598" s="4"/>
      <c r="D2598" s="4"/>
      <c r="E2598" s="4"/>
      <c r="F2598" s="4"/>
      <c r="G2598" s="5"/>
      <c r="H2598" s="6"/>
      <c r="I2598" s="7"/>
      <c r="J2598" s="6"/>
      <c r="K2598" s="6"/>
      <c r="L2598" s="3"/>
      <c r="M2598" s="3" t="str">
        <f>IFERROR(__xludf.DUMMYFUNCTION("""COMPUTED_VALUE"""),"")</f>
        <v/>
      </c>
    </row>
    <row r="2599" ht="48.0" customHeight="1">
      <c r="A2599" s="3"/>
      <c r="B2599" s="4"/>
      <c r="C2599" s="4"/>
      <c r="D2599" s="4"/>
      <c r="E2599" s="4"/>
      <c r="F2599" s="4"/>
      <c r="G2599" s="5"/>
      <c r="H2599" s="6"/>
      <c r="I2599" s="7"/>
      <c r="J2599" s="6"/>
      <c r="K2599" s="6"/>
      <c r="L2599" s="3"/>
      <c r="M2599" s="3" t="str">
        <f>IFERROR(__xludf.DUMMYFUNCTION("""COMPUTED_VALUE"""),"")</f>
        <v/>
      </c>
    </row>
    <row r="2600" ht="48.0" customHeight="1">
      <c r="A2600" s="3"/>
      <c r="B2600" s="4"/>
      <c r="C2600" s="4"/>
      <c r="D2600" s="4"/>
      <c r="E2600" s="4"/>
      <c r="F2600" s="4"/>
      <c r="G2600" s="5"/>
      <c r="H2600" s="6"/>
      <c r="I2600" s="7"/>
      <c r="J2600" s="6"/>
      <c r="K2600" s="6"/>
      <c r="L2600" s="3"/>
      <c r="M2600" s="3" t="str">
        <f>IFERROR(__xludf.DUMMYFUNCTION("""COMPUTED_VALUE"""),"")</f>
        <v/>
      </c>
    </row>
    <row r="2601" ht="48.0" customHeight="1">
      <c r="A2601" s="3"/>
      <c r="B2601" s="4"/>
      <c r="C2601" s="4"/>
      <c r="D2601" s="4"/>
      <c r="E2601" s="4"/>
      <c r="F2601" s="4"/>
      <c r="G2601" s="5"/>
      <c r="H2601" s="6"/>
      <c r="I2601" s="7"/>
      <c r="J2601" s="6"/>
      <c r="K2601" s="6"/>
      <c r="L2601" s="3"/>
      <c r="M2601" s="3" t="str">
        <f>IFERROR(__xludf.DUMMYFUNCTION("""COMPUTED_VALUE"""),"")</f>
        <v/>
      </c>
    </row>
    <row r="2602" ht="48.0" customHeight="1">
      <c r="A2602" s="3"/>
      <c r="B2602" s="4"/>
      <c r="C2602" s="4"/>
      <c r="D2602" s="4"/>
      <c r="E2602" s="4"/>
      <c r="F2602" s="4"/>
      <c r="G2602" s="5"/>
      <c r="H2602" s="6"/>
      <c r="I2602" s="7"/>
      <c r="J2602" s="6"/>
      <c r="K2602" s="6"/>
      <c r="L2602" s="3"/>
      <c r="M2602" s="3" t="str">
        <f>IFERROR(__xludf.DUMMYFUNCTION("""COMPUTED_VALUE"""),"")</f>
        <v/>
      </c>
    </row>
    <row r="2603" ht="48.0" customHeight="1">
      <c r="A2603" s="3"/>
      <c r="B2603" s="4"/>
      <c r="C2603" s="4"/>
      <c r="D2603" s="4"/>
      <c r="E2603" s="4"/>
      <c r="F2603" s="4"/>
      <c r="G2603" s="5"/>
      <c r="H2603" s="6"/>
      <c r="I2603" s="7"/>
      <c r="J2603" s="6"/>
      <c r="K2603" s="6"/>
      <c r="L2603" s="3"/>
      <c r="M2603" s="3" t="str">
        <f>IFERROR(__xludf.DUMMYFUNCTION("""COMPUTED_VALUE"""),"")</f>
        <v/>
      </c>
    </row>
    <row r="2604" ht="48.0" customHeight="1">
      <c r="A2604" s="3"/>
      <c r="B2604" s="4"/>
      <c r="C2604" s="4"/>
      <c r="D2604" s="4"/>
      <c r="E2604" s="4"/>
      <c r="F2604" s="4"/>
      <c r="G2604" s="5"/>
      <c r="H2604" s="6"/>
      <c r="I2604" s="7"/>
      <c r="J2604" s="6"/>
      <c r="K2604" s="6"/>
      <c r="L2604" s="3"/>
      <c r="M2604" s="3" t="str">
        <f>IFERROR(__xludf.DUMMYFUNCTION("""COMPUTED_VALUE"""),"")</f>
        <v/>
      </c>
    </row>
    <row r="2605" ht="48.0" customHeight="1">
      <c r="A2605" s="3"/>
      <c r="B2605" s="4"/>
      <c r="C2605" s="4"/>
      <c r="D2605" s="4"/>
      <c r="E2605" s="4"/>
      <c r="F2605" s="4"/>
      <c r="G2605" s="5"/>
      <c r="H2605" s="6"/>
      <c r="I2605" s="7"/>
      <c r="J2605" s="6"/>
      <c r="K2605" s="6"/>
      <c r="L2605" s="3"/>
      <c r="M2605" s="3" t="str">
        <f>IFERROR(__xludf.DUMMYFUNCTION("""COMPUTED_VALUE"""),"")</f>
        <v/>
      </c>
    </row>
    <row r="2606" ht="48.0" customHeight="1">
      <c r="A2606" s="3"/>
      <c r="B2606" s="4"/>
      <c r="C2606" s="4"/>
      <c r="D2606" s="4"/>
      <c r="E2606" s="4"/>
      <c r="F2606" s="4"/>
      <c r="G2606" s="5"/>
      <c r="H2606" s="6"/>
      <c r="I2606" s="7"/>
      <c r="J2606" s="6"/>
      <c r="K2606" s="6"/>
      <c r="L2606" s="3"/>
      <c r="M2606" s="3" t="str">
        <f>IFERROR(__xludf.DUMMYFUNCTION("""COMPUTED_VALUE"""),"")</f>
        <v/>
      </c>
    </row>
    <row r="2607" ht="48.0" customHeight="1">
      <c r="A2607" s="3"/>
      <c r="B2607" s="4"/>
      <c r="C2607" s="4"/>
      <c r="D2607" s="4"/>
      <c r="E2607" s="4"/>
      <c r="F2607" s="4"/>
      <c r="G2607" s="5"/>
      <c r="H2607" s="6"/>
      <c r="I2607" s="7"/>
      <c r="J2607" s="6"/>
      <c r="K2607" s="6"/>
      <c r="L2607" s="3"/>
      <c r="M2607" s="3" t="str">
        <f>IFERROR(__xludf.DUMMYFUNCTION("""COMPUTED_VALUE"""),"")</f>
        <v/>
      </c>
    </row>
    <row r="2608" ht="48.0" customHeight="1">
      <c r="A2608" s="3"/>
      <c r="B2608" s="4"/>
      <c r="C2608" s="4"/>
      <c r="D2608" s="4"/>
      <c r="E2608" s="4"/>
      <c r="F2608" s="4"/>
      <c r="G2608" s="5"/>
      <c r="H2608" s="6"/>
      <c r="I2608" s="7"/>
      <c r="J2608" s="6"/>
      <c r="K2608" s="6"/>
      <c r="L2608" s="3"/>
      <c r="M2608" s="3" t="str">
        <f>IFERROR(__xludf.DUMMYFUNCTION("""COMPUTED_VALUE"""),"")</f>
        <v/>
      </c>
    </row>
    <row r="2609" ht="48.0" customHeight="1">
      <c r="A2609" s="3"/>
      <c r="B2609" s="4"/>
      <c r="C2609" s="4"/>
      <c r="D2609" s="4"/>
      <c r="E2609" s="4"/>
      <c r="F2609" s="4"/>
      <c r="G2609" s="5"/>
      <c r="H2609" s="6"/>
      <c r="I2609" s="7"/>
      <c r="J2609" s="6"/>
      <c r="K2609" s="6"/>
      <c r="L2609" s="3"/>
      <c r="M2609" s="3" t="str">
        <f>IFERROR(__xludf.DUMMYFUNCTION("""COMPUTED_VALUE"""),"")</f>
        <v/>
      </c>
    </row>
    <row r="2610" ht="48.0" customHeight="1">
      <c r="A2610" s="3"/>
      <c r="B2610" s="4"/>
      <c r="C2610" s="4"/>
      <c r="D2610" s="4"/>
      <c r="E2610" s="4"/>
      <c r="F2610" s="4"/>
      <c r="G2610" s="5"/>
      <c r="H2610" s="6"/>
      <c r="I2610" s="7"/>
      <c r="J2610" s="6"/>
      <c r="K2610" s="6"/>
      <c r="L2610" s="3"/>
      <c r="M2610" s="3" t="str">
        <f>IFERROR(__xludf.DUMMYFUNCTION("""COMPUTED_VALUE"""),"")</f>
        <v/>
      </c>
    </row>
    <row r="2611" ht="48.0" customHeight="1">
      <c r="A2611" s="3"/>
      <c r="B2611" s="4"/>
      <c r="C2611" s="4"/>
      <c r="D2611" s="4"/>
      <c r="E2611" s="4"/>
      <c r="F2611" s="4"/>
      <c r="G2611" s="5"/>
      <c r="H2611" s="6"/>
      <c r="I2611" s="7"/>
      <c r="J2611" s="6"/>
      <c r="K2611" s="6"/>
      <c r="L2611" s="3"/>
      <c r="M2611" s="3" t="str">
        <f>IFERROR(__xludf.DUMMYFUNCTION("""COMPUTED_VALUE"""),"")</f>
        <v/>
      </c>
    </row>
    <row r="2612" ht="48.0" customHeight="1">
      <c r="A2612" s="3"/>
      <c r="B2612" s="4"/>
      <c r="C2612" s="4"/>
      <c r="D2612" s="4"/>
      <c r="E2612" s="4"/>
      <c r="F2612" s="4"/>
      <c r="G2612" s="5"/>
      <c r="H2612" s="6"/>
      <c r="I2612" s="7"/>
      <c r="J2612" s="6"/>
      <c r="K2612" s="6"/>
      <c r="L2612" s="3"/>
      <c r="M2612" s="3" t="str">
        <f>IFERROR(__xludf.DUMMYFUNCTION("""COMPUTED_VALUE"""),"")</f>
        <v/>
      </c>
    </row>
    <row r="2613" ht="48.0" customHeight="1">
      <c r="A2613" s="3"/>
      <c r="B2613" s="4"/>
      <c r="C2613" s="4"/>
      <c r="D2613" s="4"/>
      <c r="E2613" s="4"/>
      <c r="F2613" s="4"/>
      <c r="G2613" s="5"/>
      <c r="H2613" s="6"/>
      <c r="I2613" s="7"/>
      <c r="J2613" s="6"/>
      <c r="K2613" s="6"/>
      <c r="L2613" s="3"/>
      <c r="M2613" s="3" t="str">
        <f>IFERROR(__xludf.DUMMYFUNCTION("""COMPUTED_VALUE"""),"")</f>
        <v/>
      </c>
    </row>
    <row r="2614" ht="48.0" customHeight="1">
      <c r="A2614" s="3"/>
      <c r="B2614" s="4"/>
      <c r="C2614" s="4"/>
      <c r="D2614" s="4"/>
      <c r="E2614" s="4"/>
      <c r="F2614" s="4"/>
      <c r="G2614" s="5"/>
      <c r="H2614" s="6"/>
      <c r="I2614" s="7"/>
      <c r="J2614" s="6"/>
      <c r="K2614" s="6"/>
      <c r="L2614" s="3"/>
      <c r="M2614" s="3" t="str">
        <f>IFERROR(__xludf.DUMMYFUNCTION("""COMPUTED_VALUE"""),"")</f>
        <v/>
      </c>
    </row>
    <row r="2615" ht="48.0" customHeight="1">
      <c r="A2615" s="3"/>
      <c r="B2615" s="4"/>
      <c r="C2615" s="4"/>
      <c r="D2615" s="4"/>
      <c r="E2615" s="4"/>
      <c r="F2615" s="4"/>
      <c r="G2615" s="5"/>
      <c r="H2615" s="6"/>
      <c r="I2615" s="7"/>
      <c r="J2615" s="6"/>
      <c r="K2615" s="6"/>
      <c r="L2615" s="3"/>
      <c r="M2615" s="3" t="str">
        <f>IFERROR(__xludf.DUMMYFUNCTION("""COMPUTED_VALUE"""),"")</f>
        <v/>
      </c>
    </row>
    <row r="2616" ht="48.0" customHeight="1">
      <c r="A2616" s="3"/>
      <c r="B2616" s="4"/>
      <c r="C2616" s="4"/>
      <c r="D2616" s="4"/>
      <c r="E2616" s="4"/>
      <c r="F2616" s="4"/>
      <c r="G2616" s="5"/>
      <c r="H2616" s="6"/>
      <c r="I2616" s="7"/>
      <c r="J2616" s="6"/>
      <c r="K2616" s="6"/>
      <c r="L2616" s="3"/>
      <c r="M2616" s="3" t="str">
        <f>IFERROR(__xludf.DUMMYFUNCTION("""COMPUTED_VALUE"""),"")</f>
        <v/>
      </c>
    </row>
    <row r="2617" ht="48.0" customHeight="1">
      <c r="A2617" s="3"/>
      <c r="B2617" s="4"/>
      <c r="C2617" s="4"/>
      <c r="D2617" s="4"/>
      <c r="E2617" s="4"/>
      <c r="F2617" s="4"/>
      <c r="G2617" s="5"/>
      <c r="H2617" s="6"/>
      <c r="I2617" s="7"/>
      <c r="J2617" s="6"/>
      <c r="K2617" s="6"/>
      <c r="L2617" s="3"/>
      <c r="M2617" s="3" t="str">
        <f>IFERROR(__xludf.DUMMYFUNCTION("""COMPUTED_VALUE"""),"")</f>
        <v/>
      </c>
    </row>
    <row r="2618" ht="48.0" customHeight="1">
      <c r="A2618" s="3"/>
      <c r="B2618" s="4"/>
      <c r="C2618" s="4"/>
      <c r="D2618" s="4"/>
      <c r="E2618" s="4"/>
      <c r="F2618" s="4"/>
      <c r="G2618" s="5"/>
      <c r="H2618" s="6"/>
      <c r="I2618" s="7"/>
      <c r="J2618" s="6"/>
      <c r="K2618" s="6"/>
      <c r="L2618" s="3"/>
      <c r="M2618" s="3" t="str">
        <f>IFERROR(__xludf.DUMMYFUNCTION("""COMPUTED_VALUE"""),"")</f>
        <v/>
      </c>
    </row>
    <row r="2619" ht="48.0" customHeight="1">
      <c r="A2619" s="3"/>
      <c r="B2619" s="4"/>
      <c r="C2619" s="4"/>
      <c r="D2619" s="4"/>
      <c r="E2619" s="4"/>
      <c r="F2619" s="4"/>
      <c r="G2619" s="5"/>
      <c r="H2619" s="6"/>
      <c r="I2619" s="7"/>
      <c r="J2619" s="6"/>
      <c r="K2619" s="6"/>
      <c r="L2619" s="3"/>
      <c r="M2619" s="3" t="str">
        <f>IFERROR(__xludf.DUMMYFUNCTION("""COMPUTED_VALUE"""),"")</f>
        <v/>
      </c>
    </row>
    <row r="2620" ht="48.0" customHeight="1">
      <c r="A2620" s="3"/>
      <c r="B2620" s="4"/>
      <c r="C2620" s="4"/>
      <c r="D2620" s="4"/>
      <c r="E2620" s="4"/>
      <c r="F2620" s="4"/>
      <c r="G2620" s="5"/>
      <c r="H2620" s="6"/>
      <c r="I2620" s="7"/>
      <c r="J2620" s="6"/>
      <c r="K2620" s="6"/>
      <c r="L2620" s="3"/>
      <c r="M2620" s="3" t="str">
        <f>IFERROR(__xludf.DUMMYFUNCTION("""COMPUTED_VALUE"""),"")</f>
        <v/>
      </c>
    </row>
    <row r="2621" ht="48.0" customHeight="1">
      <c r="A2621" s="3"/>
      <c r="B2621" s="4"/>
      <c r="C2621" s="4"/>
      <c r="D2621" s="4"/>
      <c r="E2621" s="4"/>
      <c r="F2621" s="4"/>
      <c r="G2621" s="5"/>
      <c r="H2621" s="6"/>
      <c r="I2621" s="7"/>
      <c r="J2621" s="6"/>
      <c r="K2621" s="6"/>
      <c r="L2621" s="3"/>
      <c r="M2621" s="3" t="str">
        <f>IFERROR(__xludf.DUMMYFUNCTION("""COMPUTED_VALUE"""),"")</f>
        <v/>
      </c>
    </row>
    <row r="2622" ht="48.0" customHeight="1">
      <c r="A2622" s="3"/>
      <c r="B2622" s="4"/>
      <c r="C2622" s="4"/>
      <c r="D2622" s="4"/>
      <c r="E2622" s="4"/>
      <c r="F2622" s="4"/>
      <c r="G2622" s="5"/>
      <c r="H2622" s="6"/>
      <c r="I2622" s="7"/>
      <c r="J2622" s="6"/>
      <c r="K2622" s="6"/>
      <c r="L2622" s="3"/>
      <c r="M2622" s="3" t="str">
        <f>IFERROR(__xludf.DUMMYFUNCTION("""COMPUTED_VALUE"""),"")</f>
        <v/>
      </c>
    </row>
    <row r="2623" ht="48.0" customHeight="1">
      <c r="A2623" s="3"/>
      <c r="B2623" s="4"/>
      <c r="C2623" s="4"/>
      <c r="D2623" s="4"/>
      <c r="E2623" s="4"/>
      <c r="F2623" s="4"/>
      <c r="G2623" s="5"/>
      <c r="H2623" s="6"/>
      <c r="I2623" s="7"/>
      <c r="J2623" s="6"/>
      <c r="K2623" s="6"/>
      <c r="L2623" s="3"/>
      <c r="M2623" s="3" t="str">
        <f>IFERROR(__xludf.DUMMYFUNCTION("""COMPUTED_VALUE"""),"")</f>
        <v/>
      </c>
    </row>
    <row r="2624" ht="48.0" customHeight="1">
      <c r="A2624" s="3"/>
      <c r="B2624" s="4"/>
      <c r="C2624" s="4"/>
      <c r="D2624" s="4"/>
      <c r="E2624" s="4"/>
      <c r="F2624" s="4"/>
      <c r="G2624" s="5"/>
      <c r="H2624" s="6"/>
      <c r="I2624" s="7"/>
      <c r="J2624" s="6"/>
      <c r="K2624" s="6"/>
      <c r="L2624" s="3"/>
      <c r="M2624" s="3" t="str">
        <f>IFERROR(__xludf.DUMMYFUNCTION("""COMPUTED_VALUE"""),"")</f>
        <v/>
      </c>
    </row>
    <row r="2625" ht="48.0" customHeight="1">
      <c r="A2625" s="3"/>
      <c r="B2625" s="4"/>
      <c r="C2625" s="4"/>
      <c r="D2625" s="4"/>
      <c r="E2625" s="4"/>
      <c r="F2625" s="4"/>
      <c r="G2625" s="5"/>
      <c r="H2625" s="6"/>
      <c r="I2625" s="7"/>
      <c r="J2625" s="6"/>
      <c r="K2625" s="6"/>
      <c r="L2625" s="3"/>
      <c r="M2625" s="3" t="str">
        <f>IFERROR(__xludf.DUMMYFUNCTION("""COMPUTED_VALUE"""),"")</f>
        <v/>
      </c>
    </row>
    <row r="2626" ht="48.0" customHeight="1">
      <c r="A2626" s="3"/>
      <c r="B2626" s="4"/>
      <c r="C2626" s="4"/>
      <c r="D2626" s="4"/>
      <c r="E2626" s="4"/>
      <c r="F2626" s="4"/>
      <c r="G2626" s="5"/>
      <c r="H2626" s="6"/>
      <c r="I2626" s="7"/>
      <c r="J2626" s="6"/>
      <c r="K2626" s="6"/>
      <c r="L2626" s="3"/>
      <c r="M2626" s="3" t="str">
        <f>IFERROR(__xludf.DUMMYFUNCTION("""COMPUTED_VALUE"""),"")</f>
        <v/>
      </c>
    </row>
    <row r="2627" ht="48.0" customHeight="1">
      <c r="A2627" s="3"/>
      <c r="B2627" s="4"/>
      <c r="C2627" s="4"/>
      <c r="D2627" s="4"/>
      <c r="E2627" s="4"/>
      <c r="F2627" s="4"/>
      <c r="G2627" s="5"/>
      <c r="H2627" s="6"/>
      <c r="I2627" s="7"/>
      <c r="J2627" s="6"/>
      <c r="K2627" s="6"/>
      <c r="L2627" s="3"/>
      <c r="M2627" s="3" t="str">
        <f>IFERROR(__xludf.DUMMYFUNCTION("""COMPUTED_VALUE"""),"")</f>
        <v/>
      </c>
    </row>
    <row r="2628" ht="48.0" customHeight="1">
      <c r="A2628" s="3"/>
      <c r="B2628" s="4"/>
      <c r="C2628" s="4"/>
      <c r="D2628" s="4"/>
      <c r="E2628" s="4"/>
      <c r="F2628" s="4"/>
      <c r="G2628" s="5"/>
      <c r="H2628" s="6"/>
      <c r="I2628" s="7"/>
      <c r="J2628" s="6"/>
      <c r="K2628" s="6"/>
      <c r="L2628" s="3"/>
      <c r="M2628" s="3" t="str">
        <f>IFERROR(__xludf.DUMMYFUNCTION("""COMPUTED_VALUE"""),"")</f>
        <v/>
      </c>
    </row>
    <row r="2629" ht="48.0" customHeight="1">
      <c r="A2629" s="3"/>
      <c r="B2629" s="4"/>
      <c r="C2629" s="4"/>
      <c r="D2629" s="4"/>
      <c r="E2629" s="4"/>
      <c r="F2629" s="4"/>
      <c r="G2629" s="5"/>
      <c r="H2629" s="6"/>
      <c r="I2629" s="7"/>
      <c r="J2629" s="6"/>
      <c r="K2629" s="6"/>
      <c r="L2629" s="3"/>
      <c r="M2629" s="3" t="str">
        <f>IFERROR(__xludf.DUMMYFUNCTION("""COMPUTED_VALUE"""),"")</f>
        <v/>
      </c>
    </row>
    <row r="2630" ht="48.0" customHeight="1">
      <c r="A2630" s="3"/>
      <c r="B2630" s="4"/>
      <c r="C2630" s="4"/>
      <c r="D2630" s="4"/>
      <c r="E2630" s="4"/>
      <c r="F2630" s="4"/>
      <c r="G2630" s="5"/>
      <c r="H2630" s="6"/>
      <c r="I2630" s="7"/>
      <c r="J2630" s="6"/>
      <c r="K2630" s="6"/>
      <c r="L2630" s="3"/>
      <c r="M2630" s="3" t="str">
        <f>IFERROR(__xludf.DUMMYFUNCTION("""COMPUTED_VALUE"""),"")</f>
        <v/>
      </c>
    </row>
    <row r="2631" ht="48.0" customHeight="1">
      <c r="A2631" s="3"/>
      <c r="B2631" s="4"/>
      <c r="C2631" s="4"/>
      <c r="D2631" s="4"/>
      <c r="E2631" s="4"/>
      <c r="F2631" s="4"/>
      <c r="G2631" s="5"/>
      <c r="H2631" s="6"/>
      <c r="I2631" s="7"/>
      <c r="J2631" s="6"/>
      <c r="K2631" s="6"/>
      <c r="L2631" s="3"/>
      <c r="M2631" s="3" t="str">
        <f>IFERROR(__xludf.DUMMYFUNCTION("""COMPUTED_VALUE"""),"")</f>
        <v/>
      </c>
    </row>
    <row r="2632" ht="48.0" customHeight="1">
      <c r="A2632" s="3"/>
      <c r="B2632" s="4"/>
      <c r="C2632" s="4"/>
      <c r="D2632" s="4"/>
      <c r="E2632" s="4"/>
      <c r="F2632" s="4"/>
      <c r="G2632" s="5"/>
      <c r="H2632" s="6"/>
      <c r="I2632" s="7"/>
      <c r="J2632" s="6"/>
      <c r="K2632" s="6"/>
      <c r="L2632" s="3"/>
      <c r="M2632" s="3" t="str">
        <f>IFERROR(__xludf.DUMMYFUNCTION("""COMPUTED_VALUE"""),"")</f>
        <v/>
      </c>
    </row>
    <row r="2633" ht="48.0" customHeight="1">
      <c r="A2633" s="3"/>
      <c r="B2633" s="4"/>
      <c r="C2633" s="4"/>
      <c r="D2633" s="4"/>
      <c r="E2633" s="4"/>
      <c r="F2633" s="4"/>
      <c r="G2633" s="5"/>
      <c r="H2633" s="6"/>
      <c r="I2633" s="7"/>
      <c r="J2633" s="6"/>
      <c r="K2633" s="6"/>
      <c r="L2633" s="3"/>
      <c r="M2633" s="3" t="str">
        <f>IFERROR(__xludf.DUMMYFUNCTION("""COMPUTED_VALUE"""),"")</f>
        <v/>
      </c>
    </row>
    <row r="2634" ht="48.0" customHeight="1">
      <c r="A2634" s="3"/>
      <c r="B2634" s="4"/>
      <c r="C2634" s="4"/>
      <c r="D2634" s="4"/>
      <c r="E2634" s="4"/>
      <c r="F2634" s="4"/>
      <c r="G2634" s="5"/>
      <c r="H2634" s="6"/>
      <c r="I2634" s="7"/>
      <c r="J2634" s="6"/>
      <c r="K2634" s="6"/>
      <c r="L2634" s="3"/>
      <c r="M2634" s="3" t="str">
        <f>IFERROR(__xludf.DUMMYFUNCTION("""COMPUTED_VALUE"""),"")</f>
        <v/>
      </c>
    </row>
    <row r="2635" ht="48.0" customHeight="1">
      <c r="A2635" s="3"/>
      <c r="B2635" s="4"/>
      <c r="C2635" s="4"/>
      <c r="D2635" s="4"/>
      <c r="E2635" s="4"/>
      <c r="F2635" s="4"/>
      <c r="G2635" s="5"/>
      <c r="H2635" s="6"/>
      <c r="I2635" s="7"/>
      <c r="J2635" s="6"/>
      <c r="K2635" s="6"/>
      <c r="L2635" s="3"/>
      <c r="M2635" s="3" t="str">
        <f>IFERROR(__xludf.DUMMYFUNCTION("""COMPUTED_VALUE"""),"")</f>
        <v/>
      </c>
    </row>
    <row r="2636" ht="48.0" customHeight="1">
      <c r="A2636" s="3"/>
      <c r="B2636" s="4"/>
      <c r="C2636" s="4"/>
      <c r="D2636" s="4"/>
      <c r="E2636" s="4"/>
      <c r="F2636" s="4"/>
      <c r="G2636" s="5"/>
      <c r="H2636" s="6"/>
      <c r="I2636" s="7"/>
      <c r="J2636" s="6"/>
      <c r="K2636" s="6"/>
      <c r="L2636" s="3"/>
      <c r="M2636" s="3" t="str">
        <f>IFERROR(__xludf.DUMMYFUNCTION("""COMPUTED_VALUE"""),"")</f>
        <v/>
      </c>
    </row>
    <row r="2637" ht="48.0" customHeight="1">
      <c r="A2637" s="3"/>
      <c r="B2637" s="4"/>
      <c r="C2637" s="4"/>
      <c r="D2637" s="4"/>
      <c r="E2637" s="4"/>
      <c r="F2637" s="4"/>
      <c r="G2637" s="5"/>
      <c r="H2637" s="6"/>
      <c r="I2637" s="7"/>
      <c r="J2637" s="6"/>
      <c r="K2637" s="6"/>
      <c r="L2637" s="3"/>
      <c r="M2637" s="3" t="str">
        <f>IFERROR(__xludf.DUMMYFUNCTION("""COMPUTED_VALUE"""),"")</f>
        <v/>
      </c>
    </row>
    <row r="2638" ht="48.0" customHeight="1">
      <c r="A2638" s="3"/>
      <c r="B2638" s="4"/>
      <c r="C2638" s="4"/>
      <c r="D2638" s="4"/>
      <c r="E2638" s="4"/>
      <c r="F2638" s="4"/>
      <c r="G2638" s="5"/>
      <c r="H2638" s="6"/>
      <c r="I2638" s="7"/>
      <c r="J2638" s="6"/>
      <c r="K2638" s="6"/>
      <c r="L2638" s="3"/>
      <c r="M2638" s="3" t="str">
        <f>IFERROR(__xludf.DUMMYFUNCTION("""COMPUTED_VALUE"""),"")</f>
        <v/>
      </c>
    </row>
    <row r="2639" ht="48.0" customHeight="1">
      <c r="A2639" s="3"/>
      <c r="B2639" s="4"/>
      <c r="C2639" s="4"/>
      <c r="D2639" s="4"/>
      <c r="E2639" s="4"/>
      <c r="F2639" s="4"/>
      <c r="G2639" s="5"/>
      <c r="H2639" s="6"/>
      <c r="I2639" s="7"/>
      <c r="J2639" s="6"/>
      <c r="K2639" s="6"/>
      <c r="L2639" s="3"/>
      <c r="M2639" s="3" t="str">
        <f>IFERROR(__xludf.DUMMYFUNCTION("""COMPUTED_VALUE"""),"")</f>
        <v/>
      </c>
    </row>
    <row r="2640" ht="48.0" customHeight="1">
      <c r="A2640" s="3"/>
      <c r="B2640" s="4"/>
      <c r="C2640" s="4"/>
      <c r="D2640" s="4"/>
      <c r="E2640" s="4"/>
      <c r="F2640" s="4"/>
      <c r="G2640" s="5"/>
      <c r="H2640" s="6"/>
      <c r="I2640" s="7"/>
      <c r="J2640" s="6"/>
      <c r="K2640" s="6"/>
      <c r="L2640" s="3"/>
      <c r="M2640" s="3" t="str">
        <f>IFERROR(__xludf.DUMMYFUNCTION("""COMPUTED_VALUE"""),"")</f>
        <v/>
      </c>
    </row>
    <row r="2641" ht="48.0" customHeight="1">
      <c r="A2641" s="3"/>
      <c r="B2641" s="4"/>
      <c r="C2641" s="4"/>
      <c r="D2641" s="4"/>
      <c r="E2641" s="4"/>
      <c r="F2641" s="4"/>
      <c r="G2641" s="5"/>
      <c r="H2641" s="6"/>
      <c r="I2641" s="7"/>
      <c r="J2641" s="6"/>
      <c r="K2641" s="6"/>
      <c r="L2641" s="3"/>
      <c r="M2641" s="3" t="str">
        <f>IFERROR(__xludf.DUMMYFUNCTION("""COMPUTED_VALUE"""),"")</f>
        <v/>
      </c>
    </row>
    <row r="2642" ht="48.0" customHeight="1">
      <c r="A2642" s="3"/>
      <c r="B2642" s="4"/>
      <c r="C2642" s="4"/>
      <c r="D2642" s="4"/>
      <c r="E2642" s="4"/>
      <c r="F2642" s="4"/>
      <c r="G2642" s="5"/>
      <c r="H2642" s="6"/>
      <c r="I2642" s="7"/>
      <c r="J2642" s="6"/>
      <c r="K2642" s="6"/>
      <c r="L2642" s="3"/>
      <c r="M2642" s="3" t="str">
        <f>IFERROR(__xludf.DUMMYFUNCTION("""COMPUTED_VALUE"""),"")</f>
        <v/>
      </c>
    </row>
    <row r="2643" ht="48.0" customHeight="1">
      <c r="A2643" s="3"/>
      <c r="B2643" s="4"/>
      <c r="C2643" s="4"/>
      <c r="D2643" s="4"/>
      <c r="E2643" s="4"/>
      <c r="F2643" s="4"/>
      <c r="G2643" s="5"/>
      <c r="H2643" s="6"/>
      <c r="I2643" s="7"/>
      <c r="J2643" s="6"/>
      <c r="K2643" s="6"/>
      <c r="L2643" s="3"/>
      <c r="M2643" s="3" t="str">
        <f>IFERROR(__xludf.DUMMYFUNCTION("""COMPUTED_VALUE"""),"")</f>
        <v/>
      </c>
    </row>
    <row r="2644" ht="48.0" customHeight="1">
      <c r="A2644" s="3"/>
      <c r="B2644" s="4"/>
      <c r="C2644" s="4"/>
      <c r="D2644" s="4"/>
      <c r="E2644" s="4"/>
      <c r="F2644" s="4"/>
      <c r="G2644" s="5"/>
      <c r="H2644" s="6"/>
      <c r="I2644" s="7"/>
      <c r="J2644" s="6"/>
      <c r="K2644" s="6"/>
      <c r="L2644" s="3"/>
      <c r="M2644" s="3" t="str">
        <f>IFERROR(__xludf.DUMMYFUNCTION("""COMPUTED_VALUE"""),"")</f>
        <v/>
      </c>
    </row>
    <row r="2645" ht="48.0" customHeight="1">
      <c r="A2645" s="3"/>
      <c r="B2645" s="4"/>
      <c r="C2645" s="4"/>
      <c r="D2645" s="4"/>
      <c r="E2645" s="4"/>
      <c r="F2645" s="4"/>
      <c r="G2645" s="5"/>
      <c r="H2645" s="6"/>
      <c r="I2645" s="7"/>
      <c r="J2645" s="6"/>
      <c r="K2645" s="6"/>
      <c r="L2645" s="3"/>
      <c r="M2645" s="3" t="str">
        <f>IFERROR(__xludf.DUMMYFUNCTION("""COMPUTED_VALUE"""),"")</f>
        <v/>
      </c>
    </row>
    <row r="2646" ht="48.0" customHeight="1">
      <c r="A2646" s="3"/>
      <c r="B2646" s="4"/>
      <c r="C2646" s="4"/>
      <c r="D2646" s="4"/>
      <c r="E2646" s="4"/>
      <c r="F2646" s="4"/>
      <c r="G2646" s="5"/>
      <c r="H2646" s="6"/>
      <c r="I2646" s="7"/>
      <c r="J2646" s="6"/>
      <c r="K2646" s="6"/>
      <c r="L2646" s="3"/>
      <c r="M2646" s="3" t="str">
        <f>IFERROR(__xludf.DUMMYFUNCTION("""COMPUTED_VALUE"""),"")</f>
        <v/>
      </c>
    </row>
    <row r="2647" ht="48.0" customHeight="1">
      <c r="A2647" s="3"/>
      <c r="B2647" s="4"/>
      <c r="C2647" s="4"/>
      <c r="D2647" s="4"/>
      <c r="E2647" s="4"/>
      <c r="F2647" s="4"/>
      <c r="G2647" s="5"/>
      <c r="H2647" s="6"/>
      <c r="I2647" s="7"/>
      <c r="J2647" s="6"/>
      <c r="K2647" s="6"/>
      <c r="L2647" s="3"/>
      <c r="M2647" s="3" t="str">
        <f>IFERROR(__xludf.DUMMYFUNCTION("""COMPUTED_VALUE"""),"")</f>
        <v/>
      </c>
    </row>
    <row r="2648" ht="48.0" customHeight="1">
      <c r="A2648" s="3"/>
      <c r="B2648" s="4"/>
      <c r="C2648" s="4"/>
      <c r="D2648" s="4"/>
      <c r="E2648" s="4"/>
      <c r="F2648" s="4"/>
      <c r="G2648" s="5"/>
      <c r="H2648" s="6"/>
      <c r="I2648" s="7"/>
      <c r="J2648" s="6"/>
      <c r="K2648" s="6"/>
      <c r="L2648" s="3"/>
      <c r="M2648" s="3" t="str">
        <f>IFERROR(__xludf.DUMMYFUNCTION("""COMPUTED_VALUE"""),"")</f>
        <v/>
      </c>
    </row>
    <row r="2649" ht="48.0" customHeight="1">
      <c r="A2649" s="3"/>
      <c r="B2649" s="4"/>
      <c r="C2649" s="4"/>
      <c r="D2649" s="4"/>
      <c r="E2649" s="4"/>
      <c r="F2649" s="4"/>
      <c r="G2649" s="5"/>
      <c r="H2649" s="6"/>
      <c r="I2649" s="7"/>
      <c r="J2649" s="6"/>
      <c r="K2649" s="6"/>
      <c r="L2649" s="3"/>
      <c r="M2649" s="3" t="str">
        <f>IFERROR(__xludf.DUMMYFUNCTION("""COMPUTED_VALUE"""),"")</f>
        <v/>
      </c>
    </row>
    <row r="2650" ht="48.0" customHeight="1">
      <c r="A2650" s="3"/>
      <c r="B2650" s="4"/>
      <c r="C2650" s="4"/>
      <c r="D2650" s="4"/>
      <c r="E2650" s="4"/>
      <c r="F2650" s="4"/>
      <c r="G2650" s="5"/>
      <c r="H2650" s="6"/>
      <c r="I2650" s="7"/>
      <c r="J2650" s="6"/>
      <c r="K2650" s="6"/>
      <c r="L2650" s="3"/>
      <c r="M2650" s="3" t="str">
        <f>IFERROR(__xludf.DUMMYFUNCTION("""COMPUTED_VALUE"""),"")</f>
        <v/>
      </c>
    </row>
    <row r="2651" ht="48.0" customHeight="1">
      <c r="A2651" s="3"/>
      <c r="B2651" s="4"/>
      <c r="C2651" s="4"/>
      <c r="D2651" s="4"/>
      <c r="E2651" s="4"/>
      <c r="F2651" s="4"/>
      <c r="G2651" s="5"/>
      <c r="H2651" s="6"/>
      <c r="I2651" s="7"/>
      <c r="J2651" s="6"/>
      <c r="K2651" s="6"/>
      <c r="L2651" s="3"/>
      <c r="M2651" s="3" t="str">
        <f>IFERROR(__xludf.DUMMYFUNCTION("""COMPUTED_VALUE"""),"")</f>
        <v/>
      </c>
    </row>
    <row r="2652" ht="48.0" customHeight="1">
      <c r="A2652" s="3"/>
      <c r="B2652" s="4"/>
      <c r="C2652" s="4"/>
      <c r="D2652" s="4"/>
      <c r="E2652" s="4"/>
      <c r="F2652" s="4"/>
      <c r="G2652" s="5"/>
      <c r="H2652" s="6"/>
      <c r="I2652" s="7"/>
      <c r="J2652" s="6"/>
      <c r="K2652" s="6"/>
      <c r="L2652" s="3"/>
      <c r="M2652" s="3" t="str">
        <f>IFERROR(__xludf.DUMMYFUNCTION("""COMPUTED_VALUE"""),"")</f>
        <v/>
      </c>
    </row>
    <row r="2653" ht="48.0" customHeight="1">
      <c r="A2653" s="3"/>
      <c r="B2653" s="4"/>
      <c r="C2653" s="4"/>
      <c r="D2653" s="4"/>
      <c r="E2653" s="4"/>
      <c r="F2653" s="4"/>
      <c r="G2653" s="5"/>
      <c r="H2653" s="6"/>
      <c r="I2653" s="7"/>
      <c r="J2653" s="6"/>
      <c r="K2653" s="6"/>
      <c r="L2653" s="3"/>
      <c r="M2653" s="3" t="str">
        <f>IFERROR(__xludf.DUMMYFUNCTION("""COMPUTED_VALUE"""),"")</f>
        <v/>
      </c>
    </row>
    <row r="2654" ht="48.0" customHeight="1">
      <c r="A2654" s="3"/>
      <c r="B2654" s="4"/>
      <c r="C2654" s="4"/>
      <c r="D2654" s="4"/>
      <c r="E2654" s="4"/>
      <c r="F2654" s="4"/>
      <c r="G2654" s="5"/>
      <c r="H2654" s="6"/>
      <c r="I2654" s="7"/>
      <c r="J2654" s="6"/>
      <c r="K2654" s="6"/>
      <c r="L2654" s="3"/>
      <c r="M2654" s="3" t="str">
        <f>IFERROR(__xludf.DUMMYFUNCTION("""COMPUTED_VALUE"""),"")</f>
        <v/>
      </c>
    </row>
    <row r="2655" ht="48.0" customHeight="1">
      <c r="A2655" s="3"/>
      <c r="B2655" s="4"/>
      <c r="C2655" s="4"/>
      <c r="D2655" s="4"/>
      <c r="E2655" s="4"/>
      <c r="F2655" s="4"/>
      <c r="G2655" s="5"/>
      <c r="H2655" s="6"/>
      <c r="I2655" s="7"/>
      <c r="J2655" s="6"/>
      <c r="K2655" s="6"/>
      <c r="L2655" s="3"/>
      <c r="M2655" s="3" t="str">
        <f>IFERROR(__xludf.DUMMYFUNCTION("""COMPUTED_VALUE"""),"")</f>
        <v/>
      </c>
    </row>
    <row r="2656" ht="48.0" customHeight="1">
      <c r="A2656" s="3"/>
      <c r="B2656" s="4"/>
      <c r="C2656" s="4"/>
      <c r="D2656" s="4"/>
      <c r="E2656" s="4"/>
      <c r="F2656" s="4"/>
      <c r="G2656" s="5"/>
      <c r="H2656" s="6"/>
      <c r="I2656" s="7"/>
      <c r="J2656" s="6"/>
      <c r="K2656" s="6"/>
      <c r="L2656" s="3"/>
      <c r="M2656" s="3" t="str">
        <f>IFERROR(__xludf.DUMMYFUNCTION("""COMPUTED_VALUE"""),"")</f>
        <v/>
      </c>
    </row>
    <row r="2657" ht="48.0" customHeight="1">
      <c r="A2657" s="3"/>
      <c r="B2657" s="4"/>
      <c r="C2657" s="4"/>
      <c r="D2657" s="4"/>
      <c r="E2657" s="4"/>
      <c r="F2657" s="4"/>
      <c r="G2657" s="5"/>
      <c r="H2657" s="6"/>
      <c r="I2657" s="7"/>
      <c r="J2657" s="6"/>
      <c r="K2657" s="6"/>
      <c r="L2657" s="3"/>
      <c r="M2657" s="3" t="str">
        <f>IFERROR(__xludf.DUMMYFUNCTION("""COMPUTED_VALUE"""),"")</f>
        <v/>
      </c>
    </row>
    <row r="2658" ht="48.0" customHeight="1">
      <c r="A2658" s="3"/>
      <c r="B2658" s="4"/>
      <c r="C2658" s="4"/>
      <c r="D2658" s="4"/>
      <c r="E2658" s="4"/>
      <c r="F2658" s="4"/>
      <c r="G2658" s="5"/>
      <c r="H2658" s="6"/>
      <c r="I2658" s="7"/>
      <c r="J2658" s="6"/>
      <c r="K2658" s="6"/>
      <c r="L2658" s="3"/>
      <c r="M2658" s="3" t="str">
        <f>IFERROR(__xludf.DUMMYFUNCTION("""COMPUTED_VALUE"""),"")</f>
        <v/>
      </c>
    </row>
    <row r="2659" ht="48.0" customHeight="1">
      <c r="A2659" s="3"/>
      <c r="B2659" s="4"/>
      <c r="C2659" s="4"/>
      <c r="D2659" s="4"/>
      <c r="E2659" s="4"/>
      <c r="F2659" s="4"/>
      <c r="G2659" s="5"/>
      <c r="H2659" s="6"/>
      <c r="I2659" s="7"/>
      <c r="J2659" s="6"/>
      <c r="K2659" s="6"/>
      <c r="L2659" s="3"/>
      <c r="M2659" s="3" t="str">
        <f>IFERROR(__xludf.DUMMYFUNCTION("""COMPUTED_VALUE"""),"")</f>
        <v/>
      </c>
    </row>
    <row r="2660" ht="48.0" customHeight="1">
      <c r="A2660" s="3"/>
      <c r="B2660" s="4"/>
      <c r="C2660" s="4"/>
      <c r="D2660" s="4"/>
      <c r="E2660" s="4"/>
      <c r="F2660" s="4"/>
      <c r="G2660" s="5"/>
      <c r="H2660" s="6"/>
      <c r="I2660" s="7"/>
      <c r="J2660" s="6"/>
      <c r="K2660" s="6"/>
      <c r="L2660" s="3"/>
      <c r="M2660" s="3" t="str">
        <f>IFERROR(__xludf.DUMMYFUNCTION("""COMPUTED_VALUE"""),"")</f>
        <v/>
      </c>
    </row>
    <row r="2661" ht="48.0" customHeight="1">
      <c r="A2661" s="3"/>
      <c r="B2661" s="4"/>
      <c r="C2661" s="4"/>
      <c r="D2661" s="4"/>
      <c r="E2661" s="4"/>
      <c r="F2661" s="4"/>
      <c r="G2661" s="5"/>
      <c r="H2661" s="6"/>
      <c r="I2661" s="7"/>
      <c r="J2661" s="6"/>
      <c r="K2661" s="6"/>
      <c r="L2661" s="3"/>
      <c r="M2661" s="3" t="str">
        <f>IFERROR(__xludf.DUMMYFUNCTION("""COMPUTED_VALUE"""),"")</f>
        <v/>
      </c>
    </row>
    <row r="2662" ht="48.0" customHeight="1">
      <c r="A2662" s="3"/>
      <c r="B2662" s="4"/>
      <c r="C2662" s="4"/>
      <c r="D2662" s="4"/>
      <c r="E2662" s="4"/>
      <c r="F2662" s="4"/>
      <c r="G2662" s="5"/>
      <c r="H2662" s="6"/>
      <c r="I2662" s="7"/>
      <c r="J2662" s="6"/>
      <c r="K2662" s="6"/>
      <c r="L2662" s="3"/>
      <c r="M2662" s="3" t="str">
        <f>IFERROR(__xludf.DUMMYFUNCTION("""COMPUTED_VALUE"""),"")</f>
        <v/>
      </c>
    </row>
    <row r="2663" ht="48.0" customHeight="1">
      <c r="A2663" s="3"/>
      <c r="B2663" s="4"/>
      <c r="C2663" s="4"/>
      <c r="D2663" s="4"/>
      <c r="E2663" s="4"/>
      <c r="F2663" s="4"/>
      <c r="G2663" s="5"/>
      <c r="H2663" s="6"/>
      <c r="I2663" s="7"/>
      <c r="J2663" s="6"/>
      <c r="K2663" s="6"/>
      <c r="L2663" s="3"/>
      <c r="M2663" s="3" t="str">
        <f>IFERROR(__xludf.DUMMYFUNCTION("""COMPUTED_VALUE"""),"")</f>
        <v/>
      </c>
    </row>
    <row r="2664" ht="48.0" customHeight="1">
      <c r="A2664" s="3"/>
      <c r="B2664" s="4"/>
      <c r="C2664" s="4"/>
      <c r="D2664" s="4"/>
      <c r="E2664" s="4"/>
      <c r="F2664" s="4"/>
      <c r="G2664" s="5"/>
      <c r="H2664" s="6"/>
      <c r="I2664" s="7"/>
      <c r="J2664" s="6"/>
      <c r="K2664" s="6"/>
      <c r="L2664" s="3"/>
      <c r="M2664" s="3" t="str">
        <f>IFERROR(__xludf.DUMMYFUNCTION("""COMPUTED_VALUE"""),"")</f>
        <v/>
      </c>
    </row>
    <row r="2665" ht="48.0" customHeight="1">
      <c r="A2665" s="3"/>
      <c r="B2665" s="4"/>
      <c r="C2665" s="4"/>
      <c r="D2665" s="4"/>
      <c r="E2665" s="4"/>
      <c r="F2665" s="4"/>
      <c r="G2665" s="5"/>
      <c r="H2665" s="6"/>
      <c r="I2665" s="7"/>
      <c r="J2665" s="6"/>
      <c r="K2665" s="6"/>
      <c r="L2665" s="3"/>
      <c r="M2665" s="3" t="str">
        <f>IFERROR(__xludf.DUMMYFUNCTION("""COMPUTED_VALUE"""),"")</f>
        <v/>
      </c>
    </row>
    <row r="2666" ht="48.0" customHeight="1">
      <c r="A2666" s="3"/>
      <c r="B2666" s="4"/>
      <c r="C2666" s="4"/>
      <c r="D2666" s="4"/>
      <c r="E2666" s="4"/>
      <c r="F2666" s="4"/>
      <c r="G2666" s="5"/>
      <c r="H2666" s="6"/>
      <c r="I2666" s="7"/>
      <c r="J2666" s="6"/>
      <c r="K2666" s="6"/>
      <c r="L2666" s="3"/>
      <c r="M2666" s="3" t="str">
        <f>IFERROR(__xludf.DUMMYFUNCTION("""COMPUTED_VALUE"""),"")</f>
        <v/>
      </c>
    </row>
    <row r="2667" ht="48.0" customHeight="1">
      <c r="A2667" s="3"/>
      <c r="B2667" s="4"/>
      <c r="C2667" s="4"/>
      <c r="D2667" s="4"/>
      <c r="E2667" s="4"/>
      <c r="F2667" s="4"/>
      <c r="G2667" s="5"/>
      <c r="H2667" s="6"/>
      <c r="I2667" s="7"/>
      <c r="J2667" s="6"/>
      <c r="K2667" s="6"/>
      <c r="L2667" s="3"/>
      <c r="M2667" s="3" t="str">
        <f>IFERROR(__xludf.DUMMYFUNCTION("""COMPUTED_VALUE"""),"")</f>
        <v/>
      </c>
    </row>
    <row r="2668" ht="48.0" customHeight="1">
      <c r="A2668" s="3"/>
      <c r="B2668" s="4"/>
      <c r="C2668" s="4"/>
      <c r="D2668" s="4"/>
      <c r="E2668" s="4"/>
      <c r="F2668" s="4"/>
      <c r="G2668" s="5"/>
      <c r="H2668" s="6"/>
      <c r="I2668" s="7"/>
      <c r="J2668" s="6"/>
      <c r="K2668" s="6"/>
      <c r="L2668" s="3"/>
      <c r="M2668" s="3" t="str">
        <f>IFERROR(__xludf.DUMMYFUNCTION("""COMPUTED_VALUE"""),"")</f>
        <v/>
      </c>
    </row>
    <row r="2669" ht="48.0" customHeight="1">
      <c r="A2669" s="3"/>
      <c r="B2669" s="4"/>
      <c r="C2669" s="4"/>
      <c r="D2669" s="4"/>
      <c r="E2669" s="4"/>
      <c r="F2669" s="4"/>
      <c r="G2669" s="5"/>
      <c r="H2669" s="6"/>
      <c r="I2669" s="7"/>
      <c r="J2669" s="6"/>
      <c r="K2669" s="6"/>
      <c r="L2669" s="3"/>
      <c r="M2669" s="3" t="str">
        <f>IFERROR(__xludf.DUMMYFUNCTION("""COMPUTED_VALUE"""),"")</f>
        <v/>
      </c>
    </row>
    <row r="2670" ht="48.0" customHeight="1">
      <c r="A2670" s="3"/>
      <c r="B2670" s="4"/>
      <c r="C2670" s="4"/>
      <c r="D2670" s="4"/>
      <c r="E2670" s="4"/>
      <c r="F2670" s="4"/>
      <c r="G2670" s="5"/>
      <c r="H2670" s="6"/>
      <c r="I2670" s="7"/>
      <c r="J2670" s="6"/>
      <c r="K2670" s="6"/>
      <c r="L2670" s="3"/>
      <c r="M2670" s="3" t="str">
        <f>IFERROR(__xludf.DUMMYFUNCTION("""COMPUTED_VALUE"""),"")</f>
        <v/>
      </c>
    </row>
    <row r="2671" ht="48.0" customHeight="1">
      <c r="A2671" s="3"/>
      <c r="B2671" s="4"/>
      <c r="C2671" s="4"/>
      <c r="D2671" s="4"/>
      <c r="E2671" s="4"/>
      <c r="F2671" s="4"/>
      <c r="G2671" s="5"/>
      <c r="H2671" s="6"/>
      <c r="I2671" s="7"/>
      <c r="J2671" s="6"/>
      <c r="K2671" s="6"/>
      <c r="L2671" s="3"/>
      <c r="M2671" s="3" t="str">
        <f>IFERROR(__xludf.DUMMYFUNCTION("""COMPUTED_VALUE"""),"")</f>
        <v/>
      </c>
    </row>
    <row r="2672" ht="48.0" customHeight="1">
      <c r="A2672" s="3"/>
      <c r="B2672" s="4"/>
      <c r="C2672" s="4"/>
      <c r="D2672" s="4"/>
      <c r="E2672" s="4"/>
      <c r="F2672" s="4"/>
      <c r="G2672" s="5"/>
      <c r="H2672" s="6"/>
      <c r="I2672" s="7"/>
      <c r="J2672" s="6"/>
      <c r="K2672" s="6"/>
      <c r="L2672" s="3"/>
      <c r="M2672" s="3" t="str">
        <f>IFERROR(__xludf.DUMMYFUNCTION("""COMPUTED_VALUE"""),"")</f>
        <v/>
      </c>
    </row>
    <row r="2673" ht="48.0" customHeight="1">
      <c r="A2673" s="3"/>
      <c r="B2673" s="4"/>
      <c r="C2673" s="4"/>
      <c r="D2673" s="4"/>
      <c r="E2673" s="4"/>
      <c r="F2673" s="4"/>
      <c r="G2673" s="5"/>
      <c r="H2673" s="6"/>
      <c r="I2673" s="7"/>
      <c r="J2673" s="6"/>
      <c r="K2673" s="6"/>
      <c r="L2673" s="3"/>
      <c r="M2673" s="3" t="str">
        <f>IFERROR(__xludf.DUMMYFUNCTION("""COMPUTED_VALUE"""),"")</f>
        <v/>
      </c>
    </row>
    <row r="2674" ht="48.0" customHeight="1">
      <c r="A2674" s="3"/>
      <c r="B2674" s="4"/>
      <c r="C2674" s="4"/>
      <c r="D2674" s="4"/>
      <c r="E2674" s="4"/>
      <c r="F2674" s="4"/>
      <c r="G2674" s="5"/>
      <c r="H2674" s="6"/>
      <c r="I2674" s="7"/>
      <c r="J2674" s="6"/>
      <c r="K2674" s="6"/>
      <c r="L2674" s="3"/>
      <c r="M2674" s="3" t="str">
        <f>IFERROR(__xludf.DUMMYFUNCTION("""COMPUTED_VALUE"""),"")</f>
        <v/>
      </c>
    </row>
    <row r="2675" ht="48.0" customHeight="1">
      <c r="A2675" s="3"/>
      <c r="B2675" s="4"/>
      <c r="C2675" s="4"/>
      <c r="D2675" s="4"/>
      <c r="E2675" s="4"/>
      <c r="F2675" s="4"/>
      <c r="G2675" s="5"/>
      <c r="H2675" s="6"/>
      <c r="I2675" s="7"/>
      <c r="J2675" s="6"/>
      <c r="K2675" s="6"/>
      <c r="L2675" s="3"/>
      <c r="M2675" s="3" t="str">
        <f>IFERROR(__xludf.DUMMYFUNCTION("""COMPUTED_VALUE"""),"")</f>
        <v/>
      </c>
    </row>
    <row r="2676" ht="48.0" customHeight="1">
      <c r="A2676" s="3"/>
      <c r="B2676" s="4"/>
      <c r="C2676" s="4"/>
      <c r="D2676" s="4"/>
      <c r="E2676" s="4"/>
      <c r="F2676" s="4"/>
      <c r="G2676" s="5"/>
      <c r="H2676" s="6"/>
      <c r="I2676" s="7"/>
      <c r="J2676" s="6"/>
      <c r="K2676" s="6"/>
      <c r="L2676" s="3"/>
      <c r="M2676" s="3" t="str">
        <f>IFERROR(__xludf.DUMMYFUNCTION("""COMPUTED_VALUE"""),"")</f>
        <v/>
      </c>
    </row>
    <row r="2677" ht="48.0" customHeight="1">
      <c r="A2677" s="3"/>
      <c r="B2677" s="4"/>
      <c r="C2677" s="4"/>
      <c r="D2677" s="4"/>
      <c r="E2677" s="4"/>
      <c r="F2677" s="4"/>
      <c r="G2677" s="5"/>
      <c r="H2677" s="6"/>
      <c r="I2677" s="7"/>
      <c r="J2677" s="6"/>
      <c r="K2677" s="6"/>
      <c r="L2677" s="3"/>
      <c r="M2677" s="3" t="str">
        <f>IFERROR(__xludf.DUMMYFUNCTION("""COMPUTED_VALUE"""),"")</f>
        <v/>
      </c>
    </row>
    <row r="2678" ht="48.0" customHeight="1">
      <c r="A2678" s="3"/>
      <c r="B2678" s="4"/>
      <c r="C2678" s="4"/>
      <c r="D2678" s="4"/>
      <c r="E2678" s="4"/>
      <c r="F2678" s="4"/>
      <c r="G2678" s="5"/>
      <c r="H2678" s="6"/>
      <c r="I2678" s="7"/>
      <c r="J2678" s="6"/>
      <c r="K2678" s="6"/>
      <c r="L2678" s="3"/>
      <c r="M2678" s="3" t="str">
        <f>IFERROR(__xludf.DUMMYFUNCTION("""COMPUTED_VALUE"""),"")</f>
        <v/>
      </c>
    </row>
    <row r="2679" ht="48.0" customHeight="1">
      <c r="A2679" s="3"/>
      <c r="B2679" s="4"/>
      <c r="C2679" s="4"/>
      <c r="D2679" s="4"/>
      <c r="E2679" s="4"/>
      <c r="F2679" s="4"/>
      <c r="G2679" s="5"/>
      <c r="H2679" s="6"/>
      <c r="I2679" s="7"/>
      <c r="J2679" s="6"/>
      <c r="K2679" s="6"/>
      <c r="L2679" s="3"/>
      <c r="M2679" s="3" t="str">
        <f>IFERROR(__xludf.DUMMYFUNCTION("""COMPUTED_VALUE"""),"")</f>
        <v/>
      </c>
    </row>
    <row r="2680" ht="48.0" customHeight="1">
      <c r="A2680" s="3"/>
      <c r="B2680" s="4"/>
      <c r="C2680" s="4"/>
      <c r="D2680" s="4"/>
      <c r="E2680" s="4"/>
      <c r="F2680" s="4"/>
      <c r="G2680" s="5"/>
      <c r="H2680" s="6"/>
      <c r="I2680" s="7"/>
      <c r="J2680" s="6"/>
      <c r="K2680" s="6"/>
      <c r="L2680" s="3"/>
      <c r="M2680" s="3" t="str">
        <f>IFERROR(__xludf.DUMMYFUNCTION("""COMPUTED_VALUE"""),"")</f>
        <v/>
      </c>
    </row>
    <row r="2681" ht="48.0" customHeight="1">
      <c r="A2681" s="3"/>
      <c r="B2681" s="4"/>
      <c r="C2681" s="4"/>
      <c r="D2681" s="4"/>
      <c r="E2681" s="4"/>
      <c r="F2681" s="4"/>
      <c r="G2681" s="5"/>
      <c r="H2681" s="6"/>
      <c r="I2681" s="7"/>
      <c r="J2681" s="6"/>
      <c r="K2681" s="6"/>
      <c r="L2681" s="3"/>
      <c r="M2681" s="3" t="str">
        <f>IFERROR(__xludf.DUMMYFUNCTION("""COMPUTED_VALUE"""),"")</f>
        <v/>
      </c>
    </row>
    <row r="2682" ht="48.0" customHeight="1">
      <c r="A2682" s="3"/>
      <c r="B2682" s="4"/>
      <c r="C2682" s="4"/>
      <c r="D2682" s="4"/>
      <c r="E2682" s="4"/>
      <c r="F2682" s="4"/>
      <c r="G2682" s="5"/>
      <c r="H2682" s="6"/>
      <c r="I2682" s="7"/>
      <c r="J2682" s="6"/>
      <c r="K2682" s="6"/>
      <c r="L2682" s="3"/>
      <c r="M2682" s="3" t="str">
        <f>IFERROR(__xludf.DUMMYFUNCTION("""COMPUTED_VALUE"""),"")</f>
        <v/>
      </c>
    </row>
    <row r="2683" ht="48.0" customHeight="1">
      <c r="A2683" s="3"/>
      <c r="B2683" s="4"/>
      <c r="C2683" s="4"/>
      <c r="D2683" s="4"/>
      <c r="E2683" s="4"/>
      <c r="F2683" s="4"/>
      <c r="G2683" s="5"/>
      <c r="H2683" s="6"/>
      <c r="I2683" s="7"/>
      <c r="J2683" s="6"/>
      <c r="K2683" s="6"/>
      <c r="L2683" s="3"/>
      <c r="M2683" s="3" t="str">
        <f>IFERROR(__xludf.DUMMYFUNCTION("""COMPUTED_VALUE"""),"")</f>
        <v/>
      </c>
    </row>
    <row r="2684" ht="48.0" customHeight="1">
      <c r="A2684" s="3"/>
      <c r="B2684" s="4"/>
      <c r="C2684" s="4"/>
      <c r="D2684" s="4"/>
      <c r="E2684" s="4"/>
      <c r="F2684" s="4"/>
      <c r="G2684" s="5"/>
      <c r="H2684" s="6"/>
      <c r="I2684" s="7"/>
      <c r="J2684" s="6"/>
      <c r="K2684" s="6"/>
      <c r="L2684" s="3"/>
      <c r="M2684" s="3" t="str">
        <f>IFERROR(__xludf.DUMMYFUNCTION("""COMPUTED_VALUE"""),"")</f>
        <v/>
      </c>
    </row>
    <row r="2685" ht="48.0" customHeight="1">
      <c r="A2685" s="3"/>
      <c r="B2685" s="4"/>
      <c r="C2685" s="4"/>
      <c r="D2685" s="4"/>
      <c r="E2685" s="4"/>
      <c r="F2685" s="4"/>
      <c r="G2685" s="5"/>
      <c r="H2685" s="6"/>
      <c r="I2685" s="7"/>
      <c r="J2685" s="6"/>
      <c r="K2685" s="6"/>
      <c r="L2685" s="3"/>
      <c r="M2685" s="3" t="str">
        <f>IFERROR(__xludf.DUMMYFUNCTION("""COMPUTED_VALUE"""),"")</f>
        <v/>
      </c>
    </row>
    <row r="2686" ht="48.0" customHeight="1">
      <c r="A2686" s="3"/>
      <c r="B2686" s="4"/>
      <c r="C2686" s="4"/>
      <c r="D2686" s="4"/>
      <c r="E2686" s="4"/>
      <c r="F2686" s="4"/>
      <c r="G2686" s="5"/>
      <c r="H2686" s="6"/>
      <c r="I2686" s="7"/>
      <c r="J2686" s="6"/>
      <c r="K2686" s="6"/>
      <c r="L2686" s="3"/>
      <c r="M2686" s="3" t="str">
        <f>IFERROR(__xludf.DUMMYFUNCTION("""COMPUTED_VALUE"""),"")</f>
        <v/>
      </c>
    </row>
    <row r="2687" ht="48.0" customHeight="1">
      <c r="A2687" s="3"/>
      <c r="B2687" s="4"/>
      <c r="C2687" s="4"/>
      <c r="D2687" s="4"/>
      <c r="E2687" s="4"/>
      <c r="F2687" s="4"/>
      <c r="G2687" s="5"/>
      <c r="H2687" s="6"/>
      <c r="I2687" s="7"/>
      <c r="J2687" s="6"/>
      <c r="K2687" s="6"/>
      <c r="L2687" s="3"/>
      <c r="M2687" s="3" t="str">
        <f>IFERROR(__xludf.DUMMYFUNCTION("""COMPUTED_VALUE"""),"")</f>
        <v/>
      </c>
    </row>
    <row r="2688" ht="48.0" customHeight="1">
      <c r="A2688" s="3"/>
      <c r="B2688" s="4"/>
      <c r="C2688" s="4"/>
      <c r="D2688" s="4"/>
      <c r="E2688" s="4"/>
      <c r="F2688" s="4"/>
      <c r="G2688" s="5"/>
      <c r="H2688" s="6"/>
      <c r="I2688" s="7"/>
      <c r="J2688" s="6"/>
      <c r="K2688" s="6"/>
      <c r="L2688" s="3"/>
      <c r="M2688" s="3" t="str">
        <f>IFERROR(__xludf.DUMMYFUNCTION("""COMPUTED_VALUE"""),"")</f>
        <v/>
      </c>
    </row>
    <row r="2689" ht="48.0" customHeight="1">
      <c r="A2689" s="3"/>
      <c r="B2689" s="4"/>
      <c r="C2689" s="4"/>
      <c r="D2689" s="4"/>
      <c r="E2689" s="4"/>
      <c r="F2689" s="4"/>
      <c r="G2689" s="5"/>
      <c r="H2689" s="6"/>
      <c r="I2689" s="7"/>
      <c r="J2689" s="6"/>
      <c r="K2689" s="6"/>
      <c r="L2689" s="3"/>
      <c r="M2689" s="3" t="str">
        <f>IFERROR(__xludf.DUMMYFUNCTION("""COMPUTED_VALUE"""),"")</f>
        <v/>
      </c>
    </row>
    <row r="2690" ht="48.0" customHeight="1">
      <c r="A2690" s="3"/>
      <c r="B2690" s="4"/>
      <c r="C2690" s="4"/>
      <c r="D2690" s="4"/>
      <c r="E2690" s="4"/>
      <c r="F2690" s="4"/>
      <c r="G2690" s="5"/>
      <c r="H2690" s="6"/>
      <c r="I2690" s="7"/>
      <c r="J2690" s="6"/>
      <c r="K2690" s="6"/>
      <c r="L2690" s="3"/>
      <c r="M2690" s="3" t="str">
        <f>IFERROR(__xludf.DUMMYFUNCTION("""COMPUTED_VALUE"""),"")</f>
        <v/>
      </c>
    </row>
    <row r="2691" ht="48.0" customHeight="1">
      <c r="A2691" s="3"/>
      <c r="B2691" s="4"/>
      <c r="C2691" s="4"/>
      <c r="D2691" s="4"/>
      <c r="E2691" s="4"/>
      <c r="F2691" s="4"/>
      <c r="G2691" s="5"/>
      <c r="H2691" s="6"/>
      <c r="I2691" s="7"/>
      <c r="J2691" s="6"/>
      <c r="K2691" s="6"/>
      <c r="L2691" s="3"/>
      <c r="M2691" s="3" t="str">
        <f>IFERROR(__xludf.DUMMYFUNCTION("""COMPUTED_VALUE"""),"")</f>
        <v/>
      </c>
    </row>
    <row r="2692" ht="48.0" customHeight="1">
      <c r="A2692" s="3"/>
      <c r="B2692" s="4"/>
      <c r="C2692" s="4"/>
      <c r="D2692" s="4"/>
      <c r="E2692" s="4"/>
      <c r="F2692" s="4"/>
      <c r="G2692" s="5"/>
      <c r="H2692" s="6"/>
      <c r="I2692" s="7"/>
      <c r="J2692" s="6"/>
      <c r="K2692" s="6"/>
      <c r="L2692" s="3"/>
      <c r="M2692" s="3" t="str">
        <f>IFERROR(__xludf.DUMMYFUNCTION("""COMPUTED_VALUE"""),"")</f>
        <v/>
      </c>
    </row>
    <row r="2693" ht="48.0" customHeight="1">
      <c r="A2693" s="3"/>
      <c r="B2693" s="4"/>
      <c r="C2693" s="4"/>
      <c r="D2693" s="4"/>
      <c r="E2693" s="4"/>
      <c r="F2693" s="4"/>
      <c r="G2693" s="5"/>
      <c r="H2693" s="6"/>
      <c r="I2693" s="7"/>
      <c r="J2693" s="6"/>
      <c r="K2693" s="6"/>
      <c r="L2693" s="3"/>
      <c r="M2693" s="3" t="str">
        <f>IFERROR(__xludf.DUMMYFUNCTION("""COMPUTED_VALUE"""),"")</f>
        <v/>
      </c>
    </row>
    <row r="2694" ht="48.0" customHeight="1">
      <c r="A2694" s="3"/>
      <c r="B2694" s="4"/>
      <c r="C2694" s="4"/>
      <c r="D2694" s="4"/>
      <c r="E2694" s="4"/>
      <c r="F2694" s="4"/>
      <c r="G2694" s="5"/>
      <c r="H2694" s="6"/>
      <c r="I2694" s="7"/>
      <c r="J2694" s="6"/>
      <c r="K2694" s="6"/>
      <c r="L2694" s="3"/>
      <c r="M2694" s="3" t="str">
        <f>IFERROR(__xludf.DUMMYFUNCTION("""COMPUTED_VALUE"""),"")</f>
        <v/>
      </c>
    </row>
    <row r="2695" ht="48.0" customHeight="1">
      <c r="A2695" s="3"/>
      <c r="B2695" s="4"/>
      <c r="C2695" s="4"/>
      <c r="D2695" s="4"/>
      <c r="E2695" s="4"/>
      <c r="F2695" s="4"/>
      <c r="G2695" s="5"/>
      <c r="H2695" s="6"/>
      <c r="I2695" s="7"/>
      <c r="J2695" s="6"/>
      <c r="K2695" s="6"/>
      <c r="L2695" s="3"/>
      <c r="M2695" s="3" t="str">
        <f>IFERROR(__xludf.DUMMYFUNCTION("""COMPUTED_VALUE"""),"")</f>
        <v/>
      </c>
    </row>
    <row r="2696" ht="48.0" customHeight="1">
      <c r="A2696" s="3"/>
      <c r="B2696" s="4"/>
      <c r="C2696" s="4"/>
      <c r="D2696" s="4"/>
      <c r="E2696" s="4"/>
      <c r="F2696" s="4"/>
      <c r="G2696" s="5"/>
      <c r="H2696" s="6"/>
      <c r="I2696" s="7"/>
      <c r="J2696" s="6"/>
      <c r="K2696" s="6"/>
      <c r="L2696" s="3"/>
      <c r="M2696" s="3" t="str">
        <f>IFERROR(__xludf.DUMMYFUNCTION("""COMPUTED_VALUE"""),"")</f>
        <v/>
      </c>
    </row>
    <row r="2697" ht="48.0" customHeight="1">
      <c r="A2697" s="3"/>
      <c r="B2697" s="4"/>
      <c r="C2697" s="4"/>
      <c r="D2697" s="4"/>
      <c r="E2697" s="4"/>
      <c r="F2697" s="4"/>
      <c r="G2697" s="5"/>
      <c r="H2697" s="6"/>
      <c r="I2697" s="7"/>
      <c r="J2697" s="6"/>
      <c r="K2697" s="6"/>
      <c r="L2697" s="3"/>
      <c r="M2697" s="3" t="str">
        <f>IFERROR(__xludf.DUMMYFUNCTION("""COMPUTED_VALUE"""),"")</f>
        <v/>
      </c>
    </row>
    <row r="2698" ht="48.0" customHeight="1">
      <c r="A2698" s="3"/>
      <c r="B2698" s="4"/>
      <c r="C2698" s="4"/>
      <c r="D2698" s="4"/>
      <c r="E2698" s="4"/>
      <c r="F2698" s="4"/>
      <c r="G2698" s="5"/>
      <c r="H2698" s="6"/>
      <c r="I2698" s="7"/>
      <c r="J2698" s="6"/>
      <c r="K2698" s="6"/>
      <c r="L2698" s="3"/>
      <c r="M2698" s="3" t="str">
        <f>IFERROR(__xludf.DUMMYFUNCTION("""COMPUTED_VALUE"""),"")</f>
        <v/>
      </c>
    </row>
    <row r="2699" ht="48.0" customHeight="1">
      <c r="A2699" s="3"/>
      <c r="B2699" s="4"/>
      <c r="C2699" s="4"/>
      <c r="D2699" s="4"/>
      <c r="E2699" s="4"/>
      <c r="F2699" s="4"/>
      <c r="G2699" s="5"/>
      <c r="H2699" s="6"/>
      <c r="I2699" s="7"/>
      <c r="J2699" s="6"/>
      <c r="K2699" s="6"/>
      <c r="L2699" s="3"/>
      <c r="M2699" s="3" t="str">
        <f>IFERROR(__xludf.DUMMYFUNCTION("""COMPUTED_VALUE"""),"")</f>
        <v/>
      </c>
    </row>
    <row r="2700" ht="48.0" customHeight="1">
      <c r="A2700" s="3"/>
      <c r="B2700" s="4"/>
      <c r="C2700" s="4"/>
      <c r="D2700" s="4"/>
      <c r="E2700" s="4"/>
      <c r="F2700" s="4"/>
      <c r="G2700" s="5"/>
      <c r="H2700" s="6"/>
      <c r="I2700" s="7"/>
      <c r="J2700" s="6"/>
      <c r="K2700" s="6"/>
      <c r="L2700" s="3"/>
      <c r="M2700" s="3" t="str">
        <f>IFERROR(__xludf.DUMMYFUNCTION("""COMPUTED_VALUE"""),"")</f>
        <v/>
      </c>
    </row>
    <row r="2701" ht="48.0" customHeight="1">
      <c r="A2701" s="3"/>
      <c r="B2701" s="4"/>
      <c r="C2701" s="4"/>
      <c r="D2701" s="4"/>
      <c r="E2701" s="4"/>
      <c r="F2701" s="4"/>
      <c r="G2701" s="5"/>
      <c r="H2701" s="6"/>
      <c r="I2701" s="7"/>
      <c r="J2701" s="6"/>
      <c r="K2701" s="6"/>
      <c r="L2701" s="3"/>
      <c r="M2701" s="3" t="str">
        <f>IFERROR(__xludf.DUMMYFUNCTION("""COMPUTED_VALUE"""),"")</f>
        <v/>
      </c>
    </row>
    <row r="2702" ht="48.0" customHeight="1">
      <c r="A2702" s="3"/>
      <c r="B2702" s="4"/>
      <c r="C2702" s="4"/>
      <c r="D2702" s="4"/>
      <c r="E2702" s="4"/>
      <c r="F2702" s="4"/>
      <c r="G2702" s="5"/>
      <c r="H2702" s="6"/>
      <c r="I2702" s="7"/>
      <c r="J2702" s="6"/>
      <c r="K2702" s="6"/>
      <c r="L2702" s="3"/>
      <c r="M2702" s="3" t="str">
        <f>IFERROR(__xludf.DUMMYFUNCTION("""COMPUTED_VALUE"""),"")</f>
        <v/>
      </c>
    </row>
    <row r="2703" ht="48.0" customHeight="1">
      <c r="A2703" s="3"/>
      <c r="B2703" s="4"/>
      <c r="C2703" s="4"/>
      <c r="D2703" s="4"/>
      <c r="E2703" s="4"/>
      <c r="F2703" s="4"/>
      <c r="G2703" s="5"/>
      <c r="H2703" s="6"/>
      <c r="I2703" s="7"/>
      <c r="J2703" s="6"/>
      <c r="K2703" s="6"/>
      <c r="L2703" s="3"/>
      <c r="M2703" s="3" t="str">
        <f>IFERROR(__xludf.DUMMYFUNCTION("""COMPUTED_VALUE"""),"")</f>
        <v/>
      </c>
    </row>
    <row r="2704" ht="48.0" customHeight="1">
      <c r="A2704" s="3"/>
      <c r="B2704" s="4"/>
      <c r="C2704" s="4"/>
      <c r="D2704" s="4"/>
      <c r="E2704" s="4"/>
      <c r="F2704" s="4"/>
      <c r="G2704" s="5"/>
      <c r="H2704" s="6"/>
      <c r="I2704" s="7"/>
      <c r="J2704" s="6"/>
      <c r="K2704" s="6"/>
      <c r="L2704" s="3"/>
      <c r="M2704" s="3" t="str">
        <f>IFERROR(__xludf.DUMMYFUNCTION("""COMPUTED_VALUE"""),"")</f>
        <v/>
      </c>
    </row>
    <row r="2705" ht="48.0" customHeight="1">
      <c r="A2705" s="3"/>
      <c r="B2705" s="4"/>
      <c r="C2705" s="4"/>
      <c r="D2705" s="4"/>
      <c r="E2705" s="4"/>
      <c r="F2705" s="4"/>
      <c r="G2705" s="5"/>
      <c r="H2705" s="6"/>
      <c r="I2705" s="7"/>
      <c r="J2705" s="6"/>
      <c r="K2705" s="6"/>
      <c r="L2705" s="3"/>
      <c r="M2705" s="3" t="str">
        <f>IFERROR(__xludf.DUMMYFUNCTION("""COMPUTED_VALUE"""),"")</f>
        <v/>
      </c>
    </row>
    <row r="2706" ht="48.0" customHeight="1">
      <c r="A2706" s="3"/>
      <c r="B2706" s="4"/>
      <c r="C2706" s="4"/>
      <c r="D2706" s="4"/>
      <c r="E2706" s="4"/>
      <c r="F2706" s="4"/>
      <c r="G2706" s="5"/>
      <c r="H2706" s="6"/>
      <c r="I2706" s="7"/>
      <c r="J2706" s="6"/>
      <c r="K2706" s="6"/>
      <c r="L2706" s="3"/>
      <c r="M2706" s="3" t="str">
        <f>IFERROR(__xludf.DUMMYFUNCTION("""COMPUTED_VALUE"""),"")</f>
        <v/>
      </c>
    </row>
    <row r="2707" ht="48.0" customHeight="1">
      <c r="A2707" s="3"/>
      <c r="B2707" s="4"/>
      <c r="C2707" s="4"/>
      <c r="D2707" s="4"/>
      <c r="E2707" s="4"/>
      <c r="F2707" s="4"/>
      <c r="G2707" s="5"/>
      <c r="H2707" s="6"/>
      <c r="I2707" s="7"/>
      <c r="J2707" s="6"/>
      <c r="K2707" s="6"/>
      <c r="L2707" s="3"/>
      <c r="M2707" s="3" t="str">
        <f>IFERROR(__xludf.DUMMYFUNCTION("""COMPUTED_VALUE"""),"")</f>
        <v/>
      </c>
    </row>
    <row r="2708" ht="48.0" customHeight="1">
      <c r="A2708" s="3"/>
      <c r="B2708" s="4"/>
      <c r="C2708" s="4"/>
      <c r="D2708" s="4"/>
      <c r="E2708" s="4"/>
      <c r="F2708" s="4"/>
      <c r="G2708" s="5"/>
      <c r="H2708" s="6"/>
      <c r="I2708" s="7"/>
      <c r="J2708" s="6"/>
      <c r="K2708" s="6"/>
      <c r="L2708" s="3"/>
      <c r="M2708" s="3" t="str">
        <f>IFERROR(__xludf.DUMMYFUNCTION("""COMPUTED_VALUE"""),"")</f>
        <v/>
      </c>
    </row>
    <row r="2709" ht="48.0" customHeight="1">
      <c r="A2709" s="3"/>
      <c r="B2709" s="4"/>
      <c r="C2709" s="4"/>
      <c r="D2709" s="4"/>
      <c r="E2709" s="4"/>
      <c r="F2709" s="4"/>
      <c r="G2709" s="5"/>
      <c r="H2709" s="6"/>
      <c r="I2709" s="7"/>
      <c r="J2709" s="6"/>
      <c r="K2709" s="6"/>
      <c r="L2709" s="3"/>
      <c r="M2709" s="3" t="str">
        <f>IFERROR(__xludf.DUMMYFUNCTION("""COMPUTED_VALUE"""),"")</f>
        <v/>
      </c>
    </row>
    <row r="2710" ht="48.0" customHeight="1">
      <c r="A2710" s="3"/>
      <c r="B2710" s="4"/>
      <c r="C2710" s="4"/>
      <c r="D2710" s="4"/>
      <c r="E2710" s="4"/>
      <c r="F2710" s="4"/>
      <c r="G2710" s="5"/>
      <c r="H2710" s="6"/>
      <c r="I2710" s="7"/>
      <c r="J2710" s="6"/>
      <c r="K2710" s="6"/>
      <c r="L2710" s="3"/>
      <c r="M2710" s="3" t="str">
        <f>IFERROR(__xludf.DUMMYFUNCTION("""COMPUTED_VALUE"""),"")</f>
        <v/>
      </c>
    </row>
    <row r="2711" ht="48.0" customHeight="1">
      <c r="A2711" s="3"/>
      <c r="B2711" s="4"/>
      <c r="C2711" s="4"/>
      <c r="D2711" s="4"/>
      <c r="E2711" s="4"/>
      <c r="F2711" s="4"/>
      <c r="G2711" s="5"/>
      <c r="H2711" s="6"/>
      <c r="I2711" s="7"/>
      <c r="J2711" s="6"/>
      <c r="K2711" s="6"/>
      <c r="L2711" s="3"/>
      <c r="M2711" s="3" t="str">
        <f>IFERROR(__xludf.DUMMYFUNCTION("""COMPUTED_VALUE"""),"")</f>
        <v/>
      </c>
    </row>
    <row r="2712" ht="48.0" customHeight="1">
      <c r="A2712" s="3"/>
      <c r="B2712" s="4"/>
      <c r="C2712" s="4"/>
      <c r="D2712" s="4"/>
      <c r="E2712" s="4"/>
      <c r="F2712" s="4"/>
      <c r="G2712" s="5"/>
      <c r="H2712" s="6"/>
      <c r="I2712" s="7"/>
      <c r="J2712" s="6"/>
      <c r="K2712" s="6"/>
      <c r="L2712" s="3"/>
      <c r="M2712" s="3" t="str">
        <f>IFERROR(__xludf.DUMMYFUNCTION("""COMPUTED_VALUE"""),"")</f>
        <v/>
      </c>
    </row>
    <row r="2713" ht="48.0" customHeight="1">
      <c r="A2713" s="3"/>
      <c r="B2713" s="4"/>
      <c r="C2713" s="4"/>
      <c r="D2713" s="4"/>
      <c r="E2713" s="4"/>
      <c r="F2713" s="4"/>
      <c r="G2713" s="5"/>
      <c r="H2713" s="6"/>
      <c r="I2713" s="7"/>
      <c r="J2713" s="6"/>
      <c r="K2713" s="6"/>
      <c r="L2713" s="3"/>
      <c r="M2713" s="3" t="str">
        <f>IFERROR(__xludf.DUMMYFUNCTION("""COMPUTED_VALUE"""),"")</f>
        <v/>
      </c>
    </row>
    <row r="2714" ht="48.0" customHeight="1">
      <c r="A2714" s="3"/>
      <c r="B2714" s="4"/>
      <c r="C2714" s="4"/>
      <c r="D2714" s="4"/>
      <c r="E2714" s="4"/>
      <c r="F2714" s="4"/>
      <c r="G2714" s="5"/>
      <c r="H2714" s="6"/>
      <c r="I2714" s="7"/>
      <c r="J2714" s="6"/>
      <c r="K2714" s="6"/>
      <c r="L2714" s="3"/>
      <c r="M2714" s="3" t="str">
        <f>IFERROR(__xludf.DUMMYFUNCTION("""COMPUTED_VALUE"""),"")</f>
        <v/>
      </c>
    </row>
    <row r="2715" ht="48.0" customHeight="1">
      <c r="A2715" s="3"/>
      <c r="B2715" s="4"/>
      <c r="C2715" s="4"/>
      <c r="D2715" s="4"/>
      <c r="E2715" s="4"/>
      <c r="F2715" s="4"/>
      <c r="G2715" s="5"/>
      <c r="H2715" s="6"/>
      <c r="I2715" s="7"/>
      <c r="J2715" s="6"/>
      <c r="K2715" s="6"/>
      <c r="L2715" s="3"/>
      <c r="M2715" s="3" t="str">
        <f>IFERROR(__xludf.DUMMYFUNCTION("""COMPUTED_VALUE"""),"")</f>
        <v/>
      </c>
    </row>
    <row r="2716" ht="48.0" customHeight="1">
      <c r="A2716" s="3"/>
      <c r="B2716" s="4"/>
      <c r="C2716" s="4"/>
      <c r="D2716" s="4"/>
      <c r="E2716" s="4"/>
      <c r="F2716" s="4"/>
      <c r="G2716" s="5"/>
      <c r="H2716" s="6"/>
      <c r="I2716" s="7"/>
      <c r="J2716" s="6"/>
      <c r="K2716" s="6"/>
      <c r="L2716" s="3"/>
      <c r="M2716" s="3" t="str">
        <f>IFERROR(__xludf.DUMMYFUNCTION("""COMPUTED_VALUE"""),"")</f>
        <v/>
      </c>
    </row>
    <row r="2717" ht="48.0" customHeight="1">
      <c r="A2717" s="3"/>
      <c r="B2717" s="4"/>
      <c r="C2717" s="4"/>
      <c r="D2717" s="4"/>
      <c r="E2717" s="4"/>
      <c r="F2717" s="4"/>
      <c r="G2717" s="5"/>
      <c r="H2717" s="6"/>
      <c r="I2717" s="7"/>
      <c r="J2717" s="6"/>
      <c r="K2717" s="6"/>
      <c r="L2717" s="3"/>
      <c r="M2717" s="3" t="str">
        <f>IFERROR(__xludf.DUMMYFUNCTION("""COMPUTED_VALUE"""),"")</f>
        <v/>
      </c>
    </row>
    <row r="2718" ht="48.0" customHeight="1">
      <c r="A2718" s="3"/>
      <c r="B2718" s="4"/>
      <c r="C2718" s="4"/>
      <c r="D2718" s="4"/>
      <c r="E2718" s="4"/>
      <c r="F2718" s="4"/>
      <c r="G2718" s="5"/>
      <c r="H2718" s="6"/>
      <c r="I2718" s="7"/>
      <c r="J2718" s="6"/>
      <c r="K2718" s="6"/>
      <c r="L2718" s="3"/>
      <c r="M2718" s="3" t="str">
        <f>IFERROR(__xludf.DUMMYFUNCTION("""COMPUTED_VALUE"""),"")</f>
        <v/>
      </c>
    </row>
    <row r="2719" ht="48.0" customHeight="1">
      <c r="A2719" s="3"/>
      <c r="B2719" s="4"/>
      <c r="C2719" s="4"/>
      <c r="D2719" s="4"/>
      <c r="E2719" s="4"/>
      <c r="F2719" s="4"/>
      <c r="G2719" s="5"/>
      <c r="H2719" s="6"/>
      <c r="I2719" s="7"/>
      <c r="J2719" s="6"/>
      <c r="K2719" s="6"/>
      <c r="L2719" s="3"/>
      <c r="M2719" s="3" t="str">
        <f>IFERROR(__xludf.DUMMYFUNCTION("""COMPUTED_VALUE"""),"")</f>
        <v/>
      </c>
    </row>
    <row r="2720" ht="48.0" customHeight="1">
      <c r="A2720" s="3"/>
      <c r="B2720" s="4"/>
      <c r="C2720" s="4"/>
      <c r="D2720" s="4"/>
      <c r="E2720" s="4"/>
      <c r="F2720" s="4"/>
      <c r="G2720" s="5"/>
      <c r="H2720" s="6"/>
      <c r="I2720" s="7"/>
      <c r="J2720" s="6"/>
      <c r="K2720" s="6"/>
      <c r="L2720" s="3"/>
      <c r="M2720" s="3" t="str">
        <f>IFERROR(__xludf.DUMMYFUNCTION("""COMPUTED_VALUE"""),"")</f>
        <v/>
      </c>
    </row>
    <row r="2721" ht="48.0" customHeight="1">
      <c r="A2721" s="3"/>
      <c r="B2721" s="4"/>
      <c r="C2721" s="4"/>
      <c r="D2721" s="4"/>
      <c r="E2721" s="4"/>
      <c r="F2721" s="4"/>
      <c r="G2721" s="5"/>
      <c r="H2721" s="6"/>
      <c r="I2721" s="7"/>
      <c r="J2721" s="6"/>
      <c r="K2721" s="6"/>
      <c r="L2721" s="3"/>
      <c r="M2721" s="3" t="str">
        <f>IFERROR(__xludf.DUMMYFUNCTION("""COMPUTED_VALUE"""),"")</f>
        <v/>
      </c>
    </row>
    <row r="2722" ht="48.0" customHeight="1">
      <c r="A2722" s="3"/>
      <c r="B2722" s="4"/>
      <c r="C2722" s="4"/>
      <c r="D2722" s="4"/>
      <c r="E2722" s="4"/>
      <c r="F2722" s="4"/>
      <c r="G2722" s="5"/>
      <c r="H2722" s="6"/>
      <c r="I2722" s="7"/>
      <c r="J2722" s="6"/>
      <c r="K2722" s="6"/>
      <c r="L2722" s="3"/>
      <c r="M2722" s="3" t="str">
        <f>IFERROR(__xludf.DUMMYFUNCTION("""COMPUTED_VALUE"""),"")</f>
        <v/>
      </c>
    </row>
    <row r="2723" ht="48.0" customHeight="1">
      <c r="A2723" s="3"/>
      <c r="B2723" s="4"/>
      <c r="C2723" s="4"/>
      <c r="D2723" s="4"/>
      <c r="E2723" s="4"/>
      <c r="F2723" s="4"/>
      <c r="G2723" s="5"/>
      <c r="H2723" s="6"/>
      <c r="I2723" s="7"/>
      <c r="J2723" s="6"/>
      <c r="K2723" s="6"/>
      <c r="L2723" s="3"/>
      <c r="M2723" s="3" t="str">
        <f>IFERROR(__xludf.DUMMYFUNCTION("""COMPUTED_VALUE"""),"")</f>
        <v/>
      </c>
    </row>
    <row r="2724" ht="48.0" customHeight="1">
      <c r="A2724" s="3"/>
      <c r="B2724" s="4"/>
      <c r="C2724" s="4"/>
      <c r="D2724" s="4"/>
      <c r="E2724" s="4"/>
      <c r="F2724" s="4"/>
      <c r="G2724" s="5"/>
      <c r="H2724" s="6"/>
      <c r="I2724" s="7"/>
      <c r="J2724" s="6"/>
      <c r="K2724" s="6"/>
      <c r="L2724" s="3"/>
      <c r="M2724" s="3" t="str">
        <f>IFERROR(__xludf.DUMMYFUNCTION("""COMPUTED_VALUE"""),"")</f>
        <v/>
      </c>
    </row>
    <row r="2725" ht="48.0" customHeight="1">
      <c r="A2725" s="3"/>
      <c r="B2725" s="4"/>
      <c r="C2725" s="4"/>
      <c r="D2725" s="4"/>
      <c r="E2725" s="4"/>
      <c r="F2725" s="4"/>
      <c r="G2725" s="5"/>
      <c r="H2725" s="6"/>
      <c r="I2725" s="7"/>
      <c r="J2725" s="6"/>
      <c r="K2725" s="6"/>
      <c r="L2725" s="3"/>
      <c r="M2725" s="3" t="str">
        <f>IFERROR(__xludf.DUMMYFUNCTION("""COMPUTED_VALUE"""),"")</f>
        <v/>
      </c>
    </row>
    <row r="2726" ht="48.0" customHeight="1">
      <c r="A2726" s="3"/>
      <c r="B2726" s="4"/>
      <c r="C2726" s="4"/>
      <c r="D2726" s="4"/>
      <c r="E2726" s="4"/>
      <c r="F2726" s="4"/>
      <c r="G2726" s="5"/>
      <c r="H2726" s="6"/>
      <c r="I2726" s="7"/>
      <c r="J2726" s="6"/>
      <c r="K2726" s="6"/>
      <c r="L2726" s="3"/>
      <c r="M2726" s="3" t="str">
        <f>IFERROR(__xludf.DUMMYFUNCTION("""COMPUTED_VALUE"""),"")</f>
        <v/>
      </c>
    </row>
    <row r="2727" ht="48.0" customHeight="1">
      <c r="A2727" s="3"/>
      <c r="B2727" s="4"/>
      <c r="C2727" s="4"/>
      <c r="D2727" s="4"/>
      <c r="E2727" s="4"/>
      <c r="F2727" s="4"/>
      <c r="G2727" s="5"/>
      <c r="H2727" s="6"/>
      <c r="I2727" s="7"/>
      <c r="J2727" s="6"/>
      <c r="K2727" s="6"/>
      <c r="L2727" s="3"/>
      <c r="M2727" s="3" t="str">
        <f>IFERROR(__xludf.DUMMYFUNCTION("""COMPUTED_VALUE"""),"")</f>
        <v/>
      </c>
    </row>
    <row r="2728" ht="48.0" customHeight="1">
      <c r="A2728" s="3"/>
      <c r="B2728" s="4"/>
      <c r="C2728" s="4"/>
      <c r="D2728" s="4"/>
      <c r="E2728" s="4"/>
      <c r="F2728" s="4"/>
      <c r="G2728" s="5"/>
      <c r="H2728" s="6"/>
      <c r="I2728" s="7"/>
      <c r="J2728" s="6"/>
      <c r="K2728" s="6"/>
      <c r="L2728" s="3"/>
      <c r="M2728" s="3" t="str">
        <f>IFERROR(__xludf.DUMMYFUNCTION("""COMPUTED_VALUE"""),"")</f>
        <v/>
      </c>
    </row>
    <row r="2729" ht="48.0" customHeight="1">
      <c r="A2729" s="3"/>
      <c r="B2729" s="4"/>
      <c r="C2729" s="4"/>
      <c r="D2729" s="4"/>
      <c r="E2729" s="4"/>
      <c r="F2729" s="4"/>
      <c r="G2729" s="5"/>
      <c r="H2729" s="6"/>
      <c r="I2729" s="7"/>
      <c r="J2729" s="6"/>
      <c r="K2729" s="6"/>
      <c r="L2729" s="3"/>
      <c r="M2729" s="3" t="str">
        <f>IFERROR(__xludf.DUMMYFUNCTION("""COMPUTED_VALUE"""),"")</f>
        <v/>
      </c>
    </row>
    <row r="2730" ht="48.0" customHeight="1">
      <c r="A2730" s="3"/>
      <c r="B2730" s="4"/>
      <c r="C2730" s="4"/>
      <c r="D2730" s="4"/>
      <c r="E2730" s="4"/>
      <c r="F2730" s="4"/>
      <c r="G2730" s="5"/>
      <c r="H2730" s="6"/>
      <c r="I2730" s="7"/>
      <c r="J2730" s="6"/>
      <c r="K2730" s="6"/>
      <c r="L2730" s="3"/>
      <c r="M2730" s="3" t="str">
        <f>IFERROR(__xludf.DUMMYFUNCTION("""COMPUTED_VALUE"""),"")</f>
        <v/>
      </c>
    </row>
    <row r="2731" ht="48.0" customHeight="1">
      <c r="A2731" s="3"/>
      <c r="B2731" s="4"/>
      <c r="C2731" s="4"/>
      <c r="D2731" s="4"/>
      <c r="E2731" s="4"/>
      <c r="F2731" s="4"/>
      <c r="G2731" s="5"/>
      <c r="H2731" s="6"/>
      <c r="I2731" s="7"/>
      <c r="J2731" s="6"/>
      <c r="K2731" s="6"/>
      <c r="L2731" s="3"/>
      <c r="M2731" s="3" t="str">
        <f>IFERROR(__xludf.DUMMYFUNCTION("""COMPUTED_VALUE"""),"")</f>
        <v/>
      </c>
    </row>
    <row r="2732" ht="48.0" customHeight="1">
      <c r="A2732" s="3"/>
      <c r="B2732" s="4"/>
      <c r="C2732" s="4"/>
      <c r="D2732" s="4"/>
      <c r="E2732" s="4"/>
      <c r="F2732" s="4"/>
      <c r="G2732" s="5"/>
      <c r="H2732" s="6"/>
      <c r="I2732" s="7"/>
      <c r="J2732" s="6"/>
      <c r="K2732" s="6"/>
      <c r="L2732" s="3"/>
      <c r="M2732" s="3" t="str">
        <f>IFERROR(__xludf.DUMMYFUNCTION("""COMPUTED_VALUE"""),"")</f>
        <v/>
      </c>
    </row>
    <row r="2733" ht="48.0" customHeight="1">
      <c r="A2733" s="3"/>
      <c r="B2733" s="4"/>
      <c r="C2733" s="4"/>
      <c r="D2733" s="4"/>
      <c r="E2733" s="4"/>
      <c r="F2733" s="4"/>
      <c r="G2733" s="5"/>
      <c r="H2733" s="6"/>
      <c r="I2733" s="7"/>
      <c r="J2733" s="6"/>
      <c r="K2733" s="6"/>
      <c r="L2733" s="3"/>
      <c r="M2733" s="3" t="str">
        <f>IFERROR(__xludf.DUMMYFUNCTION("""COMPUTED_VALUE"""),"")</f>
        <v/>
      </c>
    </row>
    <row r="2734" ht="48.0" customHeight="1">
      <c r="A2734" s="3"/>
      <c r="B2734" s="4"/>
      <c r="C2734" s="4"/>
      <c r="D2734" s="4"/>
      <c r="E2734" s="4"/>
      <c r="F2734" s="4"/>
      <c r="G2734" s="5"/>
      <c r="H2734" s="6"/>
      <c r="I2734" s="7"/>
      <c r="J2734" s="6"/>
      <c r="K2734" s="6"/>
      <c r="L2734" s="3"/>
      <c r="M2734" s="3" t="str">
        <f>IFERROR(__xludf.DUMMYFUNCTION("""COMPUTED_VALUE"""),"")</f>
        <v/>
      </c>
    </row>
    <row r="2735" ht="48.0" customHeight="1">
      <c r="A2735" s="3"/>
      <c r="B2735" s="4"/>
      <c r="C2735" s="4"/>
      <c r="D2735" s="4"/>
      <c r="E2735" s="4"/>
      <c r="F2735" s="4"/>
      <c r="G2735" s="5"/>
      <c r="H2735" s="6"/>
      <c r="I2735" s="7"/>
      <c r="J2735" s="6"/>
      <c r="K2735" s="6"/>
      <c r="L2735" s="3"/>
      <c r="M2735" s="3" t="str">
        <f>IFERROR(__xludf.DUMMYFUNCTION("""COMPUTED_VALUE"""),"")</f>
        <v/>
      </c>
    </row>
    <row r="2736" ht="48.0" customHeight="1">
      <c r="A2736" s="3"/>
      <c r="B2736" s="4"/>
      <c r="C2736" s="4"/>
      <c r="D2736" s="4"/>
      <c r="E2736" s="4"/>
      <c r="F2736" s="4"/>
      <c r="G2736" s="5"/>
      <c r="H2736" s="6"/>
      <c r="I2736" s="7"/>
      <c r="J2736" s="6"/>
      <c r="K2736" s="6"/>
      <c r="L2736" s="3"/>
      <c r="M2736" s="3" t="str">
        <f>IFERROR(__xludf.DUMMYFUNCTION("""COMPUTED_VALUE"""),"")</f>
        <v/>
      </c>
    </row>
    <row r="2737" ht="48.0" customHeight="1">
      <c r="A2737" s="3"/>
      <c r="B2737" s="4"/>
      <c r="C2737" s="4"/>
      <c r="D2737" s="4"/>
      <c r="E2737" s="4"/>
      <c r="F2737" s="4"/>
      <c r="G2737" s="5"/>
      <c r="H2737" s="6"/>
      <c r="I2737" s="7"/>
      <c r="J2737" s="6"/>
      <c r="K2737" s="6"/>
      <c r="L2737" s="3"/>
      <c r="M2737" s="3" t="str">
        <f>IFERROR(__xludf.DUMMYFUNCTION("""COMPUTED_VALUE"""),"")</f>
        <v/>
      </c>
    </row>
    <row r="2738" ht="48.0" customHeight="1">
      <c r="A2738" s="3"/>
      <c r="B2738" s="4"/>
      <c r="C2738" s="4"/>
      <c r="D2738" s="4"/>
      <c r="E2738" s="4"/>
      <c r="F2738" s="4"/>
      <c r="G2738" s="5"/>
      <c r="H2738" s="6"/>
      <c r="I2738" s="7"/>
      <c r="J2738" s="6"/>
      <c r="K2738" s="6"/>
      <c r="L2738" s="3"/>
      <c r="M2738" s="3" t="str">
        <f>IFERROR(__xludf.DUMMYFUNCTION("""COMPUTED_VALUE"""),"")</f>
        <v/>
      </c>
    </row>
    <row r="2739" ht="48.0" customHeight="1">
      <c r="A2739" s="3"/>
      <c r="B2739" s="4"/>
      <c r="C2739" s="4"/>
      <c r="D2739" s="4"/>
      <c r="E2739" s="4"/>
      <c r="F2739" s="4"/>
      <c r="G2739" s="5"/>
      <c r="H2739" s="6"/>
      <c r="I2739" s="7"/>
      <c r="J2739" s="6"/>
      <c r="K2739" s="6"/>
      <c r="L2739" s="3"/>
      <c r="M2739" s="3" t="str">
        <f>IFERROR(__xludf.DUMMYFUNCTION("""COMPUTED_VALUE"""),"")</f>
        <v/>
      </c>
    </row>
    <row r="2740" ht="48.0" customHeight="1">
      <c r="A2740" s="3"/>
      <c r="B2740" s="4"/>
      <c r="C2740" s="4"/>
      <c r="D2740" s="4"/>
      <c r="E2740" s="4"/>
      <c r="F2740" s="4"/>
      <c r="G2740" s="5"/>
      <c r="H2740" s="6"/>
      <c r="I2740" s="7"/>
      <c r="J2740" s="6"/>
      <c r="K2740" s="6"/>
      <c r="L2740" s="3"/>
      <c r="M2740" s="3" t="str">
        <f>IFERROR(__xludf.DUMMYFUNCTION("""COMPUTED_VALUE"""),"")</f>
        <v/>
      </c>
    </row>
    <row r="2741" ht="48.0" customHeight="1">
      <c r="A2741" s="3"/>
      <c r="B2741" s="4"/>
      <c r="C2741" s="4"/>
      <c r="D2741" s="4"/>
      <c r="E2741" s="4"/>
      <c r="F2741" s="4"/>
      <c r="G2741" s="5"/>
      <c r="H2741" s="6"/>
      <c r="I2741" s="7"/>
      <c r="J2741" s="6"/>
      <c r="K2741" s="6"/>
      <c r="L2741" s="3"/>
      <c r="M2741" s="3" t="str">
        <f>IFERROR(__xludf.DUMMYFUNCTION("""COMPUTED_VALUE"""),"")</f>
        <v/>
      </c>
    </row>
    <row r="2742" ht="48.0" customHeight="1">
      <c r="A2742" s="3"/>
      <c r="B2742" s="4"/>
      <c r="C2742" s="4"/>
      <c r="D2742" s="4"/>
      <c r="E2742" s="4"/>
      <c r="F2742" s="4"/>
      <c r="G2742" s="5"/>
      <c r="H2742" s="6"/>
      <c r="I2742" s="7"/>
      <c r="J2742" s="6"/>
      <c r="K2742" s="6"/>
      <c r="L2742" s="3"/>
      <c r="M2742" s="3" t="str">
        <f>IFERROR(__xludf.DUMMYFUNCTION("""COMPUTED_VALUE"""),"")</f>
        <v/>
      </c>
    </row>
    <row r="2743" ht="48.0" customHeight="1">
      <c r="A2743" s="3"/>
      <c r="B2743" s="4"/>
      <c r="C2743" s="4"/>
      <c r="D2743" s="4"/>
      <c r="E2743" s="4"/>
      <c r="F2743" s="4"/>
      <c r="G2743" s="5"/>
      <c r="H2743" s="6"/>
      <c r="I2743" s="7"/>
      <c r="J2743" s="6"/>
      <c r="K2743" s="6"/>
      <c r="L2743" s="3"/>
      <c r="M2743" s="3" t="str">
        <f>IFERROR(__xludf.DUMMYFUNCTION("""COMPUTED_VALUE"""),"")</f>
        <v/>
      </c>
    </row>
    <row r="2744" ht="48.0" customHeight="1">
      <c r="A2744" s="3"/>
      <c r="B2744" s="4"/>
      <c r="C2744" s="4"/>
      <c r="D2744" s="4"/>
      <c r="E2744" s="4"/>
      <c r="F2744" s="4"/>
      <c r="G2744" s="5"/>
      <c r="H2744" s="6"/>
      <c r="I2744" s="7"/>
      <c r="J2744" s="6"/>
      <c r="K2744" s="6"/>
      <c r="L2744" s="3"/>
      <c r="M2744" s="3" t="str">
        <f>IFERROR(__xludf.DUMMYFUNCTION("""COMPUTED_VALUE"""),"")</f>
        <v/>
      </c>
    </row>
    <row r="2745" ht="48.0" customHeight="1">
      <c r="A2745" s="3"/>
      <c r="B2745" s="4"/>
      <c r="C2745" s="4"/>
      <c r="D2745" s="4"/>
      <c r="E2745" s="4"/>
      <c r="F2745" s="4"/>
      <c r="G2745" s="5"/>
      <c r="H2745" s="6"/>
      <c r="I2745" s="7"/>
      <c r="J2745" s="6"/>
      <c r="K2745" s="6"/>
      <c r="L2745" s="3"/>
      <c r="M2745" s="3" t="str">
        <f>IFERROR(__xludf.DUMMYFUNCTION("""COMPUTED_VALUE"""),"")</f>
        <v/>
      </c>
    </row>
    <row r="2746" ht="48.0" customHeight="1">
      <c r="A2746" s="3"/>
      <c r="B2746" s="4"/>
      <c r="C2746" s="4"/>
      <c r="D2746" s="4"/>
      <c r="E2746" s="4"/>
      <c r="F2746" s="4"/>
      <c r="G2746" s="5"/>
      <c r="H2746" s="6"/>
      <c r="I2746" s="7"/>
      <c r="J2746" s="6"/>
      <c r="K2746" s="6"/>
      <c r="L2746" s="3"/>
      <c r="M2746" s="3" t="str">
        <f>IFERROR(__xludf.DUMMYFUNCTION("""COMPUTED_VALUE"""),"")</f>
        <v/>
      </c>
    </row>
    <row r="2747" ht="48.0" customHeight="1">
      <c r="A2747" s="3"/>
      <c r="B2747" s="4"/>
      <c r="C2747" s="4"/>
      <c r="D2747" s="4"/>
      <c r="E2747" s="4"/>
      <c r="F2747" s="4"/>
      <c r="G2747" s="5"/>
      <c r="H2747" s="6"/>
      <c r="I2747" s="7"/>
      <c r="J2747" s="6"/>
      <c r="K2747" s="6"/>
      <c r="L2747" s="3"/>
      <c r="M2747" s="3" t="str">
        <f>IFERROR(__xludf.DUMMYFUNCTION("""COMPUTED_VALUE"""),"")</f>
        <v/>
      </c>
    </row>
    <row r="2748" ht="48.0" customHeight="1">
      <c r="A2748" s="3"/>
      <c r="B2748" s="4"/>
      <c r="C2748" s="4"/>
      <c r="D2748" s="4"/>
      <c r="E2748" s="4"/>
      <c r="F2748" s="4"/>
      <c r="G2748" s="5"/>
      <c r="H2748" s="6"/>
      <c r="I2748" s="7"/>
      <c r="J2748" s="6"/>
      <c r="K2748" s="6"/>
      <c r="L2748" s="3"/>
      <c r="M2748" s="3" t="str">
        <f>IFERROR(__xludf.DUMMYFUNCTION("""COMPUTED_VALUE"""),"")</f>
        <v/>
      </c>
    </row>
    <row r="2749" ht="48.0" customHeight="1">
      <c r="A2749" s="3"/>
      <c r="B2749" s="4"/>
      <c r="C2749" s="4"/>
      <c r="D2749" s="4"/>
      <c r="E2749" s="4"/>
      <c r="F2749" s="4"/>
      <c r="G2749" s="5"/>
      <c r="H2749" s="6"/>
      <c r="I2749" s="7"/>
      <c r="J2749" s="6"/>
      <c r="K2749" s="6"/>
      <c r="L2749" s="3"/>
      <c r="M2749" s="3" t="str">
        <f>IFERROR(__xludf.DUMMYFUNCTION("""COMPUTED_VALUE"""),"")</f>
        <v/>
      </c>
    </row>
    <row r="2750" ht="48.0" customHeight="1">
      <c r="A2750" s="3"/>
      <c r="B2750" s="4"/>
      <c r="C2750" s="4"/>
      <c r="D2750" s="4"/>
      <c r="E2750" s="4"/>
      <c r="F2750" s="4"/>
      <c r="G2750" s="5"/>
      <c r="H2750" s="6"/>
      <c r="I2750" s="7"/>
      <c r="J2750" s="6"/>
      <c r="K2750" s="6"/>
      <c r="L2750" s="3"/>
      <c r="M2750" s="3" t="str">
        <f>IFERROR(__xludf.DUMMYFUNCTION("""COMPUTED_VALUE"""),"")</f>
        <v/>
      </c>
    </row>
    <row r="2751" ht="48.0" customHeight="1">
      <c r="A2751" s="3"/>
      <c r="B2751" s="4"/>
      <c r="C2751" s="4"/>
      <c r="D2751" s="4"/>
      <c r="E2751" s="4"/>
      <c r="F2751" s="4"/>
      <c r="G2751" s="5"/>
      <c r="H2751" s="6"/>
      <c r="I2751" s="7"/>
      <c r="J2751" s="6"/>
      <c r="K2751" s="6"/>
      <c r="L2751" s="3"/>
      <c r="M2751" s="3" t="str">
        <f>IFERROR(__xludf.DUMMYFUNCTION("""COMPUTED_VALUE"""),"")</f>
        <v/>
      </c>
    </row>
    <row r="2752" ht="48.0" customHeight="1">
      <c r="A2752" s="3"/>
      <c r="B2752" s="4"/>
      <c r="C2752" s="4"/>
      <c r="D2752" s="4"/>
      <c r="E2752" s="4"/>
      <c r="F2752" s="4"/>
      <c r="G2752" s="5"/>
      <c r="H2752" s="6"/>
      <c r="I2752" s="7"/>
      <c r="J2752" s="6"/>
      <c r="K2752" s="6"/>
      <c r="L2752" s="3"/>
      <c r="M2752" s="3" t="str">
        <f>IFERROR(__xludf.DUMMYFUNCTION("""COMPUTED_VALUE"""),"")</f>
        <v/>
      </c>
    </row>
    <row r="2753" ht="48.0" customHeight="1">
      <c r="A2753" s="3"/>
      <c r="B2753" s="4"/>
      <c r="C2753" s="4"/>
      <c r="D2753" s="4"/>
      <c r="E2753" s="4"/>
      <c r="F2753" s="4"/>
      <c r="G2753" s="5"/>
      <c r="H2753" s="6"/>
      <c r="I2753" s="7"/>
      <c r="J2753" s="6"/>
      <c r="K2753" s="6"/>
      <c r="L2753" s="3"/>
      <c r="M2753" s="3" t="str">
        <f>IFERROR(__xludf.DUMMYFUNCTION("""COMPUTED_VALUE"""),"")</f>
        <v/>
      </c>
    </row>
    <row r="2754" ht="48.0" customHeight="1">
      <c r="A2754" s="3"/>
      <c r="B2754" s="4"/>
      <c r="C2754" s="4"/>
      <c r="D2754" s="4"/>
      <c r="E2754" s="4"/>
      <c r="F2754" s="4"/>
      <c r="G2754" s="5"/>
      <c r="H2754" s="6"/>
      <c r="I2754" s="7"/>
      <c r="J2754" s="6"/>
      <c r="K2754" s="6"/>
      <c r="L2754" s="3"/>
      <c r="M2754" s="3" t="str">
        <f>IFERROR(__xludf.DUMMYFUNCTION("""COMPUTED_VALUE"""),"")</f>
        <v/>
      </c>
    </row>
    <row r="2755" ht="48.0" customHeight="1">
      <c r="A2755" s="3"/>
      <c r="B2755" s="4"/>
      <c r="C2755" s="4"/>
      <c r="D2755" s="4"/>
      <c r="E2755" s="4"/>
      <c r="F2755" s="4"/>
      <c r="G2755" s="5"/>
      <c r="H2755" s="6"/>
      <c r="I2755" s="7"/>
      <c r="J2755" s="6"/>
      <c r="K2755" s="6"/>
      <c r="L2755" s="3"/>
      <c r="M2755" s="3" t="str">
        <f>IFERROR(__xludf.DUMMYFUNCTION("""COMPUTED_VALUE"""),"")</f>
        <v/>
      </c>
    </row>
    <row r="2756" ht="48.0" customHeight="1">
      <c r="A2756" s="3"/>
      <c r="B2756" s="4"/>
      <c r="C2756" s="4"/>
      <c r="D2756" s="4"/>
      <c r="E2756" s="4"/>
      <c r="F2756" s="4"/>
      <c r="G2756" s="5"/>
      <c r="H2756" s="6"/>
      <c r="I2756" s="7"/>
      <c r="J2756" s="6"/>
      <c r="K2756" s="6"/>
      <c r="L2756" s="3"/>
      <c r="M2756" s="3" t="str">
        <f>IFERROR(__xludf.DUMMYFUNCTION("""COMPUTED_VALUE"""),"")</f>
        <v/>
      </c>
    </row>
    <row r="2757" ht="48.0" customHeight="1">
      <c r="A2757" s="3"/>
      <c r="B2757" s="4"/>
      <c r="C2757" s="4"/>
      <c r="D2757" s="4"/>
      <c r="E2757" s="4"/>
      <c r="F2757" s="4"/>
      <c r="G2757" s="5"/>
      <c r="H2757" s="6"/>
      <c r="I2757" s="7"/>
      <c r="J2757" s="6"/>
      <c r="K2757" s="6"/>
      <c r="L2757" s="3"/>
      <c r="M2757" s="3" t="str">
        <f>IFERROR(__xludf.DUMMYFUNCTION("""COMPUTED_VALUE"""),"")</f>
        <v/>
      </c>
    </row>
    <row r="2758" ht="48.0" customHeight="1">
      <c r="A2758" s="3"/>
      <c r="B2758" s="4"/>
      <c r="C2758" s="4"/>
      <c r="D2758" s="4"/>
      <c r="E2758" s="4"/>
      <c r="F2758" s="4"/>
      <c r="G2758" s="5"/>
      <c r="H2758" s="6"/>
      <c r="I2758" s="7"/>
      <c r="J2758" s="6"/>
      <c r="K2758" s="6"/>
      <c r="L2758" s="3"/>
      <c r="M2758" s="3" t="str">
        <f>IFERROR(__xludf.DUMMYFUNCTION("""COMPUTED_VALUE"""),"")</f>
        <v/>
      </c>
    </row>
    <row r="2759" ht="48.0" customHeight="1">
      <c r="A2759" s="3"/>
      <c r="B2759" s="4"/>
      <c r="C2759" s="4"/>
      <c r="D2759" s="4"/>
      <c r="E2759" s="4"/>
      <c r="F2759" s="4"/>
      <c r="G2759" s="5"/>
      <c r="H2759" s="6"/>
      <c r="I2759" s="7"/>
      <c r="J2759" s="6"/>
      <c r="K2759" s="6"/>
      <c r="L2759" s="3"/>
      <c r="M2759" s="3" t="str">
        <f>IFERROR(__xludf.DUMMYFUNCTION("""COMPUTED_VALUE"""),"")</f>
        <v/>
      </c>
    </row>
    <row r="2760" ht="48.0" customHeight="1">
      <c r="A2760" s="3"/>
      <c r="B2760" s="4"/>
      <c r="C2760" s="4"/>
      <c r="D2760" s="4"/>
      <c r="E2760" s="4"/>
      <c r="F2760" s="4"/>
      <c r="G2760" s="5"/>
      <c r="H2760" s="6"/>
      <c r="I2760" s="7"/>
      <c r="J2760" s="6"/>
      <c r="K2760" s="6"/>
      <c r="L2760" s="3"/>
      <c r="M2760" s="3" t="str">
        <f>IFERROR(__xludf.DUMMYFUNCTION("""COMPUTED_VALUE"""),"")</f>
        <v/>
      </c>
    </row>
    <row r="2761" ht="48.0" customHeight="1">
      <c r="A2761" s="3"/>
      <c r="B2761" s="4"/>
      <c r="C2761" s="4"/>
      <c r="D2761" s="4"/>
      <c r="E2761" s="4"/>
      <c r="F2761" s="4"/>
      <c r="G2761" s="5"/>
      <c r="H2761" s="6"/>
      <c r="I2761" s="7"/>
      <c r="J2761" s="6"/>
      <c r="K2761" s="6"/>
      <c r="L2761" s="3"/>
      <c r="M2761" s="3" t="str">
        <f>IFERROR(__xludf.DUMMYFUNCTION("""COMPUTED_VALUE"""),"")</f>
        <v/>
      </c>
    </row>
    <row r="2762" ht="48.0" customHeight="1">
      <c r="A2762" s="3"/>
      <c r="B2762" s="4"/>
      <c r="C2762" s="4"/>
      <c r="D2762" s="4"/>
      <c r="E2762" s="4"/>
      <c r="F2762" s="4"/>
      <c r="G2762" s="5"/>
      <c r="H2762" s="6"/>
      <c r="I2762" s="7"/>
      <c r="J2762" s="6"/>
      <c r="K2762" s="6"/>
      <c r="L2762" s="3"/>
      <c r="M2762" s="3" t="str">
        <f>IFERROR(__xludf.DUMMYFUNCTION("""COMPUTED_VALUE"""),"")</f>
        <v/>
      </c>
    </row>
    <row r="2763" ht="48.0" customHeight="1">
      <c r="A2763" s="3"/>
      <c r="B2763" s="4"/>
      <c r="C2763" s="4"/>
      <c r="D2763" s="4"/>
      <c r="E2763" s="4"/>
      <c r="F2763" s="4"/>
      <c r="G2763" s="5"/>
      <c r="H2763" s="6"/>
      <c r="I2763" s="7"/>
      <c r="J2763" s="6"/>
      <c r="K2763" s="6"/>
      <c r="L2763" s="3"/>
      <c r="M2763" s="3" t="str">
        <f>IFERROR(__xludf.DUMMYFUNCTION("""COMPUTED_VALUE"""),"")</f>
        <v/>
      </c>
    </row>
    <row r="2764" ht="48.0" customHeight="1">
      <c r="A2764" s="3"/>
      <c r="B2764" s="4"/>
      <c r="C2764" s="4"/>
      <c r="D2764" s="4"/>
      <c r="E2764" s="4"/>
      <c r="F2764" s="4"/>
      <c r="G2764" s="5"/>
      <c r="H2764" s="6"/>
      <c r="I2764" s="7"/>
      <c r="J2764" s="6"/>
      <c r="K2764" s="6"/>
      <c r="L2764" s="3"/>
      <c r="M2764" s="3" t="str">
        <f>IFERROR(__xludf.DUMMYFUNCTION("""COMPUTED_VALUE"""),"")</f>
        <v/>
      </c>
    </row>
    <row r="2765" ht="48.0" customHeight="1">
      <c r="A2765" s="3"/>
      <c r="B2765" s="4"/>
      <c r="C2765" s="4"/>
      <c r="D2765" s="4"/>
      <c r="E2765" s="4"/>
      <c r="F2765" s="4"/>
      <c r="G2765" s="5"/>
      <c r="H2765" s="6"/>
      <c r="I2765" s="7"/>
      <c r="J2765" s="6"/>
      <c r="K2765" s="6"/>
      <c r="L2765" s="3"/>
      <c r="M2765" s="3" t="str">
        <f>IFERROR(__xludf.DUMMYFUNCTION("""COMPUTED_VALUE"""),"")</f>
        <v/>
      </c>
    </row>
    <row r="2766" ht="48.0" customHeight="1">
      <c r="A2766" s="3"/>
      <c r="B2766" s="4"/>
      <c r="C2766" s="4"/>
      <c r="D2766" s="4"/>
      <c r="E2766" s="4"/>
      <c r="F2766" s="4"/>
      <c r="G2766" s="5"/>
      <c r="H2766" s="6"/>
      <c r="I2766" s="7"/>
      <c r="J2766" s="6"/>
      <c r="K2766" s="6"/>
      <c r="L2766" s="3"/>
      <c r="M2766" s="3" t="str">
        <f>IFERROR(__xludf.DUMMYFUNCTION("""COMPUTED_VALUE"""),"")</f>
        <v/>
      </c>
    </row>
    <row r="2767" ht="48.0" customHeight="1">
      <c r="A2767" s="3"/>
      <c r="B2767" s="4"/>
      <c r="C2767" s="4"/>
      <c r="D2767" s="4"/>
      <c r="E2767" s="4"/>
      <c r="F2767" s="4"/>
      <c r="G2767" s="5"/>
      <c r="H2767" s="6"/>
      <c r="I2767" s="7"/>
      <c r="J2767" s="6"/>
      <c r="K2767" s="6"/>
      <c r="L2767" s="3"/>
      <c r="M2767" s="3" t="str">
        <f>IFERROR(__xludf.DUMMYFUNCTION("""COMPUTED_VALUE"""),"")</f>
        <v/>
      </c>
    </row>
    <row r="2768" ht="48.0" customHeight="1">
      <c r="A2768" s="3"/>
      <c r="B2768" s="4"/>
      <c r="C2768" s="4"/>
      <c r="D2768" s="4"/>
      <c r="E2768" s="4"/>
      <c r="F2768" s="4"/>
      <c r="G2768" s="5"/>
      <c r="H2768" s="6"/>
      <c r="I2768" s="7"/>
      <c r="J2768" s="6"/>
      <c r="K2768" s="6"/>
      <c r="L2768" s="3"/>
      <c r="M2768" s="3" t="str">
        <f>IFERROR(__xludf.DUMMYFUNCTION("""COMPUTED_VALUE"""),"")</f>
        <v/>
      </c>
    </row>
    <row r="2769" ht="48.0" customHeight="1">
      <c r="A2769" s="3"/>
      <c r="B2769" s="4"/>
      <c r="C2769" s="4"/>
      <c r="D2769" s="4"/>
      <c r="E2769" s="4"/>
      <c r="F2769" s="4"/>
      <c r="G2769" s="5"/>
      <c r="H2769" s="6"/>
      <c r="I2769" s="7"/>
      <c r="J2769" s="6"/>
      <c r="K2769" s="6"/>
      <c r="L2769" s="3"/>
      <c r="M2769" s="3" t="str">
        <f>IFERROR(__xludf.DUMMYFUNCTION("""COMPUTED_VALUE"""),"")</f>
        <v/>
      </c>
    </row>
    <row r="2770" ht="48.0" customHeight="1">
      <c r="A2770" s="3"/>
      <c r="B2770" s="4"/>
      <c r="C2770" s="4"/>
      <c r="D2770" s="4"/>
      <c r="E2770" s="4"/>
      <c r="F2770" s="4"/>
      <c r="G2770" s="5"/>
      <c r="H2770" s="6"/>
      <c r="I2770" s="7"/>
      <c r="J2770" s="6"/>
      <c r="K2770" s="6"/>
      <c r="L2770" s="3"/>
      <c r="M2770" s="3" t="str">
        <f>IFERROR(__xludf.DUMMYFUNCTION("""COMPUTED_VALUE"""),"")</f>
        <v/>
      </c>
    </row>
    <row r="2771" ht="48.0" customHeight="1">
      <c r="A2771" s="3"/>
      <c r="B2771" s="4"/>
      <c r="C2771" s="4"/>
      <c r="D2771" s="4"/>
      <c r="E2771" s="4"/>
      <c r="F2771" s="4"/>
      <c r="G2771" s="5"/>
      <c r="H2771" s="6"/>
      <c r="I2771" s="7"/>
      <c r="J2771" s="6"/>
      <c r="K2771" s="6"/>
      <c r="L2771" s="3"/>
      <c r="M2771" s="3" t="str">
        <f>IFERROR(__xludf.DUMMYFUNCTION("""COMPUTED_VALUE"""),"")</f>
        <v/>
      </c>
    </row>
    <row r="2772" ht="48.0" customHeight="1">
      <c r="A2772" s="3"/>
      <c r="B2772" s="4"/>
      <c r="C2772" s="4"/>
      <c r="D2772" s="4"/>
      <c r="E2772" s="4"/>
      <c r="F2772" s="4"/>
      <c r="G2772" s="5"/>
      <c r="H2772" s="6"/>
      <c r="I2772" s="7"/>
      <c r="J2772" s="6"/>
      <c r="K2772" s="6"/>
      <c r="L2772" s="3"/>
      <c r="M2772" s="3" t="str">
        <f>IFERROR(__xludf.DUMMYFUNCTION("""COMPUTED_VALUE"""),"")</f>
        <v/>
      </c>
    </row>
    <row r="2773" ht="48.0" customHeight="1">
      <c r="A2773" s="3"/>
      <c r="B2773" s="4"/>
      <c r="C2773" s="4"/>
      <c r="D2773" s="4"/>
      <c r="E2773" s="4"/>
      <c r="F2773" s="4"/>
      <c r="G2773" s="5"/>
      <c r="H2773" s="6"/>
      <c r="I2773" s="7"/>
      <c r="J2773" s="6"/>
      <c r="K2773" s="6"/>
      <c r="L2773" s="3"/>
      <c r="M2773" s="3" t="str">
        <f>IFERROR(__xludf.DUMMYFUNCTION("""COMPUTED_VALUE"""),"")</f>
        <v/>
      </c>
    </row>
    <row r="2774" ht="48.0" customHeight="1">
      <c r="A2774" s="3"/>
      <c r="B2774" s="4"/>
      <c r="C2774" s="4"/>
      <c r="D2774" s="4"/>
      <c r="E2774" s="4"/>
      <c r="F2774" s="4"/>
      <c r="G2774" s="5"/>
      <c r="H2774" s="6"/>
      <c r="I2774" s="7"/>
      <c r="J2774" s="6"/>
      <c r="K2774" s="6"/>
      <c r="L2774" s="3"/>
      <c r="M2774" s="3" t="str">
        <f>IFERROR(__xludf.DUMMYFUNCTION("""COMPUTED_VALUE"""),"")</f>
        <v/>
      </c>
    </row>
    <row r="2775" ht="48.0" customHeight="1">
      <c r="A2775" s="3"/>
      <c r="B2775" s="4"/>
      <c r="C2775" s="4"/>
      <c r="D2775" s="4"/>
      <c r="E2775" s="4"/>
      <c r="F2775" s="4"/>
      <c r="G2775" s="5"/>
      <c r="H2775" s="6"/>
      <c r="I2775" s="7"/>
      <c r="J2775" s="6"/>
      <c r="K2775" s="6"/>
      <c r="L2775" s="3"/>
      <c r="M2775" s="3" t="str">
        <f>IFERROR(__xludf.DUMMYFUNCTION("""COMPUTED_VALUE"""),"")</f>
        <v/>
      </c>
    </row>
    <row r="2776" ht="48.0" customHeight="1">
      <c r="A2776" s="3"/>
      <c r="B2776" s="4"/>
      <c r="C2776" s="4"/>
      <c r="D2776" s="4"/>
      <c r="E2776" s="4"/>
      <c r="F2776" s="4"/>
      <c r="G2776" s="5"/>
      <c r="H2776" s="6"/>
      <c r="I2776" s="7"/>
      <c r="J2776" s="6"/>
      <c r="K2776" s="6"/>
      <c r="L2776" s="3"/>
      <c r="M2776" s="3" t="str">
        <f>IFERROR(__xludf.DUMMYFUNCTION("""COMPUTED_VALUE"""),"")</f>
        <v/>
      </c>
    </row>
    <row r="2777" ht="48.0" customHeight="1">
      <c r="A2777" s="3"/>
      <c r="B2777" s="4"/>
      <c r="C2777" s="4"/>
      <c r="D2777" s="4"/>
      <c r="E2777" s="4"/>
      <c r="F2777" s="4"/>
      <c r="G2777" s="5"/>
      <c r="H2777" s="6"/>
      <c r="I2777" s="7"/>
      <c r="J2777" s="6"/>
      <c r="K2777" s="6"/>
      <c r="L2777" s="3"/>
      <c r="M2777" s="3" t="str">
        <f>IFERROR(__xludf.DUMMYFUNCTION("""COMPUTED_VALUE"""),"")</f>
        <v/>
      </c>
    </row>
    <row r="2778" ht="48.0" customHeight="1">
      <c r="A2778" s="3"/>
      <c r="B2778" s="4"/>
      <c r="C2778" s="4"/>
      <c r="D2778" s="4"/>
      <c r="E2778" s="4"/>
      <c r="F2778" s="4"/>
      <c r="G2778" s="5"/>
      <c r="H2778" s="6"/>
      <c r="I2778" s="7"/>
      <c r="J2778" s="6"/>
      <c r="K2778" s="6"/>
      <c r="L2778" s="3"/>
      <c r="M2778" s="3" t="str">
        <f>IFERROR(__xludf.DUMMYFUNCTION("""COMPUTED_VALUE"""),"")</f>
        <v/>
      </c>
    </row>
    <row r="2779" ht="48.0" customHeight="1">
      <c r="A2779" s="3"/>
      <c r="B2779" s="4"/>
      <c r="C2779" s="4"/>
      <c r="D2779" s="4"/>
      <c r="E2779" s="4"/>
      <c r="F2779" s="4"/>
      <c r="G2779" s="5"/>
      <c r="H2779" s="6"/>
      <c r="I2779" s="7"/>
      <c r="J2779" s="6"/>
      <c r="K2779" s="6"/>
      <c r="L2779" s="3"/>
      <c r="M2779" s="3" t="str">
        <f>IFERROR(__xludf.DUMMYFUNCTION("""COMPUTED_VALUE"""),"")</f>
        <v/>
      </c>
    </row>
    <row r="2780" ht="48.0" customHeight="1">
      <c r="A2780" s="3"/>
      <c r="B2780" s="4"/>
      <c r="C2780" s="4"/>
      <c r="D2780" s="4"/>
      <c r="E2780" s="4"/>
      <c r="F2780" s="4"/>
      <c r="G2780" s="5"/>
      <c r="H2780" s="6"/>
      <c r="I2780" s="7"/>
      <c r="J2780" s="6"/>
      <c r="K2780" s="6"/>
      <c r="L2780" s="3"/>
      <c r="M2780" s="3" t="str">
        <f>IFERROR(__xludf.DUMMYFUNCTION("""COMPUTED_VALUE"""),"")</f>
        <v/>
      </c>
    </row>
    <row r="2781" ht="48.0" customHeight="1">
      <c r="A2781" s="3"/>
      <c r="B2781" s="4"/>
      <c r="C2781" s="4"/>
      <c r="D2781" s="4"/>
      <c r="E2781" s="4"/>
      <c r="F2781" s="4"/>
      <c r="G2781" s="5"/>
      <c r="H2781" s="6"/>
      <c r="I2781" s="7"/>
      <c r="J2781" s="6"/>
      <c r="K2781" s="6"/>
      <c r="L2781" s="3"/>
      <c r="M2781" s="3" t="str">
        <f>IFERROR(__xludf.DUMMYFUNCTION("""COMPUTED_VALUE"""),"")</f>
        <v/>
      </c>
    </row>
    <row r="2782" ht="48.0" customHeight="1">
      <c r="A2782" s="3"/>
      <c r="B2782" s="4"/>
      <c r="C2782" s="4"/>
      <c r="D2782" s="4"/>
      <c r="E2782" s="4"/>
      <c r="F2782" s="4"/>
      <c r="G2782" s="5"/>
      <c r="H2782" s="6"/>
      <c r="I2782" s="7"/>
      <c r="J2782" s="6"/>
      <c r="K2782" s="6"/>
      <c r="L2782" s="3"/>
      <c r="M2782" s="3" t="str">
        <f>IFERROR(__xludf.DUMMYFUNCTION("""COMPUTED_VALUE"""),"")</f>
        <v/>
      </c>
    </row>
    <row r="2783" ht="48.0" customHeight="1">
      <c r="A2783" s="3"/>
      <c r="B2783" s="4"/>
      <c r="C2783" s="4"/>
      <c r="D2783" s="4"/>
      <c r="E2783" s="4"/>
      <c r="F2783" s="4"/>
      <c r="G2783" s="5"/>
      <c r="H2783" s="6"/>
      <c r="I2783" s="7"/>
      <c r="J2783" s="6"/>
      <c r="K2783" s="6"/>
      <c r="L2783" s="3"/>
      <c r="M2783" s="3" t="str">
        <f>IFERROR(__xludf.DUMMYFUNCTION("""COMPUTED_VALUE"""),"")</f>
        <v/>
      </c>
    </row>
    <row r="2784" ht="48.0" customHeight="1">
      <c r="A2784" s="3"/>
      <c r="B2784" s="4"/>
      <c r="C2784" s="4"/>
      <c r="D2784" s="4"/>
      <c r="E2784" s="4"/>
      <c r="F2784" s="4"/>
      <c r="G2784" s="5"/>
      <c r="H2784" s="6"/>
      <c r="I2784" s="7"/>
      <c r="J2784" s="6"/>
      <c r="K2784" s="6"/>
      <c r="L2784" s="3"/>
      <c r="M2784" s="3" t="str">
        <f>IFERROR(__xludf.DUMMYFUNCTION("""COMPUTED_VALUE"""),"")</f>
        <v/>
      </c>
    </row>
    <row r="2785" ht="48.0" customHeight="1">
      <c r="A2785" s="3"/>
      <c r="B2785" s="4"/>
      <c r="C2785" s="4"/>
      <c r="D2785" s="4"/>
      <c r="E2785" s="4"/>
      <c r="F2785" s="4"/>
      <c r="G2785" s="5"/>
      <c r="H2785" s="6"/>
      <c r="I2785" s="7"/>
      <c r="J2785" s="6"/>
      <c r="K2785" s="6"/>
      <c r="L2785" s="3"/>
      <c r="M2785" s="3" t="str">
        <f>IFERROR(__xludf.DUMMYFUNCTION("""COMPUTED_VALUE"""),"")</f>
        <v/>
      </c>
    </row>
    <row r="2786" ht="48.0" customHeight="1">
      <c r="A2786" s="3"/>
      <c r="B2786" s="4"/>
      <c r="C2786" s="4"/>
      <c r="D2786" s="4"/>
      <c r="E2786" s="4"/>
      <c r="F2786" s="4"/>
      <c r="G2786" s="5"/>
      <c r="H2786" s="6"/>
      <c r="I2786" s="7"/>
      <c r="J2786" s="6"/>
      <c r="K2786" s="6"/>
      <c r="L2786" s="3"/>
      <c r="M2786" s="3" t="str">
        <f>IFERROR(__xludf.DUMMYFUNCTION("""COMPUTED_VALUE"""),"")</f>
        <v/>
      </c>
    </row>
    <row r="2787" ht="48.0" customHeight="1">
      <c r="A2787" s="3"/>
      <c r="B2787" s="4"/>
      <c r="C2787" s="4"/>
      <c r="D2787" s="4"/>
      <c r="E2787" s="4"/>
      <c r="F2787" s="4"/>
      <c r="G2787" s="5"/>
      <c r="H2787" s="6"/>
      <c r="I2787" s="7"/>
      <c r="J2787" s="6"/>
      <c r="K2787" s="6"/>
      <c r="L2787" s="3"/>
      <c r="M2787" s="3" t="str">
        <f>IFERROR(__xludf.DUMMYFUNCTION("""COMPUTED_VALUE"""),"")</f>
        <v/>
      </c>
    </row>
    <row r="2788" ht="48.0" customHeight="1">
      <c r="A2788" s="3"/>
      <c r="B2788" s="4"/>
      <c r="C2788" s="4"/>
      <c r="D2788" s="4"/>
      <c r="E2788" s="4"/>
      <c r="F2788" s="4"/>
      <c r="G2788" s="5"/>
      <c r="H2788" s="6"/>
      <c r="I2788" s="7"/>
      <c r="J2788" s="6"/>
      <c r="K2788" s="6"/>
      <c r="L2788" s="3"/>
      <c r="M2788" s="3" t="str">
        <f>IFERROR(__xludf.DUMMYFUNCTION("""COMPUTED_VALUE"""),"")</f>
        <v/>
      </c>
    </row>
    <row r="2789" ht="48.0" customHeight="1">
      <c r="A2789" s="3"/>
      <c r="B2789" s="4"/>
      <c r="C2789" s="4"/>
      <c r="D2789" s="4"/>
      <c r="E2789" s="4"/>
      <c r="F2789" s="4"/>
      <c r="G2789" s="5"/>
      <c r="H2789" s="6"/>
      <c r="I2789" s="7"/>
      <c r="J2789" s="6"/>
      <c r="K2789" s="6"/>
      <c r="L2789" s="3"/>
      <c r="M2789" s="3" t="str">
        <f>IFERROR(__xludf.DUMMYFUNCTION("""COMPUTED_VALUE"""),"")</f>
        <v/>
      </c>
    </row>
    <row r="2790" ht="48.0" customHeight="1">
      <c r="A2790" s="3"/>
      <c r="B2790" s="4"/>
      <c r="C2790" s="4"/>
      <c r="D2790" s="4"/>
      <c r="E2790" s="4"/>
      <c r="F2790" s="4"/>
      <c r="G2790" s="5"/>
      <c r="H2790" s="6"/>
      <c r="I2790" s="7"/>
      <c r="J2790" s="6"/>
      <c r="K2790" s="6"/>
      <c r="L2790" s="3"/>
      <c r="M2790" s="3" t="str">
        <f>IFERROR(__xludf.DUMMYFUNCTION("""COMPUTED_VALUE"""),"")</f>
        <v/>
      </c>
    </row>
    <row r="2791" ht="48.0" customHeight="1">
      <c r="A2791" s="3"/>
      <c r="B2791" s="4"/>
      <c r="C2791" s="4"/>
      <c r="D2791" s="4"/>
      <c r="E2791" s="4"/>
      <c r="F2791" s="4"/>
      <c r="G2791" s="5"/>
      <c r="H2791" s="6"/>
      <c r="I2791" s="7"/>
      <c r="J2791" s="6"/>
      <c r="K2791" s="6"/>
      <c r="L2791" s="3"/>
      <c r="M2791" s="3" t="str">
        <f>IFERROR(__xludf.DUMMYFUNCTION("""COMPUTED_VALUE"""),"")</f>
        <v/>
      </c>
    </row>
    <row r="2792" ht="48.0" customHeight="1">
      <c r="A2792" s="3"/>
      <c r="B2792" s="4"/>
      <c r="C2792" s="4"/>
      <c r="D2792" s="4"/>
      <c r="E2792" s="4"/>
      <c r="F2792" s="4"/>
      <c r="G2792" s="5"/>
      <c r="H2792" s="6"/>
      <c r="I2792" s="7"/>
      <c r="J2792" s="6"/>
      <c r="K2792" s="6"/>
      <c r="L2792" s="3"/>
      <c r="M2792" s="3" t="str">
        <f>IFERROR(__xludf.DUMMYFUNCTION("""COMPUTED_VALUE"""),"")</f>
        <v/>
      </c>
    </row>
    <row r="2793" ht="48.0" customHeight="1">
      <c r="A2793" s="3"/>
      <c r="B2793" s="4"/>
      <c r="C2793" s="4"/>
      <c r="D2793" s="4"/>
      <c r="E2793" s="4"/>
      <c r="F2793" s="4"/>
      <c r="G2793" s="5"/>
      <c r="H2793" s="6"/>
      <c r="I2793" s="7"/>
      <c r="J2793" s="6"/>
      <c r="K2793" s="6"/>
      <c r="L2793" s="3"/>
      <c r="M2793" s="3" t="str">
        <f>IFERROR(__xludf.DUMMYFUNCTION("""COMPUTED_VALUE"""),"")</f>
        <v/>
      </c>
    </row>
    <row r="2794" ht="48.0" customHeight="1">
      <c r="A2794" s="3"/>
      <c r="B2794" s="4"/>
      <c r="C2794" s="4"/>
      <c r="D2794" s="4"/>
      <c r="E2794" s="4"/>
      <c r="F2794" s="4"/>
      <c r="G2794" s="5"/>
      <c r="H2794" s="6"/>
      <c r="I2794" s="7"/>
      <c r="J2794" s="6"/>
      <c r="K2794" s="6"/>
      <c r="L2794" s="3"/>
      <c r="M2794" s="3" t="str">
        <f>IFERROR(__xludf.DUMMYFUNCTION("""COMPUTED_VALUE"""),"")</f>
        <v/>
      </c>
    </row>
    <row r="2795" ht="48.0" customHeight="1">
      <c r="A2795" s="3"/>
      <c r="B2795" s="4"/>
      <c r="C2795" s="4"/>
      <c r="D2795" s="4"/>
      <c r="E2795" s="4"/>
      <c r="F2795" s="4"/>
      <c r="G2795" s="5"/>
      <c r="H2795" s="6"/>
      <c r="I2795" s="7"/>
      <c r="J2795" s="6"/>
      <c r="K2795" s="6"/>
      <c r="L2795" s="3"/>
      <c r="M2795" s="3" t="str">
        <f>IFERROR(__xludf.DUMMYFUNCTION("""COMPUTED_VALUE"""),"")</f>
        <v/>
      </c>
    </row>
    <row r="2796" ht="48.0" customHeight="1">
      <c r="A2796" s="3"/>
      <c r="B2796" s="4"/>
      <c r="C2796" s="4"/>
      <c r="D2796" s="4"/>
      <c r="E2796" s="4"/>
      <c r="F2796" s="4"/>
      <c r="G2796" s="5"/>
      <c r="H2796" s="6"/>
      <c r="I2796" s="7"/>
      <c r="J2796" s="6"/>
      <c r="K2796" s="6"/>
      <c r="L2796" s="3"/>
      <c r="M2796" s="3" t="str">
        <f>IFERROR(__xludf.DUMMYFUNCTION("""COMPUTED_VALUE"""),"")</f>
        <v/>
      </c>
    </row>
    <row r="2797" ht="48.0" customHeight="1">
      <c r="A2797" s="3"/>
      <c r="B2797" s="4"/>
      <c r="C2797" s="4"/>
      <c r="D2797" s="4"/>
      <c r="E2797" s="4"/>
      <c r="F2797" s="4"/>
      <c r="G2797" s="5"/>
      <c r="H2797" s="6"/>
      <c r="I2797" s="7"/>
      <c r="J2797" s="6"/>
      <c r="K2797" s="6"/>
      <c r="L2797" s="3"/>
      <c r="M2797" s="3" t="str">
        <f>IFERROR(__xludf.DUMMYFUNCTION("""COMPUTED_VALUE"""),"")</f>
        <v/>
      </c>
    </row>
    <row r="2798" ht="48.0" customHeight="1">
      <c r="A2798" s="3"/>
      <c r="B2798" s="4"/>
      <c r="C2798" s="4"/>
      <c r="D2798" s="4"/>
      <c r="E2798" s="4"/>
      <c r="F2798" s="4"/>
      <c r="G2798" s="5"/>
      <c r="H2798" s="6"/>
      <c r="I2798" s="7"/>
      <c r="J2798" s="6"/>
      <c r="K2798" s="6"/>
      <c r="L2798" s="3"/>
      <c r="M2798" s="3" t="str">
        <f>IFERROR(__xludf.DUMMYFUNCTION("""COMPUTED_VALUE"""),"")</f>
        <v/>
      </c>
    </row>
    <row r="2799" ht="48.0" customHeight="1">
      <c r="A2799" s="3"/>
      <c r="B2799" s="4"/>
      <c r="C2799" s="4"/>
      <c r="D2799" s="4"/>
      <c r="E2799" s="4"/>
      <c r="F2799" s="4"/>
      <c r="G2799" s="5"/>
      <c r="H2799" s="6"/>
      <c r="I2799" s="7"/>
      <c r="J2799" s="6"/>
      <c r="K2799" s="6"/>
      <c r="L2799" s="3"/>
      <c r="M2799" s="3" t="str">
        <f>IFERROR(__xludf.DUMMYFUNCTION("""COMPUTED_VALUE"""),"")</f>
        <v/>
      </c>
    </row>
    <row r="2800" ht="48.0" customHeight="1">
      <c r="A2800" s="3"/>
      <c r="B2800" s="4"/>
      <c r="C2800" s="4"/>
      <c r="D2800" s="4"/>
      <c r="E2800" s="4"/>
      <c r="F2800" s="4"/>
      <c r="G2800" s="5"/>
      <c r="H2800" s="6"/>
      <c r="I2800" s="7"/>
      <c r="J2800" s="6"/>
      <c r="K2800" s="6"/>
      <c r="L2800" s="3"/>
      <c r="M2800" s="3" t="str">
        <f>IFERROR(__xludf.DUMMYFUNCTION("""COMPUTED_VALUE"""),"")</f>
        <v/>
      </c>
    </row>
    <row r="2801" ht="48.0" customHeight="1">
      <c r="A2801" s="3"/>
      <c r="B2801" s="4"/>
      <c r="C2801" s="4"/>
      <c r="D2801" s="4"/>
      <c r="E2801" s="4"/>
      <c r="F2801" s="4"/>
      <c r="G2801" s="5"/>
      <c r="H2801" s="6"/>
      <c r="I2801" s="7"/>
      <c r="J2801" s="6"/>
      <c r="K2801" s="6"/>
      <c r="L2801" s="3"/>
      <c r="M2801" s="3" t="str">
        <f>IFERROR(__xludf.DUMMYFUNCTION("""COMPUTED_VALUE"""),"")</f>
        <v/>
      </c>
    </row>
    <row r="2802" ht="48.0" customHeight="1">
      <c r="A2802" s="3"/>
      <c r="B2802" s="4"/>
      <c r="C2802" s="4"/>
      <c r="D2802" s="4"/>
      <c r="E2802" s="4"/>
      <c r="F2802" s="4"/>
      <c r="G2802" s="5"/>
      <c r="H2802" s="6"/>
      <c r="I2802" s="7"/>
      <c r="J2802" s="6"/>
      <c r="K2802" s="6"/>
      <c r="L2802" s="3"/>
      <c r="M2802" s="3" t="str">
        <f>IFERROR(__xludf.DUMMYFUNCTION("""COMPUTED_VALUE"""),"")</f>
        <v/>
      </c>
    </row>
    <row r="2803" ht="48.0" customHeight="1">
      <c r="A2803" s="3"/>
      <c r="B2803" s="4"/>
      <c r="C2803" s="4"/>
      <c r="D2803" s="4"/>
      <c r="E2803" s="4"/>
      <c r="F2803" s="4"/>
      <c r="G2803" s="5"/>
      <c r="H2803" s="6"/>
      <c r="I2803" s="7"/>
      <c r="J2803" s="6"/>
      <c r="K2803" s="6"/>
      <c r="L2803" s="3"/>
      <c r="M2803" s="3" t="str">
        <f>IFERROR(__xludf.DUMMYFUNCTION("""COMPUTED_VALUE"""),"")</f>
        <v/>
      </c>
    </row>
    <row r="2804" ht="48.0" customHeight="1">
      <c r="A2804" s="3"/>
      <c r="B2804" s="4"/>
      <c r="C2804" s="4"/>
      <c r="D2804" s="4"/>
      <c r="E2804" s="4"/>
      <c r="F2804" s="4"/>
      <c r="G2804" s="5"/>
      <c r="H2804" s="6"/>
      <c r="I2804" s="7"/>
      <c r="J2804" s="6"/>
      <c r="K2804" s="6"/>
      <c r="L2804" s="3"/>
      <c r="M2804" s="3" t="str">
        <f>IFERROR(__xludf.DUMMYFUNCTION("""COMPUTED_VALUE"""),"")</f>
        <v/>
      </c>
    </row>
    <row r="2805" ht="48.0" customHeight="1">
      <c r="A2805" s="3"/>
      <c r="B2805" s="4"/>
      <c r="C2805" s="4"/>
      <c r="D2805" s="4"/>
      <c r="E2805" s="4"/>
      <c r="F2805" s="4"/>
      <c r="G2805" s="5"/>
      <c r="H2805" s="6"/>
      <c r="I2805" s="7"/>
      <c r="J2805" s="6"/>
      <c r="K2805" s="6"/>
      <c r="L2805" s="3"/>
      <c r="M2805" s="3" t="str">
        <f>IFERROR(__xludf.DUMMYFUNCTION("""COMPUTED_VALUE"""),"")</f>
        <v/>
      </c>
    </row>
    <row r="2806" ht="48.0" customHeight="1">
      <c r="A2806" s="3"/>
      <c r="B2806" s="4"/>
      <c r="C2806" s="4"/>
      <c r="D2806" s="4"/>
      <c r="E2806" s="4"/>
      <c r="F2806" s="4"/>
      <c r="G2806" s="5"/>
      <c r="H2806" s="6"/>
      <c r="I2806" s="7"/>
      <c r="J2806" s="6"/>
      <c r="K2806" s="6"/>
      <c r="L2806" s="3"/>
      <c r="M2806" s="3" t="str">
        <f>IFERROR(__xludf.DUMMYFUNCTION("""COMPUTED_VALUE"""),"")</f>
        <v/>
      </c>
    </row>
    <row r="2807" ht="48.0" customHeight="1">
      <c r="A2807" s="3"/>
      <c r="B2807" s="4"/>
      <c r="C2807" s="4"/>
      <c r="D2807" s="4"/>
      <c r="E2807" s="4"/>
      <c r="F2807" s="4"/>
      <c r="G2807" s="5"/>
      <c r="H2807" s="6"/>
      <c r="I2807" s="7"/>
      <c r="J2807" s="6"/>
      <c r="K2807" s="6"/>
      <c r="L2807" s="3"/>
      <c r="M2807" s="3" t="str">
        <f>IFERROR(__xludf.DUMMYFUNCTION("""COMPUTED_VALUE"""),"")</f>
        <v/>
      </c>
    </row>
    <row r="2808" ht="48.0" customHeight="1">
      <c r="A2808" s="3"/>
      <c r="B2808" s="4"/>
      <c r="C2808" s="4"/>
      <c r="D2808" s="4"/>
      <c r="E2808" s="4"/>
      <c r="F2808" s="4"/>
      <c r="G2808" s="5"/>
      <c r="H2808" s="6"/>
      <c r="I2808" s="7"/>
      <c r="J2808" s="6"/>
      <c r="K2808" s="6"/>
      <c r="L2808" s="3"/>
      <c r="M2808" s="3" t="str">
        <f>IFERROR(__xludf.DUMMYFUNCTION("""COMPUTED_VALUE"""),"")</f>
        <v/>
      </c>
    </row>
    <row r="2809" ht="48.0" customHeight="1">
      <c r="A2809" s="3"/>
      <c r="B2809" s="4"/>
      <c r="C2809" s="4"/>
      <c r="D2809" s="4"/>
      <c r="E2809" s="4"/>
      <c r="F2809" s="4"/>
      <c r="G2809" s="5"/>
      <c r="H2809" s="6"/>
      <c r="I2809" s="7"/>
      <c r="J2809" s="6"/>
      <c r="K2809" s="6"/>
      <c r="L2809" s="3"/>
      <c r="M2809" s="3" t="str">
        <f>IFERROR(__xludf.DUMMYFUNCTION("""COMPUTED_VALUE"""),"")</f>
        <v/>
      </c>
    </row>
    <row r="2810" ht="48.0" customHeight="1">
      <c r="A2810" s="3"/>
      <c r="B2810" s="4"/>
      <c r="C2810" s="4"/>
      <c r="D2810" s="4"/>
      <c r="E2810" s="4"/>
      <c r="F2810" s="4"/>
      <c r="G2810" s="5"/>
      <c r="H2810" s="6"/>
      <c r="I2810" s="7"/>
      <c r="J2810" s="6"/>
      <c r="K2810" s="6"/>
      <c r="L2810" s="3"/>
      <c r="M2810" s="3" t="str">
        <f>IFERROR(__xludf.DUMMYFUNCTION("""COMPUTED_VALUE"""),"")</f>
        <v/>
      </c>
    </row>
    <row r="2811" ht="48.0" customHeight="1">
      <c r="A2811" s="3"/>
      <c r="B2811" s="4"/>
      <c r="C2811" s="4"/>
      <c r="D2811" s="4"/>
      <c r="E2811" s="4"/>
      <c r="F2811" s="4"/>
      <c r="G2811" s="5"/>
      <c r="H2811" s="6"/>
      <c r="I2811" s="7"/>
      <c r="J2811" s="6"/>
      <c r="K2811" s="6"/>
      <c r="L2811" s="3"/>
      <c r="M2811" s="3" t="str">
        <f>IFERROR(__xludf.DUMMYFUNCTION("""COMPUTED_VALUE"""),"")</f>
        <v/>
      </c>
    </row>
    <row r="2812" ht="48.0" customHeight="1">
      <c r="A2812" s="3"/>
      <c r="B2812" s="4"/>
      <c r="C2812" s="4"/>
      <c r="D2812" s="4"/>
      <c r="E2812" s="4"/>
      <c r="F2812" s="4"/>
      <c r="G2812" s="5"/>
      <c r="H2812" s="6"/>
      <c r="I2812" s="7"/>
      <c r="J2812" s="6"/>
      <c r="K2812" s="6"/>
      <c r="L2812" s="3"/>
      <c r="M2812" s="3" t="str">
        <f>IFERROR(__xludf.DUMMYFUNCTION("""COMPUTED_VALUE"""),"")</f>
        <v/>
      </c>
    </row>
    <row r="2813" ht="48.0" customHeight="1">
      <c r="A2813" s="3"/>
      <c r="B2813" s="4"/>
      <c r="C2813" s="4"/>
      <c r="D2813" s="4"/>
      <c r="E2813" s="4"/>
      <c r="F2813" s="4"/>
      <c r="G2813" s="5"/>
      <c r="H2813" s="6"/>
      <c r="I2813" s="7"/>
      <c r="J2813" s="6"/>
      <c r="K2813" s="6"/>
      <c r="L2813" s="3"/>
      <c r="M2813" s="3" t="str">
        <f>IFERROR(__xludf.DUMMYFUNCTION("""COMPUTED_VALUE"""),"")</f>
        <v/>
      </c>
    </row>
    <row r="2814" ht="48.0" customHeight="1">
      <c r="A2814" s="3"/>
      <c r="B2814" s="4"/>
      <c r="C2814" s="4"/>
      <c r="D2814" s="4"/>
      <c r="E2814" s="4"/>
      <c r="F2814" s="4"/>
      <c r="G2814" s="5"/>
      <c r="H2814" s="6"/>
      <c r="I2814" s="7"/>
      <c r="J2814" s="6"/>
      <c r="K2814" s="6"/>
      <c r="L2814" s="3"/>
      <c r="M2814" s="3" t="str">
        <f>IFERROR(__xludf.DUMMYFUNCTION("""COMPUTED_VALUE"""),"")</f>
        <v/>
      </c>
    </row>
    <row r="2815" ht="48.0" customHeight="1">
      <c r="A2815" s="3"/>
      <c r="B2815" s="4"/>
      <c r="C2815" s="4"/>
      <c r="D2815" s="4"/>
      <c r="E2815" s="4"/>
      <c r="F2815" s="4"/>
      <c r="G2815" s="5"/>
      <c r="H2815" s="6"/>
      <c r="I2815" s="7"/>
      <c r="J2815" s="6"/>
      <c r="K2815" s="6"/>
      <c r="L2815" s="3"/>
      <c r="M2815" s="3" t="str">
        <f>IFERROR(__xludf.DUMMYFUNCTION("""COMPUTED_VALUE"""),"")</f>
        <v/>
      </c>
    </row>
    <row r="2816" ht="48.0" customHeight="1">
      <c r="A2816" s="3"/>
      <c r="B2816" s="4"/>
      <c r="C2816" s="4"/>
      <c r="D2816" s="4"/>
      <c r="E2816" s="4"/>
      <c r="F2816" s="4"/>
      <c r="G2816" s="5"/>
      <c r="H2816" s="6"/>
      <c r="I2816" s="7"/>
      <c r="J2816" s="6"/>
      <c r="K2816" s="6"/>
      <c r="L2816" s="3"/>
      <c r="M2816" s="3" t="str">
        <f>IFERROR(__xludf.DUMMYFUNCTION("""COMPUTED_VALUE"""),"")</f>
        <v/>
      </c>
    </row>
    <row r="2817" ht="48.0" customHeight="1">
      <c r="A2817" s="3"/>
      <c r="B2817" s="4"/>
      <c r="C2817" s="4"/>
      <c r="D2817" s="4"/>
      <c r="E2817" s="4"/>
      <c r="F2817" s="4"/>
      <c r="G2817" s="5"/>
      <c r="H2817" s="6"/>
      <c r="I2817" s="7"/>
      <c r="J2817" s="6"/>
      <c r="K2817" s="6"/>
      <c r="L2817" s="3"/>
      <c r="M2817" s="3" t="str">
        <f>IFERROR(__xludf.DUMMYFUNCTION("""COMPUTED_VALUE"""),"")</f>
        <v/>
      </c>
    </row>
    <row r="2818" ht="48.0" customHeight="1">
      <c r="A2818" s="3"/>
      <c r="B2818" s="4"/>
      <c r="C2818" s="4"/>
      <c r="D2818" s="4"/>
      <c r="E2818" s="4"/>
      <c r="F2818" s="4"/>
      <c r="G2818" s="5"/>
      <c r="H2818" s="6"/>
      <c r="I2818" s="7"/>
      <c r="J2818" s="6"/>
      <c r="K2818" s="6"/>
      <c r="L2818" s="3"/>
      <c r="M2818" s="3" t="str">
        <f>IFERROR(__xludf.DUMMYFUNCTION("""COMPUTED_VALUE"""),"")</f>
        <v/>
      </c>
    </row>
    <row r="2819" ht="48.0" customHeight="1">
      <c r="A2819" s="3"/>
      <c r="B2819" s="4"/>
      <c r="C2819" s="4"/>
      <c r="D2819" s="4"/>
      <c r="E2819" s="4"/>
      <c r="F2819" s="4"/>
      <c r="G2819" s="5"/>
      <c r="H2819" s="6"/>
      <c r="I2819" s="7"/>
      <c r="J2819" s="6"/>
      <c r="K2819" s="6"/>
      <c r="L2819" s="3"/>
      <c r="M2819" s="3" t="str">
        <f>IFERROR(__xludf.DUMMYFUNCTION("""COMPUTED_VALUE"""),"")</f>
        <v/>
      </c>
    </row>
    <row r="2820" ht="48.0" customHeight="1">
      <c r="A2820" s="3"/>
      <c r="B2820" s="4"/>
      <c r="C2820" s="4"/>
      <c r="D2820" s="4"/>
      <c r="E2820" s="4"/>
      <c r="F2820" s="4"/>
      <c r="G2820" s="5"/>
      <c r="H2820" s="6"/>
      <c r="I2820" s="7"/>
      <c r="J2820" s="6"/>
      <c r="K2820" s="6"/>
      <c r="L2820" s="3"/>
      <c r="M2820" s="3" t="str">
        <f>IFERROR(__xludf.DUMMYFUNCTION("""COMPUTED_VALUE"""),"")</f>
        <v/>
      </c>
    </row>
    <row r="2821" ht="48.0" customHeight="1">
      <c r="A2821" s="3"/>
      <c r="B2821" s="4"/>
      <c r="C2821" s="4"/>
      <c r="D2821" s="4"/>
      <c r="E2821" s="4"/>
      <c r="F2821" s="4"/>
      <c r="G2821" s="5"/>
      <c r="H2821" s="6"/>
      <c r="I2821" s="7"/>
      <c r="J2821" s="6"/>
      <c r="K2821" s="6"/>
      <c r="L2821" s="3"/>
      <c r="M2821" s="3" t="str">
        <f>IFERROR(__xludf.DUMMYFUNCTION("""COMPUTED_VALUE"""),"")</f>
        <v/>
      </c>
    </row>
    <row r="2822" ht="48.0" customHeight="1">
      <c r="A2822" s="3"/>
      <c r="B2822" s="4"/>
      <c r="C2822" s="4"/>
      <c r="D2822" s="4"/>
      <c r="E2822" s="4"/>
      <c r="F2822" s="4"/>
      <c r="G2822" s="5"/>
      <c r="H2822" s="6"/>
      <c r="I2822" s="7"/>
      <c r="J2822" s="6"/>
      <c r="K2822" s="6"/>
      <c r="L2822" s="3"/>
      <c r="M2822" s="3" t="str">
        <f>IFERROR(__xludf.DUMMYFUNCTION("""COMPUTED_VALUE"""),"")</f>
        <v/>
      </c>
    </row>
    <row r="2823" ht="48.0" customHeight="1">
      <c r="A2823" s="3"/>
      <c r="B2823" s="4"/>
      <c r="C2823" s="4"/>
      <c r="D2823" s="4"/>
      <c r="E2823" s="4"/>
      <c r="F2823" s="4"/>
      <c r="G2823" s="5"/>
      <c r="H2823" s="6"/>
      <c r="I2823" s="7"/>
      <c r="J2823" s="6"/>
      <c r="K2823" s="6"/>
      <c r="L2823" s="3"/>
      <c r="M2823" s="3" t="str">
        <f>IFERROR(__xludf.DUMMYFUNCTION("""COMPUTED_VALUE"""),"")</f>
        <v/>
      </c>
    </row>
    <row r="2824" ht="48.0" customHeight="1">
      <c r="A2824" s="3"/>
      <c r="B2824" s="4"/>
      <c r="C2824" s="4"/>
      <c r="D2824" s="4"/>
      <c r="E2824" s="4"/>
      <c r="F2824" s="4"/>
      <c r="G2824" s="5"/>
      <c r="H2824" s="6"/>
      <c r="I2824" s="7"/>
      <c r="J2824" s="6"/>
      <c r="K2824" s="6"/>
      <c r="L2824" s="3"/>
      <c r="M2824" s="3" t="str">
        <f>IFERROR(__xludf.DUMMYFUNCTION("""COMPUTED_VALUE"""),"")</f>
        <v/>
      </c>
    </row>
    <row r="2825" ht="48.0" customHeight="1">
      <c r="A2825" s="3"/>
      <c r="B2825" s="4"/>
      <c r="C2825" s="4"/>
      <c r="D2825" s="4"/>
      <c r="E2825" s="4"/>
      <c r="F2825" s="4"/>
      <c r="G2825" s="5"/>
      <c r="H2825" s="6"/>
      <c r="I2825" s="7"/>
      <c r="J2825" s="6"/>
      <c r="K2825" s="6"/>
      <c r="L2825" s="3"/>
      <c r="M2825" s="3" t="str">
        <f>IFERROR(__xludf.DUMMYFUNCTION("""COMPUTED_VALUE"""),"")</f>
        <v/>
      </c>
    </row>
    <row r="2826" ht="48.0" customHeight="1">
      <c r="A2826" s="3"/>
      <c r="B2826" s="4"/>
      <c r="C2826" s="4"/>
      <c r="D2826" s="4"/>
      <c r="E2826" s="4"/>
      <c r="F2826" s="4"/>
      <c r="G2826" s="5"/>
      <c r="H2826" s="6"/>
      <c r="I2826" s="7"/>
      <c r="J2826" s="6"/>
      <c r="K2826" s="6"/>
      <c r="L2826" s="3"/>
      <c r="M2826" s="3" t="str">
        <f>IFERROR(__xludf.DUMMYFUNCTION("""COMPUTED_VALUE"""),"")</f>
        <v/>
      </c>
    </row>
    <row r="2827" ht="48.0" customHeight="1">
      <c r="A2827" s="3"/>
      <c r="B2827" s="4"/>
      <c r="C2827" s="4"/>
      <c r="D2827" s="4"/>
      <c r="E2827" s="4"/>
      <c r="F2827" s="4"/>
      <c r="G2827" s="5"/>
      <c r="H2827" s="6"/>
      <c r="I2827" s="7"/>
      <c r="J2827" s="6"/>
      <c r="K2827" s="6"/>
      <c r="L2827" s="3"/>
      <c r="M2827" s="3" t="str">
        <f>IFERROR(__xludf.DUMMYFUNCTION("""COMPUTED_VALUE"""),"")</f>
        <v/>
      </c>
    </row>
    <row r="2828" ht="48.0" customHeight="1">
      <c r="A2828" s="3"/>
      <c r="B2828" s="4"/>
      <c r="C2828" s="4"/>
      <c r="D2828" s="4"/>
      <c r="E2828" s="4"/>
      <c r="F2828" s="4"/>
      <c r="G2828" s="5"/>
      <c r="H2828" s="6"/>
      <c r="I2828" s="7"/>
      <c r="J2828" s="6"/>
      <c r="K2828" s="6"/>
      <c r="L2828" s="3"/>
      <c r="M2828" s="3" t="str">
        <f>IFERROR(__xludf.DUMMYFUNCTION("""COMPUTED_VALUE"""),"")</f>
        <v/>
      </c>
    </row>
    <row r="2829" ht="48.0" customHeight="1">
      <c r="A2829" s="3"/>
      <c r="B2829" s="4"/>
      <c r="C2829" s="4"/>
      <c r="D2829" s="4"/>
      <c r="E2829" s="4"/>
      <c r="F2829" s="4"/>
      <c r="G2829" s="5"/>
      <c r="H2829" s="6"/>
      <c r="I2829" s="7"/>
      <c r="J2829" s="6"/>
      <c r="K2829" s="6"/>
      <c r="L2829" s="3"/>
      <c r="M2829" s="3" t="str">
        <f>IFERROR(__xludf.DUMMYFUNCTION("""COMPUTED_VALUE"""),"")</f>
        <v/>
      </c>
    </row>
    <row r="2830" ht="48.0" customHeight="1">
      <c r="A2830" s="3"/>
      <c r="B2830" s="4"/>
      <c r="C2830" s="4"/>
      <c r="D2830" s="4"/>
      <c r="E2830" s="4"/>
      <c r="F2830" s="4"/>
      <c r="G2830" s="5"/>
      <c r="H2830" s="6"/>
      <c r="I2830" s="7"/>
      <c r="J2830" s="6"/>
      <c r="K2830" s="6"/>
      <c r="L2830" s="3"/>
      <c r="M2830" s="3" t="str">
        <f>IFERROR(__xludf.DUMMYFUNCTION("""COMPUTED_VALUE"""),"")</f>
        <v/>
      </c>
    </row>
    <row r="2831" ht="48.0" customHeight="1">
      <c r="A2831" s="3"/>
      <c r="B2831" s="4"/>
      <c r="C2831" s="4"/>
      <c r="D2831" s="4"/>
      <c r="E2831" s="4"/>
      <c r="F2831" s="4"/>
      <c r="G2831" s="5"/>
      <c r="H2831" s="6"/>
      <c r="I2831" s="7"/>
      <c r="J2831" s="6"/>
      <c r="K2831" s="6"/>
      <c r="L2831" s="3"/>
      <c r="M2831" s="3" t="str">
        <f>IFERROR(__xludf.DUMMYFUNCTION("""COMPUTED_VALUE"""),"")</f>
        <v/>
      </c>
    </row>
    <row r="2832" ht="48.0" customHeight="1">
      <c r="A2832" s="3"/>
      <c r="B2832" s="4"/>
      <c r="C2832" s="4"/>
      <c r="D2832" s="4"/>
      <c r="E2832" s="4"/>
      <c r="F2832" s="4"/>
      <c r="G2832" s="5"/>
      <c r="H2832" s="6"/>
      <c r="I2832" s="7"/>
      <c r="J2832" s="6"/>
      <c r="K2832" s="6"/>
      <c r="L2832" s="3"/>
      <c r="M2832" s="3" t="str">
        <f>IFERROR(__xludf.DUMMYFUNCTION("""COMPUTED_VALUE"""),"")</f>
        <v/>
      </c>
    </row>
    <row r="2833" ht="48.0" customHeight="1">
      <c r="A2833" s="3"/>
      <c r="B2833" s="4"/>
      <c r="C2833" s="4"/>
      <c r="D2833" s="4"/>
      <c r="E2833" s="4"/>
      <c r="F2833" s="4"/>
      <c r="G2833" s="5"/>
      <c r="H2833" s="6"/>
      <c r="I2833" s="7"/>
      <c r="J2833" s="6"/>
      <c r="K2833" s="6"/>
      <c r="L2833" s="3"/>
      <c r="M2833" s="3" t="str">
        <f>IFERROR(__xludf.DUMMYFUNCTION("""COMPUTED_VALUE"""),"")</f>
        <v/>
      </c>
    </row>
    <row r="2834" ht="48.0" customHeight="1">
      <c r="A2834" s="3"/>
      <c r="B2834" s="4"/>
      <c r="C2834" s="4"/>
      <c r="D2834" s="4"/>
      <c r="E2834" s="4"/>
      <c r="F2834" s="4"/>
      <c r="G2834" s="5"/>
      <c r="H2834" s="6"/>
      <c r="I2834" s="7"/>
      <c r="J2834" s="6"/>
      <c r="K2834" s="6"/>
      <c r="L2834" s="3"/>
      <c r="M2834" s="3" t="str">
        <f>IFERROR(__xludf.DUMMYFUNCTION("""COMPUTED_VALUE"""),"")</f>
        <v/>
      </c>
    </row>
    <row r="2835" ht="48.0" customHeight="1">
      <c r="A2835" s="3"/>
      <c r="B2835" s="4"/>
      <c r="C2835" s="4"/>
      <c r="D2835" s="4"/>
      <c r="E2835" s="4"/>
      <c r="F2835" s="4"/>
      <c r="G2835" s="5"/>
      <c r="H2835" s="6"/>
      <c r="I2835" s="7"/>
      <c r="J2835" s="6"/>
      <c r="K2835" s="6"/>
      <c r="L2835" s="3"/>
      <c r="M2835" s="3" t="str">
        <f>IFERROR(__xludf.DUMMYFUNCTION("""COMPUTED_VALUE"""),"")</f>
        <v/>
      </c>
    </row>
    <row r="2836" ht="48.0" customHeight="1">
      <c r="A2836" s="3"/>
      <c r="B2836" s="4"/>
      <c r="C2836" s="4"/>
      <c r="D2836" s="4"/>
      <c r="E2836" s="4"/>
      <c r="F2836" s="4"/>
      <c r="G2836" s="5"/>
      <c r="H2836" s="6"/>
      <c r="I2836" s="7"/>
      <c r="J2836" s="6"/>
      <c r="K2836" s="6"/>
      <c r="L2836" s="3"/>
      <c r="M2836" s="3" t="str">
        <f>IFERROR(__xludf.DUMMYFUNCTION("""COMPUTED_VALUE"""),"")</f>
        <v/>
      </c>
    </row>
    <row r="2837" ht="48.0" customHeight="1">
      <c r="A2837" s="3"/>
      <c r="B2837" s="4"/>
      <c r="C2837" s="4"/>
      <c r="D2837" s="4"/>
      <c r="E2837" s="4"/>
      <c r="F2837" s="4"/>
      <c r="G2837" s="5"/>
      <c r="H2837" s="6"/>
      <c r="I2837" s="7"/>
      <c r="J2837" s="6"/>
      <c r="K2837" s="6"/>
      <c r="L2837" s="3"/>
      <c r="M2837" s="3" t="str">
        <f>IFERROR(__xludf.DUMMYFUNCTION("""COMPUTED_VALUE"""),"")</f>
        <v/>
      </c>
    </row>
    <row r="2838" ht="48.0" customHeight="1">
      <c r="A2838" s="3"/>
      <c r="B2838" s="4"/>
      <c r="C2838" s="4"/>
      <c r="D2838" s="4"/>
      <c r="E2838" s="4"/>
      <c r="F2838" s="4"/>
      <c r="G2838" s="5"/>
      <c r="H2838" s="6"/>
      <c r="I2838" s="7"/>
      <c r="J2838" s="6"/>
      <c r="K2838" s="6"/>
      <c r="L2838" s="3"/>
      <c r="M2838" s="3" t="str">
        <f>IFERROR(__xludf.DUMMYFUNCTION("""COMPUTED_VALUE"""),"")</f>
        <v/>
      </c>
    </row>
    <row r="2839" ht="48.0" customHeight="1">
      <c r="A2839" s="3"/>
      <c r="B2839" s="4"/>
      <c r="C2839" s="4"/>
      <c r="D2839" s="4"/>
      <c r="E2839" s="4"/>
      <c r="F2839" s="4"/>
      <c r="G2839" s="5"/>
      <c r="H2839" s="6"/>
      <c r="I2839" s="7"/>
      <c r="J2839" s="6"/>
      <c r="K2839" s="6"/>
      <c r="L2839" s="3"/>
      <c r="M2839" s="3" t="str">
        <f>IFERROR(__xludf.DUMMYFUNCTION("""COMPUTED_VALUE"""),"")</f>
        <v/>
      </c>
    </row>
    <row r="2840" ht="48.0" customHeight="1">
      <c r="A2840" s="3"/>
      <c r="B2840" s="4"/>
      <c r="C2840" s="4"/>
      <c r="D2840" s="4"/>
      <c r="E2840" s="4"/>
      <c r="F2840" s="4"/>
      <c r="G2840" s="5"/>
      <c r="H2840" s="6"/>
      <c r="I2840" s="7"/>
      <c r="J2840" s="6"/>
      <c r="K2840" s="6"/>
      <c r="L2840" s="3"/>
      <c r="M2840" s="3" t="str">
        <f>IFERROR(__xludf.DUMMYFUNCTION("""COMPUTED_VALUE"""),"")</f>
        <v/>
      </c>
    </row>
    <row r="2841" ht="48.0" customHeight="1">
      <c r="A2841" s="3"/>
      <c r="B2841" s="4"/>
      <c r="C2841" s="4"/>
      <c r="D2841" s="4"/>
      <c r="E2841" s="4"/>
      <c r="F2841" s="4"/>
      <c r="G2841" s="5"/>
      <c r="H2841" s="6"/>
      <c r="I2841" s="7"/>
      <c r="J2841" s="6"/>
      <c r="K2841" s="6"/>
      <c r="L2841" s="3"/>
      <c r="M2841" s="3" t="str">
        <f>IFERROR(__xludf.DUMMYFUNCTION("""COMPUTED_VALUE"""),"")</f>
        <v/>
      </c>
    </row>
    <row r="2842" ht="48.0" customHeight="1">
      <c r="A2842" s="3"/>
      <c r="B2842" s="4"/>
      <c r="C2842" s="4"/>
      <c r="D2842" s="4"/>
      <c r="E2842" s="4"/>
      <c r="F2842" s="4"/>
      <c r="G2842" s="5"/>
      <c r="H2842" s="6"/>
      <c r="I2842" s="7"/>
      <c r="J2842" s="6"/>
      <c r="K2842" s="6"/>
      <c r="L2842" s="3"/>
      <c r="M2842" s="3" t="str">
        <f>IFERROR(__xludf.DUMMYFUNCTION("""COMPUTED_VALUE"""),"")</f>
        <v/>
      </c>
    </row>
    <row r="2843" ht="48.0" customHeight="1">
      <c r="A2843" s="3"/>
      <c r="B2843" s="4"/>
      <c r="C2843" s="4"/>
      <c r="D2843" s="4"/>
      <c r="E2843" s="4"/>
      <c r="F2843" s="4"/>
      <c r="G2843" s="5"/>
      <c r="H2843" s="6"/>
      <c r="I2843" s="7"/>
      <c r="J2843" s="6"/>
      <c r="K2843" s="6"/>
      <c r="L2843" s="3"/>
      <c r="M2843" s="3" t="str">
        <f>IFERROR(__xludf.DUMMYFUNCTION("""COMPUTED_VALUE"""),"")</f>
        <v/>
      </c>
    </row>
    <row r="2844" ht="48.0" customHeight="1">
      <c r="A2844" s="3"/>
      <c r="B2844" s="4"/>
      <c r="C2844" s="4"/>
      <c r="D2844" s="4"/>
      <c r="E2844" s="4"/>
      <c r="F2844" s="4"/>
      <c r="G2844" s="5"/>
      <c r="H2844" s="6"/>
      <c r="I2844" s="7"/>
      <c r="J2844" s="6"/>
      <c r="K2844" s="6"/>
      <c r="L2844" s="3"/>
      <c r="M2844" s="3" t="str">
        <f>IFERROR(__xludf.DUMMYFUNCTION("""COMPUTED_VALUE"""),"")</f>
        <v/>
      </c>
    </row>
    <row r="2845" ht="48.0" customHeight="1">
      <c r="A2845" s="3"/>
      <c r="B2845" s="4"/>
      <c r="C2845" s="4"/>
      <c r="D2845" s="4"/>
      <c r="E2845" s="4"/>
      <c r="F2845" s="4"/>
      <c r="G2845" s="5"/>
      <c r="H2845" s="6"/>
      <c r="I2845" s="7"/>
      <c r="J2845" s="6"/>
      <c r="K2845" s="6"/>
      <c r="L2845" s="3"/>
      <c r="M2845" s="3" t="str">
        <f>IFERROR(__xludf.DUMMYFUNCTION("""COMPUTED_VALUE"""),"")</f>
        <v/>
      </c>
    </row>
    <row r="2846" ht="48.0" customHeight="1">
      <c r="A2846" s="3"/>
      <c r="B2846" s="4"/>
      <c r="C2846" s="4"/>
      <c r="D2846" s="4"/>
      <c r="E2846" s="4"/>
      <c r="F2846" s="4"/>
      <c r="G2846" s="5"/>
      <c r="H2846" s="6"/>
      <c r="I2846" s="7"/>
      <c r="J2846" s="6"/>
      <c r="K2846" s="6"/>
      <c r="L2846" s="3"/>
      <c r="M2846" s="3" t="str">
        <f>IFERROR(__xludf.DUMMYFUNCTION("""COMPUTED_VALUE"""),"")</f>
        <v/>
      </c>
    </row>
    <row r="2847" ht="48.0" customHeight="1">
      <c r="A2847" s="3"/>
      <c r="B2847" s="4"/>
      <c r="C2847" s="4"/>
      <c r="D2847" s="4"/>
      <c r="E2847" s="4"/>
      <c r="F2847" s="4"/>
      <c r="G2847" s="5"/>
      <c r="H2847" s="6"/>
      <c r="I2847" s="7"/>
      <c r="J2847" s="6"/>
      <c r="K2847" s="6"/>
      <c r="L2847" s="3"/>
      <c r="M2847" s="3" t="str">
        <f>IFERROR(__xludf.DUMMYFUNCTION("""COMPUTED_VALUE"""),"")</f>
        <v/>
      </c>
    </row>
    <row r="2848" ht="48.0" customHeight="1">
      <c r="A2848" s="3"/>
      <c r="B2848" s="4"/>
      <c r="C2848" s="4"/>
      <c r="D2848" s="4"/>
      <c r="E2848" s="4"/>
      <c r="F2848" s="4"/>
      <c r="G2848" s="5"/>
      <c r="H2848" s="6"/>
      <c r="I2848" s="7"/>
      <c r="J2848" s="6"/>
      <c r="K2848" s="6"/>
      <c r="L2848" s="3"/>
      <c r="M2848" s="3" t="str">
        <f>IFERROR(__xludf.DUMMYFUNCTION("""COMPUTED_VALUE"""),"")</f>
        <v/>
      </c>
    </row>
    <row r="2849" ht="48.0" customHeight="1">
      <c r="A2849" s="3"/>
      <c r="B2849" s="4"/>
      <c r="C2849" s="4"/>
      <c r="D2849" s="4"/>
      <c r="E2849" s="4"/>
      <c r="F2849" s="4"/>
      <c r="G2849" s="5"/>
      <c r="H2849" s="6"/>
      <c r="I2849" s="7"/>
      <c r="J2849" s="6"/>
      <c r="K2849" s="6"/>
      <c r="L2849" s="3"/>
      <c r="M2849" s="3" t="str">
        <f>IFERROR(__xludf.DUMMYFUNCTION("""COMPUTED_VALUE"""),"")</f>
        <v/>
      </c>
    </row>
    <row r="2850" ht="48.0" customHeight="1">
      <c r="A2850" s="3"/>
      <c r="B2850" s="4"/>
      <c r="C2850" s="4"/>
      <c r="D2850" s="4"/>
      <c r="E2850" s="4"/>
      <c r="F2850" s="4"/>
      <c r="G2850" s="5"/>
      <c r="H2850" s="6"/>
      <c r="I2850" s="7"/>
      <c r="J2850" s="6"/>
      <c r="K2850" s="6"/>
      <c r="L2850" s="3"/>
      <c r="M2850" s="3" t="str">
        <f>IFERROR(__xludf.DUMMYFUNCTION("""COMPUTED_VALUE"""),"")</f>
        <v/>
      </c>
    </row>
    <row r="2851" ht="48.0" customHeight="1">
      <c r="A2851" s="3"/>
      <c r="B2851" s="4"/>
      <c r="C2851" s="4"/>
      <c r="D2851" s="4"/>
      <c r="E2851" s="4"/>
      <c r="F2851" s="4"/>
      <c r="G2851" s="5"/>
      <c r="H2851" s="6"/>
      <c r="I2851" s="7"/>
      <c r="J2851" s="6"/>
      <c r="K2851" s="6"/>
      <c r="L2851" s="3"/>
      <c r="M2851" s="3" t="str">
        <f>IFERROR(__xludf.DUMMYFUNCTION("""COMPUTED_VALUE"""),"")</f>
        <v/>
      </c>
    </row>
    <row r="2852" ht="48.0" customHeight="1">
      <c r="A2852" s="3"/>
      <c r="B2852" s="4"/>
      <c r="C2852" s="4"/>
      <c r="D2852" s="4"/>
      <c r="E2852" s="4"/>
      <c r="F2852" s="4"/>
      <c r="G2852" s="5"/>
      <c r="H2852" s="6"/>
      <c r="I2852" s="7"/>
      <c r="J2852" s="6"/>
      <c r="K2852" s="6"/>
      <c r="L2852" s="3"/>
      <c r="M2852" s="3" t="str">
        <f>IFERROR(__xludf.DUMMYFUNCTION("""COMPUTED_VALUE"""),"")</f>
        <v/>
      </c>
    </row>
    <row r="2853" ht="48.0" customHeight="1">
      <c r="A2853" s="3"/>
      <c r="B2853" s="4"/>
      <c r="C2853" s="4"/>
      <c r="D2853" s="4"/>
      <c r="E2853" s="4"/>
      <c r="F2853" s="4"/>
      <c r="G2853" s="5"/>
      <c r="H2853" s="6"/>
      <c r="I2853" s="7"/>
      <c r="J2853" s="6"/>
      <c r="K2853" s="6"/>
      <c r="L2853" s="3"/>
      <c r="M2853" s="3" t="str">
        <f>IFERROR(__xludf.DUMMYFUNCTION("""COMPUTED_VALUE"""),"")</f>
        <v/>
      </c>
    </row>
    <row r="2854" ht="48.0" customHeight="1">
      <c r="A2854" s="3"/>
      <c r="B2854" s="4"/>
      <c r="C2854" s="4"/>
      <c r="D2854" s="4"/>
      <c r="E2854" s="4"/>
      <c r="F2854" s="4"/>
      <c r="G2854" s="5"/>
      <c r="H2854" s="6"/>
      <c r="I2854" s="7"/>
      <c r="J2854" s="6"/>
      <c r="K2854" s="6"/>
      <c r="L2854" s="3"/>
      <c r="M2854" s="3" t="str">
        <f>IFERROR(__xludf.DUMMYFUNCTION("""COMPUTED_VALUE"""),"")</f>
        <v/>
      </c>
    </row>
    <row r="2855" ht="48.0" customHeight="1">
      <c r="A2855" s="3"/>
      <c r="B2855" s="4"/>
      <c r="C2855" s="4"/>
      <c r="D2855" s="4"/>
      <c r="E2855" s="4"/>
      <c r="F2855" s="4"/>
      <c r="G2855" s="5"/>
      <c r="H2855" s="6"/>
      <c r="I2855" s="7"/>
      <c r="J2855" s="6"/>
      <c r="K2855" s="6"/>
      <c r="L2855" s="3"/>
      <c r="M2855" s="3" t="str">
        <f>IFERROR(__xludf.DUMMYFUNCTION("""COMPUTED_VALUE"""),"")</f>
        <v/>
      </c>
    </row>
    <row r="2856" ht="48.0" customHeight="1">
      <c r="A2856" s="3"/>
      <c r="B2856" s="4"/>
      <c r="C2856" s="4"/>
      <c r="D2856" s="4"/>
      <c r="E2856" s="4"/>
      <c r="F2856" s="4"/>
      <c r="G2856" s="5"/>
      <c r="H2856" s="6"/>
      <c r="I2856" s="7"/>
      <c r="J2856" s="6"/>
      <c r="K2856" s="6"/>
      <c r="L2856" s="3"/>
      <c r="M2856" s="3" t="str">
        <f>IFERROR(__xludf.DUMMYFUNCTION("""COMPUTED_VALUE"""),"")</f>
        <v/>
      </c>
    </row>
    <row r="2857" ht="48.0" customHeight="1">
      <c r="A2857" s="3"/>
      <c r="B2857" s="4"/>
      <c r="C2857" s="4"/>
      <c r="D2857" s="4"/>
      <c r="E2857" s="4"/>
      <c r="F2857" s="4"/>
      <c r="G2857" s="5"/>
      <c r="H2857" s="6"/>
      <c r="I2857" s="7"/>
      <c r="J2857" s="6"/>
      <c r="K2857" s="6"/>
      <c r="L2857" s="3"/>
      <c r="M2857" s="3" t="str">
        <f>IFERROR(__xludf.DUMMYFUNCTION("""COMPUTED_VALUE"""),"")</f>
        <v/>
      </c>
    </row>
    <row r="2858" ht="48.0" customHeight="1">
      <c r="A2858" s="3"/>
      <c r="B2858" s="4"/>
      <c r="C2858" s="4"/>
      <c r="D2858" s="4"/>
      <c r="E2858" s="4"/>
      <c r="F2858" s="4"/>
      <c r="G2858" s="5"/>
      <c r="H2858" s="6"/>
      <c r="I2858" s="7"/>
      <c r="J2858" s="6"/>
      <c r="K2858" s="6"/>
      <c r="L2858" s="3"/>
      <c r="M2858" s="3" t="str">
        <f>IFERROR(__xludf.DUMMYFUNCTION("""COMPUTED_VALUE"""),"")</f>
        <v/>
      </c>
    </row>
    <row r="2859" ht="48.0" customHeight="1">
      <c r="A2859" s="3"/>
      <c r="B2859" s="4"/>
      <c r="C2859" s="4"/>
      <c r="D2859" s="4"/>
      <c r="E2859" s="4"/>
      <c r="F2859" s="4"/>
      <c r="G2859" s="5"/>
      <c r="H2859" s="6"/>
      <c r="I2859" s="7"/>
      <c r="J2859" s="6"/>
      <c r="K2859" s="6"/>
      <c r="L2859" s="3"/>
      <c r="M2859" s="3" t="str">
        <f>IFERROR(__xludf.DUMMYFUNCTION("""COMPUTED_VALUE"""),"")</f>
        <v/>
      </c>
    </row>
    <row r="2860" ht="48.0" customHeight="1">
      <c r="A2860" s="3"/>
      <c r="B2860" s="4"/>
      <c r="C2860" s="4"/>
      <c r="D2860" s="4"/>
      <c r="E2860" s="4"/>
      <c r="F2860" s="4"/>
      <c r="G2860" s="5"/>
      <c r="H2860" s="6"/>
      <c r="I2860" s="7"/>
      <c r="J2860" s="6"/>
      <c r="K2860" s="6"/>
      <c r="L2860" s="3"/>
      <c r="M2860" s="3" t="str">
        <f>IFERROR(__xludf.DUMMYFUNCTION("""COMPUTED_VALUE"""),"")</f>
        <v/>
      </c>
    </row>
    <row r="2861" ht="48.0" customHeight="1">
      <c r="A2861" s="3"/>
      <c r="B2861" s="4"/>
      <c r="C2861" s="4"/>
      <c r="D2861" s="4"/>
      <c r="E2861" s="4"/>
      <c r="F2861" s="4"/>
      <c r="G2861" s="5"/>
      <c r="H2861" s="6"/>
      <c r="I2861" s="7"/>
      <c r="J2861" s="6"/>
      <c r="K2861" s="6"/>
      <c r="L2861" s="3"/>
      <c r="M2861" s="3" t="str">
        <f>IFERROR(__xludf.DUMMYFUNCTION("""COMPUTED_VALUE"""),"")</f>
        <v/>
      </c>
    </row>
    <row r="2862" ht="48.0" customHeight="1">
      <c r="A2862" s="3"/>
      <c r="B2862" s="4"/>
      <c r="C2862" s="4"/>
      <c r="D2862" s="4"/>
      <c r="E2862" s="4"/>
      <c r="F2862" s="4"/>
      <c r="G2862" s="5"/>
      <c r="H2862" s="6"/>
      <c r="I2862" s="7"/>
      <c r="J2862" s="6"/>
      <c r="K2862" s="6"/>
      <c r="L2862" s="3"/>
      <c r="M2862" s="3" t="str">
        <f>IFERROR(__xludf.DUMMYFUNCTION("""COMPUTED_VALUE"""),"")</f>
        <v/>
      </c>
    </row>
    <row r="2863" ht="48.0" customHeight="1">
      <c r="A2863" s="3"/>
      <c r="B2863" s="4"/>
      <c r="C2863" s="4"/>
      <c r="D2863" s="4"/>
      <c r="E2863" s="4"/>
      <c r="F2863" s="4"/>
      <c r="G2863" s="5"/>
      <c r="H2863" s="6"/>
      <c r="I2863" s="7"/>
      <c r="J2863" s="6"/>
      <c r="K2863" s="6"/>
      <c r="L2863" s="3"/>
      <c r="M2863" s="3" t="str">
        <f>IFERROR(__xludf.DUMMYFUNCTION("""COMPUTED_VALUE"""),"")</f>
        <v/>
      </c>
    </row>
    <row r="2864" ht="48.0" customHeight="1">
      <c r="A2864" s="3"/>
      <c r="B2864" s="4"/>
      <c r="C2864" s="4"/>
      <c r="D2864" s="4"/>
      <c r="E2864" s="4"/>
      <c r="F2864" s="4"/>
      <c r="G2864" s="5"/>
      <c r="H2864" s="6"/>
      <c r="I2864" s="7"/>
      <c r="J2864" s="6"/>
      <c r="K2864" s="6"/>
      <c r="L2864" s="3"/>
      <c r="M2864" s="3" t="str">
        <f>IFERROR(__xludf.DUMMYFUNCTION("""COMPUTED_VALUE"""),"")</f>
        <v/>
      </c>
    </row>
    <row r="2865" ht="48.0" customHeight="1">
      <c r="A2865" s="3"/>
      <c r="B2865" s="4"/>
      <c r="C2865" s="4"/>
      <c r="D2865" s="4"/>
      <c r="E2865" s="4"/>
      <c r="F2865" s="4"/>
      <c r="G2865" s="5"/>
      <c r="H2865" s="6"/>
      <c r="I2865" s="7"/>
      <c r="J2865" s="6"/>
      <c r="K2865" s="6"/>
      <c r="L2865" s="3"/>
      <c r="M2865" s="3" t="str">
        <f>IFERROR(__xludf.DUMMYFUNCTION("""COMPUTED_VALUE"""),"")</f>
        <v/>
      </c>
    </row>
    <row r="2866" ht="48.0" customHeight="1">
      <c r="A2866" s="3"/>
      <c r="B2866" s="4"/>
      <c r="C2866" s="4"/>
      <c r="D2866" s="4"/>
      <c r="E2866" s="4"/>
      <c r="F2866" s="4"/>
      <c r="G2866" s="5"/>
      <c r="H2866" s="6"/>
      <c r="I2866" s="7"/>
      <c r="J2866" s="6"/>
      <c r="K2866" s="6"/>
      <c r="L2866" s="3"/>
      <c r="M2866" s="3" t="str">
        <f>IFERROR(__xludf.DUMMYFUNCTION("""COMPUTED_VALUE"""),"")</f>
        <v/>
      </c>
    </row>
    <row r="2867" ht="48.0" customHeight="1">
      <c r="A2867" s="3"/>
      <c r="B2867" s="4"/>
      <c r="C2867" s="4"/>
      <c r="D2867" s="4"/>
      <c r="E2867" s="4"/>
      <c r="F2867" s="4"/>
      <c r="G2867" s="5"/>
      <c r="H2867" s="6"/>
      <c r="I2867" s="7"/>
      <c r="J2867" s="6"/>
      <c r="K2867" s="6"/>
      <c r="L2867" s="3"/>
      <c r="M2867" s="3" t="str">
        <f>IFERROR(__xludf.DUMMYFUNCTION("""COMPUTED_VALUE"""),"")</f>
        <v/>
      </c>
    </row>
    <row r="2868" ht="48.0" customHeight="1">
      <c r="A2868" s="3"/>
      <c r="B2868" s="4"/>
      <c r="C2868" s="4"/>
      <c r="D2868" s="4"/>
      <c r="E2868" s="4"/>
      <c r="F2868" s="4"/>
      <c r="G2868" s="5"/>
      <c r="H2868" s="6"/>
      <c r="I2868" s="7"/>
      <c r="J2868" s="6"/>
      <c r="K2868" s="6"/>
      <c r="L2868" s="3"/>
      <c r="M2868" s="3" t="str">
        <f>IFERROR(__xludf.DUMMYFUNCTION("""COMPUTED_VALUE"""),"")</f>
        <v/>
      </c>
    </row>
    <row r="2869" ht="48.0" customHeight="1">
      <c r="A2869" s="3"/>
      <c r="B2869" s="4"/>
      <c r="C2869" s="4"/>
      <c r="D2869" s="4"/>
      <c r="E2869" s="4"/>
      <c r="F2869" s="4"/>
      <c r="G2869" s="5"/>
      <c r="H2869" s="6"/>
      <c r="I2869" s="7"/>
      <c r="J2869" s="6"/>
      <c r="K2869" s="6"/>
      <c r="L2869" s="3"/>
      <c r="M2869" s="3" t="str">
        <f>IFERROR(__xludf.DUMMYFUNCTION("""COMPUTED_VALUE"""),"")</f>
        <v/>
      </c>
    </row>
    <row r="2870" ht="48.0" customHeight="1">
      <c r="A2870" s="3"/>
      <c r="B2870" s="4"/>
      <c r="C2870" s="4"/>
      <c r="D2870" s="4"/>
      <c r="E2870" s="4"/>
      <c r="F2870" s="4"/>
      <c r="G2870" s="5"/>
      <c r="H2870" s="6"/>
      <c r="I2870" s="7"/>
      <c r="J2870" s="6"/>
      <c r="K2870" s="6"/>
      <c r="L2870" s="3"/>
      <c r="M2870" s="3" t="str">
        <f>IFERROR(__xludf.DUMMYFUNCTION("""COMPUTED_VALUE"""),"")</f>
        <v/>
      </c>
    </row>
    <row r="2871" ht="48.0" customHeight="1">
      <c r="A2871" s="3"/>
      <c r="B2871" s="4"/>
      <c r="C2871" s="4"/>
      <c r="D2871" s="4"/>
      <c r="E2871" s="4"/>
      <c r="F2871" s="4"/>
      <c r="G2871" s="5"/>
      <c r="H2871" s="6"/>
      <c r="I2871" s="7"/>
      <c r="J2871" s="6"/>
      <c r="K2871" s="6"/>
      <c r="L2871" s="3"/>
      <c r="M2871" s="3" t="str">
        <f>IFERROR(__xludf.DUMMYFUNCTION("""COMPUTED_VALUE"""),"")</f>
        <v/>
      </c>
    </row>
    <row r="2872" ht="48.0" customHeight="1">
      <c r="A2872" s="3"/>
      <c r="B2872" s="4"/>
      <c r="C2872" s="4"/>
      <c r="D2872" s="4"/>
      <c r="E2872" s="4"/>
      <c r="F2872" s="4"/>
      <c r="G2872" s="5"/>
      <c r="H2872" s="6"/>
      <c r="I2872" s="7"/>
      <c r="J2872" s="6"/>
      <c r="K2872" s="6"/>
      <c r="L2872" s="3"/>
      <c r="M2872" s="3" t="str">
        <f>IFERROR(__xludf.DUMMYFUNCTION("""COMPUTED_VALUE"""),"")</f>
        <v/>
      </c>
    </row>
    <row r="2873" ht="48.0" customHeight="1">
      <c r="A2873" s="3"/>
      <c r="B2873" s="4"/>
      <c r="C2873" s="4"/>
      <c r="D2873" s="4"/>
      <c r="E2873" s="4"/>
      <c r="F2873" s="4"/>
      <c r="G2873" s="5"/>
      <c r="H2873" s="6"/>
      <c r="I2873" s="7"/>
      <c r="J2873" s="6"/>
      <c r="K2873" s="6"/>
      <c r="L2873" s="3"/>
      <c r="M2873" s="3" t="str">
        <f>IFERROR(__xludf.DUMMYFUNCTION("""COMPUTED_VALUE"""),"")</f>
        <v/>
      </c>
    </row>
    <row r="2874" ht="48.0" customHeight="1">
      <c r="A2874" s="3"/>
      <c r="B2874" s="4"/>
      <c r="C2874" s="4"/>
      <c r="D2874" s="4"/>
      <c r="E2874" s="4"/>
      <c r="F2874" s="4"/>
      <c r="G2874" s="5"/>
      <c r="H2874" s="6"/>
      <c r="I2874" s="7"/>
      <c r="J2874" s="6"/>
      <c r="K2874" s="6"/>
      <c r="L2874" s="3"/>
      <c r="M2874" s="3" t="str">
        <f>IFERROR(__xludf.DUMMYFUNCTION("""COMPUTED_VALUE"""),"")</f>
        <v/>
      </c>
    </row>
    <row r="2875" ht="48.0" customHeight="1">
      <c r="A2875" s="3"/>
      <c r="B2875" s="4"/>
      <c r="C2875" s="4"/>
      <c r="D2875" s="4"/>
      <c r="E2875" s="4"/>
      <c r="F2875" s="4"/>
      <c r="G2875" s="5"/>
      <c r="H2875" s="6"/>
      <c r="I2875" s="7"/>
      <c r="J2875" s="6"/>
      <c r="K2875" s="6"/>
      <c r="L2875" s="3"/>
      <c r="M2875" s="3" t="str">
        <f>IFERROR(__xludf.DUMMYFUNCTION("""COMPUTED_VALUE"""),"")</f>
        <v/>
      </c>
    </row>
    <row r="2876" ht="48.0" customHeight="1">
      <c r="A2876" s="3"/>
      <c r="B2876" s="4"/>
      <c r="C2876" s="4"/>
      <c r="D2876" s="4"/>
      <c r="E2876" s="4"/>
      <c r="F2876" s="4"/>
      <c r="G2876" s="5"/>
      <c r="H2876" s="6"/>
      <c r="I2876" s="7"/>
      <c r="J2876" s="6"/>
      <c r="K2876" s="6"/>
      <c r="L2876" s="3"/>
      <c r="M2876" s="3" t="str">
        <f>IFERROR(__xludf.DUMMYFUNCTION("""COMPUTED_VALUE"""),"")</f>
        <v/>
      </c>
    </row>
    <row r="2877" ht="48.0" customHeight="1">
      <c r="A2877" s="3"/>
      <c r="B2877" s="4"/>
      <c r="C2877" s="4"/>
      <c r="D2877" s="4"/>
      <c r="E2877" s="4"/>
      <c r="F2877" s="4"/>
      <c r="G2877" s="5"/>
      <c r="H2877" s="6"/>
      <c r="I2877" s="7"/>
      <c r="J2877" s="6"/>
      <c r="K2877" s="6"/>
      <c r="L2877" s="3"/>
      <c r="M2877" s="3" t="str">
        <f>IFERROR(__xludf.DUMMYFUNCTION("""COMPUTED_VALUE"""),"")</f>
        <v/>
      </c>
    </row>
    <row r="2878" ht="48.0" customHeight="1">
      <c r="A2878" s="3"/>
      <c r="B2878" s="4"/>
      <c r="C2878" s="4"/>
      <c r="D2878" s="4"/>
      <c r="E2878" s="4"/>
      <c r="F2878" s="4"/>
      <c r="G2878" s="5"/>
      <c r="H2878" s="6"/>
      <c r="I2878" s="7"/>
      <c r="J2878" s="6"/>
      <c r="K2878" s="6"/>
      <c r="L2878" s="3"/>
      <c r="M2878" s="3" t="str">
        <f>IFERROR(__xludf.DUMMYFUNCTION("""COMPUTED_VALUE"""),"")</f>
        <v/>
      </c>
    </row>
    <row r="2879" ht="48.0" customHeight="1">
      <c r="A2879" s="3"/>
      <c r="B2879" s="4"/>
      <c r="C2879" s="4"/>
      <c r="D2879" s="4"/>
      <c r="E2879" s="4"/>
      <c r="F2879" s="4"/>
      <c r="G2879" s="5"/>
      <c r="H2879" s="6"/>
      <c r="I2879" s="7"/>
      <c r="J2879" s="6"/>
      <c r="K2879" s="6"/>
      <c r="L2879" s="3"/>
      <c r="M2879" s="3" t="str">
        <f>IFERROR(__xludf.DUMMYFUNCTION("""COMPUTED_VALUE"""),"")</f>
        <v/>
      </c>
    </row>
    <row r="2880" ht="48.0" customHeight="1">
      <c r="A2880" s="3"/>
      <c r="B2880" s="4"/>
      <c r="C2880" s="4"/>
      <c r="D2880" s="4"/>
      <c r="E2880" s="4"/>
      <c r="F2880" s="4"/>
      <c r="G2880" s="5"/>
      <c r="H2880" s="6"/>
      <c r="I2880" s="7"/>
      <c r="J2880" s="6"/>
      <c r="K2880" s="6"/>
      <c r="L2880" s="3"/>
      <c r="M2880" s="3" t="str">
        <f>IFERROR(__xludf.DUMMYFUNCTION("""COMPUTED_VALUE"""),"")</f>
        <v/>
      </c>
    </row>
    <row r="2881" ht="48.0" customHeight="1">
      <c r="A2881" s="3"/>
      <c r="B2881" s="4"/>
      <c r="C2881" s="4"/>
      <c r="D2881" s="4"/>
      <c r="E2881" s="4"/>
      <c r="F2881" s="4"/>
      <c r="G2881" s="5"/>
      <c r="H2881" s="6"/>
      <c r="I2881" s="7"/>
      <c r="J2881" s="6"/>
      <c r="K2881" s="6"/>
      <c r="L2881" s="3"/>
      <c r="M2881" s="3" t="str">
        <f>IFERROR(__xludf.DUMMYFUNCTION("""COMPUTED_VALUE"""),"")</f>
        <v/>
      </c>
    </row>
    <row r="2882" ht="48.0" customHeight="1">
      <c r="A2882" s="3"/>
      <c r="B2882" s="4"/>
      <c r="C2882" s="4"/>
      <c r="D2882" s="4"/>
      <c r="E2882" s="4"/>
      <c r="F2882" s="4"/>
      <c r="G2882" s="5"/>
      <c r="H2882" s="6"/>
      <c r="I2882" s="7"/>
      <c r="J2882" s="6"/>
      <c r="K2882" s="6"/>
      <c r="L2882" s="3"/>
      <c r="M2882" s="3" t="str">
        <f>IFERROR(__xludf.DUMMYFUNCTION("""COMPUTED_VALUE"""),"")</f>
        <v/>
      </c>
    </row>
    <row r="2883" ht="48.0" customHeight="1">
      <c r="A2883" s="3"/>
      <c r="B2883" s="4"/>
      <c r="C2883" s="4"/>
      <c r="D2883" s="4"/>
      <c r="E2883" s="4"/>
      <c r="F2883" s="4"/>
      <c r="G2883" s="5"/>
      <c r="H2883" s="6"/>
      <c r="I2883" s="7"/>
      <c r="J2883" s="6"/>
      <c r="K2883" s="6"/>
      <c r="L2883" s="3"/>
      <c r="M2883" s="3" t="str">
        <f>IFERROR(__xludf.DUMMYFUNCTION("""COMPUTED_VALUE"""),"")</f>
        <v/>
      </c>
    </row>
    <row r="2884" ht="48.0" customHeight="1">
      <c r="A2884" s="3"/>
      <c r="B2884" s="4"/>
      <c r="C2884" s="4"/>
      <c r="D2884" s="4"/>
      <c r="E2884" s="4"/>
      <c r="F2884" s="4"/>
      <c r="G2884" s="5"/>
      <c r="H2884" s="6"/>
      <c r="I2884" s="7"/>
      <c r="J2884" s="6"/>
      <c r="K2884" s="6"/>
      <c r="L2884" s="3"/>
      <c r="M2884" s="3" t="str">
        <f>IFERROR(__xludf.DUMMYFUNCTION("""COMPUTED_VALUE"""),"")</f>
        <v/>
      </c>
    </row>
    <row r="2885" ht="48.0" customHeight="1">
      <c r="A2885" s="3"/>
      <c r="B2885" s="4"/>
      <c r="C2885" s="4"/>
      <c r="D2885" s="4"/>
      <c r="E2885" s="4"/>
      <c r="F2885" s="4"/>
      <c r="G2885" s="5"/>
      <c r="H2885" s="6"/>
      <c r="I2885" s="7"/>
      <c r="J2885" s="6"/>
      <c r="K2885" s="6"/>
      <c r="L2885" s="3"/>
      <c r="M2885" s="3" t="str">
        <f>IFERROR(__xludf.DUMMYFUNCTION("""COMPUTED_VALUE"""),"")</f>
        <v/>
      </c>
    </row>
    <row r="2886" ht="48.0" customHeight="1">
      <c r="A2886" s="3"/>
      <c r="B2886" s="4"/>
      <c r="C2886" s="4"/>
      <c r="D2886" s="4"/>
      <c r="E2886" s="4"/>
      <c r="F2886" s="4"/>
      <c r="G2886" s="5"/>
      <c r="H2886" s="6"/>
      <c r="I2886" s="7"/>
      <c r="J2886" s="6"/>
      <c r="K2886" s="6"/>
      <c r="L2886" s="3"/>
      <c r="M2886" s="3" t="str">
        <f>IFERROR(__xludf.DUMMYFUNCTION("""COMPUTED_VALUE"""),"")</f>
        <v/>
      </c>
    </row>
    <row r="2887" ht="48.0" customHeight="1">
      <c r="A2887" s="3"/>
      <c r="B2887" s="4"/>
      <c r="C2887" s="4"/>
      <c r="D2887" s="4"/>
      <c r="E2887" s="4"/>
      <c r="F2887" s="4"/>
      <c r="G2887" s="5"/>
      <c r="H2887" s="6"/>
      <c r="I2887" s="7"/>
      <c r="J2887" s="6"/>
      <c r="K2887" s="6"/>
      <c r="L2887" s="3"/>
      <c r="M2887" s="3" t="str">
        <f>IFERROR(__xludf.DUMMYFUNCTION("""COMPUTED_VALUE"""),"")</f>
        <v/>
      </c>
    </row>
    <row r="2888" ht="48.0" customHeight="1">
      <c r="A2888" s="3"/>
      <c r="B2888" s="4"/>
      <c r="C2888" s="4"/>
      <c r="D2888" s="4"/>
      <c r="E2888" s="4"/>
      <c r="F2888" s="4"/>
      <c r="G2888" s="5"/>
      <c r="H2888" s="6"/>
      <c r="I2888" s="7"/>
      <c r="J2888" s="6"/>
      <c r="K2888" s="6"/>
      <c r="L2888" s="3"/>
      <c r="M2888" s="3" t="str">
        <f>IFERROR(__xludf.DUMMYFUNCTION("""COMPUTED_VALUE"""),"")</f>
        <v/>
      </c>
    </row>
    <row r="2889" ht="48.0" customHeight="1">
      <c r="A2889" s="3"/>
      <c r="B2889" s="4"/>
      <c r="C2889" s="4"/>
      <c r="D2889" s="4"/>
      <c r="E2889" s="4"/>
      <c r="F2889" s="4"/>
      <c r="G2889" s="5"/>
      <c r="H2889" s="6"/>
      <c r="I2889" s="7"/>
      <c r="J2889" s="6"/>
      <c r="K2889" s="6"/>
      <c r="L2889" s="3"/>
      <c r="M2889" s="3" t="str">
        <f>IFERROR(__xludf.DUMMYFUNCTION("""COMPUTED_VALUE"""),"")</f>
        <v/>
      </c>
    </row>
    <row r="2890" ht="48.0" customHeight="1">
      <c r="A2890" s="3"/>
      <c r="B2890" s="4"/>
      <c r="C2890" s="4"/>
      <c r="D2890" s="4"/>
      <c r="E2890" s="4"/>
      <c r="F2890" s="4"/>
      <c r="G2890" s="5"/>
      <c r="H2890" s="6"/>
      <c r="I2890" s="7"/>
      <c r="J2890" s="6"/>
      <c r="K2890" s="6"/>
      <c r="L2890" s="3"/>
      <c r="M2890" s="3" t="str">
        <f>IFERROR(__xludf.DUMMYFUNCTION("""COMPUTED_VALUE"""),"")</f>
        <v/>
      </c>
    </row>
    <row r="2891" ht="48.0" customHeight="1">
      <c r="A2891" s="3"/>
      <c r="B2891" s="4"/>
      <c r="C2891" s="4"/>
      <c r="D2891" s="4"/>
      <c r="E2891" s="4"/>
      <c r="F2891" s="4"/>
      <c r="G2891" s="5"/>
      <c r="H2891" s="6"/>
      <c r="I2891" s="7"/>
      <c r="J2891" s="6"/>
      <c r="K2891" s="6"/>
      <c r="L2891" s="3"/>
      <c r="M2891" s="3" t="str">
        <f>IFERROR(__xludf.DUMMYFUNCTION("""COMPUTED_VALUE"""),"")</f>
        <v/>
      </c>
    </row>
    <row r="2892" ht="48.0" customHeight="1">
      <c r="A2892" s="3"/>
      <c r="B2892" s="4"/>
      <c r="C2892" s="4"/>
      <c r="D2892" s="4"/>
      <c r="E2892" s="4"/>
      <c r="F2892" s="4"/>
      <c r="G2892" s="5"/>
      <c r="H2892" s="6"/>
      <c r="I2892" s="7"/>
      <c r="J2892" s="6"/>
      <c r="K2892" s="6"/>
      <c r="L2892" s="3"/>
      <c r="M2892" s="3" t="str">
        <f>IFERROR(__xludf.DUMMYFUNCTION("""COMPUTED_VALUE"""),"")</f>
        <v/>
      </c>
    </row>
    <row r="2893" ht="48.0" customHeight="1">
      <c r="A2893" s="3"/>
      <c r="B2893" s="4"/>
      <c r="C2893" s="4"/>
      <c r="D2893" s="4"/>
      <c r="E2893" s="4"/>
      <c r="F2893" s="4"/>
      <c r="G2893" s="5"/>
      <c r="H2893" s="6"/>
      <c r="I2893" s="7"/>
      <c r="J2893" s="6"/>
      <c r="K2893" s="6"/>
      <c r="L2893" s="3"/>
      <c r="M2893" s="3" t="str">
        <f>IFERROR(__xludf.DUMMYFUNCTION("""COMPUTED_VALUE"""),"")</f>
        <v/>
      </c>
    </row>
    <row r="2894" ht="48.0" customHeight="1">
      <c r="A2894" s="3"/>
      <c r="B2894" s="4"/>
      <c r="C2894" s="4"/>
      <c r="D2894" s="4"/>
      <c r="E2894" s="4"/>
      <c r="F2894" s="4"/>
      <c r="G2894" s="5"/>
      <c r="H2894" s="6"/>
      <c r="I2894" s="7"/>
      <c r="J2894" s="6"/>
      <c r="K2894" s="6"/>
      <c r="L2894" s="3"/>
      <c r="M2894" s="3" t="str">
        <f>IFERROR(__xludf.DUMMYFUNCTION("""COMPUTED_VALUE"""),"")</f>
        <v/>
      </c>
    </row>
    <row r="2895" ht="48.0" customHeight="1">
      <c r="A2895" s="3"/>
      <c r="B2895" s="4"/>
      <c r="C2895" s="4"/>
      <c r="D2895" s="4"/>
      <c r="E2895" s="4"/>
      <c r="F2895" s="4"/>
      <c r="G2895" s="5"/>
      <c r="H2895" s="6"/>
      <c r="I2895" s="7"/>
      <c r="J2895" s="6"/>
      <c r="K2895" s="6"/>
      <c r="L2895" s="3"/>
      <c r="M2895" s="3" t="str">
        <f>IFERROR(__xludf.DUMMYFUNCTION("""COMPUTED_VALUE"""),"")</f>
        <v/>
      </c>
    </row>
    <row r="2896" ht="48.0" customHeight="1">
      <c r="A2896" s="3"/>
      <c r="B2896" s="4"/>
      <c r="C2896" s="4"/>
      <c r="D2896" s="4"/>
      <c r="E2896" s="4"/>
      <c r="F2896" s="4"/>
      <c r="G2896" s="5"/>
      <c r="H2896" s="6"/>
      <c r="I2896" s="7"/>
      <c r="J2896" s="6"/>
      <c r="K2896" s="6"/>
      <c r="L2896" s="3"/>
      <c r="M2896" s="3" t="str">
        <f>IFERROR(__xludf.DUMMYFUNCTION("""COMPUTED_VALUE"""),"")</f>
        <v/>
      </c>
    </row>
    <row r="2897" ht="48.0" customHeight="1">
      <c r="A2897" s="3"/>
      <c r="B2897" s="4"/>
      <c r="C2897" s="4"/>
      <c r="D2897" s="4"/>
      <c r="E2897" s="4"/>
      <c r="F2897" s="4"/>
      <c r="G2897" s="5"/>
      <c r="H2897" s="6"/>
      <c r="I2897" s="7"/>
      <c r="J2897" s="6"/>
      <c r="K2897" s="6"/>
      <c r="L2897" s="3"/>
      <c r="M2897" s="3" t="str">
        <f>IFERROR(__xludf.DUMMYFUNCTION("""COMPUTED_VALUE"""),"")</f>
        <v/>
      </c>
    </row>
    <row r="2898" ht="48.0" customHeight="1">
      <c r="A2898" s="3"/>
      <c r="B2898" s="4"/>
      <c r="C2898" s="4"/>
      <c r="D2898" s="4"/>
      <c r="E2898" s="4"/>
      <c r="F2898" s="4"/>
      <c r="G2898" s="5"/>
      <c r="H2898" s="6"/>
      <c r="I2898" s="7"/>
      <c r="J2898" s="6"/>
      <c r="K2898" s="6"/>
      <c r="L2898" s="3"/>
      <c r="M2898" s="3" t="str">
        <f>IFERROR(__xludf.DUMMYFUNCTION("""COMPUTED_VALUE"""),"")</f>
        <v/>
      </c>
    </row>
    <row r="2899" ht="48.0" customHeight="1">
      <c r="A2899" s="3"/>
      <c r="B2899" s="4"/>
      <c r="C2899" s="4"/>
      <c r="D2899" s="4"/>
      <c r="E2899" s="4"/>
      <c r="F2899" s="4"/>
      <c r="G2899" s="5"/>
      <c r="H2899" s="6"/>
      <c r="I2899" s="7"/>
      <c r="J2899" s="6"/>
      <c r="K2899" s="6"/>
      <c r="L2899" s="3"/>
      <c r="M2899" s="3" t="str">
        <f>IFERROR(__xludf.DUMMYFUNCTION("""COMPUTED_VALUE"""),"")</f>
        <v/>
      </c>
    </row>
    <row r="2900" ht="48.0" customHeight="1">
      <c r="A2900" s="3"/>
      <c r="B2900" s="4"/>
      <c r="C2900" s="4"/>
      <c r="D2900" s="4"/>
      <c r="E2900" s="4"/>
      <c r="F2900" s="4"/>
      <c r="G2900" s="5"/>
      <c r="H2900" s="6"/>
      <c r="I2900" s="7"/>
      <c r="J2900" s="6"/>
      <c r="K2900" s="6"/>
      <c r="L2900" s="3"/>
      <c r="M2900" s="3" t="str">
        <f>IFERROR(__xludf.DUMMYFUNCTION("""COMPUTED_VALUE"""),"")</f>
        <v/>
      </c>
    </row>
    <row r="2901" ht="48.0" customHeight="1">
      <c r="A2901" s="3"/>
      <c r="B2901" s="4"/>
      <c r="C2901" s="4"/>
      <c r="D2901" s="4"/>
      <c r="E2901" s="4"/>
      <c r="F2901" s="4"/>
      <c r="G2901" s="5"/>
      <c r="H2901" s="6"/>
      <c r="I2901" s="7"/>
      <c r="J2901" s="6"/>
      <c r="K2901" s="6"/>
      <c r="L2901" s="3"/>
      <c r="M2901" s="3" t="str">
        <f>IFERROR(__xludf.DUMMYFUNCTION("""COMPUTED_VALUE"""),"")</f>
        <v/>
      </c>
    </row>
    <row r="2902" ht="48.0" customHeight="1">
      <c r="A2902" s="3"/>
      <c r="B2902" s="4"/>
      <c r="C2902" s="4"/>
      <c r="D2902" s="4"/>
      <c r="E2902" s="4"/>
      <c r="F2902" s="4"/>
      <c r="G2902" s="5"/>
      <c r="H2902" s="6"/>
      <c r="I2902" s="7"/>
      <c r="J2902" s="6"/>
      <c r="K2902" s="6"/>
      <c r="L2902" s="3"/>
      <c r="M2902" s="3" t="str">
        <f>IFERROR(__xludf.DUMMYFUNCTION("""COMPUTED_VALUE"""),"")</f>
        <v/>
      </c>
    </row>
    <row r="2903" ht="48.0" customHeight="1">
      <c r="A2903" s="3"/>
      <c r="B2903" s="4"/>
      <c r="C2903" s="4"/>
      <c r="D2903" s="4"/>
      <c r="E2903" s="4"/>
      <c r="F2903" s="4"/>
      <c r="G2903" s="5"/>
      <c r="H2903" s="6"/>
      <c r="I2903" s="7"/>
      <c r="J2903" s="6"/>
      <c r="K2903" s="6"/>
      <c r="L2903" s="3"/>
      <c r="M2903" s="3" t="str">
        <f>IFERROR(__xludf.DUMMYFUNCTION("""COMPUTED_VALUE"""),"")</f>
        <v/>
      </c>
    </row>
    <row r="2904" ht="48.0" customHeight="1">
      <c r="A2904" s="3"/>
      <c r="B2904" s="4"/>
      <c r="C2904" s="4"/>
      <c r="D2904" s="4"/>
      <c r="E2904" s="4"/>
      <c r="F2904" s="4"/>
      <c r="G2904" s="5"/>
      <c r="H2904" s="6"/>
      <c r="I2904" s="7"/>
      <c r="J2904" s="6"/>
      <c r="K2904" s="6"/>
      <c r="L2904" s="3"/>
      <c r="M2904" s="3" t="str">
        <f>IFERROR(__xludf.DUMMYFUNCTION("""COMPUTED_VALUE"""),"")</f>
        <v/>
      </c>
    </row>
    <row r="2905" ht="48.0" customHeight="1">
      <c r="A2905" s="3"/>
      <c r="B2905" s="4"/>
      <c r="C2905" s="4"/>
      <c r="D2905" s="4"/>
      <c r="E2905" s="4"/>
      <c r="F2905" s="4"/>
      <c r="G2905" s="5"/>
      <c r="H2905" s="6"/>
      <c r="I2905" s="7"/>
      <c r="J2905" s="6"/>
      <c r="K2905" s="6"/>
      <c r="L2905" s="3"/>
      <c r="M2905" s="3" t="str">
        <f>IFERROR(__xludf.DUMMYFUNCTION("""COMPUTED_VALUE"""),"")</f>
        <v/>
      </c>
    </row>
    <row r="2906" ht="48.0" customHeight="1">
      <c r="A2906" s="3"/>
      <c r="B2906" s="4"/>
      <c r="C2906" s="4"/>
      <c r="D2906" s="4"/>
      <c r="E2906" s="4"/>
      <c r="F2906" s="4"/>
      <c r="G2906" s="5"/>
      <c r="H2906" s="6"/>
      <c r="I2906" s="7"/>
      <c r="J2906" s="6"/>
      <c r="K2906" s="6"/>
      <c r="L2906" s="3"/>
      <c r="M2906" s="3" t="str">
        <f>IFERROR(__xludf.DUMMYFUNCTION("""COMPUTED_VALUE"""),"")</f>
        <v/>
      </c>
    </row>
    <row r="2907" ht="48.0" customHeight="1">
      <c r="A2907" s="3"/>
      <c r="B2907" s="4"/>
      <c r="C2907" s="4"/>
      <c r="D2907" s="4"/>
      <c r="E2907" s="4"/>
      <c r="F2907" s="4"/>
      <c r="G2907" s="5"/>
      <c r="H2907" s="6"/>
      <c r="I2907" s="7"/>
      <c r="J2907" s="6"/>
      <c r="K2907" s="6"/>
      <c r="L2907" s="3"/>
      <c r="M2907" s="3" t="str">
        <f>IFERROR(__xludf.DUMMYFUNCTION("""COMPUTED_VALUE"""),"")</f>
        <v/>
      </c>
    </row>
    <row r="2908" ht="48.0" customHeight="1">
      <c r="A2908" s="3"/>
      <c r="B2908" s="4"/>
      <c r="C2908" s="4"/>
      <c r="D2908" s="4"/>
      <c r="E2908" s="4"/>
      <c r="F2908" s="4"/>
      <c r="G2908" s="5"/>
      <c r="H2908" s="6"/>
      <c r="I2908" s="7"/>
      <c r="J2908" s="6"/>
      <c r="K2908" s="6"/>
      <c r="L2908" s="3"/>
      <c r="M2908" s="3" t="str">
        <f>IFERROR(__xludf.DUMMYFUNCTION("""COMPUTED_VALUE"""),"")</f>
        <v/>
      </c>
    </row>
    <row r="2909" ht="48.0" customHeight="1">
      <c r="A2909" s="3"/>
      <c r="B2909" s="4"/>
      <c r="C2909" s="4"/>
      <c r="D2909" s="4"/>
      <c r="E2909" s="4"/>
      <c r="F2909" s="4"/>
      <c r="G2909" s="5"/>
      <c r="H2909" s="6"/>
      <c r="I2909" s="7"/>
      <c r="J2909" s="6"/>
      <c r="K2909" s="6"/>
      <c r="L2909" s="3"/>
      <c r="M2909" s="3" t="str">
        <f>IFERROR(__xludf.DUMMYFUNCTION("""COMPUTED_VALUE"""),"")</f>
        <v/>
      </c>
    </row>
    <row r="2910" ht="48.0" customHeight="1">
      <c r="A2910" s="3"/>
      <c r="B2910" s="4"/>
      <c r="C2910" s="4"/>
      <c r="D2910" s="4"/>
      <c r="E2910" s="4"/>
      <c r="F2910" s="4"/>
      <c r="G2910" s="5"/>
      <c r="H2910" s="6"/>
      <c r="I2910" s="7"/>
      <c r="J2910" s="6"/>
      <c r="K2910" s="6"/>
      <c r="L2910" s="3"/>
      <c r="M2910" s="3" t="str">
        <f>IFERROR(__xludf.DUMMYFUNCTION("""COMPUTED_VALUE"""),"")</f>
        <v/>
      </c>
    </row>
    <row r="2911" ht="48.0" customHeight="1">
      <c r="A2911" s="3"/>
      <c r="B2911" s="4"/>
      <c r="C2911" s="4"/>
      <c r="D2911" s="4"/>
      <c r="E2911" s="4"/>
      <c r="F2911" s="4"/>
      <c r="G2911" s="5"/>
      <c r="H2911" s="6"/>
      <c r="I2911" s="7"/>
      <c r="J2911" s="6"/>
      <c r="K2911" s="6"/>
      <c r="L2911" s="3"/>
      <c r="M2911" s="3" t="str">
        <f>IFERROR(__xludf.DUMMYFUNCTION("""COMPUTED_VALUE"""),"")</f>
        <v/>
      </c>
    </row>
    <row r="2912" ht="48.0" customHeight="1">
      <c r="A2912" s="3"/>
      <c r="B2912" s="4"/>
      <c r="C2912" s="4"/>
      <c r="D2912" s="4"/>
      <c r="E2912" s="4"/>
      <c r="F2912" s="4"/>
      <c r="G2912" s="5"/>
      <c r="H2912" s="6"/>
      <c r="I2912" s="7"/>
      <c r="J2912" s="6"/>
      <c r="K2912" s="6"/>
      <c r="L2912" s="3"/>
      <c r="M2912" s="3" t="str">
        <f>IFERROR(__xludf.DUMMYFUNCTION("""COMPUTED_VALUE"""),"")</f>
        <v/>
      </c>
    </row>
    <row r="2913" ht="48.0" customHeight="1">
      <c r="A2913" s="3"/>
      <c r="B2913" s="4"/>
      <c r="C2913" s="4"/>
      <c r="D2913" s="4"/>
      <c r="E2913" s="4"/>
      <c r="F2913" s="4"/>
      <c r="G2913" s="5"/>
      <c r="H2913" s="6"/>
      <c r="I2913" s="7"/>
      <c r="J2913" s="6"/>
      <c r="K2913" s="6"/>
      <c r="L2913" s="3"/>
      <c r="M2913" s="3" t="str">
        <f>IFERROR(__xludf.DUMMYFUNCTION("""COMPUTED_VALUE"""),"")</f>
        <v/>
      </c>
    </row>
    <row r="2914" ht="48.0" customHeight="1">
      <c r="A2914" s="3"/>
      <c r="B2914" s="4"/>
      <c r="C2914" s="4"/>
      <c r="D2914" s="4"/>
      <c r="E2914" s="4"/>
      <c r="F2914" s="4"/>
      <c r="G2914" s="5"/>
      <c r="H2914" s="6"/>
      <c r="I2914" s="7"/>
      <c r="J2914" s="6"/>
      <c r="K2914" s="6"/>
      <c r="L2914" s="3"/>
      <c r="M2914" s="3" t="str">
        <f>IFERROR(__xludf.DUMMYFUNCTION("""COMPUTED_VALUE"""),"")</f>
        <v/>
      </c>
    </row>
    <row r="2915" ht="48.0" customHeight="1">
      <c r="A2915" s="3"/>
      <c r="B2915" s="4"/>
      <c r="C2915" s="4"/>
      <c r="D2915" s="4"/>
      <c r="E2915" s="4"/>
      <c r="F2915" s="4"/>
      <c r="G2915" s="5"/>
      <c r="H2915" s="6"/>
      <c r="I2915" s="7"/>
      <c r="J2915" s="6"/>
      <c r="K2915" s="6"/>
      <c r="L2915" s="3"/>
      <c r="M2915" s="3" t="str">
        <f>IFERROR(__xludf.DUMMYFUNCTION("""COMPUTED_VALUE"""),"")</f>
        <v/>
      </c>
    </row>
    <row r="2916" ht="48.0" customHeight="1">
      <c r="A2916" s="3"/>
      <c r="B2916" s="4"/>
      <c r="C2916" s="4"/>
      <c r="D2916" s="4"/>
      <c r="E2916" s="4"/>
      <c r="F2916" s="4"/>
      <c r="G2916" s="5"/>
      <c r="H2916" s="6"/>
      <c r="I2916" s="7"/>
      <c r="J2916" s="6"/>
      <c r="K2916" s="6"/>
      <c r="L2916" s="3"/>
      <c r="M2916" s="3" t="str">
        <f>IFERROR(__xludf.DUMMYFUNCTION("""COMPUTED_VALUE"""),"")</f>
        <v/>
      </c>
    </row>
    <row r="2917" ht="48.0" customHeight="1">
      <c r="A2917" s="3"/>
      <c r="B2917" s="4"/>
      <c r="C2917" s="4"/>
      <c r="D2917" s="4"/>
      <c r="E2917" s="4"/>
      <c r="F2917" s="4"/>
      <c r="G2917" s="5"/>
      <c r="H2917" s="6"/>
      <c r="I2917" s="7"/>
      <c r="J2917" s="6"/>
      <c r="K2917" s="6"/>
      <c r="L2917" s="3"/>
      <c r="M2917" s="3" t="str">
        <f>IFERROR(__xludf.DUMMYFUNCTION("""COMPUTED_VALUE"""),"")</f>
        <v/>
      </c>
    </row>
    <row r="2918" ht="48.0" customHeight="1">
      <c r="A2918" s="3"/>
      <c r="B2918" s="4"/>
      <c r="C2918" s="4"/>
      <c r="D2918" s="4"/>
      <c r="E2918" s="4"/>
      <c r="F2918" s="4"/>
      <c r="G2918" s="5"/>
      <c r="H2918" s="6"/>
      <c r="I2918" s="7"/>
      <c r="J2918" s="6"/>
      <c r="K2918" s="6"/>
      <c r="L2918" s="3"/>
      <c r="M2918" s="3" t="str">
        <f>IFERROR(__xludf.DUMMYFUNCTION("""COMPUTED_VALUE"""),"")</f>
        <v/>
      </c>
    </row>
    <row r="2919" ht="48.0" customHeight="1">
      <c r="A2919" s="3"/>
      <c r="B2919" s="4"/>
      <c r="C2919" s="4"/>
      <c r="D2919" s="4"/>
      <c r="E2919" s="4"/>
      <c r="F2919" s="4"/>
      <c r="G2919" s="5"/>
      <c r="H2919" s="6"/>
      <c r="I2919" s="7"/>
      <c r="J2919" s="6"/>
      <c r="K2919" s="6"/>
      <c r="L2919" s="3"/>
      <c r="M2919" s="3" t="str">
        <f>IFERROR(__xludf.DUMMYFUNCTION("""COMPUTED_VALUE"""),"")</f>
        <v/>
      </c>
    </row>
    <row r="2920" ht="48.0" customHeight="1">
      <c r="A2920" s="3"/>
      <c r="B2920" s="4"/>
      <c r="C2920" s="4"/>
      <c r="D2920" s="4"/>
      <c r="E2920" s="4"/>
      <c r="F2920" s="4"/>
      <c r="G2920" s="5"/>
      <c r="H2920" s="6"/>
      <c r="I2920" s="7"/>
      <c r="J2920" s="6"/>
      <c r="K2920" s="6"/>
      <c r="L2920" s="3"/>
      <c r="M2920" s="3" t="str">
        <f>IFERROR(__xludf.DUMMYFUNCTION("""COMPUTED_VALUE"""),"")</f>
        <v/>
      </c>
    </row>
    <row r="2921" ht="48.0" customHeight="1">
      <c r="A2921" s="3"/>
      <c r="B2921" s="4"/>
      <c r="C2921" s="4"/>
      <c r="D2921" s="4"/>
      <c r="E2921" s="4"/>
      <c r="F2921" s="4"/>
      <c r="G2921" s="5"/>
      <c r="H2921" s="6"/>
      <c r="I2921" s="7"/>
      <c r="J2921" s="6"/>
      <c r="K2921" s="6"/>
      <c r="L2921" s="3"/>
      <c r="M2921" s="3" t="str">
        <f>IFERROR(__xludf.DUMMYFUNCTION("""COMPUTED_VALUE"""),"")</f>
        <v/>
      </c>
    </row>
    <row r="2922" ht="48.0" customHeight="1">
      <c r="A2922" s="3"/>
      <c r="B2922" s="4"/>
      <c r="C2922" s="4"/>
      <c r="D2922" s="4"/>
      <c r="E2922" s="4"/>
      <c r="F2922" s="4"/>
      <c r="G2922" s="5"/>
      <c r="H2922" s="6"/>
      <c r="I2922" s="7"/>
      <c r="J2922" s="6"/>
      <c r="K2922" s="6"/>
      <c r="L2922" s="3"/>
      <c r="M2922" s="3" t="str">
        <f>IFERROR(__xludf.DUMMYFUNCTION("""COMPUTED_VALUE"""),"")</f>
        <v/>
      </c>
    </row>
    <row r="2923" ht="48.0" customHeight="1">
      <c r="A2923" s="3"/>
      <c r="B2923" s="4"/>
      <c r="C2923" s="4"/>
      <c r="D2923" s="4"/>
      <c r="E2923" s="4"/>
      <c r="F2923" s="4"/>
      <c r="G2923" s="5"/>
      <c r="H2923" s="6"/>
      <c r="I2923" s="7"/>
      <c r="J2923" s="6"/>
      <c r="K2923" s="6"/>
      <c r="L2923" s="3"/>
      <c r="M2923" s="3" t="str">
        <f>IFERROR(__xludf.DUMMYFUNCTION("""COMPUTED_VALUE"""),"")</f>
        <v/>
      </c>
    </row>
    <row r="2924" ht="48.0" customHeight="1">
      <c r="A2924" s="3"/>
      <c r="B2924" s="4"/>
      <c r="C2924" s="4"/>
      <c r="D2924" s="4"/>
      <c r="E2924" s="4"/>
      <c r="F2924" s="4"/>
      <c r="G2924" s="5"/>
      <c r="H2924" s="6"/>
      <c r="I2924" s="7"/>
      <c r="J2924" s="6"/>
      <c r="K2924" s="6"/>
      <c r="L2924" s="3"/>
      <c r="M2924" s="3" t="str">
        <f>IFERROR(__xludf.DUMMYFUNCTION("""COMPUTED_VALUE"""),"")</f>
        <v/>
      </c>
    </row>
    <row r="2925" ht="48.0" customHeight="1">
      <c r="A2925" s="3"/>
      <c r="B2925" s="4"/>
      <c r="C2925" s="4"/>
      <c r="D2925" s="4"/>
      <c r="E2925" s="4"/>
      <c r="F2925" s="4"/>
      <c r="G2925" s="5"/>
      <c r="H2925" s="6"/>
      <c r="I2925" s="7"/>
      <c r="J2925" s="6"/>
      <c r="K2925" s="6"/>
      <c r="L2925" s="3"/>
      <c r="M2925" s="3" t="str">
        <f>IFERROR(__xludf.DUMMYFUNCTION("""COMPUTED_VALUE"""),"")</f>
        <v/>
      </c>
    </row>
    <row r="2926" ht="48.0" customHeight="1">
      <c r="A2926" s="3"/>
      <c r="B2926" s="4"/>
      <c r="C2926" s="4"/>
      <c r="D2926" s="4"/>
      <c r="E2926" s="4"/>
      <c r="F2926" s="4"/>
      <c r="G2926" s="5"/>
      <c r="H2926" s="6"/>
      <c r="I2926" s="7"/>
      <c r="J2926" s="6"/>
      <c r="K2926" s="6"/>
      <c r="L2926" s="3"/>
      <c r="M2926" s="3" t="str">
        <f>IFERROR(__xludf.DUMMYFUNCTION("""COMPUTED_VALUE"""),"")</f>
        <v/>
      </c>
    </row>
    <row r="2927" ht="48.0" customHeight="1">
      <c r="A2927" s="3"/>
      <c r="B2927" s="4"/>
      <c r="C2927" s="4"/>
      <c r="D2927" s="4"/>
      <c r="E2927" s="4"/>
      <c r="F2927" s="4"/>
      <c r="G2927" s="5"/>
      <c r="H2927" s="6"/>
      <c r="I2927" s="7"/>
      <c r="J2927" s="6"/>
      <c r="K2927" s="6"/>
      <c r="L2927" s="3"/>
      <c r="M2927" s="3" t="str">
        <f>IFERROR(__xludf.DUMMYFUNCTION("""COMPUTED_VALUE"""),"")</f>
        <v/>
      </c>
    </row>
    <row r="2928" ht="48.0" customHeight="1">
      <c r="A2928" s="3"/>
      <c r="B2928" s="4"/>
      <c r="C2928" s="4"/>
      <c r="D2928" s="4"/>
      <c r="E2928" s="4"/>
      <c r="F2928" s="4"/>
      <c r="G2928" s="5"/>
      <c r="H2928" s="6"/>
      <c r="I2928" s="7"/>
      <c r="J2928" s="6"/>
      <c r="K2928" s="6"/>
      <c r="L2928" s="3"/>
      <c r="M2928" s="3" t="str">
        <f>IFERROR(__xludf.DUMMYFUNCTION("""COMPUTED_VALUE"""),"")</f>
        <v/>
      </c>
    </row>
    <row r="2929" ht="48.0" customHeight="1">
      <c r="A2929" s="3"/>
      <c r="B2929" s="4"/>
      <c r="C2929" s="4"/>
      <c r="D2929" s="4"/>
      <c r="E2929" s="4"/>
      <c r="F2929" s="4"/>
      <c r="G2929" s="5"/>
      <c r="H2929" s="6"/>
      <c r="I2929" s="7"/>
      <c r="J2929" s="6"/>
      <c r="K2929" s="6"/>
      <c r="L2929" s="3"/>
      <c r="M2929" s="3" t="str">
        <f>IFERROR(__xludf.DUMMYFUNCTION("""COMPUTED_VALUE"""),"")</f>
        <v/>
      </c>
    </row>
    <row r="2930" ht="48.0" customHeight="1">
      <c r="A2930" s="3"/>
      <c r="B2930" s="4"/>
      <c r="C2930" s="4"/>
      <c r="D2930" s="4"/>
      <c r="E2930" s="4"/>
      <c r="F2930" s="4"/>
      <c r="G2930" s="5"/>
      <c r="H2930" s="6"/>
      <c r="I2930" s="7"/>
      <c r="J2930" s="6"/>
      <c r="K2930" s="6"/>
      <c r="L2930" s="3"/>
      <c r="M2930" s="3" t="str">
        <f>IFERROR(__xludf.DUMMYFUNCTION("""COMPUTED_VALUE"""),"")</f>
        <v/>
      </c>
    </row>
    <row r="2931" ht="48.0" customHeight="1">
      <c r="A2931" s="3"/>
      <c r="B2931" s="4"/>
      <c r="C2931" s="4"/>
      <c r="D2931" s="4"/>
      <c r="E2931" s="4"/>
      <c r="F2931" s="4"/>
      <c r="G2931" s="5"/>
      <c r="H2931" s="6"/>
      <c r="I2931" s="7"/>
      <c r="J2931" s="6"/>
      <c r="K2931" s="6"/>
      <c r="L2931" s="3"/>
      <c r="M2931" s="3" t="str">
        <f>IFERROR(__xludf.DUMMYFUNCTION("""COMPUTED_VALUE"""),"")</f>
        <v/>
      </c>
    </row>
    <row r="2932" ht="48.0" customHeight="1">
      <c r="A2932" s="3"/>
      <c r="B2932" s="4"/>
      <c r="C2932" s="4"/>
      <c r="D2932" s="4"/>
      <c r="E2932" s="4"/>
      <c r="F2932" s="4"/>
      <c r="G2932" s="5"/>
      <c r="H2932" s="6"/>
      <c r="I2932" s="7"/>
      <c r="J2932" s="6"/>
      <c r="K2932" s="6"/>
      <c r="L2932" s="3"/>
      <c r="M2932" s="3" t="str">
        <f>IFERROR(__xludf.DUMMYFUNCTION("""COMPUTED_VALUE"""),"")</f>
        <v/>
      </c>
    </row>
    <row r="2933" ht="48.0" customHeight="1">
      <c r="A2933" s="3"/>
      <c r="B2933" s="4"/>
      <c r="C2933" s="4"/>
      <c r="D2933" s="4"/>
      <c r="E2933" s="4"/>
      <c r="F2933" s="4"/>
      <c r="G2933" s="5"/>
      <c r="H2933" s="6"/>
      <c r="I2933" s="7"/>
      <c r="J2933" s="6"/>
      <c r="K2933" s="6"/>
      <c r="L2933" s="3"/>
      <c r="M2933" s="3" t="str">
        <f>IFERROR(__xludf.DUMMYFUNCTION("""COMPUTED_VALUE"""),"")</f>
        <v/>
      </c>
    </row>
    <row r="2934" ht="48.0" customHeight="1">
      <c r="A2934" s="3"/>
      <c r="B2934" s="4"/>
      <c r="C2934" s="4"/>
      <c r="D2934" s="4"/>
      <c r="E2934" s="4"/>
      <c r="F2934" s="4"/>
      <c r="G2934" s="5"/>
      <c r="H2934" s="6"/>
      <c r="I2934" s="7"/>
      <c r="J2934" s="6"/>
      <c r="K2934" s="6"/>
      <c r="L2934" s="3"/>
      <c r="M2934" s="3" t="str">
        <f>IFERROR(__xludf.DUMMYFUNCTION("""COMPUTED_VALUE"""),"")</f>
        <v/>
      </c>
    </row>
    <row r="2935" ht="48.0" customHeight="1">
      <c r="A2935" s="3"/>
      <c r="B2935" s="4"/>
      <c r="C2935" s="4"/>
      <c r="D2935" s="4"/>
      <c r="E2935" s="4"/>
      <c r="F2935" s="4"/>
      <c r="G2935" s="5"/>
      <c r="H2935" s="6"/>
      <c r="I2935" s="7"/>
      <c r="J2935" s="6"/>
      <c r="K2935" s="6"/>
      <c r="L2935" s="3"/>
      <c r="M2935" s="3" t="str">
        <f>IFERROR(__xludf.DUMMYFUNCTION("""COMPUTED_VALUE"""),"")</f>
        <v/>
      </c>
    </row>
    <row r="2936" ht="48.0" customHeight="1">
      <c r="A2936" s="3"/>
      <c r="B2936" s="4"/>
      <c r="C2936" s="4"/>
      <c r="D2936" s="4"/>
      <c r="E2936" s="4"/>
      <c r="F2936" s="4"/>
      <c r="G2936" s="5"/>
      <c r="H2936" s="6"/>
      <c r="I2936" s="7"/>
      <c r="J2936" s="6"/>
      <c r="K2936" s="6"/>
      <c r="L2936" s="3"/>
      <c r="M2936" s="3" t="str">
        <f>IFERROR(__xludf.DUMMYFUNCTION("""COMPUTED_VALUE"""),"")</f>
        <v/>
      </c>
    </row>
    <row r="2937" ht="48.0" customHeight="1">
      <c r="A2937" s="3"/>
      <c r="B2937" s="4"/>
      <c r="C2937" s="4"/>
      <c r="D2937" s="4"/>
      <c r="E2937" s="4"/>
      <c r="F2937" s="4"/>
      <c r="G2937" s="5"/>
      <c r="H2937" s="6"/>
      <c r="I2937" s="7"/>
      <c r="J2937" s="6"/>
      <c r="K2937" s="6"/>
      <c r="L2937" s="3"/>
      <c r="M2937" s="3" t="str">
        <f>IFERROR(__xludf.DUMMYFUNCTION("""COMPUTED_VALUE"""),"")</f>
        <v/>
      </c>
    </row>
    <row r="2938" ht="48.0" customHeight="1">
      <c r="A2938" s="3"/>
      <c r="B2938" s="4"/>
      <c r="C2938" s="4"/>
      <c r="D2938" s="4"/>
      <c r="E2938" s="4"/>
      <c r="F2938" s="4"/>
      <c r="G2938" s="5"/>
      <c r="H2938" s="6"/>
      <c r="I2938" s="7"/>
      <c r="J2938" s="6"/>
      <c r="K2938" s="6"/>
      <c r="L2938" s="3"/>
      <c r="M2938" s="3" t="str">
        <f>IFERROR(__xludf.DUMMYFUNCTION("""COMPUTED_VALUE"""),"")</f>
        <v/>
      </c>
    </row>
    <row r="2939" ht="48.0" customHeight="1">
      <c r="A2939" s="3"/>
      <c r="B2939" s="4"/>
      <c r="C2939" s="4"/>
      <c r="D2939" s="4"/>
      <c r="E2939" s="4"/>
      <c r="F2939" s="4"/>
      <c r="G2939" s="5"/>
      <c r="H2939" s="6"/>
      <c r="I2939" s="7"/>
      <c r="J2939" s="6"/>
      <c r="K2939" s="6"/>
      <c r="L2939" s="3"/>
      <c r="M2939" s="3" t="str">
        <f>IFERROR(__xludf.DUMMYFUNCTION("""COMPUTED_VALUE"""),"")</f>
        <v/>
      </c>
    </row>
    <row r="2940" ht="48.0" customHeight="1">
      <c r="A2940" s="3"/>
      <c r="B2940" s="4"/>
      <c r="C2940" s="4"/>
      <c r="D2940" s="4"/>
      <c r="E2940" s="4"/>
      <c r="F2940" s="4"/>
      <c r="G2940" s="5"/>
      <c r="H2940" s="6"/>
      <c r="I2940" s="7"/>
      <c r="J2940" s="6"/>
      <c r="K2940" s="6"/>
      <c r="L2940" s="3"/>
      <c r="M2940" s="3" t="str">
        <f>IFERROR(__xludf.DUMMYFUNCTION("""COMPUTED_VALUE"""),"")</f>
        <v/>
      </c>
    </row>
    <row r="2941" ht="48.0" customHeight="1">
      <c r="A2941" s="3"/>
      <c r="B2941" s="4"/>
      <c r="C2941" s="4"/>
      <c r="D2941" s="4"/>
      <c r="E2941" s="4"/>
      <c r="F2941" s="4"/>
      <c r="G2941" s="5"/>
      <c r="H2941" s="6"/>
      <c r="I2941" s="7"/>
      <c r="J2941" s="6"/>
      <c r="K2941" s="6"/>
      <c r="L2941" s="3"/>
      <c r="M2941" s="3" t="str">
        <f>IFERROR(__xludf.DUMMYFUNCTION("""COMPUTED_VALUE"""),"")</f>
        <v/>
      </c>
    </row>
    <row r="2942" ht="48.0" customHeight="1">
      <c r="A2942" s="3"/>
      <c r="B2942" s="4"/>
      <c r="C2942" s="4"/>
      <c r="D2942" s="4"/>
      <c r="E2942" s="4"/>
      <c r="F2942" s="4"/>
      <c r="G2942" s="5"/>
      <c r="H2942" s="6"/>
      <c r="I2942" s="7"/>
      <c r="J2942" s="6"/>
      <c r="K2942" s="6"/>
      <c r="L2942" s="3"/>
      <c r="M2942" s="3" t="str">
        <f>IFERROR(__xludf.DUMMYFUNCTION("""COMPUTED_VALUE"""),"")</f>
        <v/>
      </c>
    </row>
    <row r="2943" ht="48.0" customHeight="1">
      <c r="A2943" s="3"/>
      <c r="B2943" s="4"/>
      <c r="C2943" s="4"/>
      <c r="D2943" s="4"/>
      <c r="E2943" s="4"/>
      <c r="F2943" s="4"/>
      <c r="G2943" s="5"/>
      <c r="H2943" s="6"/>
      <c r="I2943" s="7"/>
      <c r="J2943" s="6"/>
      <c r="K2943" s="6"/>
      <c r="L2943" s="3"/>
      <c r="M2943" s="3" t="str">
        <f>IFERROR(__xludf.DUMMYFUNCTION("""COMPUTED_VALUE"""),"")</f>
        <v/>
      </c>
    </row>
    <row r="2944" ht="48.0" customHeight="1">
      <c r="A2944" s="3"/>
      <c r="B2944" s="4"/>
      <c r="C2944" s="4"/>
      <c r="D2944" s="4"/>
      <c r="E2944" s="4"/>
      <c r="F2944" s="4"/>
      <c r="G2944" s="5"/>
      <c r="H2944" s="6"/>
      <c r="I2944" s="7"/>
      <c r="J2944" s="6"/>
      <c r="K2944" s="6"/>
      <c r="L2944" s="3"/>
      <c r="M2944" s="3" t="str">
        <f>IFERROR(__xludf.DUMMYFUNCTION("""COMPUTED_VALUE"""),"")</f>
        <v/>
      </c>
    </row>
    <row r="2945" ht="48.0" customHeight="1">
      <c r="A2945" s="3"/>
      <c r="B2945" s="4"/>
      <c r="C2945" s="4"/>
      <c r="D2945" s="4"/>
      <c r="E2945" s="4"/>
      <c r="F2945" s="4"/>
      <c r="G2945" s="5"/>
      <c r="H2945" s="6"/>
      <c r="I2945" s="7"/>
      <c r="J2945" s="6"/>
      <c r="K2945" s="6"/>
      <c r="L2945" s="3"/>
      <c r="M2945" s="3" t="str">
        <f>IFERROR(__xludf.DUMMYFUNCTION("""COMPUTED_VALUE"""),"")</f>
        <v/>
      </c>
    </row>
    <row r="2946" ht="48.0" customHeight="1">
      <c r="A2946" s="3"/>
      <c r="B2946" s="4"/>
      <c r="C2946" s="4"/>
      <c r="D2946" s="4"/>
      <c r="E2946" s="4"/>
      <c r="F2946" s="4"/>
      <c r="G2946" s="5"/>
      <c r="H2946" s="6"/>
      <c r="I2946" s="7"/>
      <c r="J2946" s="6"/>
      <c r="K2946" s="6"/>
      <c r="L2946" s="3"/>
      <c r="M2946" s="3" t="str">
        <f>IFERROR(__xludf.DUMMYFUNCTION("""COMPUTED_VALUE"""),"")</f>
        <v/>
      </c>
    </row>
    <row r="2947" ht="48.0" customHeight="1">
      <c r="A2947" s="3"/>
      <c r="B2947" s="4"/>
      <c r="C2947" s="4"/>
      <c r="D2947" s="4"/>
      <c r="E2947" s="4"/>
      <c r="F2947" s="4"/>
      <c r="G2947" s="5"/>
      <c r="H2947" s="6"/>
      <c r="I2947" s="7"/>
      <c r="J2947" s="6"/>
      <c r="K2947" s="6"/>
      <c r="L2947" s="3"/>
      <c r="M2947" s="3" t="str">
        <f>IFERROR(__xludf.DUMMYFUNCTION("""COMPUTED_VALUE"""),"")</f>
        <v/>
      </c>
    </row>
    <row r="2948" ht="48.0" customHeight="1">
      <c r="A2948" s="3"/>
      <c r="B2948" s="4"/>
      <c r="C2948" s="4"/>
      <c r="D2948" s="4"/>
      <c r="E2948" s="4"/>
      <c r="F2948" s="4"/>
      <c r="G2948" s="5"/>
      <c r="H2948" s="6"/>
      <c r="I2948" s="7"/>
      <c r="J2948" s="6"/>
      <c r="K2948" s="6"/>
      <c r="L2948" s="3"/>
      <c r="M2948" s="3" t="str">
        <f>IFERROR(__xludf.DUMMYFUNCTION("""COMPUTED_VALUE"""),"")</f>
        <v/>
      </c>
    </row>
    <row r="2949" ht="48.0" customHeight="1">
      <c r="A2949" s="3"/>
      <c r="B2949" s="4"/>
      <c r="C2949" s="4"/>
      <c r="D2949" s="4"/>
      <c r="E2949" s="4"/>
      <c r="F2949" s="4"/>
      <c r="G2949" s="5"/>
      <c r="H2949" s="6"/>
      <c r="I2949" s="7"/>
      <c r="J2949" s="6"/>
      <c r="K2949" s="6"/>
      <c r="L2949" s="3"/>
      <c r="M2949" s="3" t="str">
        <f>IFERROR(__xludf.DUMMYFUNCTION("""COMPUTED_VALUE"""),"")</f>
        <v/>
      </c>
    </row>
    <row r="2950" ht="48.0" customHeight="1">
      <c r="A2950" s="3"/>
      <c r="B2950" s="4"/>
      <c r="C2950" s="4"/>
      <c r="D2950" s="4"/>
      <c r="E2950" s="4"/>
      <c r="F2950" s="4"/>
      <c r="G2950" s="5"/>
      <c r="H2950" s="6"/>
      <c r="I2950" s="7"/>
      <c r="J2950" s="6"/>
      <c r="K2950" s="6"/>
      <c r="L2950" s="3"/>
      <c r="M2950" s="3" t="str">
        <f>IFERROR(__xludf.DUMMYFUNCTION("""COMPUTED_VALUE"""),"")</f>
        <v/>
      </c>
    </row>
    <row r="2951" ht="48.0" customHeight="1">
      <c r="A2951" s="3"/>
      <c r="B2951" s="4"/>
      <c r="C2951" s="4"/>
      <c r="D2951" s="4"/>
      <c r="E2951" s="4"/>
      <c r="F2951" s="4"/>
      <c r="G2951" s="5"/>
      <c r="H2951" s="6"/>
      <c r="I2951" s="7"/>
      <c r="J2951" s="6"/>
      <c r="K2951" s="6"/>
      <c r="L2951" s="3"/>
      <c r="M2951" s="3" t="str">
        <f>IFERROR(__xludf.DUMMYFUNCTION("""COMPUTED_VALUE"""),"")</f>
        <v/>
      </c>
    </row>
    <row r="2952" ht="48.0" customHeight="1">
      <c r="A2952" s="3"/>
      <c r="B2952" s="4"/>
      <c r="C2952" s="4"/>
      <c r="D2952" s="4"/>
      <c r="E2952" s="4"/>
      <c r="F2952" s="4"/>
      <c r="G2952" s="5"/>
      <c r="H2952" s="6"/>
      <c r="I2952" s="7"/>
      <c r="J2952" s="6"/>
      <c r="K2952" s="6"/>
      <c r="L2952" s="3"/>
      <c r="M2952" s="3" t="str">
        <f>IFERROR(__xludf.DUMMYFUNCTION("""COMPUTED_VALUE"""),"")</f>
        <v/>
      </c>
    </row>
    <row r="2953" ht="48.0" customHeight="1">
      <c r="A2953" s="3"/>
      <c r="B2953" s="4"/>
      <c r="C2953" s="4"/>
      <c r="D2953" s="4"/>
      <c r="E2953" s="4"/>
      <c r="F2953" s="4"/>
      <c r="G2953" s="5"/>
      <c r="H2953" s="6"/>
      <c r="I2953" s="7"/>
      <c r="J2953" s="6"/>
      <c r="K2953" s="6"/>
      <c r="L2953" s="3"/>
      <c r="M2953" s="3" t="str">
        <f>IFERROR(__xludf.DUMMYFUNCTION("""COMPUTED_VALUE"""),"")</f>
        <v/>
      </c>
    </row>
    <row r="2954" ht="48.0" customHeight="1">
      <c r="A2954" s="3"/>
      <c r="B2954" s="4"/>
      <c r="C2954" s="4"/>
      <c r="D2954" s="4"/>
      <c r="E2954" s="4"/>
      <c r="F2954" s="4"/>
      <c r="G2954" s="5"/>
      <c r="H2954" s="6"/>
      <c r="I2954" s="7"/>
      <c r="J2954" s="6"/>
      <c r="K2954" s="6"/>
      <c r="L2954" s="3"/>
      <c r="M2954" s="3" t="str">
        <f>IFERROR(__xludf.DUMMYFUNCTION("""COMPUTED_VALUE"""),"")</f>
        <v/>
      </c>
    </row>
    <row r="2955" ht="48.0" customHeight="1">
      <c r="A2955" s="3"/>
      <c r="B2955" s="4"/>
      <c r="C2955" s="4"/>
      <c r="D2955" s="4"/>
      <c r="E2955" s="4"/>
      <c r="F2955" s="4"/>
      <c r="G2955" s="5"/>
      <c r="H2955" s="6"/>
      <c r="I2955" s="7"/>
      <c r="J2955" s="6"/>
      <c r="K2955" s="6"/>
      <c r="L2955" s="3"/>
      <c r="M2955" s="3" t="str">
        <f>IFERROR(__xludf.DUMMYFUNCTION("""COMPUTED_VALUE"""),"")</f>
        <v/>
      </c>
    </row>
    <row r="2956" ht="48.0" customHeight="1">
      <c r="A2956" s="3"/>
      <c r="B2956" s="4"/>
      <c r="C2956" s="4"/>
      <c r="D2956" s="4"/>
      <c r="E2956" s="4"/>
      <c r="F2956" s="4"/>
      <c r="G2956" s="5"/>
      <c r="H2956" s="6"/>
      <c r="I2956" s="7"/>
      <c r="J2956" s="6"/>
      <c r="K2956" s="6"/>
      <c r="L2956" s="3"/>
      <c r="M2956" s="3" t="str">
        <f>IFERROR(__xludf.DUMMYFUNCTION("""COMPUTED_VALUE"""),"")</f>
        <v/>
      </c>
    </row>
    <row r="2957" ht="48.0" customHeight="1">
      <c r="A2957" s="3"/>
      <c r="B2957" s="4"/>
      <c r="C2957" s="4"/>
      <c r="D2957" s="4"/>
      <c r="E2957" s="4"/>
      <c r="F2957" s="4"/>
      <c r="G2957" s="5"/>
      <c r="H2957" s="6"/>
      <c r="I2957" s="7"/>
      <c r="J2957" s="6"/>
      <c r="K2957" s="6"/>
      <c r="L2957" s="3"/>
      <c r="M2957" s="3" t="str">
        <f>IFERROR(__xludf.DUMMYFUNCTION("""COMPUTED_VALUE"""),"")</f>
        <v/>
      </c>
    </row>
    <row r="2958" ht="48.0" customHeight="1">
      <c r="A2958" s="3"/>
      <c r="B2958" s="4"/>
      <c r="C2958" s="4"/>
      <c r="D2958" s="4"/>
      <c r="E2958" s="4"/>
      <c r="F2958" s="4"/>
      <c r="G2958" s="5"/>
      <c r="H2958" s="6"/>
      <c r="I2958" s="7"/>
      <c r="J2958" s="6"/>
      <c r="K2958" s="6"/>
      <c r="L2958" s="3"/>
      <c r="M2958" s="3" t="str">
        <f>IFERROR(__xludf.DUMMYFUNCTION("""COMPUTED_VALUE"""),"")</f>
        <v/>
      </c>
    </row>
    <row r="2959" ht="48.0" customHeight="1">
      <c r="A2959" s="3"/>
      <c r="B2959" s="4"/>
      <c r="C2959" s="4"/>
      <c r="D2959" s="4"/>
      <c r="E2959" s="4"/>
      <c r="F2959" s="4"/>
      <c r="G2959" s="5"/>
      <c r="H2959" s="6"/>
      <c r="I2959" s="7"/>
      <c r="J2959" s="6"/>
      <c r="K2959" s="6"/>
      <c r="L2959" s="3"/>
      <c r="M2959" s="3" t="str">
        <f>IFERROR(__xludf.DUMMYFUNCTION("""COMPUTED_VALUE"""),"")</f>
        <v/>
      </c>
    </row>
    <row r="2960" ht="48.0" customHeight="1">
      <c r="A2960" s="3"/>
      <c r="B2960" s="4"/>
      <c r="C2960" s="4"/>
      <c r="D2960" s="4"/>
      <c r="E2960" s="4"/>
      <c r="F2960" s="4"/>
      <c r="G2960" s="5"/>
      <c r="H2960" s="6"/>
      <c r="I2960" s="7"/>
      <c r="J2960" s="6"/>
      <c r="K2960" s="6"/>
      <c r="L2960" s="3"/>
      <c r="M2960" s="3" t="str">
        <f>IFERROR(__xludf.DUMMYFUNCTION("""COMPUTED_VALUE"""),"")</f>
        <v/>
      </c>
    </row>
    <row r="2961" ht="48.0" customHeight="1">
      <c r="A2961" s="3"/>
      <c r="B2961" s="4"/>
      <c r="C2961" s="4"/>
      <c r="D2961" s="4"/>
      <c r="E2961" s="4"/>
      <c r="F2961" s="4"/>
      <c r="G2961" s="5"/>
      <c r="H2961" s="6"/>
      <c r="I2961" s="7"/>
      <c r="J2961" s="6"/>
      <c r="K2961" s="6"/>
      <c r="L2961" s="3"/>
      <c r="M2961" s="3" t="str">
        <f>IFERROR(__xludf.DUMMYFUNCTION("""COMPUTED_VALUE"""),"")</f>
        <v/>
      </c>
    </row>
    <row r="2962" ht="48.0" customHeight="1">
      <c r="A2962" s="3"/>
      <c r="B2962" s="4"/>
      <c r="C2962" s="4"/>
      <c r="D2962" s="4"/>
      <c r="E2962" s="4"/>
      <c r="F2962" s="4"/>
      <c r="G2962" s="5"/>
      <c r="H2962" s="6"/>
      <c r="I2962" s="7"/>
      <c r="J2962" s="6"/>
      <c r="K2962" s="6"/>
      <c r="L2962" s="3"/>
      <c r="M2962" s="3" t="str">
        <f>IFERROR(__xludf.DUMMYFUNCTION("""COMPUTED_VALUE"""),"")</f>
        <v/>
      </c>
    </row>
    <row r="2963" ht="48.0" customHeight="1">
      <c r="A2963" s="3"/>
      <c r="B2963" s="4"/>
      <c r="C2963" s="4"/>
      <c r="D2963" s="4"/>
      <c r="E2963" s="4"/>
      <c r="F2963" s="4"/>
      <c r="G2963" s="5"/>
      <c r="H2963" s="6"/>
      <c r="I2963" s="7"/>
      <c r="J2963" s="6"/>
      <c r="K2963" s="6"/>
      <c r="L2963" s="3"/>
      <c r="M2963" s="3" t="str">
        <f>IFERROR(__xludf.DUMMYFUNCTION("""COMPUTED_VALUE"""),"")</f>
        <v/>
      </c>
    </row>
    <row r="2964" ht="48.0" customHeight="1">
      <c r="A2964" s="3"/>
      <c r="B2964" s="4"/>
      <c r="C2964" s="4"/>
      <c r="D2964" s="4"/>
      <c r="E2964" s="4"/>
      <c r="F2964" s="4"/>
      <c r="G2964" s="5"/>
      <c r="H2964" s="6"/>
      <c r="I2964" s="7"/>
      <c r="J2964" s="6"/>
      <c r="K2964" s="6"/>
      <c r="L2964" s="3"/>
      <c r="M2964" s="3" t="str">
        <f>IFERROR(__xludf.DUMMYFUNCTION("""COMPUTED_VALUE"""),"")</f>
        <v/>
      </c>
    </row>
    <row r="2965" ht="48.0" customHeight="1">
      <c r="A2965" s="3"/>
      <c r="B2965" s="4"/>
      <c r="C2965" s="4"/>
      <c r="D2965" s="4"/>
      <c r="E2965" s="4"/>
      <c r="F2965" s="4"/>
      <c r="G2965" s="5"/>
      <c r="H2965" s="6"/>
      <c r="I2965" s="7"/>
      <c r="J2965" s="6"/>
      <c r="K2965" s="6"/>
      <c r="L2965" s="3"/>
      <c r="M2965" s="3" t="str">
        <f>IFERROR(__xludf.DUMMYFUNCTION("""COMPUTED_VALUE"""),"")</f>
        <v/>
      </c>
    </row>
    <row r="2966" ht="48.0" customHeight="1">
      <c r="A2966" s="3"/>
      <c r="B2966" s="4"/>
      <c r="C2966" s="4"/>
      <c r="D2966" s="4"/>
      <c r="E2966" s="4"/>
      <c r="F2966" s="4"/>
      <c r="G2966" s="5"/>
      <c r="H2966" s="6"/>
      <c r="I2966" s="7"/>
      <c r="J2966" s="6"/>
      <c r="K2966" s="6"/>
      <c r="L2966" s="3"/>
      <c r="M2966" s="3" t="str">
        <f>IFERROR(__xludf.DUMMYFUNCTION("""COMPUTED_VALUE"""),"")</f>
        <v/>
      </c>
    </row>
    <row r="2967" ht="48.0" customHeight="1">
      <c r="A2967" s="3"/>
      <c r="B2967" s="4"/>
      <c r="C2967" s="4"/>
      <c r="D2967" s="4"/>
      <c r="E2967" s="4"/>
      <c r="F2967" s="4"/>
      <c r="G2967" s="5"/>
      <c r="H2967" s="6"/>
      <c r="I2967" s="7"/>
      <c r="J2967" s="6"/>
      <c r="K2967" s="6"/>
      <c r="L2967" s="3"/>
      <c r="M2967" s="3" t="str">
        <f>IFERROR(__xludf.DUMMYFUNCTION("""COMPUTED_VALUE"""),"")</f>
        <v/>
      </c>
    </row>
    <row r="2968" ht="48.0" customHeight="1">
      <c r="A2968" s="3"/>
      <c r="B2968" s="4"/>
      <c r="C2968" s="4"/>
      <c r="D2968" s="4"/>
      <c r="E2968" s="4"/>
      <c r="F2968" s="4"/>
      <c r="G2968" s="5"/>
      <c r="H2968" s="6"/>
      <c r="I2968" s="7"/>
      <c r="J2968" s="6"/>
      <c r="K2968" s="6"/>
      <c r="L2968" s="3"/>
      <c r="M2968" s="3" t="str">
        <f>IFERROR(__xludf.DUMMYFUNCTION("""COMPUTED_VALUE"""),"")</f>
        <v/>
      </c>
    </row>
    <row r="2969" ht="48.0" customHeight="1">
      <c r="A2969" s="3"/>
      <c r="B2969" s="4"/>
      <c r="C2969" s="4"/>
      <c r="D2969" s="4"/>
      <c r="E2969" s="4"/>
      <c r="F2969" s="4"/>
      <c r="G2969" s="5"/>
      <c r="H2969" s="6"/>
      <c r="I2969" s="7"/>
      <c r="J2969" s="6"/>
      <c r="K2969" s="6"/>
      <c r="L2969" s="3"/>
      <c r="M2969" s="3" t="str">
        <f>IFERROR(__xludf.DUMMYFUNCTION("""COMPUTED_VALUE"""),"")</f>
        <v/>
      </c>
    </row>
    <row r="2970" ht="48.0" customHeight="1">
      <c r="A2970" s="3"/>
      <c r="B2970" s="4"/>
      <c r="C2970" s="4"/>
      <c r="D2970" s="4"/>
      <c r="E2970" s="4"/>
      <c r="F2970" s="4"/>
      <c r="G2970" s="5"/>
      <c r="H2970" s="6"/>
      <c r="I2970" s="7"/>
      <c r="J2970" s="6"/>
      <c r="K2970" s="6"/>
      <c r="L2970" s="3"/>
      <c r="M2970" s="3" t="str">
        <f>IFERROR(__xludf.DUMMYFUNCTION("""COMPUTED_VALUE"""),"")</f>
        <v/>
      </c>
    </row>
    <row r="2971" ht="48.0" customHeight="1">
      <c r="A2971" s="3"/>
      <c r="B2971" s="4"/>
      <c r="C2971" s="4"/>
      <c r="D2971" s="4"/>
      <c r="E2971" s="4"/>
      <c r="F2971" s="4"/>
      <c r="G2971" s="5"/>
      <c r="H2971" s="6"/>
      <c r="I2971" s="7"/>
      <c r="J2971" s="6"/>
      <c r="K2971" s="6"/>
      <c r="L2971" s="3"/>
      <c r="M2971" s="3" t="str">
        <f>IFERROR(__xludf.DUMMYFUNCTION("""COMPUTED_VALUE"""),"")</f>
        <v/>
      </c>
    </row>
    <row r="2972" ht="48.0" customHeight="1">
      <c r="A2972" s="3"/>
      <c r="B2972" s="4"/>
      <c r="C2972" s="4"/>
      <c r="D2972" s="4"/>
      <c r="E2972" s="4"/>
      <c r="F2972" s="4"/>
      <c r="G2972" s="5"/>
      <c r="H2972" s="6"/>
      <c r="I2972" s="7"/>
      <c r="J2972" s="6"/>
      <c r="K2972" s="6"/>
      <c r="L2972" s="3"/>
      <c r="M2972" s="3" t="str">
        <f>IFERROR(__xludf.DUMMYFUNCTION("""COMPUTED_VALUE"""),"")</f>
        <v/>
      </c>
    </row>
    <row r="2973" ht="48.0" customHeight="1">
      <c r="A2973" s="3"/>
      <c r="B2973" s="4"/>
      <c r="C2973" s="4"/>
      <c r="D2973" s="4"/>
      <c r="E2973" s="4"/>
      <c r="F2973" s="4"/>
      <c r="G2973" s="5"/>
      <c r="H2973" s="6"/>
      <c r="I2973" s="7"/>
      <c r="J2973" s="6"/>
      <c r="K2973" s="6"/>
      <c r="L2973" s="3"/>
      <c r="M2973" s="3" t="str">
        <f>IFERROR(__xludf.DUMMYFUNCTION("""COMPUTED_VALUE"""),"")</f>
        <v/>
      </c>
    </row>
    <row r="2974" ht="48.0" customHeight="1">
      <c r="A2974" s="3"/>
      <c r="B2974" s="4"/>
      <c r="C2974" s="4"/>
      <c r="D2974" s="4"/>
      <c r="E2974" s="4"/>
      <c r="F2974" s="4"/>
      <c r="G2974" s="5"/>
      <c r="H2974" s="6"/>
      <c r="I2974" s="7"/>
      <c r="J2974" s="6"/>
      <c r="K2974" s="6"/>
      <c r="L2974" s="3"/>
      <c r="M2974" s="3" t="str">
        <f>IFERROR(__xludf.DUMMYFUNCTION("""COMPUTED_VALUE"""),"")</f>
        <v/>
      </c>
    </row>
    <row r="2975" ht="48.0" customHeight="1">
      <c r="A2975" s="3"/>
      <c r="B2975" s="4"/>
      <c r="C2975" s="4"/>
      <c r="D2975" s="4"/>
      <c r="E2975" s="4"/>
      <c r="F2975" s="4"/>
      <c r="G2975" s="5"/>
      <c r="H2975" s="6"/>
      <c r="I2975" s="7"/>
      <c r="J2975" s="6"/>
      <c r="K2975" s="6"/>
      <c r="L2975" s="3"/>
      <c r="M2975" s="3" t="str">
        <f>IFERROR(__xludf.DUMMYFUNCTION("""COMPUTED_VALUE"""),"")</f>
        <v/>
      </c>
    </row>
    <row r="2976" ht="48.0" customHeight="1">
      <c r="A2976" s="3"/>
      <c r="B2976" s="4"/>
      <c r="C2976" s="4"/>
      <c r="D2976" s="4"/>
      <c r="E2976" s="4"/>
      <c r="F2976" s="4"/>
      <c r="G2976" s="5"/>
      <c r="H2976" s="6"/>
      <c r="I2976" s="7"/>
      <c r="J2976" s="6"/>
      <c r="K2976" s="6"/>
      <c r="L2976" s="3"/>
      <c r="M2976" s="3" t="str">
        <f>IFERROR(__xludf.DUMMYFUNCTION("""COMPUTED_VALUE"""),"")</f>
        <v/>
      </c>
    </row>
    <row r="2977" ht="48.0" customHeight="1">
      <c r="A2977" s="3"/>
      <c r="B2977" s="4"/>
      <c r="C2977" s="4"/>
      <c r="D2977" s="4"/>
      <c r="E2977" s="4"/>
      <c r="F2977" s="4"/>
      <c r="G2977" s="5"/>
      <c r="H2977" s="6"/>
      <c r="I2977" s="7"/>
      <c r="J2977" s="6"/>
      <c r="K2977" s="6"/>
      <c r="L2977" s="3"/>
      <c r="M2977" s="3" t="str">
        <f>IFERROR(__xludf.DUMMYFUNCTION("""COMPUTED_VALUE"""),"")</f>
        <v/>
      </c>
    </row>
    <row r="2978" ht="48.0" customHeight="1">
      <c r="A2978" s="3"/>
      <c r="B2978" s="4"/>
      <c r="C2978" s="4"/>
      <c r="D2978" s="4"/>
      <c r="E2978" s="4"/>
      <c r="F2978" s="4"/>
      <c r="G2978" s="5"/>
      <c r="H2978" s="6"/>
      <c r="I2978" s="7"/>
      <c r="J2978" s="6"/>
      <c r="K2978" s="6"/>
      <c r="L2978" s="3"/>
      <c r="M2978" s="3" t="str">
        <f>IFERROR(__xludf.DUMMYFUNCTION("""COMPUTED_VALUE"""),"")</f>
        <v/>
      </c>
    </row>
    <row r="2979" ht="48.0" customHeight="1">
      <c r="A2979" s="3"/>
      <c r="B2979" s="4"/>
      <c r="C2979" s="4"/>
      <c r="D2979" s="4"/>
      <c r="E2979" s="4"/>
      <c r="F2979" s="4"/>
      <c r="G2979" s="5"/>
      <c r="H2979" s="6"/>
      <c r="I2979" s="7"/>
      <c r="J2979" s="6"/>
      <c r="K2979" s="6"/>
      <c r="L2979" s="3"/>
      <c r="M2979" s="3" t="str">
        <f>IFERROR(__xludf.DUMMYFUNCTION("""COMPUTED_VALUE"""),"")</f>
        <v/>
      </c>
    </row>
    <row r="2980" ht="48.0" customHeight="1">
      <c r="A2980" s="3"/>
      <c r="B2980" s="4"/>
      <c r="C2980" s="4"/>
      <c r="D2980" s="4"/>
      <c r="E2980" s="4"/>
      <c r="F2980" s="4"/>
      <c r="G2980" s="5"/>
      <c r="H2980" s="6"/>
      <c r="I2980" s="7"/>
      <c r="J2980" s="6"/>
      <c r="K2980" s="6"/>
      <c r="L2980" s="3"/>
      <c r="M2980" s="3" t="str">
        <f>IFERROR(__xludf.DUMMYFUNCTION("""COMPUTED_VALUE"""),"")</f>
        <v/>
      </c>
    </row>
    <row r="2981" ht="48.0" customHeight="1">
      <c r="A2981" s="3"/>
      <c r="B2981" s="4"/>
      <c r="C2981" s="4"/>
      <c r="D2981" s="4"/>
      <c r="E2981" s="4"/>
      <c r="F2981" s="4"/>
      <c r="G2981" s="5"/>
      <c r="H2981" s="6"/>
      <c r="I2981" s="7"/>
      <c r="J2981" s="6"/>
      <c r="K2981" s="6"/>
      <c r="L2981" s="3"/>
      <c r="M2981" s="3" t="str">
        <f>IFERROR(__xludf.DUMMYFUNCTION("""COMPUTED_VALUE"""),"")</f>
        <v/>
      </c>
    </row>
    <row r="2982" ht="48.0" customHeight="1">
      <c r="A2982" s="3"/>
      <c r="B2982" s="4"/>
      <c r="C2982" s="4"/>
      <c r="D2982" s="4"/>
      <c r="E2982" s="4"/>
      <c r="F2982" s="4"/>
      <c r="G2982" s="5"/>
      <c r="H2982" s="6"/>
      <c r="I2982" s="7"/>
      <c r="J2982" s="6"/>
      <c r="K2982" s="6"/>
      <c r="L2982" s="3"/>
      <c r="M2982" s="3" t="str">
        <f>IFERROR(__xludf.DUMMYFUNCTION("""COMPUTED_VALUE"""),"")</f>
        <v/>
      </c>
    </row>
    <row r="2983" ht="48.0" customHeight="1">
      <c r="A2983" s="3"/>
      <c r="B2983" s="4"/>
      <c r="C2983" s="4"/>
      <c r="D2983" s="4"/>
      <c r="E2983" s="4"/>
      <c r="F2983" s="4"/>
      <c r="G2983" s="5"/>
      <c r="H2983" s="6"/>
      <c r="I2983" s="7"/>
      <c r="J2983" s="6"/>
      <c r="K2983" s="6"/>
      <c r="L2983" s="3"/>
      <c r="M2983" s="3" t="str">
        <f>IFERROR(__xludf.DUMMYFUNCTION("""COMPUTED_VALUE"""),"")</f>
        <v/>
      </c>
    </row>
    <row r="2984" ht="48.0" customHeight="1">
      <c r="A2984" s="3"/>
      <c r="B2984" s="4"/>
      <c r="C2984" s="4"/>
      <c r="D2984" s="4"/>
      <c r="E2984" s="4"/>
      <c r="F2984" s="4"/>
      <c r="G2984" s="5"/>
      <c r="H2984" s="6"/>
      <c r="I2984" s="7"/>
      <c r="J2984" s="6"/>
      <c r="K2984" s="6"/>
      <c r="L2984" s="3"/>
      <c r="M2984" s="3" t="str">
        <f>IFERROR(__xludf.DUMMYFUNCTION("""COMPUTED_VALUE"""),"")</f>
        <v/>
      </c>
    </row>
    <row r="2985" ht="48.0" customHeight="1">
      <c r="A2985" s="3"/>
      <c r="B2985" s="4"/>
      <c r="C2985" s="4"/>
      <c r="D2985" s="4"/>
      <c r="E2985" s="4"/>
      <c r="F2985" s="4"/>
      <c r="G2985" s="5"/>
      <c r="H2985" s="6"/>
      <c r="I2985" s="7"/>
      <c r="J2985" s="6"/>
      <c r="K2985" s="6"/>
      <c r="L2985" s="3"/>
      <c r="M2985" s="3" t="str">
        <f>IFERROR(__xludf.DUMMYFUNCTION("""COMPUTED_VALUE"""),"")</f>
        <v/>
      </c>
    </row>
    <row r="2986" ht="48.0" customHeight="1">
      <c r="A2986" s="3"/>
      <c r="B2986" s="4"/>
      <c r="C2986" s="4"/>
      <c r="D2986" s="4"/>
      <c r="E2986" s="4"/>
      <c r="F2986" s="4"/>
      <c r="G2986" s="5"/>
      <c r="H2986" s="6"/>
      <c r="I2986" s="7"/>
      <c r="J2986" s="6"/>
      <c r="K2986" s="6"/>
      <c r="L2986" s="3"/>
      <c r="M2986" s="3" t="str">
        <f>IFERROR(__xludf.DUMMYFUNCTION("""COMPUTED_VALUE"""),"")</f>
        <v/>
      </c>
    </row>
    <row r="2987" ht="48.0" customHeight="1">
      <c r="A2987" s="3"/>
      <c r="B2987" s="4"/>
      <c r="C2987" s="4"/>
      <c r="D2987" s="4"/>
      <c r="E2987" s="4"/>
      <c r="F2987" s="4"/>
      <c r="G2987" s="5"/>
      <c r="H2987" s="6"/>
      <c r="I2987" s="7"/>
      <c r="J2987" s="6"/>
      <c r="K2987" s="6"/>
      <c r="L2987" s="3"/>
      <c r="M2987" s="3" t="str">
        <f>IFERROR(__xludf.DUMMYFUNCTION("""COMPUTED_VALUE"""),"")</f>
        <v/>
      </c>
    </row>
    <row r="2988" ht="48.0" customHeight="1">
      <c r="A2988" s="3"/>
      <c r="B2988" s="4"/>
      <c r="C2988" s="4"/>
      <c r="D2988" s="4"/>
      <c r="E2988" s="4"/>
      <c r="F2988" s="4"/>
      <c r="G2988" s="5"/>
      <c r="H2988" s="6"/>
      <c r="I2988" s="7"/>
      <c r="J2988" s="6"/>
      <c r="K2988" s="6"/>
      <c r="L2988" s="3"/>
      <c r="M2988" s="3" t="str">
        <f>IFERROR(__xludf.DUMMYFUNCTION("""COMPUTED_VALUE"""),"")</f>
        <v/>
      </c>
    </row>
    <row r="2989" ht="48.0" customHeight="1">
      <c r="A2989" s="3"/>
      <c r="B2989" s="4"/>
      <c r="C2989" s="4"/>
      <c r="D2989" s="4"/>
      <c r="E2989" s="4"/>
      <c r="F2989" s="4"/>
      <c r="G2989" s="5"/>
      <c r="H2989" s="6"/>
      <c r="I2989" s="7"/>
      <c r="J2989" s="6"/>
      <c r="K2989" s="6"/>
      <c r="L2989" s="3"/>
      <c r="M2989" s="3" t="str">
        <f>IFERROR(__xludf.DUMMYFUNCTION("""COMPUTED_VALUE"""),"")</f>
        <v/>
      </c>
    </row>
    <row r="2990" ht="48.0" customHeight="1">
      <c r="A2990" s="3"/>
      <c r="B2990" s="4"/>
      <c r="C2990" s="4"/>
      <c r="D2990" s="4"/>
      <c r="E2990" s="4"/>
      <c r="F2990" s="4"/>
      <c r="G2990" s="5"/>
      <c r="H2990" s="6"/>
      <c r="I2990" s="7"/>
      <c r="J2990" s="6"/>
      <c r="K2990" s="6"/>
      <c r="L2990" s="3"/>
      <c r="M2990" s="3" t="str">
        <f>IFERROR(__xludf.DUMMYFUNCTION("""COMPUTED_VALUE"""),"")</f>
        <v/>
      </c>
    </row>
    <row r="2991" ht="48.0" customHeight="1">
      <c r="A2991" s="3"/>
      <c r="B2991" s="4"/>
      <c r="C2991" s="4"/>
      <c r="D2991" s="4"/>
      <c r="E2991" s="4"/>
      <c r="F2991" s="4"/>
      <c r="G2991" s="5"/>
      <c r="H2991" s="6"/>
      <c r="I2991" s="7"/>
      <c r="J2991" s="6"/>
      <c r="K2991" s="6"/>
      <c r="L2991" s="3"/>
      <c r="M2991" s="3" t="str">
        <f>IFERROR(__xludf.DUMMYFUNCTION("""COMPUTED_VALUE"""),"")</f>
        <v/>
      </c>
    </row>
    <row r="2992" ht="48.0" customHeight="1">
      <c r="A2992" s="3"/>
      <c r="B2992" s="4"/>
      <c r="C2992" s="4"/>
      <c r="D2992" s="4"/>
      <c r="E2992" s="4"/>
      <c r="F2992" s="4"/>
      <c r="G2992" s="5"/>
      <c r="H2992" s="6"/>
      <c r="I2992" s="7"/>
      <c r="J2992" s="6"/>
      <c r="K2992" s="6"/>
      <c r="L2992" s="3"/>
      <c r="M2992" s="3" t="str">
        <f>IFERROR(__xludf.DUMMYFUNCTION("""COMPUTED_VALUE"""),"")</f>
        <v/>
      </c>
    </row>
    <row r="2993" ht="48.0" customHeight="1">
      <c r="A2993" s="3"/>
      <c r="B2993" s="4"/>
      <c r="C2993" s="4"/>
      <c r="D2993" s="4"/>
      <c r="E2993" s="4"/>
      <c r="F2993" s="4"/>
      <c r="G2993" s="5"/>
      <c r="H2993" s="6"/>
      <c r="I2993" s="7"/>
      <c r="J2993" s="6"/>
      <c r="K2993" s="6"/>
      <c r="L2993" s="3"/>
      <c r="M2993" s="3" t="str">
        <f>IFERROR(__xludf.DUMMYFUNCTION("""COMPUTED_VALUE"""),"")</f>
        <v/>
      </c>
    </row>
    <row r="2994" ht="48.0" customHeight="1">
      <c r="A2994" s="3"/>
      <c r="B2994" s="4"/>
      <c r="C2994" s="4"/>
      <c r="D2994" s="4"/>
      <c r="E2994" s="4"/>
      <c r="F2994" s="4"/>
      <c r="G2994" s="5"/>
      <c r="H2994" s="6"/>
      <c r="I2994" s="7"/>
      <c r="J2994" s="6"/>
      <c r="K2994" s="6"/>
      <c r="L2994" s="3"/>
      <c r="M2994" s="3" t="str">
        <f>IFERROR(__xludf.DUMMYFUNCTION("""COMPUTED_VALUE"""),"")</f>
        <v/>
      </c>
    </row>
    <row r="2995" ht="48.0" customHeight="1">
      <c r="A2995" s="3"/>
      <c r="B2995" s="4"/>
      <c r="C2995" s="4"/>
      <c r="D2995" s="4"/>
      <c r="E2995" s="4"/>
      <c r="F2995" s="4"/>
      <c r="G2995" s="5"/>
      <c r="H2995" s="6"/>
      <c r="I2995" s="7"/>
      <c r="J2995" s="6"/>
      <c r="K2995" s="6"/>
      <c r="L2995" s="3"/>
      <c r="M2995" s="3" t="str">
        <f>IFERROR(__xludf.DUMMYFUNCTION("""COMPUTED_VALUE"""),"")</f>
        <v/>
      </c>
    </row>
    <row r="2996" ht="48.0" customHeight="1">
      <c r="A2996" s="3"/>
      <c r="B2996" s="4"/>
      <c r="C2996" s="4"/>
      <c r="D2996" s="4"/>
      <c r="E2996" s="4"/>
      <c r="F2996" s="4"/>
      <c r="G2996" s="5"/>
      <c r="H2996" s="6"/>
      <c r="I2996" s="7"/>
      <c r="J2996" s="6"/>
      <c r="K2996" s="6"/>
      <c r="L2996" s="3"/>
      <c r="M2996" s="3" t="str">
        <f>IFERROR(__xludf.DUMMYFUNCTION("""COMPUTED_VALUE"""),"")</f>
        <v/>
      </c>
    </row>
    <row r="2997" ht="48.0" customHeight="1">
      <c r="A2997" s="3"/>
      <c r="B2997" s="4"/>
      <c r="C2997" s="4"/>
      <c r="D2997" s="4"/>
      <c r="E2997" s="4"/>
      <c r="F2997" s="4"/>
      <c r="G2997" s="5"/>
      <c r="H2997" s="6"/>
      <c r="I2997" s="7"/>
      <c r="J2997" s="6"/>
      <c r="K2997" s="6"/>
      <c r="L2997" s="3"/>
      <c r="M2997" s="3" t="str">
        <f>IFERROR(__xludf.DUMMYFUNCTION("""COMPUTED_VALUE"""),"")</f>
        <v/>
      </c>
    </row>
    <row r="2998" ht="48.0" customHeight="1">
      <c r="A2998" s="3"/>
      <c r="B2998" s="4"/>
      <c r="C2998" s="4"/>
      <c r="D2998" s="4"/>
      <c r="E2998" s="4"/>
      <c r="F2998" s="4"/>
      <c r="G2998" s="5"/>
      <c r="H2998" s="6"/>
      <c r="I2998" s="7"/>
      <c r="J2998" s="6"/>
      <c r="K2998" s="6"/>
      <c r="L2998" s="3"/>
      <c r="M2998" s="3" t="str">
        <f>IFERROR(__xludf.DUMMYFUNCTION("""COMPUTED_VALUE"""),"")</f>
        <v/>
      </c>
    </row>
    <row r="2999" ht="48.0" customHeight="1">
      <c r="A2999" s="3"/>
      <c r="B2999" s="4"/>
      <c r="C2999" s="4"/>
      <c r="D2999" s="4"/>
      <c r="E2999" s="4"/>
      <c r="F2999" s="4"/>
      <c r="G2999" s="5"/>
      <c r="H2999" s="6"/>
      <c r="I2999" s="7"/>
      <c r="J2999" s="6"/>
      <c r="K2999" s="6"/>
      <c r="L2999" s="3"/>
      <c r="M2999" s="3" t="str">
        <f>IFERROR(__xludf.DUMMYFUNCTION("""COMPUTED_VALUE"""),"")</f>
        <v/>
      </c>
    </row>
    <row r="3000" ht="48.0" customHeight="1">
      <c r="A3000" s="3"/>
      <c r="B3000" s="4"/>
      <c r="C3000" s="4"/>
      <c r="D3000" s="4"/>
      <c r="E3000" s="4"/>
      <c r="F3000" s="4"/>
      <c r="G3000" s="5"/>
      <c r="H3000" s="6"/>
      <c r="I3000" s="7"/>
      <c r="J3000" s="6"/>
      <c r="K3000" s="6"/>
      <c r="L3000" s="3"/>
      <c r="M3000" s="3" t="str">
        <f>IFERROR(__xludf.DUMMYFUNCTION("""COMPUTED_VALUE"""),"")</f>
        <v/>
      </c>
    </row>
    <row r="3001" ht="48.0" customHeight="1">
      <c r="A3001" s="3"/>
      <c r="B3001" s="4"/>
      <c r="C3001" s="4"/>
      <c r="D3001" s="4"/>
      <c r="E3001" s="4"/>
      <c r="F3001" s="4"/>
      <c r="G3001" s="5"/>
      <c r="H3001" s="6"/>
      <c r="I3001" s="7"/>
      <c r="J3001" s="6"/>
      <c r="K3001" s="6"/>
      <c r="L3001" s="3"/>
      <c r="M3001" s="3" t="str">
        <f>IFERROR(__xludf.DUMMYFUNCTION("""COMPUTED_VALUE"""),"")</f>
        <v/>
      </c>
    </row>
    <row r="3002" ht="48.0" customHeight="1">
      <c r="A3002" s="3"/>
      <c r="B3002" s="4"/>
      <c r="C3002" s="4"/>
      <c r="D3002" s="4"/>
      <c r="E3002" s="4"/>
      <c r="F3002" s="4"/>
      <c r="G3002" s="5"/>
      <c r="H3002" s="6"/>
      <c r="I3002" s="7"/>
      <c r="J3002" s="6"/>
      <c r="K3002" s="6"/>
      <c r="L3002" s="3"/>
      <c r="M3002" s="3" t="str">
        <f>IFERROR(__xludf.DUMMYFUNCTION("""COMPUTED_VALUE"""),"")</f>
        <v/>
      </c>
    </row>
    <row r="3003" ht="48.0" customHeight="1">
      <c r="A3003" s="3"/>
      <c r="B3003" s="4"/>
      <c r="C3003" s="4"/>
      <c r="D3003" s="4"/>
      <c r="E3003" s="4"/>
      <c r="F3003" s="4"/>
      <c r="G3003" s="5"/>
      <c r="H3003" s="6"/>
      <c r="I3003" s="7"/>
      <c r="J3003" s="6"/>
      <c r="K3003" s="6"/>
      <c r="L3003" s="3"/>
      <c r="M3003" s="3" t="str">
        <f>IFERROR(__xludf.DUMMYFUNCTION("""COMPUTED_VALUE"""),"")</f>
        <v/>
      </c>
    </row>
    <row r="3004" ht="48.0" customHeight="1">
      <c r="A3004" s="3"/>
      <c r="B3004" s="4"/>
      <c r="C3004" s="4"/>
      <c r="D3004" s="4"/>
      <c r="E3004" s="4"/>
      <c r="F3004" s="4"/>
      <c r="G3004" s="5"/>
      <c r="H3004" s="6"/>
      <c r="I3004" s="7"/>
      <c r="J3004" s="6"/>
      <c r="K3004" s="6"/>
      <c r="L3004" s="3"/>
      <c r="M3004" s="3" t="str">
        <f>IFERROR(__xludf.DUMMYFUNCTION("""COMPUTED_VALUE"""),"")</f>
        <v/>
      </c>
    </row>
    <row r="3005" ht="48.0" customHeight="1">
      <c r="A3005" s="3"/>
      <c r="B3005" s="4"/>
      <c r="C3005" s="4"/>
      <c r="D3005" s="4"/>
      <c r="E3005" s="4"/>
      <c r="F3005" s="4"/>
      <c r="G3005" s="5"/>
      <c r="H3005" s="6"/>
      <c r="I3005" s="7"/>
      <c r="J3005" s="6"/>
      <c r="K3005" s="6"/>
      <c r="L3005" s="3"/>
      <c r="M3005" s="3" t="str">
        <f>IFERROR(__xludf.DUMMYFUNCTION("""COMPUTED_VALUE"""),"")</f>
        <v/>
      </c>
    </row>
    <row r="3006" ht="48.0" customHeight="1">
      <c r="A3006" s="3"/>
      <c r="B3006" s="4"/>
      <c r="C3006" s="4"/>
      <c r="D3006" s="4"/>
      <c r="E3006" s="4"/>
      <c r="F3006" s="4"/>
      <c r="G3006" s="5"/>
      <c r="H3006" s="6"/>
      <c r="I3006" s="7"/>
      <c r="J3006" s="6"/>
      <c r="K3006" s="6"/>
      <c r="L3006" s="3"/>
      <c r="M3006" s="3" t="str">
        <f>IFERROR(__xludf.DUMMYFUNCTION("""COMPUTED_VALUE"""),"")</f>
        <v/>
      </c>
    </row>
    <row r="3007" ht="48.0" customHeight="1">
      <c r="A3007" s="3"/>
      <c r="B3007" s="4"/>
      <c r="C3007" s="4"/>
      <c r="D3007" s="4"/>
      <c r="E3007" s="4"/>
      <c r="F3007" s="4"/>
      <c r="G3007" s="5"/>
      <c r="H3007" s="6"/>
      <c r="I3007" s="7"/>
      <c r="J3007" s="6"/>
      <c r="K3007" s="6"/>
      <c r="L3007" s="3"/>
      <c r="M3007" s="3" t="str">
        <f>IFERROR(__xludf.DUMMYFUNCTION("""COMPUTED_VALUE"""),"")</f>
        <v/>
      </c>
    </row>
    <row r="3008" ht="48.0" customHeight="1">
      <c r="A3008" s="3"/>
      <c r="B3008" s="4"/>
      <c r="C3008" s="4"/>
      <c r="D3008" s="4"/>
      <c r="E3008" s="4"/>
      <c r="F3008" s="4"/>
      <c r="G3008" s="5"/>
      <c r="H3008" s="6"/>
      <c r="I3008" s="7"/>
      <c r="J3008" s="6"/>
      <c r="K3008" s="6"/>
      <c r="L3008" s="3"/>
      <c r="M3008" s="3" t="str">
        <f>IFERROR(__xludf.DUMMYFUNCTION("""COMPUTED_VALUE"""),"")</f>
        <v/>
      </c>
    </row>
    <row r="3009" ht="48.0" customHeight="1">
      <c r="A3009" s="3"/>
      <c r="B3009" s="4"/>
      <c r="C3009" s="4"/>
      <c r="D3009" s="4"/>
      <c r="E3009" s="4"/>
      <c r="F3009" s="4"/>
      <c r="G3009" s="5"/>
      <c r="H3009" s="6"/>
      <c r="I3009" s="7"/>
      <c r="J3009" s="6"/>
      <c r="K3009" s="6"/>
      <c r="L3009" s="3"/>
      <c r="M3009" s="3" t="str">
        <f>IFERROR(__xludf.DUMMYFUNCTION("""COMPUTED_VALUE"""),"")</f>
        <v/>
      </c>
    </row>
    <row r="3010" ht="48.0" customHeight="1">
      <c r="A3010" s="3"/>
      <c r="B3010" s="4"/>
      <c r="C3010" s="4"/>
      <c r="D3010" s="4"/>
      <c r="E3010" s="4"/>
      <c r="F3010" s="4"/>
      <c r="G3010" s="5"/>
      <c r="H3010" s="6"/>
      <c r="I3010" s="7"/>
      <c r="J3010" s="6"/>
      <c r="K3010" s="6"/>
      <c r="L3010" s="3"/>
      <c r="M3010" s="3" t="str">
        <f>IFERROR(__xludf.DUMMYFUNCTION("""COMPUTED_VALUE"""),"")</f>
        <v/>
      </c>
    </row>
    <row r="3011" ht="48.0" customHeight="1">
      <c r="A3011" s="3"/>
      <c r="B3011" s="4"/>
      <c r="C3011" s="4"/>
      <c r="D3011" s="4"/>
      <c r="E3011" s="4"/>
      <c r="F3011" s="4"/>
      <c r="G3011" s="5"/>
      <c r="H3011" s="6"/>
      <c r="I3011" s="7"/>
      <c r="J3011" s="6"/>
      <c r="K3011" s="6"/>
      <c r="L3011" s="3"/>
      <c r="M3011" s="3" t="str">
        <f>IFERROR(__xludf.DUMMYFUNCTION("""COMPUTED_VALUE"""),"")</f>
        <v/>
      </c>
    </row>
    <row r="3012" ht="48.0" customHeight="1">
      <c r="A3012" s="3"/>
      <c r="B3012" s="4"/>
      <c r="C3012" s="4"/>
      <c r="D3012" s="4"/>
      <c r="E3012" s="4"/>
      <c r="F3012" s="4"/>
      <c r="G3012" s="5"/>
      <c r="H3012" s="6"/>
      <c r="I3012" s="7"/>
      <c r="J3012" s="6"/>
      <c r="K3012" s="6"/>
      <c r="L3012" s="3"/>
      <c r="M3012" s="3" t="str">
        <f>IFERROR(__xludf.DUMMYFUNCTION("""COMPUTED_VALUE"""),"")</f>
        <v/>
      </c>
    </row>
    <row r="3013" ht="48.0" customHeight="1">
      <c r="A3013" s="3"/>
      <c r="B3013" s="4"/>
      <c r="C3013" s="4"/>
      <c r="D3013" s="4"/>
      <c r="E3013" s="4"/>
      <c r="F3013" s="4"/>
      <c r="G3013" s="5"/>
      <c r="H3013" s="6"/>
      <c r="I3013" s="7"/>
      <c r="J3013" s="6"/>
      <c r="K3013" s="6"/>
      <c r="L3013" s="3"/>
      <c r="M3013" s="3" t="str">
        <f>IFERROR(__xludf.DUMMYFUNCTION("""COMPUTED_VALUE"""),"")</f>
        <v/>
      </c>
    </row>
    <row r="3014" ht="48.0" customHeight="1">
      <c r="A3014" s="3"/>
      <c r="B3014" s="4"/>
      <c r="C3014" s="4"/>
      <c r="D3014" s="4"/>
      <c r="E3014" s="4"/>
      <c r="F3014" s="4"/>
      <c r="G3014" s="5"/>
      <c r="H3014" s="6"/>
      <c r="I3014" s="7"/>
      <c r="J3014" s="6"/>
      <c r="K3014" s="6"/>
      <c r="L3014" s="3"/>
      <c r="M3014" s="3" t="str">
        <f>IFERROR(__xludf.DUMMYFUNCTION("""COMPUTED_VALUE"""),"")</f>
        <v/>
      </c>
    </row>
    <row r="3015" ht="48.0" customHeight="1">
      <c r="A3015" s="3"/>
      <c r="B3015" s="4"/>
      <c r="C3015" s="4"/>
      <c r="D3015" s="4"/>
      <c r="E3015" s="4"/>
      <c r="F3015" s="4"/>
      <c r="G3015" s="5"/>
      <c r="H3015" s="6"/>
      <c r="I3015" s="7"/>
      <c r="J3015" s="6"/>
      <c r="K3015" s="6"/>
      <c r="L3015" s="3"/>
      <c r="M3015" s="3" t="str">
        <f>IFERROR(__xludf.DUMMYFUNCTION("""COMPUTED_VALUE"""),"")</f>
        <v/>
      </c>
    </row>
    <row r="3016" ht="48.0" customHeight="1">
      <c r="A3016" s="3"/>
      <c r="B3016" s="4"/>
      <c r="C3016" s="4"/>
      <c r="D3016" s="4"/>
      <c r="E3016" s="4"/>
      <c r="F3016" s="4"/>
      <c r="G3016" s="5"/>
      <c r="H3016" s="6"/>
      <c r="I3016" s="7"/>
      <c r="J3016" s="6"/>
      <c r="K3016" s="6"/>
      <c r="L3016" s="3"/>
      <c r="M3016" s="3" t="str">
        <f>IFERROR(__xludf.DUMMYFUNCTION("""COMPUTED_VALUE"""),"")</f>
        <v/>
      </c>
    </row>
    <row r="3017" ht="48.0" customHeight="1">
      <c r="A3017" s="3"/>
      <c r="B3017" s="4"/>
      <c r="C3017" s="4"/>
      <c r="D3017" s="4"/>
      <c r="E3017" s="4"/>
      <c r="F3017" s="4"/>
      <c r="G3017" s="5"/>
      <c r="H3017" s="6"/>
      <c r="I3017" s="7"/>
      <c r="J3017" s="6"/>
      <c r="K3017" s="6"/>
      <c r="L3017" s="3"/>
      <c r="M3017" s="3" t="str">
        <f>IFERROR(__xludf.DUMMYFUNCTION("""COMPUTED_VALUE"""),"")</f>
        <v/>
      </c>
    </row>
    <row r="3018" ht="48.0" customHeight="1">
      <c r="A3018" s="3"/>
      <c r="B3018" s="4"/>
      <c r="C3018" s="4"/>
      <c r="D3018" s="4"/>
      <c r="E3018" s="4"/>
      <c r="F3018" s="4"/>
      <c r="G3018" s="5"/>
      <c r="H3018" s="6"/>
      <c r="I3018" s="7"/>
      <c r="J3018" s="6"/>
      <c r="K3018" s="6"/>
      <c r="L3018" s="3"/>
      <c r="M3018" s="3" t="str">
        <f>IFERROR(__xludf.DUMMYFUNCTION("""COMPUTED_VALUE"""),"")</f>
        <v/>
      </c>
    </row>
    <row r="3019" ht="48.0" customHeight="1">
      <c r="A3019" s="3"/>
      <c r="B3019" s="4"/>
      <c r="C3019" s="4"/>
      <c r="D3019" s="4"/>
      <c r="E3019" s="4"/>
      <c r="F3019" s="4"/>
      <c r="G3019" s="5"/>
      <c r="H3019" s="6"/>
      <c r="I3019" s="7"/>
      <c r="J3019" s="6"/>
      <c r="K3019" s="6"/>
      <c r="L3019" s="3"/>
      <c r="M3019" s="3" t="str">
        <f>IFERROR(__xludf.DUMMYFUNCTION("""COMPUTED_VALUE"""),"")</f>
        <v/>
      </c>
    </row>
    <row r="3020" ht="48.0" customHeight="1">
      <c r="A3020" s="3"/>
      <c r="B3020" s="4"/>
      <c r="C3020" s="4"/>
      <c r="D3020" s="4"/>
      <c r="E3020" s="4"/>
      <c r="F3020" s="4"/>
      <c r="G3020" s="5"/>
      <c r="H3020" s="6"/>
      <c r="I3020" s="7"/>
      <c r="J3020" s="6"/>
      <c r="K3020" s="6"/>
      <c r="L3020" s="3"/>
      <c r="M3020" s="3" t="str">
        <f>IFERROR(__xludf.DUMMYFUNCTION("""COMPUTED_VALUE"""),"")</f>
        <v/>
      </c>
    </row>
    <row r="3021" ht="48.0" customHeight="1">
      <c r="A3021" s="3"/>
      <c r="B3021" s="4"/>
      <c r="C3021" s="4"/>
      <c r="D3021" s="4"/>
      <c r="E3021" s="4"/>
      <c r="F3021" s="4"/>
      <c r="G3021" s="5"/>
      <c r="H3021" s="6"/>
      <c r="I3021" s="7"/>
      <c r="J3021" s="6"/>
      <c r="K3021" s="6"/>
      <c r="L3021" s="3"/>
      <c r="M3021" s="3" t="str">
        <f>IFERROR(__xludf.DUMMYFUNCTION("""COMPUTED_VALUE"""),"")</f>
        <v/>
      </c>
    </row>
    <row r="3022" ht="48.0" customHeight="1">
      <c r="A3022" s="3"/>
      <c r="B3022" s="4"/>
      <c r="C3022" s="4"/>
      <c r="D3022" s="4"/>
      <c r="E3022" s="4"/>
      <c r="F3022" s="4"/>
      <c r="G3022" s="5"/>
      <c r="H3022" s="6"/>
      <c r="I3022" s="7"/>
      <c r="J3022" s="6"/>
      <c r="K3022" s="6"/>
      <c r="L3022" s="3"/>
      <c r="M3022" s="3" t="str">
        <f>IFERROR(__xludf.DUMMYFUNCTION("""COMPUTED_VALUE"""),"")</f>
        <v/>
      </c>
    </row>
    <row r="3023" ht="48.0" customHeight="1">
      <c r="A3023" s="3"/>
      <c r="B3023" s="4"/>
      <c r="C3023" s="4"/>
      <c r="D3023" s="4"/>
      <c r="E3023" s="4"/>
      <c r="F3023" s="4"/>
      <c r="G3023" s="5"/>
      <c r="H3023" s="6"/>
      <c r="I3023" s="7"/>
      <c r="J3023" s="6"/>
      <c r="K3023" s="6"/>
      <c r="L3023" s="3"/>
      <c r="M3023" s="3" t="str">
        <f>IFERROR(__xludf.DUMMYFUNCTION("""COMPUTED_VALUE"""),"")</f>
        <v/>
      </c>
    </row>
    <row r="3024" ht="48.0" customHeight="1">
      <c r="A3024" s="3"/>
      <c r="B3024" s="4"/>
      <c r="C3024" s="4"/>
      <c r="D3024" s="4"/>
      <c r="E3024" s="4"/>
      <c r="F3024" s="4"/>
      <c r="G3024" s="5"/>
      <c r="H3024" s="6"/>
      <c r="I3024" s="7"/>
      <c r="J3024" s="6"/>
      <c r="K3024" s="6"/>
      <c r="L3024" s="3"/>
      <c r="M3024" s="3" t="str">
        <f>IFERROR(__xludf.DUMMYFUNCTION("""COMPUTED_VALUE"""),"")</f>
        <v/>
      </c>
    </row>
    <row r="3025" ht="48.0" customHeight="1">
      <c r="A3025" s="3"/>
      <c r="B3025" s="4"/>
      <c r="C3025" s="4"/>
      <c r="D3025" s="4"/>
      <c r="E3025" s="4"/>
      <c r="F3025" s="4"/>
      <c r="G3025" s="5"/>
      <c r="H3025" s="6"/>
      <c r="I3025" s="7"/>
      <c r="J3025" s="6"/>
      <c r="K3025" s="6"/>
      <c r="L3025" s="3"/>
      <c r="M3025" s="3" t="str">
        <f>IFERROR(__xludf.DUMMYFUNCTION("""COMPUTED_VALUE"""),"")</f>
        <v/>
      </c>
    </row>
    <row r="3026" ht="48.0" customHeight="1">
      <c r="A3026" s="3"/>
      <c r="B3026" s="4"/>
      <c r="C3026" s="4"/>
      <c r="D3026" s="4"/>
      <c r="E3026" s="4"/>
      <c r="F3026" s="4"/>
      <c r="G3026" s="5"/>
      <c r="H3026" s="6"/>
      <c r="I3026" s="7"/>
      <c r="J3026" s="6"/>
      <c r="K3026" s="6"/>
      <c r="L3026" s="3"/>
      <c r="M3026" s="3" t="str">
        <f>IFERROR(__xludf.DUMMYFUNCTION("""COMPUTED_VALUE"""),"")</f>
        <v/>
      </c>
    </row>
    <row r="3027" ht="48.0" customHeight="1">
      <c r="A3027" s="3"/>
      <c r="B3027" s="4"/>
      <c r="C3027" s="4"/>
      <c r="D3027" s="4"/>
      <c r="E3027" s="4"/>
      <c r="F3027" s="4"/>
      <c r="G3027" s="5"/>
      <c r="H3027" s="6"/>
      <c r="I3027" s="7"/>
      <c r="J3027" s="6"/>
      <c r="K3027" s="6"/>
      <c r="L3027" s="3"/>
      <c r="M3027" s="3" t="str">
        <f>IFERROR(__xludf.DUMMYFUNCTION("""COMPUTED_VALUE"""),"")</f>
        <v/>
      </c>
    </row>
    <row r="3028" ht="48.0" customHeight="1">
      <c r="A3028" s="3"/>
      <c r="B3028" s="4"/>
      <c r="C3028" s="4"/>
      <c r="D3028" s="4"/>
      <c r="E3028" s="4"/>
      <c r="F3028" s="4"/>
      <c r="G3028" s="5"/>
      <c r="H3028" s="6"/>
      <c r="I3028" s="7"/>
      <c r="J3028" s="6"/>
      <c r="K3028" s="6"/>
      <c r="L3028" s="3"/>
      <c r="M3028" s="3" t="str">
        <f>IFERROR(__xludf.DUMMYFUNCTION("""COMPUTED_VALUE"""),"")</f>
        <v/>
      </c>
    </row>
    <row r="3029" ht="48.0" customHeight="1">
      <c r="A3029" s="3"/>
      <c r="B3029" s="4"/>
      <c r="C3029" s="4"/>
      <c r="D3029" s="4"/>
      <c r="E3029" s="4"/>
      <c r="F3029" s="4"/>
      <c r="G3029" s="5"/>
      <c r="H3029" s="6"/>
      <c r="I3029" s="7"/>
      <c r="J3029" s="6"/>
      <c r="K3029" s="6"/>
      <c r="L3029" s="3"/>
      <c r="M3029" s="3" t="str">
        <f>IFERROR(__xludf.DUMMYFUNCTION("""COMPUTED_VALUE"""),"")</f>
        <v/>
      </c>
    </row>
    <row r="3030" ht="48.0" customHeight="1">
      <c r="A3030" s="3"/>
      <c r="B3030" s="4"/>
      <c r="C3030" s="4"/>
      <c r="D3030" s="4"/>
      <c r="E3030" s="4"/>
      <c r="F3030" s="4"/>
      <c r="G3030" s="5"/>
      <c r="H3030" s="6"/>
      <c r="I3030" s="7"/>
      <c r="J3030" s="6"/>
      <c r="K3030" s="6"/>
      <c r="L3030" s="3"/>
      <c r="M3030" s="3" t="str">
        <f>IFERROR(__xludf.DUMMYFUNCTION("""COMPUTED_VALUE"""),"")</f>
        <v/>
      </c>
    </row>
    <row r="3031" ht="48.0" customHeight="1">
      <c r="A3031" s="3"/>
      <c r="B3031" s="4"/>
      <c r="C3031" s="4"/>
      <c r="D3031" s="4"/>
      <c r="E3031" s="4"/>
      <c r="F3031" s="4"/>
      <c r="G3031" s="5"/>
      <c r="H3031" s="6"/>
      <c r="I3031" s="7"/>
      <c r="J3031" s="6"/>
      <c r="K3031" s="6"/>
      <c r="L3031" s="3"/>
      <c r="M3031" s="3" t="str">
        <f>IFERROR(__xludf.DUMMYFUNCTION("""COMPUTED_VALUE"""),"")</f>
        <v/>
      </c>
    </row>
    <row r="3032" ht="48.0" customHeight="1">
      <c r="A3032" s="3"/>
      <c r="B3032" s="4"/>
      <c r="C3032" s="4"/>
      <c r="D3032" s="4"/>
      <c r="E3032" s="4"/>
      <c r="F3032" s="4"/>
      <c r="G3032" s="5"/>
      <c r="H3032" s="6"/>
      <c r="I3032" s="7"/>
      <c r="J3032" s="6"/>
      <c r="K3032" s="6"/>
      <c r="L3032" s="3"/>
      <c r="M3032" s="3" t="str">
        <f>IFERROR(__xludf.DUMMYFUNCTION("""COMPUTED_VALUE"""),"")</f>
        <v/>
      </c>
    </row>
    <row r="3033" ht="48.0" customHeight="1">
      <c r="A3033" s="3"/>
      <c r="B3033" s="4"/>
      <c r="C3033" s="4"/>
      <c r="D3033" s="4"/>
      <c r="E3033" s="4"/>
      <c r="F3033" s="4"/>
      <c r="G3033" s="5"/>
      <c r="H3033" s="6"/>
      <c r="I3033" s="7"/>
      <c r="J3033" s="6"/>
      <c r="K3033" s="6"/>
      <c r="L3033" s="3"/>
      <c r="M3033" s="3" t="str">
        <f>IFERROR(__xludf.DUMMYFUNCTION("""COMPUTED_VALUE"""),"")</f>
        <v/>
      </c>
    </row>
    <row r="3034" ht="48.0" customHeight="1">
      <c r="A3034" s="3"/>
      <c r="B3034" s="4"/>
      <c r="C3034" s="4"/>
      <c r="D3034" s="4"/>
      <c r="E3034" s="4"/>
      <c r="F3034" s="4"/>
      <c r="G3034" s="5"/>
      <c r="H3034" s="6"/>
      <c r="I3034" s="7"/>
      <c r="J3034" s="6"/>
      <c r="K3034" s="6"/>
      <c r="L3034" s="3"/>
      <c r="M3034" s="3" t="str">
        <f>IFERROR(__xludf.DUMMYFUNCTION("""COMPUTED_VALUE"""),"")</f>
        <v/>
      </c>
    </row>
    <row r="3035" ht="48.0" customHeight="1">
      <c r="A3035" s="3"/>
      <c r="B3035" s="4"/>
      <c r="C3035" s="4"/>
      <c r="D3035" s="4"/>
      <c r="E3035" s="4"/>
      <c r="F3035" s="4"/>
      <c r="G3035" s="5"/>
      <c r="H3035" s="6"/>
      <c r="I3035" s="7"/>
      <c r="J3035" s="6"/>
      <c r="K3035" s="6"/>
      <c r="L3035" s="3"/>
      <c r="M3035" s="3" t="str">
        <f>IFERROR(__xludf.DUMMYFUNCTION("""COMPUTED_VALUE"""),"")</f>
        <v/>
      </c>
    </row>
    <row r="3036" ht="48.0" customHeight="1">
      <c r="A3036" s="3"/>
      <c r="B3036" s="4"/>
      <c r="C3036" s="4"/>
      <c r="D3036" s="4"/>
      <c r="E3036" s="4"/>
      <c r="F3036" s="4"/>
      <c r="G3036" s="5"/>
      <c r="H3036" s="6"/>
      <c r="I3036" s="7"/>
      <c r="J3036" s="6"/>
      <c r="K3036" s="6"/>
      <c r="L3036" s="3"/>
      <c r="M3036" s="3" t="str">
        <f>IFERROR(__xludf.DUMMYFUNCTION("""COMPUTED_VALUE"""),"")</f>
        <v/>
      </c>
    </row>
    <row r="3037" ht="48.0" customHeight="1">
      <c r="A3037" s="3"/>
      <c r="B3037" s="4"/>
      <c r="C3037" s="4"/>
      <c r="D3037" s="4"/>
      <c r="E3037" s="4"/>
      <c r="F3037" s="4"/>
      <c r="G3037" s="5"/>
      <c r="H3037" s="6"/>
      <c r="I3037" s="7"/>
      <c r="J3037" s="6"/>
      <c r="K3037" s="6"/>
      <c r="L3037" s="3"/>
      <c r="M3037" s="3" t="str">
        <f>IFERROR(__xludf.DUMMYFUNCTION("""COMPUTED_VALUE"""),"")</f>
        <v/>
      </c>
    </row>
    <row r="3038" ht="48.0" customHeight="1">
      <c r="A3038" s="3"/>
      <c r="B3038" s="4"/>
      <c r="C3038" s="4"/>
      <c r="D3038" s="4"/>
      <c r="E3038" s="4"/>
      <c r="F3038" s="4"/>
      <c r="G3038" s="5"/>
      <c r="H3038" s="6"/>
      <c r="I3038" s="7"/>
      <c r="J3038" s="6"/>
      <c r="K3038" s="6"/>
      <c r="L3038" s="3"/>
      <c r="M3038" s="3" t="str">
        <f>IFERROR(__xludf.DUMMYFUNCTION("""COMPUTED_VALUE"""),"")</f>
        <v/>
      </c>
    </row>
    <row r="3039" ht="48.0" customHeight="1">
      <c r="A3039" s="3"/>
      <c r="B3039" s="4"/>
      <c r="C3039" s="4"/>
      <c r="D3039" s="4"/>
      <c r="E3039" s="4"/>
      <c r="F3039" s="4"/>
      <c r="G3039" s="5"/>
      <c r="H3039" s="6"/>
      <c r="I3039" s="7"/>
      <c r="J3039" s="6"/>
      <c r="K3039" s="6"/>
      <c r="L3039" s="3"/>
      <c r="M3039" s="3" t="str">
        <f>IFERROR(__xludf.DUMMYFUNCTION("""COMPUTED_VALUE"""),"")</f>
        <v/>
      </c>
    </row>
    <row r="3040" ht="48.0" customHeight="1">
      <c r="A3040" s="3"/>
      <c r="B3040" s="4"/>
      <c r="C3040" s="4"/>
      <c r="D3040" s="4"/>
      <c r="E3040" s="4"/>
      <c r="F3040" s="4"/>
      <c r="G3040" s="5"/>
      <c r="H3040" s="6"/>
      <c r="I3040" s="7"/>
      <c r="J3040" s="6"/>
      <c r="K3040" s="6"/>
      <c r="L3040" s="3"/>
      <c r="M3040" s="3" t="str">
        <f>IFERROR(__xludf.DUMMYFUNCTION("""COMPUTED_VALUE"""),"")</f>
        <v/>
      </c>
    </row>
    <row r="3041" ht="48.0" customHeight="1">
      <c r="A3041" s="3"/>
      <c r="B3041" s="4"/>
      <c r="C3041" s="4"/>
      <c r="D3041" s="4"/>
      <c r="E3041" s="4"/>
      <c r="F3041" s="4"/>
      <c r="G3041" s="5"/>
      <c r="H3041" s="6"/>
      <c r="I3041" s="7"/>
      <c r="J3041" s="6"/>
      <c r="K3041" s="6"/>
      <c r="L3041" s="3"/>
      <c r="M3041" s="3" t="str">
        <f>IFERROR(__xludf.DUMMYFUNCTION("""COMPUTED_VALUE"""),"")</f>
        <v/>
      </c>
    </row>
    <row r="3042" ht="48.0" customHeight="1">
      <c r="A3042" s="3"/>
      <c r="B3042" s="4"/>
      <c r="C3042" s="4"/>
      <c r="D3042" s="4"/>
      <c r="E3042" s="4"/>
      <c r="F3042" s="4"/>
      <c r="G3042" s="5"/>
      <c r="H3042" s="6"/>
      <c r="I3042" s="7"/>
      <c r="J3042" s="6"/>
      <c r="K3042" s="6"/>
      <c r="L3042" s="3"/>
      <c r="M3042" s="3" t="str">
        <f>IFERROR(__xludf.DUMMYFUNCTION("""COMPUTED_VALUE"""),"")</f>
        <v/>
      </c>
    </row>
    <row r="3043" ht="48.0" customHeight="1">
      <c r="A3043" s="3"/>
      <c r="B3043" s="4"/>
      <c r="C3043" s="4"/>
      <c r="D3043" s="4"/>
      <c r="E3043" s="4"/>
      <c r="F3043" s="4"/>
      <c r="G3043" s="5"/>
      <c r="H3043" s="6"/>
      <c r="I3043" s="7"/>
      <c r="J3043" s="6"/>
      <c r="K3043" s="6"/>
      <c r="L3043" s="3"/>
      <c r="M3043" s="3" t="str">
        <f>IFERROR(__xludf.DUMMYFUNCTION("""COMPUTED_VALUE"""),"")</f>
        <v/>
      </c>
    </row>
    <row r="3044" ht="48.0" customHeight="1">
      <c r="A3044" s="3"/>
      <c r="B3044" s="4"/>
      <c r="C3044" s="4"/>
      <c r="D3044" s="4"/>
      <c r="E3044" s="4"/>
      <c r="F3044" s="4"/>
      <c r="G3044" s="5"/>
      <c r="H3044" s="6"/>
      <c r="I3044" s="7"/>
      <c r="J3044" s="6"/>
      <c r="K3044" s="6"/>
      <c r="L3044" s="3"/>
      <c r="M3044" s="3" t="str">
        <f>IFERROR(__xludf.DUMMYFUNCTION("""COMPUTED_VALUE"""),"")</f>
        <v/>
      </c>
    </row>
    <row r="3045" ht="48.0" customHeight="1">
      <c r="A3045" s="3"/>
      <c r="B3045" s="4"/>
      <c r="C3045" s="4"/>
      <c r="D3045" s="4"/>
      <c r="E3045" s="4"/>
      <c r="F3045" s="4"/>
      <c r="G3045" s="5"/>
      <c r="H3045" s="6"/>
      <c r="I3045" s="7"/>
      <c r="J3045" s="6"/>
      <c r="K3045" s="6"/>
      <c r="L3045" s="3"/>
      <c r="M3045" s="3" t="str">
        <f>IFERROR(__xludf.DUMMYFUNCTION("""COMPUTED_VALUE"""),"")</f>
        <v/>
      </c>
    </row>
    <row r="3046" ht="48.0" customHeight="1">
      <c r="A3046" s="3"/>
      <c r="B3046" s="4"/>
      <c r="C3046" s="4"/>
      <c r="D3046" s="4"/>
      <c r="E3046" s="4"/>
      <c r="F3046" s="4"/>
      <c r="G3046" s="5"/>
      <c r="H3046" s="6"/>
      <c r="I3046" s="7"/>
      <c r="J3046" s="6"/>
      <c r="K3046" s="6"/>
      <c r="L3046" s="3"/>
      <c r="M3046" s="3" t="str">
        <f>IFERROR(__xludf.DUMMYFUNCTION("""COMPUTED_VALUE"""),"")</f>
        <v/>
      </c>
    </row>
    <row r="3047" ht="48.0" customHeight="1">
      <c r="A3047" s="3"/>
      <c r="B3047" s="4"/>
      <c r="C3047" s="4"/>
      <c r="D3047" s="4"/>
      <c r="E3047" s="4"/>
      <c r="F3047" s="4"/>
      <c r="G3047" s="5"/>
      <c r="H3047" s="6"/>
      <c r="I3047" s="7"/>
      <c r="J3047" s="6"/>
      <c r="K3047" s="6"/>
      <c r="L3047" s="3"/>
      <c r="M3047" s="3" t="str">
        <f>IFERROR(__xludf.DUMMYFUNCTION("""COMPUTED_VALUE"""),"")</f>
        <v/>
      </c>
    </row>
    <row r="3048" ht="48.0" customHeight="1">
      <c r="A3048" s="3"/>
      <c r="B3048" s="4"/>
      <c r="C3048" s="4"/>
      <c r="D3048" s="4"/>
      <c r="E3048" s="4"/>
      <c r="F3048" s="4"/>
      <c r="G3048" s="5"/>
      <c r="H3048" s="6"/>
      <c r="I3048" s="7"/>
      <c r="J3048" s="6"/>
      <c r="K3048" s="6"/>
      <c r="L3048" s="3"/>
      <c r="M3048" s="3" t="str">
        <f>IFERROR(__xludf.DUMMYFUNCTION("""COMPUTED_VALUE"""),"")</f>
        <v/>
      </c>
    </row>
    <row r="3049" ht="48.0" customHeight="1">
      <c r="A3049" s="3"/>
      <c r="B3049" s="4"/>
      <c r="C3049" s="4"/>
      <c r="D3049" s="4"/>
      <c r="E3049" s="4"/>
      <c r="F3049" s="4"/>
      <c r="G3049" s="5"/>
      <c r="H3049" s="6"/>
      <c r="I3049" s="7"/>
      <c r="J3049" s="6"/>
      <c r="K3049" s="6"/>
      <c r="L3049" s="3"/>
      <c r="M3049" s="3" t="str">
        <f>IFERROR(__xludf.DUMMYFUNCTION("""COMPUTED_VALUE"""),"")</f>
        <v/>
      </c>
    </row>
    <row r="3050" ht="48.0" customHeight="1">
      <c r="A3050" s="3"/>
      <c r="B3050" s="4"/>
      <c r="C3050" s="4"/>
      <c r="D3050" s="4"/>
      <c r="E3050" s="4"/>
      <c r="F3050" s="4"/>
      <c r="G3050" s="5"/>
      <c r="H3050" s="6"/>
      <c r="I3050" s="7"/>
      <c r="J3050" s="6"/>
      <c r="K3050" s="6"/>
      <c r="L3050" s="3"/>
      <c r="M3050" s="3" t="str">
        <f>IFERROR(__xludf.DUMMYFUNCTION("""COMPUTED_VALUE"""),"")</f>
        <v/>
      </c>
    </row>
    <row r="3051" ht="48.0" customHeight="1">
      <c r="A3051" s="3"/>
      <c r="B3051" s="4"/>
      <c r="C3051" s="4"/>
      <c r="D3051" s="4"/>
      <c r="E3051" s="4"/>
      <c r="F3051" s="4"/>
      <c r="G3051" s="5"/>
      <c r="H3051" s="6"/>
      <c r="I3051" s="7"/>
      <c r="J3051" s="6"/>
      <c r="K3051" s="6"/>
      <c r="L3051" s="3"/>
      <c r="M3051" s="3" t="str">
        <f>IFERROR(__xludf.DUMMYFUNCTION("""COMPUTED_VALUE"""),"")</f>
        <v/>
      </c>
    </row>
    <row r="3052" ht="48.0" customHeight="1">
      <c r="A3052" s="3"/>
      <c r="B3052" s="4"/>
      <c r="C3052" s="4"/>
      <c r="D3052" s="4"/>
      <c r="E3052" s="4"/>
      <c r="F3052" s="4"/>
      <c r="G3052" s="5"/>
      <c r="H3052" s="6"/>
      <c r="I3052" s="7"/>
      <c r="J3052" s="6"/>
      <c r="K3052" s="6"/>
      <c r="L3052" s="3"/>
      <c r="M3052" s="3" t="str">
        <f>IFERROR(__xludf.DUMMYFUNCTION("""COMPUTED_VALUE"""),"")</f>
        <v/>
      </c>
    </row>
    <row r="3053" ht="48.0" customHeight="1">
      <c r="A3053" s="3"/>
      <c r="B3053" s="4"/>
      <c r="C3053" s="4"/>
      <c r="D3053" s="4"/>
      <c r="E3053" s="4"/>
      <c r="F3053" s="4"/>
      <c r="G3053" s="5"/>
      <c r="H3053" s="6"/>
      <c r="I3053" s="7"/>
      <c r="J3053" s="6"/>
      <c r="K3053" s="6"/>
      <c r="L3053" s="3"/>
      <c r="M3053" s="3" t="str">
        <f>IFERROR(__xludf.DUMMYFUNCTION("""COMPUTED_VALUE"""),"")</f>
        <v/>
      </c>
    </row>
    <row r="3054" ht="48.0" customHeight="1">
      <c r="A3054" s="3"/>
      <c r="B3054" s="4"/>
      <c r="C3054" s="4"/>
      <c r="D3054" s="4"/>
      <c r="E3054" s="4"/>
      <c r="F3054" s="4"/>
      <c r="G3054" s="5"/>
      <c r="H3054" s="6"/>
      <c r="I3054" s="7"/>
      <c r="J3054" s="6"/>
      <c r="K3054" s="6"/>
      <c r="L3054" s="3"/>
      <c r="M3054" s="3" t="str">
        <f>IFERROR(__xludf.DUMMYFUNCTION("""COMPUTED_VALUE"""),"")</f>
        <v/>
      </c>
    </row>
    <row r="3055" ht="48.0" customHeight="1">
      <c r="A3055" s="3"/>
      <c r="B3055" s="4"/>
      <c r="C3055" s="4"/>
      <c r="D3055" s="4"/>
      <c r="E3055" s="4"/>
      <c r="F3055" s="4"/>
      <c r="G3055" s="5"/>
      <c r="H3055" s="6"/>
      <c r="I3055" s="7"/>
      <c r="J3055" s="6"/>
      <c r="K3055" s="6"/>
      <c r="L3055" s="3"/>
      <c r="M3055" s="3" t="str">
        <f>IFERROR(__xludf.DUMMYFUNCTION("""COMPUTED_VALUE"""),"")</f>
        <v/>
      </c>
    </row>
    <row r="3056" ht="48.0" customHeight="1">
      <c r="A3056" s="3"/>
      <c r="B3056" s="4"/>
      <c r="C3056" s="4"/>
      <c r="D3056" s="4"/>
      <c r="E3056" s="4"/>
      <c r="F3056" s="4"/>
      <c r="G3056" s="5"/>
      <c r="H3056" s="6"/>
      <c r="I3056" s="7"/>
      <c r="J3056" s="6"/>
      <c r="K3056" s="6"/>
      <c r="L3056" s="3"/>
      <c r="M3056" s="3" t="str">
        <f>IFERROR(__xludf.DUMMYFUNCTION("""COMPUTED_VALUE"""),"")</f>
        <v/>
      </c>
    </row>
    <row r="3057" ht="48.0" customHeight="1">
      <c r="A3057" s="3"/>
      <c r="B3057" s="4"/>
      <c r="C3057" s="4"/>
      <c r="D3057" s="4"/>
      <c r="E3057" s="4"/>
      <c r="F3057" s="4"/>
      <c r="G3057" s="5"/>
      <c r="H3057" s="6"/>
      <c r="I3057" s="7"/>
      <c r="J3057" s="6"/>
      <c r="K3057" s="6"/>
      <c r="L3057" s="3"/>
      <c r="M3057" s="3" t="str">
        <f>IFERROR(__xludf.DUMMYFUNCTION("""COMPUTED_VALUE"""),"")</f>
        <v/>
      </c>
    </row>
    <row r="3058" ht="48.0" customHeight="1">
      <c r="A3058" s="3"/>
      <c r="B3058" s="4"/>
      <c r="C3058" s="4"/>
      <c r="D3058" s="4"/>
      <c r="E3058" s="4"/>
      <c r="F3058" s="4"/>
      <c r="G3058" s="5"/>
      <c r="H3058" s="6"/>
      <c r="I3058" s="7"/>
      <c r="J3058" s="6"/>
      <c r="K3058" s="6"/>
      <c r="L3058" s="3"/>
      <c r="M3058" s="3" t="str">
        <f>IFERROR(__xludf.DUMMYFUNCTION("""COMPUTED_VALUE"""),"")</f>
        <v/>
      </c>
    </row>
    <row r="3059" ht="48.0" customHeight="1">
      <c r="A3059" s="3"/>
      <c r="B3059" s="4"/>
      <c r="C3059" s="4"/>
      <c r="D3059" s="4"/>
      <c r="E3059" s="4"/>
      <c r="F3059" s="4"/>
      <c r="G3059" s="5"/>
      <c r="H3059" s="6"/>
      <c r="I3059" s="7"/>
      <c r="J3059" s="6"/>
      <c r="K3059" s="6"/>
      <c r="L3059" s="3"/>
      <c r="M3059" s="3" t="str">
        <f>IFERROR(__xludf.DUMMYFUNCTION("""COMPUTED_VALUE"""),"")</f>
        <v/>
      </c>
    </row>
    <row r="3060" ht="48.0" customHeight="1">
      <c r="A3060" s="3"/>
      <c r="B3060" s="4"/>
      <c r="C3060" s="4"/>
      <c r="D3060" s="4"/>
      <c r="E3060" s="4"/>
      <c r="F3060" s="4"/>
      <c r="G3060" s="5"/>
      <c r="H3060" s="6"/>
      <c r="I3060" s="7"/>
      <c r="J3060" s="6"/>
      <c r="K3060" s="6"/>
      <c r="L3060" s="3"/>
      <c r="M3060" s="3" t="str">
        <f>IFERROR(__xludf.DUMMYFUNCTION("""COMPUTED_VALUE"""),"")</f>
        <v/>
      </c>
    </row>
    <row r="3061" ht="48.0" customHeight="1">
      <c r="A3061" s="3"/>
      <c r="B3061" s="4"/>
      <c r="C3061" s="4"/>
      <c r="D3061" s="4"/>
      <c r="E3061" s="4"/>
      <c r="F3061" s="4"/>
      <c r="G3061" s="5"/>
      <c r="H3061" s="6"/>
      <c r="I3061" s="7"/>
      <c r="J3061" s="6"/>
      <c r="K3061" s="6"/>
      <c r="L3061" s="3"/>
      <c r="M3061" s="3" t="str">
        <f>IFERROR(__xludf.DUMMYFUNCTION("""COMPUTED_VALUE"""),"")</f>
        <v/>
      </c>
    </row>
    <row r="3062" ht="48.0" customHeight="1">
      <c r="A3062" s="3"/>
      <c r="B3062" s="4"/>
      <c r="C3062" s="4"/>
      <c r="D3062" s="4"/>
      <c r="E3062" s="4"/>
      <c r="F3062" s="4"/>
      <c r="G3062" s="5"/>
      <c r="H3062" s="6"/>
      <c r="I3062" s="7"/>
      <c r="J3062" s="6"/>
      <c r="K3062" s="6"/>
      <c r="L3062" s="3"/>
      <c r="M3062" s="3" t="str">
        <f>IFERROR(__xludf.DUMMYFUNCTION("""COMPUTED_VALUE"""),"")</f>
        <v/>
      </c>
    </row>
    <row r="3063" ht="48.0" customHeight="1">
      <c r="A3063" s="3"/>
      <c r="B3063" s="4"/>
      <c r="C3063" s="4"/>
      <c r="D3063" s="4"/>
      <c r="E3063" s="4"/>
      <c r="F3063" s="4"/>
      <c r="G3063" s="5"/>
      <c r="H3063" s="6"/>
      <c r="I3063" s="7"/>
      <c r="J3063" s="6"/>
      <c r="K3063" s="6"/>
      <c r="L3063" s="3"/>
      <c r="M3063" s="3" t="str">
        <f>IFERROR(__xludf.DUMMYFUNCTION("""COMPUTED_VALUE"""),"")</f>
        <v/>
      </c>
    </row>
    <row r="3064" ht="48.0" customHeight="1">
      <c r="A3064" s="3"/>
      <c r="B3064" s="4"/>
      <c r="C3064" s="4"/>
      <c r="D3064" s="4"/>
      <c r="E3064" s="4"/>
      <c r="F3064" s="4"/>
      <c r="G3064" s="5"/>
      <c r="H3064" s="6"/>
      <c r="I3064" s="7"/>
      <c r="J3064" s="6"/>
      <c r="K3064" s="6"/>
      <c r="L3064" s="3"/>
      <c r="M3064" s="3" t="str">
        <f>IFERROR(__xludf.DUMMYFUNCTION("""COMPUTED_VALUE"""),"")</f>
        <v/>
      </c>
    </row>
    <row r="3065" ht="48.0" customHeight="1">
      <c r="A3065" s="3"/>
      <c r="B3065" s="4"/>
      <c r="C3065" s="4"/>
      <c r="D3065" s="4"/>
      <c r="E3065" s="4"/>
      <c r="F3065" s="4"/>
      <c r="G3065" s="5"/>
      <c r="H3065" s="6"/>
      <c r="I3065" s="7"/>
      <c r="J3065" s="6"/>
      <c r="K3065" s="6"/>
      <c r="L3065" s="3"/>
      <c r="M3065" s="3" t="str">
        <f>IFERROR(__xludf.DUMMYFUNCTION("""COMPUTED_VALUE"""),"")</f>
        <v/>
      </c>
    </row>
    <row r="3066" ht="48.0" customHeight="1">
      <c r="A3066" s="3"/>
      <c r="B3066" s="4"/>
      <c r="C3066" s="4"/>
      <c r="D3066" s="4"/>
      <c r="E3066" s="4"/>
      <c r="F3066" s="4"/>
      <c r="G3066" s="5"/>
      <c r="H3066" s="6"/>
      <c r="I3066" s="7"/>
      <c r="J3066" s="6"/>
      <c r="K3066" s="6"/>
      <c r="L3066" s="3"/>
      <c r="M3066" s="3" t="str">
        <f>IFERROR(__xludf.DUMMYFUNCTION("""COMPUTED_VALUE"""),"")</f>
        <v/>
      </c>
    </row>
    <row r="3067" ht="48.0" customHeight="1">
      <c r="A3067" s="3"/>
      <c r="B3067" s="4"/>
      <c r="C3067" s="4"/>
      <c r="D3067" s="4"/>
      <c r="E3067" s="4"/>
      <c r="F3067" s="4"/>
      <c r="G3067" s="5"/>
      <c r="H3067" s="6"/>
      <c r="I3067" s="7"/>
      <c r="J3067" s="6"/>
      <c r="K3067" s="6"/>
      <c r="L3067" s="3"/>
      <c r="M3067" s="3" t="str">
        <f>IFERROR(__xludf.DUMMYFUNCTION("""COMPUTED_VALUE"""),"")</f>
        <v/>
      </c>
    </row>
    <row r="3068" ht="48.0" customHeight="1">
      <c r="A3068" s="3"/>
      <c r="B3068" s="4"/>
      <c r="C3068" s="4"/>
      <c r="D3068" s="4"/>
      <c r="E3068" s="4"/>
      <c r="F3068" s="4"/>
      <c r="G3068" s="5"/>
      <c r="H3068" s="6"/>
      <c r="I3068" s="7"/>
      <c r="J3068" s="6"/>
      <c r="K3068" s="6"/>
      <c r="L3068" s="3"/>
      <c r="M3068" s="3" t="str">
        <f>IFERROR(__xludf.DUMMYFUNCTION("""COMPUTED_VALUE"""),"")</f>
        <v/>
      </c>
    </row>
    <row r="3069" ht="48.0" customHeight="1">
      <c r="A3069" s="3"/>
      <c r="B3069" s="4"/>
      <c r="C3069" s="4"/>
      <c r="D3069" s="4"/>
      <c r="E3069" s="4"/>
      <c r="F3069" s="4"/>
      <c r="G3069" s="5"/>
      <c r="H3069" s="6"/>
      <c r="I3069" s="7"/>
      <c r="J3069" s="6"/>
      <c r="K3069" s="6"/>
      <c r="L3069" s="3"/>
      <c r="M3069" s="3" t="str">
        <f>IFERROR(__xludf.DUMMYFUNCTION("""COMPUTED_VALUE"""),"")</f>
        <v/>
      </c>
    </row>
    <row r="3070" ht="48.0" customHeight="1">
      <c r="A3070" s="3"/>
      <c r="B3070" s="4"/>
      <c r="C3070" s="4"/>
      <c r="D3070" s="4"/>
      <c r="E3070" s="4"/>
      <c r="F3070" s="4"/>
      <c r="G3070" s="5"/>
      <c r="H3070" s="6"/>
      <c r="I3070" s="7"/>
      <c r="J3070" s="6"/>
      <c r="K3070" s="6"/>
      <c r="L3070" s="3"/>
      <c r="M3070" s="3" t="str">
        <f>IFERROR(__xludf.DUMMYFUNCTION("""COMPUTED_VALUE"""),"")</f>
        <v/>
      </c>
    </row>
    <row r="3071" ht="48.0" customHeight="1">
      <c r="A3071" s="3"/>
      <c r="B3071" s="4"/>
      <c r="C3071" s="4"/>
      <c r="D3071" s="4"/>
      <c r="E3071" s="4"/>
      <c r="F3071" s="4"/>
      <c r="G3071" s="5"/>
      <c r="H3071" s="6"/>
      <c r="I3071" s="7"/>
      <c r="J3071" s="6"/>
      <c r="K3071" s="6"/>
      <c r="L3071" s="3"/>
      <c r="M3071" s="3" t="str">
        <f>IFERROR(__xludf.DUMMYFUNCTION("""COMPUTED_VALUE"""),"")</f>
        <v/>
      </c>
    </row>
    <row r="3072" ht="48.0" customHeight="1">
      <c r="A3072" s="3"/>
      <c r="B3072" s="4"/>
      <c r="C3072" s="4"/>
      <c r="D3072" s="4"/>
      <c r="E3072" s="4"/>
      <c r="F3072" s="4"/>
      <c r="G3072" s="5"/>
      <c r="H3072" s="6"/>
      <c r="I3072" s="7"/>
      <c r="J3072" s="6"/>
      <c r="K3072" s="6"/>
      <c r="L3072" s="3"/>
      <c r="M3072" s="3" t="str">
        <f>IFERROR(__xludf.DUMMYFUNCTION("""COMPUTED_VALUE"""),"")</f>
        <v/>
      </c>
    </row>
    <row r="3073" ht="48.0" customHeight="1">
      <c r="A3073" s="3"/>
      <c r="B3073" s="4"/>
      <c r="C3073" s="4"/>
      <c r="D3073" s="4"/>
      <c r="E3073" s="4"/>
      <c r="F3073" s="4"/>
      <c r="G3073" s="5"/>
      <c r="H3073" s="6"/>
      <c r="I3073" s="7"/>
      <c r="J3073" s="6"/>
      <c r="K3073" s="6"/>
      <c r="L3073" s="3"/>
      <c r="M3073" s="3" t="str">
        <f>IFERROR(__xludf.DUMMYFUNCTION("""COMPUTED_VALUE"""),"")</f>
        <v/>
      </c>
    </row>
    <row r="3074" ht="48.0" customHeight="1">
      <c r="A3074" s="3"/>
      <c r="B3074" s="4"/>
      <c r="C3074" s="4"/>
      <c r="D3074" s="4"/>
      <c r="E3074" s="4"/>
      <c r="F3074" s="4"/>
      <c r="G3074" s="5"/>
      <c r="H3074" s="6"/>
      <c r="I3074" s="7"/>
      <c r="J3074" s="6"/>
      <c r="K3074" s="6"/>
      <c r="L3074" s="3"/>
      <c r="M3074" s="3" t="str">
        <f>IFERROR(__xludf.DUMMYFUNCTION("""COMPUTED_VALUE"""),"")</f>
        <v/>
      </c>
    </row>
    <row r="3075" ht="48.0" customHeight="1">
      <c r="A3075" s="3"/>
      <c r="B3075" s="4"/>
      <c r="C3075" s="4"/>
      <c r="D3075" s="4"/>
      <c r="E3075" s="4"/>
      <c r="F3075" s="4"/>
      <c r="G3075" s="5"/>
      <c r="H3075" s="6"/>
      <c r="I3075" s="7"/>
      <c r="J3075" s="6"/>
      <c r="K3075" s="6"/>
      <c r="L3075" s="3"/>
      <c r="M3075" s="3" t="str">
        <f>IFERROR(__xludf.DUMMYFUNCTION("""COMPUTED_VALUE"""),"")</f>
        <v/>
      </c>
    </row>
    <row r="3076" ht="48.0" customHeight="1">
      <c r="A3076" s="3"/>
      <c r="B3076" s="4"/>
      <c r="C3076" s="4"/>
      <c r="D3076" s="4"/>
      <c r="E3076" s="4"/>
      <c r="F3076" s="4"/>
      <c r="G3076" s="5"/>
      <c r="H3076" s="6"/>
      <c r="I3076" s="7"/>
      <c r="J3076" s="6"/>
      <c r="K3076" s="6"/>
      <c r="L3076" s="3"/>
      <c r="M3076" s="3" t="str">
        <f>IFERROR(__xludf.DUMMYFUNCTION("""COMPUTED_VALUE"""),"")</f>
        <v/>
      </c>
    </row>
    <row r="3077" ht="48.0" customHeight="1">
      <c r="A3077" s="3"/>
      <c r="B3077" s="4"/>
      <c r="C3077" s="4"/>
      <c r="D3077" s="4"/>
      <c r="E3077" s="4"/>
      <c r="F3077" s="4"/>
      <c r="G3077" s="5"/>
      <c r="H3077" s="6"/>
      <c r="I3077" s="7"/>
      <c r="J3077" s="6"/>
      <c r="K3077" s="6"/>
      <c r="L3077" s="3"/>
      <c r="M3077" s="3" t="str">
        <f>IFERROR(__xludf.DUMMYFUNCTION("""COMPUTED_VALUE"""),"")</f>
        <v/>
      </c>
    </row>
    <row r="3078" ht="48.0" customHeight="1">
      <c r="A3078" s="3"/>
      <c r="B3078" s="4"/>
      <c r="C3078" s="4"/>
      <c r="D3078" s="4"/>
      <c r="E3078" s="4"/>
      <c r="F3078" s="4"/>
      <c r="G3078" s="5"/>
      <c r="H3078" s="6"/>
      <c r="I3078" s="7"/>
      <c r="J3078" s="6"/>
      <c r="K3078" s="6"/>
      <c r="L3078" s="3"/>
      <c r="M3078" s="3" t="str">
        <f>IFERROR(__xludf.DUMMYFUNCTION("""COMPUTED_VALUE"""),"")</f>
        <v/>
      </c>
    </row>
    <row r="3079" ht="48.0" customHeight="1">
      <c r="A3079" s="3"/>
      <c r="B3079" s="4"/>
      <c r="C3079" s="4"/>
      <c r="D3079" s="4"/>
      <c r="E3079" s="4"/>
      <c r="F3079" s="4"/>
      <c r="G3079" s="5"/>
      <c r="H3079" s="6"/>
      <c r="I3079" s="7"/>
      <c r="J3079" s="6"/>
      <c r="K3079" s="6"/>
      <c r="L3079" s="3"/>
      <c r="M3079" s="3" t="str">
        <f>IFERROR(__xludf.DUMMYFUNCTION("""COMPUTED_VALUE"""),"")</f>
        <v/>
      </c>
    </row>
    <row r="3080" ht="48.0" customHeight="1">
      <c r="A3080" s="3"/>
      <c r="B3080" s="4"/>
      <c r="C3080" s="4"/>
      <c r="D3080" s="4"/>
      <c r="E3080" s="4"/>
      <c r="F3080" s="4"/>
      <c r="G3080" s="5"/>
      <c r="H3080" s="6"/>
      <c r="I3080" s="7"/>
      <c r="J3080" s="6"/>
      <c r="K3080" s="6"/>
      <c r="L3080" s="3"/>
      <c r="M3080" s="3" t="str">
        <f>IFERROR(__xludf.DUMMYFUNCTION("""COMPUTED_VALUE"""),"")</f>
        <v/>
      </c>
    </row>
    <row r="3081" ht="48.0" customHeight="1">
      <c r="A3081" s="3"/>
      <c r="B3081" s="4"/>
      <c r="C3081" s="4"/>
      <c r="D3081" s="4"/>
      <c r="E3081" s="4"/>
      <c r="F3081" s="4"/>
      <c r="G3081" s="5"/>
      <c r="H3081" s="6"/>
      <c r="I3081" s="7"/>
      <c r="J3081" s="6"/>
      <c r="K3081" s="6"/>
      <c r="L3081" s="3"/>
      <c r="M3081" s="3" t="str">
        <f>IFERROR(__xludf.DUMMYFUNCTION("""COMPUTED_VALUE"""),"")</f>
        <v/>
      </c>
    </row>
    <row r="3082" ht="48.0" customHeight="1">
      <c r="A3082" s="3"/>
      <c r="B3082" s="4"/>
      <c r="C3082" s="4"/>
      <c r="D3082" s="4"/>
      <c r="E3082" s="4"/>
      <c r="F3082" s="4"/>
      <c r="G3082" s="5"/>
      <c r="H3082" s="6"/>
      <c r="I3082" s="7"/>
      <c r="J3082" s="6"/>
      <c r="K3082" s="6"/>
      <c r="L3082" s="3"/>
      <c r="M3082" s="3" t="str">
        <f>IFERROR(__xludf.DUMMYFUNCTION("""COMPUTED_VALUE"""),"")</f>
        <v/>
      </c>
    </row>
    <row r="3083" ht="48.0" customHeight="1">
      <c r="A3083" s="3"/>
      <c r="B3083" s="4"/>
      <c r="C3083" s="4"/>
      <c r="D3083" s="4"/>
      <c r="E3083" s="4"/>
      <c r="F3083" s="4"/>
      <c r="G3083" s="5"/>
      <c r="H3083" s="6"/>
      <c r="I3083" s="7"/>
      <c r="J3083" s="6"/>
      <c r="K3083" s="6"/>
      <c r="L3083" s="3"/>
      <c r="M3083" s="3" t="str">
        <f>IFERROR(__xludf.DUMMYFUNCTION("""COMPUTED_VALUE"""),"")</f>
        <v/>
      </c>
    </row>
    <row r="3084" ht="48.0" customHeight="1">
      <c r="A3084" s="3"/>
      <c r="B3084" s="4"/>
      <c r="C3084" s="4"/>
      <c r="D3084" s="4"/>
      <c r="E3084" s="4"/>
      <c r="F3084" s="4"/>
      <c r="G3084" s="5"/>
      <c r="H3084" s="6"/>
      <c r="I3084" s="7"/>
      <c r="J3084" s="6"/>
      <c r="K3084" s="6"/>
      <c r="L3084" s="3"/>
      <c r="M3084" s="3" t="str">
        <f>IFERROR(__xludf.DUMMYFUNCTION("""COMPUTED_VALUE"""),"")</f>
        <v/>
      </c>
    </row>
    <row r="3085" ht="48.0" customHeight="1">
      <c r="A3085" s="3"/>
      <c r="B3085" s="4"/>
      <c r="C3085" s="4"/>
      <c r="D3085" s="4"/>
      <c r="E3085" s="4"/>
      <c r="F3085" s="4"/>
      <c r="G3085" s="5"/>
      <c r="H3085" s="6"/>
      <c r="I3085" s="7"/>
      <c r="J3085" s="6"/>
      <c r="K3085" s="6"/>
      <c r="L3085" s="3"/>
      <c r="M3085" s="3" t="str">
        <f>IFERROR(__xludf.DUMMYFUNCTION("""COMPUTED_VALUE"""),"")</f>
        <v/>
      </c>
    </row>
    <row r="3086" ht="48.0" customHeight="1">
      <c r="A3086" s="3"/>
      <c r="B3086" s="4"/>
      <c r="C3086" s="4"/>
      <c r="D3086" s="4"/>
      <c r="E3086" s="4"/>
      <c r="F3086" s="4"/>
      <c r="G3086" s="5"/>
      <c r="H3086" s="6"/>
      <c r="I3086" s="7"/>
      <c r="J3086" s="6"/>
      <c r="K3086" s="6"/>
      <c r="L3086" s="3"/>
      <c r="M3086" s="3" t="str">
        <f>IFERROR(__xludf.DUMMYFUNCTION("""COMPUTED_VALUE"""),"")</f>
        <v/>
      </c>
    </row>
    <row r="3087" ht="48.0" customHeight="1">
      <c r="A3087" s="3"/>
      <c r="B3087" s="4"/>
      <c r="C3087" s="4"/>
      <c r="D3087" s="4"/>
      <c r="E3087" s="4"/>
      <c r="F3087" s="4"/>
      <c r="G3087" s="5"/>
      <c r="H3087" s="6"/>
      <c r="I3087" s="7"/>
      <c r="J3087" s="6"/>
      <c r="K3087" s="6"/>
      <c r="L3087" s="3"/>
      <c r="M3087" s="3" t="str">
        <f>IFERROR(__xludf.DUMMYFUNCTION("""COMPUTED_VALUE"""),"")</f>
        <v/>
      </c>
    </row>
    <row r="3088" ht="48.0" customHeight="1">
      <c r="A3088" s="3"/>
      <c r="B3088" s="4"/>
      <c r="C3088" s="4"/>
      <c r="D3088" s="4"/>
      <c r="E3088" s="4"/>
      <c r="F3088" s="4"/>
      <c r="G3088" s="5"/>
      <c r="H3088" s="6"/>
      <c r="I3088" s="7"/>
      <c r="J3088" s="6"/>
      <c r="K3088" s="6"/>
      <c r="L3088" s="3"/>
      <c r="M3088" s="3" t="str">
        <f>IFERROR(__xludf.DUMMYFUNCTION("""COMPUTED_VALUE"""),"")</f>
        <v/>
      </c>
    </row>
    <row r="3089" ht="48.0" customHeight="1">
      <c r="A3089" s="3"/>
      <c r="B3089" s="4"/>
      <c r="C3089" s="4"/>
      <c r="D3089" s="4"/>
      <c r="E3089" s="4"/>
      <c r="F3089" s="4"/>
      <c r="G3089" s="5"/>
      <c r="H3089" s="6"/>
      <c r="I3089" s="7"/>
      <c r="J3089" s="6"/>
      <c r="K3089" s="6"/>
      <c r="L3089" s="3"/>
      <c r="M3089" s="3" t="str">
        <f>IFERROR(__xludf.DUMMYFUNCTION("""COMPUTED_VALUE"""),"")</f>
        <v/>
      </c>
    </row>
    <row r="3090" ht="48.0" customHeight="1">
      <c r="A3090" s="3"/>
      <c r="B3090" s="4"/>
      <c r="C3090" s="4"/>
      <c r="D3090" s="4"/>
      <c r="E3090" s="4"/>
      <c r="F3090" s="4"/>
      <c r="G3090" s="5"/>
      <c r="H3090" s="6"/>
      <c r="I3090" s="7"/>
      <c r="J3090" s="6"/>
      <c r="K3090" s="6"/>
      <c r="L3090" s="3"/>
      <c r="M3090" s="3" t="str">
        <f>IFERROR(__xludf.DUMMYFUNCTION("""COMPUTED_VALUE"""),"")</f>
        <v/>
      </c>
    </row>
    <row r="3091" ht="48.0" customHeight="1">
      <c r="A3091" s="3"/>
      <c r="B3091" s="4"/>
      <c r="C3091" s="4"/>
      <c r="D3091" s="4"/>
      <c r="E3091" s="4"/>
      <c r="F3091" s="4"/>
      <c r="G3091" s="5"/>
      <c r="H3091" s="6"/>
      <c r="I3091" s="7"/>
      <c r="J3091" s="6"/>
      <c r="K3091" s="6"/>
      <c r="L3091" s="3"/>
      <c r="M3091" s="3" t="str">
        <f>IFERROR(__xludf.DUMMYFUNCTION("""COMPUTED_VALUE"""),"")</f>
        <v/>
      </c>
    </row>
    <row r="3092" ht="48.0" customHeight="1">
      <c r="A3092" s="3"/>
      <c r="B3092" s="4"/>
      <c r="C3092" s="4"/>
      <c r="D3092" s="4"/>
      <c r="E3092" s="4"/>
      <c r="F3092" s="4"/>
      <c r="G3092" s="5"/>
      <c r="H3092" s="6"/>
      <c r="I3092" s="7"/>
      <c r="J3092" s="6"/>
      <c r="K3092" s="6"/>
      <c r="L3092" s="3"/>
      <c r="M3092" s="3" t="str">
        <f>IFERROR(__xludf.DUMMYFUNCTION("""COMPUTED_VALUE"""),"")</f>
        <v/>
      </c>
    </row>
    <row r="3093" ht="48.0" customHeight="1">
      <c r="A3093" s="3"/>
      <c r="B3093" s="4"/>
      <c r="C3093" s="4"/>
      <c r="D3093" s="4"/>
      <c r="E3093" s="4"/>
      <c r="F3093" s="4"/>
      <c r="G3093" s="5"/>
      <c r="H3093" s="6"/>
      <c r="I3093" s="7"/>
      <c r="J3093" s="6"/>
      <c r="K3093" s="6"/>
      <c r="L3093" s="3"/>
      <c r="M3093" s="3" t="str">
        <f>IFERROR(__xludf.DUMMYFUNCTION("""COMPUTED_VALUE"""),"")</f>
        <v/>
      </c>
    </row>
    <row r="3094" ht="48.0" customHeight="1">
      <c r="A3094" s="3"/>
      <c r="B3094" s="4"/>
      <c r="C3094" s="4"/>
      <c r="D3094" s="4"/>
      <c r="E3094" s="4"/>
      <c r="F3094" s="4"/>
      <c r="G3094" s="5"/>
      <c r="H3094" s="6"/>
      <c r="I3094" s="7"/>
      <c r="J3094" s="6"/>
      <c r="K3094" s="6"/>
      <c r="L3094" s="3"/>
      <c r="M3094" s="3" t="str">
        <f>IFERROR(__xludf.DUMMYFUNCTION("""COMPUTED_VALUE"""),"")</f>
        <v/>
      </c>
    </row>
    <row r="3095" ht="48.0" customHeight="1">
      <c r="A3095" s="3"/>
      <c r="B3095" s="4"/>
      <c r="C3095" s="4"/>
      <c r="D3095" s="4"/>
      <c r="E3095" s="4"/>
      <c r="F3095" s="4"/>
      <c r="G3095" s="5"/>
      <c r="H3095" s="6"/>
      <c r="I3095" s="7"/>
      <c r="J3095" s="6"/>
      <c r="K3095" s="6"/>
      <c r="L3095" s="3"/>
      <c r="M3095" s="3" t="str">
        <f>IFERROR(__xludf.DUMMYFUNCTION("""COMPUTED_VALUE"""),"")</f>
        <v/>
      </c>
    </row>
    <row r="3096" ht="48.0" customHeight="1">
      <c r="A3096" s="3"/>
      <c r="B3096" s="4"/>
      <c r="C3096" s="4"/>
      <c r="D3096" s="4"/>
      <c r="E3096" s="4"/>
      <c r="F3096" s="4"/>
      <c r="G3096" s="5"/>
      <c r="H3096" s="6"/>
      <c r="I3096" s="7"/>
      <c r="J3096" s="6"/>
      <c r="K3096" s="6"/>
      <c r="L3096" s="3"/>
      <c r="M3096" s="3" t="str">
        <f>IFERROR(__xludf.DUMMYFUNCTION("""COMPUTED_VALUE"""),"")</f>
        <v/>
      </c>
    </row>
    <row r="3097" ht="48.0" customHeight="1">
      <c r="A3097" s="3"/>
      <c r="B3097" s="4"/>
      <c r="C3097" s="4"/>
      <c r="D3097" s="4"/>
      <c r="E3097" s="4"/>
      <c r="F3097" s="4"/>
      <c r="G3097" s="5"/>
      <c r="H3097" s="6"/>
      <c r="I3097" s="7"/>
      <c r="J3097" s="6"/>
      <c r="K3097" s="6"/>
      <c r="L3097" s="3"/>
      <c r="M3097" s="3" t="str">
        <f>IFERROR(__xludf.DUMMYFUNCTION("""COMPUTED_VALUE"""),"")</f>
        <v/>
      </c>
    </row>
    <row r="3098" ht="48.0" customHeight="1">
      <c r="A3098" s="3"/>
      <c r="B3098" s="4"/>
      <c r="C3098" s="4"/>
      <c r="D3098" s="4"/>
      <c r="E3098" s="4"/>
      <c r="F3098" s="4"/>
      <c r="G3098" s="5"/>
      <c r="H3098" s="6"/>
      <c r="I3098" s="7"/>
      <c r="J3098" s="6"/>
      <c r="K3098" s="6"/>
      <c r="L3098" s="3"/>
      <c r="M3098" s="3" t="str">
        <f>IFERROR(__xludf.DUMMYFUNCTION("""COMPUTED_VALUE"""),"")</f>
        <v/>
      </c>
    </row>
    <row r="3099" ht="48.0" customHeight="1">
      <c r="A3099" s="3"/>
      <c r="B3099" s="4"/>
      <c r="C3099" s="4"/>
      <c r="D3099" s="4"/>
      <c r="E3099" s="4"/>
      <c r="F3099" s="4"/>
      <c r="G3099" s="5"/>
      <c r="H3099" s="6"/>
      <c r="I3099" s="7"/>
      <c r="J3099" s="6"/>
      <c r="K3099" s="6"/>
      <c r="L3099" s="3"/>
      <c r="M3099" s="3" t="str">
        <f>IFERROR(__xludf.DUMMYFUNCTION("""COMPUTED_VALUE"""),"")</f>
        <v/>
      </c>
    </row>
    <row r="3100" ht="48.0" customHeight="1">
      <c r="A3100" s="3"/>
      <c r="B3100" s="4"/>
      <c r="C3100" s="4"/>
      <c r="D3100" s="4"/>
      <c r="E3100" s="4"/>
      <c r="F3100" s="4"/>
      <c r="G3100" s="5"/>
      <c r="H3100" s="6"/>
      <c r="I3100" s="7"/>
      <c r="J3100" s="6"/>
      <c r="K3100" s="6"/>
      <c r="L3100" s="3"/>
      <c r="M3100" s="3" t="str">
        <f>IFERROR(__xludf.DUMMYFUNCTION("""COMPUTED_VALUE"""),"")</f>
        <v/>
      </c>
    </row>
    <row r="3101" ht="48.0" customHeight="1">
      <c r="A3101" s="3"/>
      <c r="B3101" s="4"/>
      <c r="C3101" s="4"/>
      <c r="D3101" s="4"/>
      <c r="E3101" s="4"/>
      <c r="F3101" s="4"/>
      <c r="G3101" s="5"/>
      <c r="H3101" s="6"/>
      <c r="I3101" s="7"/>
      <c r="J3101" s="6"/>
      <c r="K3101" s="6"/>
      <c r="L3101" s="3"/>
      <c r="M3101" s="3" t="str">
        <f>IFERROR(__xludf.DUMMYFUNCTION("""COMPUTED_VALUE"""),"")</f>
        <v/>
      </c>
    </row>
    <row r="3102" ht="48.0" customHeight="1">
      <c r="A3102" s="3"/>
      <c r="B3102" s="4"/>
      <c r="C3102" s="4"/>
      <c r="D3102" s="4"/>
      <c r="E3102" s="4"/>
      <c r="F3102" s="4"/>
      <c r="G3102" s="5"/>
      <c r="H3102" s="6"/>
      <c r="I3102" s="7"/>
      <c r="J3102" s="6"/>
      <c r="K3102" s="6"/>
      <c r="L3102" s="3"/>
      <c r="M3102" s="3" t="str">
        <f>IFERROR(__xludf.DUMMYFUNCTION("""COMPUTED_VALUE"""),"")</f>
        <v/>
      </c>
    </row>
    <row r="3103" ht="48.0" customHeight="1">
      <c r="A3103" s="3"/>
      <c r="B3103" s="4"/>
      <c r="C3103" s="4"/>
      <c r="D3103" s="4"/>
      <c r="E3103" s="4"/>
      <c r="F3103" s="4"/>
      <c r="G3103" s="5"/>
      <c r="H3103" s="6"/>
      <c r="I3103" s="7"/>
      <c r="J3103" s="6"/>
      <c r="K3103" s="6"/>
      <c r="L3103" s="3"/>
      <c r="M3103" s="3" t="str">
        <f>IFERROR(__xludf.DUMMYFUNCTION("""COMPUTED_VALUE"""),"")</f>
        <v/>
      </c>
    </row>
    <row r="3104" ht="48.0" customHeight="1">
      <c r="A3104" s="3"/>
      <c r="B3104" s="4"/>
      <c r="C3104" s="4"/>
      <c r="D3104" s="4"/>
      <c r="E3104" s="4"/>
      <c r="F3104" s="4"/>
      <c r="G3104" s="5"/>
      <c r="H3104" s="6"/>
      <c r="I3104" s="7"/>
      <c r="J3104" s="6"/>
      <c r="K3104" s="6"/>
      <c r="L3104" s="3"/>
      <c r="M3104" s="3" t="str">
        <f>IFERROR(__xludf.DUMMYFUNCTION("""COMPUTED_VALUE"""),"")</f>
        <v/>
      </c>
    </row>
    <row r="3105" ht="48.0" customHeight="1">
      <c r="A3105" s="3"/>
      <c r="B3105" s="4"/>
      <c r="C3105" s="4"/>
      <c r="D3105" s="4"/>
      <c r="E3105" s="4"/>
      <c r="F3105" s="4"/>
      <c r="G3105" s="5"/>
      <c r="H3105" s="6"/>
      <c r="I3105" s="7"/>
      <c r="J3105" s="6"/>
      <c r="K3105" s="6"/>
      <c r="L3105" s="3"/>
      <c r="M3105" s="3" t="str">
        <f>IFERROR(__xludf.DUMMYFUNCTION("""COMPUTED_VALUE"""),"")</f>
        <v/>
      </c>
    </row>
    <row r="3106" ht="48.0" customHeight="1">
      <c r="A3106" s="3"/>
      <c r="B3106" s="4"/>
      <c r="C3106" s="4"/>
      <c r="D3106" s="4"/>
      <c r="E3106" s="4"/>
      <c r="F3106" s="4"/>
      <c r="G3106" s="5"/>
      <c r="H3106" s="6"/>
      <c r="I3106" s="7"/>
      <c r="J3106" s="6"/>
      <c r="K3106" s="6"/>
      <c r="L3106" s="3"/>
      <c r="M3106" s="3" t="str">
        <f>IFERROR(__xludf.DUMMYFUNCTION("""COMPUTED_VALUE"""),"")</f>
        <v/>
      </c>
    </row>
    <row r="3107" ht="48.0" customHeight="1">
      <c r="A3107" s="3"/>
      <c r="B3107" s="4"/>
      <c r="C3107" s="4"/>
      <c r="D3107" s="4"/>
      <c r="E3107" s="4"/>
      <c r="F3107" s="4"/>
      <c r="G3107" s="5"/>
      <c r="H3107" s="6"/>
      <c r="I3107" s="7"/>
      <c r="J3107" s="6"/>
      <c r="K3107" s="6"/>
      <c r="L3107" s="3"/>
      <c r="M3107" s="3" t="str">
        <f>IFERROR(__xludf.DUMMYFUNCTION("""COMPUTED_VALUE"""),"")</f>
        <v/>
      </c>
    </row>
    <row r="3108" ht="48.0" customHeight="1">
      <c r="A3108" s="3"/>
      <c r="B3108" s="4"/>
      <c r="C3108" s="4"/>
      <c r="D3108" s="4"/>
      <c r="E3108" s="4"/>
      <c r="F3108" s="4"/>
      <c r="G3108" s="5"/>
      <c r="H3108" s="6"/>
      <c r="I3108" s="7"/>
      <c r="J3108" s="6"/>
      <c r="K3108" s="6"/>
      <c r="L3108" s="3"/>
      <c r="M3108" s="3" t="str">
        <f>IFERROR(__xludf.DUMMYFUNCTION("""COMPUTED_VALUE"""),"")</f>
        <v/>
      </c>
    </row>
    <row r="3109" ht="48.0" customHeight="1">
      <c r="A3109" s="3"/>
      <c r="B3109" s="4"/>
      <c r="C3109" s="4"/>
      <c r="D3109" s="4"/>
      <c r="E3109" s="4"/>
      <c r="F3109" s="4"/>
      <c r="G3109" s="5"/>
      <c r="H3109" s="6"/>
      <c r="I3109" s="7"/>
      <c r="J3109" s="6"/>
      <c r="K3109" s="6"/>
      <c r="L3109" s="3"/>
      <c r="M3109" s="3" t="str">
        <f>IFERROR(__xludf.DUMMYFUNCTION("""COMPUTED_VALUE"""),"")</f>
        <v/>
      </c>
    </row>
    <row r="3110" ht="48.0" customHeight="1">
      <c r="A3110" s="3"/>
      <c r="B3110" s="4"/>
      <c r="C3110" s="4"/>
      <c r="D3110" s="4"/>
      <c r="E3110" s="4"/>
      <c r="F3110" s="4"/>
      <c r="G3110" s="5"/>
      <c r="H3110" s="6"/>
      <c r="I3110" s="7"/>
      <c r="J3110" s="6"/>
      <c r="K3110" s="6"/>
      <c r="L3110" s="3"/>
      <c r="M3110" s="3" t="str">
        <f>IFERROR(__xludf.DUMMYFUNCTION("""COMPUTED_VALUE"""),"")</f>
        <v/>
      </c>
    </row>
    <row r="3111" ht="48.0" customHeight="1">
      <c r="A3111" s="3"/>
      <c r="B3111" s="4"/>
      <c r="C3111" s="4"/>
      <c r="D3111" s="4"/>
      <c r="E3111" s="4"/>
      <c r="F3111" s="4"/>
      <c r="G3111" s="5"/>
      <c r="H3111" s="6"/>
      <c r="I3111" s="7"/>
      <c r="J3111" s="6"/>
      <c r="K3111" s="6"/>
      <c r="L3111" s="3"/>
      <c r="M3111" s="3" t="str">
        <f>IFERROR(__xludf.DUMMYFUNCTION("""COMPUTED_VALUE"""),"")</f>
        <v/>
      </c>
    </row>
    <row r="3112" ht="48.0" customHeight="1">
      <c r="A3112" s="3"/>
      <c r="B3112" s="4"/>
      <c r="C3112" s="4"/>
      <c r="D3112" s="4"/>
      <c r="E3112" s="4"/>
      <c r="F3112" s="4"/>
      <c r="G3112" s="5"/>
      <c r="H3112" s="6"/>
      <c r="I3112" s="7"/>
      <c r="J3112" s="6"/>
      <c r="K3112" s="6"/>
      <c r="L3112" s="3"/>
      <c r="M3112" s="3" t="str">
        <f>IFERROR(__xludf.DUMMYFUNCTION("""COMPUTED_VALUE"""),"")</f>
        <v/>
      </c>
    </row>
    <row r="3113" ht="48.0" customHeight="1">
      <c r="A3113" s="3"/>
      <c r="B3113" s="4"/>
      <c r="C3113" s="4"/>
      <c r="D3113" s="4"/>
      <c r="E3113" s="4"/>
      <c r="F3113" s="4"/>
      <c r="G3113" s="5"/>
      <c r="H3113" s="6"/>
      <c r="I3113" s="7"/>
      <c r="J3113" s="6"/>
      <c r="K3113" s="6"/>
      <c r="L3113" s="3"/>
      <c r="M3113" s="3" t="str">
        <f>IFERROR(__xludf.DUMMYFUNCTION("""COMPUTED_VALUE"""),"")</f>
        <v/>
      </c>
    </row>
    <row r="3114" ht="48.0" customHeight="1">
      <c r="A3114" s="3"/>
      <c r="B3114" s="4"/>
      <c r="C3114" s="4"/>
      <c r="D3114" s="4"/>
      <c r="E3114" s="4"/>
      <c r="F3114" s="4"/>
      <c r="G3114" s="5"/>
      <c r="H3114" s="6"/>
      <c r="I3114" s="7"/>
      <c r="J3114" s="6"/>
      <c r="K3114" s="6"/>
      <c r="L3114" s="3"/>
      <c r="M3114" s="3" t="str">
        <f>IFERROR(__xludf.DUMMYFUNCTION("""COMPUTED_VALUE"""),"")</f>
        <v/>
      </c>
    </row>
    <row r="3115" ht="48.0" customHeight="1">
      <c r="A3115" s="3"/>
      <c r="B3115" s="4"/>
      <c r="C3115" s="4"/>
      <c r="D3115" s="4"/>
      <c r="E3115" s="4"/>
      <c r="F3115" s="4"/>
      <c r="G3115" s="5"/>
      <c r="H3115" s="6"/>
      <c r="I3115" s="7"/>
      <c r="J3115" s="6"/>
      <c r="K3115" s="6"/>
      <c r="L3115" s="3"/>
      <c r="M3115" s="3" t="str">
        <f>IFERROR(__xludf.DUMMYFUNCTION("""COMPUTED_VALUE"""),"")</f>
        <v/>
      </c>
    </row>
    <row r="3116" ht="48.0" customHeight="1">
      <c r="A3116" s="3"/>
      <c r="B3116" s="4"/>
      <c r="C3116" s="4"/>
      <c r="D3116" s="4"/>
      <c r="E3116" s="4"/>
      <c r="F3116" s="4"/>
      <c r="G3116" s="5"/>
      <c r="H3116" s="6"/>
      <c r="I3116" s="7"/>
      <c r="J3116" s="6"/>
      <c r="K3116" s="6"/>
      <c r="L3116" s="3"/>
      <c r="M3116" s="3" t="str">
        <f>IFERROR(__xludf.DUMMYFUNCTION("""COMPUTED_VALUE"""),"")</f>
        <v/>
      </c>
    </row>
    <row r="3117" ht="48.0" customHeight="1">
      <c r="A3117" s="3"/>
      <c r="B3117" s="4"/>
      <c r="C3117" s="4"/>
      <c r="D3117" s="4"/>
      <c r="E3117" s="4"/>
      <c r="F3117" s="4"/>
      <c r="G3117" s="5"/>
      <c r="H3117" s="6"/>
      <c r="I3117" s="7"/>
      <c r="J3117" s="6"/>
      <c r="K3117" s="6"/>
      <c r="L3117" s="3"/>
      <c r="M3117" s="3" t="str">
        <f>IFERROR(__xludf.DUMMYFUNCTION("""COMPUTED_VALUE"""),"")</f>
        <v/>
      </c>
    </row>
    <row r="3118" ht="48.0" customHeight="1">
      <c r="A3118" s="3"/>
      <c r="B3118" s="4"/>
      <c r="C3118" s="4"/>
      <c r="D3118" s="4"/>
      <c r="E3118" s="4"/>
      <c r="F3118" s="4"/>
      <c r="G3118" s="5"/>
      <c r="H3118" s="6"/>
      <c r="I3118" s="7"/>
      <c r="J3118" s="6"/>
      <c r="K3118" s="6"/>
      <c r="L3118" s="3"/>
      <c r="M3118" s="3" t="str">
        <f>IFERROR(__xludf.DUMMYFUNCTION("""COMPUTED_VALUE"""),"")</f>
        <v/>
      </c>
    </row>
    <row r="3119" ht="48.0" customHeight="1">
      <c r="A3119" s="3"/>
      <c r="B3119" s="4"/>
      <c r="C3119" s="4"/>
      <c r="D3119" s="4"/>
      <c r="E3119" s="4"/>
      <c r="F3119" s="4"/>
      <c r="G3119" s="5"/>
      <c r="H3119" s="6"/>
      <c r="I3119" s="7"/>
      <c r="J3119" s="6"/>
      <c r="K3119" s="6"/>
      <c r="L3119" s="3"/>
      <c r="M3119" s="3" t="str">
        <f>IFERROR(__xludf.DUMMYFUNCTION("""COMPUTED_VALUE"""),"")</f>
        <v/>
      </c>
    </row>
    <row r="3120" ht="48.0" customHeight="1">
      <c r="A3120" s="3"/>
      <c r="B3120" s="4"/>
      <c r="C3120" s="4"/>
      <c r="D3120" s="4"/>
      <c r="E3120" s="4"/>
      <c r="F3120" s="4"/>
      <c r="G3120" s="5"/>
      <c r="H3120" s="6"/>
      <c r="I3120" s="7"/>
      <c r="J3120" s="6"/>
      <c r="K3120" s="6"/>
      <c r="L3120" s="3"/>
      <c r="M3120" s="3" t="str">
        <f>IFERROR(__xludf.DUMMYFUNCTION("""COMPUTED_VALUE"""),"")</f>
        <v/>
      </c>
    </row>
    <row r="3121" ht="48.0" customHeight="1">
      <c r="A3121" s="3"/>
      <c r="B3121" s="4"/>
      <c r="C3121" s="4"/>
      <c r="D3121" s="4"/>
      <c r="E3121" s="4"/>
      <c r="F3121" s="4"/>
      <c r="G3121" s="5"/>
      <c r="H3121" s="6"/>
      <c r="I3121" s="7"/>
      <c r="J3121" s="6"/>
      <c r="K3121" s="6"/>
      <c r="L3121" s="3"/>
      <c r="M3121" s="3" t="str">
        <f>IFERROR(__xludf.DUMMYFUNCTION("""COMPUTED_VALUE"""),"")</f>
        <v/>
      </c>
    </row>
    <row r="3122" ht="48.0" customHeight="1">
      <c r="A3122" s="3"/>
      <c r="B3122" s="4"/>
      <c r="C3122" s="4"/>
      <c r="D3122" s="4"/>
      <c r="E3122" s="4"/>
      <c r="F3122" s="4"/>
      <c r="G3122" s="5"/>
      <c r="H3122" s="6"/>
      <c r="I3122" s="7"/>
      <c r="J3122" s="6"/>
      <c r="K3122" s="6"/>
      <c r="L3122" s="3"/>
      <c r="M3122" s="3" t="str">
        <f>IFERROR(__xludf.DUMMYFUNCTION("""COMPUTED_VALUE"""),"")</f>
        <v/>
      </c>
    </row>
    <row r="3123" ht="48.0" customHeight="1">
      <c r="A3123" s="3"/>
      <c r="B3123" s="4"/>
      <c r="C3123" s="4"/>
      <c r="D3123" s="4"/>
      <c r="E3123" s="4"/>
      <c r="F3123" s="4"/>
      <c r="G3123" s="5"/>
      <c r="H3123" s="6"/>
      <c r="I3123" s="7"/>
      <c r="J3123" s="6"/>
      <c r="K3123" s="6"/>
      <c r="L3123" s="3"/>
      <c r="M3123" s="3" t="str">
        <f>IFERROR(__xludf.DUMMYFUNCTION("""COMPUTED_VALUE"""),"")</f>
        <v/>
      </c>
    </row>
    <row r="3124" ht="48.0" customHeight="1">
      <c r="A3124" s="3"/>
      <c r="B3124" s="4"/>
      <c r="C3124" s="4"/>
      <c r="D3124" s="4"/>
      <c r="E3124" s="4"/>
      <c r="F3124" s="4"/>
      <c r="G3124" s="5"/>
      <c r="H3124" s="6"/>
      <c r="I3124" s="7"/>
      <c r="J3124" s="6"/>
      <c r="K3124" s="6"/>
      <c r="L3124" s="3"/>
      <c r="M3124" s="3" t="str">
        <f>IFERROR(__xludf.DUMMYFUNCTION("""COMPUTED_VALUE"""),"")</f>
        <v/>
      </c>
    </row>
    <row r="3125" ht="48.0" customHeight="1">
      <c r="A3125" s="3"/>
      <c r="B3125" s="4"/>
      <c r="C3125" s="4"/>
      <c r="D3125" s="4"/>
      <c r="E3125" s="4"/>
      <c r="F3125" s="4"/>
      <c r="G3125" s="5"/>
      <c r="H3125" s="6"/>
      <c r="I3125" s="7"/>
      <c r="J3125" s="6"/>
      <c r="K3125" s="6"/>
      <c r="L3125" s="3"/>
      <c r="M3125" s="3" t="str">
        <f>IFERROR(__xludf.DUMMYFUNCTION("""COMPUTED_VALUE"""),"")</f>
        <v/>
      </c>
    </row>
    <row r="3126" ht="48.0" customHeight="1">
      <c r="A3126" s="3"/>
      <c r="B3126" s="4"/>
      <c r="C3126" s="4"/>
      <c r="D3126" s="4"/>
      <c r="E3126" s="4"/>
      <c r="F3126" s="4"/>
      <c r="G3126" s="5"/>
      <c r="H3126" s="6"/>
      <c r="I3126" s="7"/>
      <c r="J3126" s="6"/>
      <c r="K3126" s="6"/>
      <c r="L3126" s="3"/>
      <c r="M3126" s="3" t="str">
        <f>IFERROR(__xludf.DUMMYFUNCTION("""COMPUTED_VALUE"""),"")</f>
        <v/>
      </c>
    </row>
    <row r="3127" ht="48.0" customHeight="1">
      <c r="A3127" s="3"/>
      <c r="B3127" s="4"/>
      <c r="C3127" s="4"/>
      <c r="D3127" s="4"/>
      <c r="E3127" s="4"/>
      <c r="F3127" s="4"/>
      <c r="G3127" s="5"/>
      <c r="H3127" s="6"/>
      <c r="I3127" s="7"/>
      <c r="J3127" s="6"/>
      <c r="K3127" s="6"/>
      <c r="L3127" s="3"/>
      <c r="M3127" s="3" t="str">
        <f>IFERROR(__xludf.DUMMYFUNCTION("""COMPUTED_VALUE"""),"")</f>
        <v/>
      </c>
    </row>
    <row r="3128" ht="48.0" customHeight="1">
      <c r="A3128" s="3"/>
      <c r="B3128" s="4"/>
      <c r="C3128" s="4"/>
      <c r="D3128" s="4"/>
      <c r="E3128" s="4"/>
      <c r="F3128" s="4"/>
      <c r="G3128" s="5"/>
      <c r="H3128" s="6"/>
      <c r="I3128" s="7"/>
      <c r="J3128" s="6"/>
      <c r="K3128" s="6"/>
      <c r="L3128" s="3"/>
      <c r="M3128" s="3" t="str">
        <f>IFERROR(__xludf.DUMMYFUNCTION("""COMPUTED_VALUE"""),"")</f>
        <v/>
      </c>
    </row>
    <row r="3129" ht="48.0" customHeight="1">
      <c r="A3129" s="3"/>
      <c r="B3129" s="4"/>
      <c r="C3129" s="4"/>
      <c r="D3129" s="4"/>
      <c r="E3129" s="4"/>
      <c r="F3129" s="4"/>
      <c r="G3129" s="5"/>
      <c r="H3129" s="6"/>
      <c r="I3129" s="7"/>
      <c r="J3129" s="6"/>
      <c r="K3129" s="6"/>
      <c r="L3129" s="3"/>
      <c r="M3129" s="3" t="str">
        <f>IFERROR(__xludf.DUMMYFUNCTION("""COMPUTED_VALUE"""),"")</f>
        <v/>
      </c>
    </row>
    <row r="3130" ht="48.0" customHeight="1">
      <c r="A3130" s="3"/>
      <c r="B3130" s="4"/>
      <c r="C3130" s="4"/>
      <c r="D3130" s="4"/>
      <c r="E3130" s="4"/>
      <c r="F3130" s="4"/>
      <c r="G3130" s="5"/>
      <c r="H3130" s="6"/>
      <c r="I3130" s="7"/>
      <c r="J3130" s="6"/>
      <c r="K3130" s="6"/>
      <c r="L3130" s="3"/>
      <c r="M3130" s="3" t="str">
        <f>IFERROR(__xludf.DUMMYFUNCTION("""COMPUTED_VALUE"""),"")</f>
        <v/>
      </c>
    </row>
    <row r="3131" ht="48.0" customHeight="1">
      <c r="A3131" s="3"/>
      <c r="B3131" s="4"/>
      <c r="C3131" s="4"/>
      <c r="D3131" s="4"/>
      <c r="E3131" s="4"/>
      <c r="F3131" s="4"/>
      <c r="G3131" s="5"/>
      <c r="H3131" s="6"/>
      <c r="I3131" s="7"/>
      <c r="J3131" s="6"/>
      <c r="K3131" s="6"/>
      <c r="L3131" s="3"/>
      <c r="M3131" s="3" t="str">
        <f>IFERROR(__xludf.DUMMYFUNCTION("""COMPUTED_VALUE"""),"")</f>
        <v/>
      </c>
    </row>
    <row r="3132" ht="48.0" customHeight="1">
      <c r="A3132" s="3"/>
      <c r="B3132" s="4"/>
      <c r="C3132" s="4"/>
      <c r="D3132" s="4"/>
      <c r="E3132" s="4"/>
      <c r="F3132" s="4"/>
      <c r="G3132" s="5"/>
      <c r="H3132" s="6"/>
      <c r="I3132" s="7"/>
      <c r="J3132" s="6"/>
      <c r="K3132" s="6"/>
      <c r="L3132" s="3"/>
      <c r="M3132" s="3" t="str">
        <f>IFERROR(__xludf.DUMMYFUNCTION("""COMPUTED_VALUE"""),"")</f>
        <v/>
      </c>
    </row>
    <row r="3133" ht="48.0" customHeight="1">
      <c r="A3133" s="3"/>
      <c r="B3133" s="4"/>
      <c r="C3133" s="4"/>
      <c r="D3133" s="4"/>
      <c r="E3133" s="4"/>
      <c r="F3133" s="4"/>
      <c r="G3133" s="5"/>
      <c r="H3133" s="6"/>
      <c r="I3133" s="7"/>
      <c r="J3133" s="6"/>
      <c r="K3133" s="6"/>
      <c r="L3133" s="3"/>
      <c r="M3133" s="3" t="str">
        <f>IFERROR(__xludf.DUMMYFUNCTION("""COMPUTED_VALUE"""),"")</f>
        <v/>
      </c>
    </row>
    <row r="3134" ht="48.0" customHeight="1">
      <c r="A3134" s="3"/>
      <c r="B3134" s="4"/>
      <c r="C3134" s="4"/>
      <c r="D3134" s="4"/>
      <c r="E3134" s="4"/>
      <c r="F3134" s="4"/>
      <c r="G3134" s="5"/>
      <c r="H3134" s="6"/>
      <c r="I3134" s="7"/>
      <c r="J3134" s="6"/>
      <c r="K3134" s="6"/>
      <c r="L3134" s="3"/>
      <c r="M3134" s="3" t="str">
        <f>IFERROR(__xludf.DUMMYFUNCTION("""COMPUTED_VALUE"""),"")</f>
        <v/>
      </c>
    </row>
    <row r="3135" ht="48.0" customHeight="1">
      <c r="A3135" s="3"/>
      <c r="B3135" s="4"/>
      <c r="C3135" s="4"/>
      <c r="D3135" s="4"/>
      <c r="E3135" s="4"/>
      <c r="F3135" s="4"/>
      <c r="G3135" s="5"/>
      <c r="H3135" s="6"/>
      <c r="I3135" s="7"/>
      <c r="J3135" s="6"/>
      <c r="K3135" s="6"/>
      <c r="L3135" s="3"/>
      <c r="M3135" s="3" t="str">
        <f>IFERROR(__xludf.DUMMYFUNCTION("""COMPUTED_VALUE"""),"")</f>
        <v/>
      </c>
    </row>
    <row r="3136" ht="48.0" customHeight="1">
      <c r="A3136" s="3"/>
      <c r="B3136" s="4"/>
      <c r="C3136" s="4"/>
      <c r="D3136" s="4"/>
      <c r="E3136" s="4"/>
      <c r="F3136" s="4"/>
      <c r="G3136" s="5"/>
      <c r="H3136" s="6"/>
      <c r="I3136" s="7"/>
      <c r="J3136" s="6"/>
      <c r="K3136" s="6"/>
      <c r="L3136" s="3"/>
      <c r="M3136" s="3" t="str">
        <f>IFERROR(__xludf.DUMMYFUNCTION("""COMPUTED_VALUE"""),"")</f>
        <v/>
      </c>
    </row>
    <row r="3137" ht="48.0" customHeight="1">
      <c r="A3137" s="3"/>
      <c r="B3137" s="4"/>
      <c r="C3137" s="4"/>
      <c r="D3137" s="4"/>
      <c r="E3137" s="4"/>
      <c r="F3137" s="4"/>
      <c r="G3137" s="5"/>
      <c r="H3137" s="6"/>
      <c r="I3137" s="7"/>
      <c r="J3137" s="6"/>
      <c r="K3137" s="6"/>
      <c r="L3137" s="3"/>
      <c r="M3137" s="3" t="str">
        <f>IFERROR(__xludf.DUMMYFUNCTION("""COMPUTED_VALUE"""),"")</f>
        <v/>
      </c>
    </row>
    <row r="3138" ht="48.0" customHeight="1">
      <c r="A3138" s="3"/>
      <c r="B3138" s="4"/>
      <c r="C3138" s="4"/>
      <c r="D3138" s="4"/>
      <c r="E3138" s="4"/>
      <c r="F3138" s="4"/>
      <c r="G3138" s="5"/>
      <c r="H3138" s="6"/>
      <c r="I3138" s="7"/>
      <c r="J3138" s="6"/>
      <c r="K3138" s="6"/>
      <c r="L3138" s="3"/>
      <c r="M3138" s="3" t="str">
        <f>IFERROR(__xludf.DUMMYFUNCTION("""COMPUTED_VALUE"""),"")</f>
        <v/>
      </c>
    </row>
    <row r="3139" ht="48.0" customHeight="1">
      <c r="A3139" s="3"/>
      <c r="B3139" s="4"/>
      <c r="C3139" s="4"/>
      <c r="D3139" s="4"/>
      <c r="E3139" s="4"/>
      <c r="F3139" s="4"/>
      <c r="G3139" s="5"/>
      <c r="H3139" s="6"/>
      <c r="I3139" s="7"/>
      <c r="J3139" s="6"/>
      <c r="K3139" s="6"/>
      <c r="L3139" s="3"/>
      <c r="M3139" s="3" t="str">
        <f>IFERROR(__xludf.DUMMYFUNCTION("""COMPUTED_VALUE"""),"")</f>
        <v/>
      </c>
    </row>
    <row r="3140" ht="48.0" customHeight="1">
      <c r="A3140" s="3"/>
      <c r="B3140" s="4"/>
      <c r="C3140" s="4"/>
      <c r="D3140" s="4"/>
      <c r="E3140" s="4"/>
      <c r="F3140" s="4"/>
      <c r="G3140" s="5"/>
      <c r="H3140" s="6"/>
      <c r="I3140" s="7"/>
      <c r="J3140" s="6"/>
      <c r="K3140" s="6"/>
      <c r="L3140" s="3"/>
      <c r="M3140" s="3" t="str">
        <f>IFERROR(__xludf.DUMMYFUNCTION("""COMPUTED_VALUE"""),"")</f>
        <v/>
      </c>
    </row>
    <row r="3141" ht="48.0" customHeight="1">
      <c r="A3141" s="3"/>
      <c r="B3141" s="4"/>
      <c r="C3141" s="4"/>
      <c r="D3141" s="4"/>
      <c r="E3141" s="4"/>
      <c r="F3141" s="4"/>
      <c r="G3141" s="5"/>
      <c r="H3141" s="6"/>
      <c r="I3141" s="7"/>
      <c r="J3141" s="6"/>
      <c r="K3141" s="6"/>
      <c r="L3141" s="3"/>
      <c r="M3141" s="3" t="str">
        <f>IFERROR(__xludf.DUMMYFUNCTION("""COMPUTED_VALUE"""),"")</f>
        <v/>
      </c>
    </row>
    <row r="3142" ht="48.0" customHeight="1">
      <c r="A3142" s="3"/>
      <c r="B3142" s="4"/>
      <c r="C3142" s="4"/>
      <c r="D3142" s="4"/>
      <c r="E3142" s="4"/>
      <c r="F3142" s="4"/>
      <c r="G3142" s="5"/>
      <c r="H3142" s="6"/>
      <c r="I3142" s="7"/>
      <c r="J3142" s="6"/>
      <c r="K3142" s="6"/>
      <c r="L3142" s="3"/>
      <c r="M3142" s="3" t="str">
        <f>IFERROR(__xludf.DUMMYFUNCTION("""COMPUTED_VALUE"""),"")</f>
        <v/>
      </c>
    </row>
    <row r="3143" ht="48.0" customHeight="1">
      <c r="A3143" s="3"/>
      <c r="B3143" s="4"/>
      <c r="C3143" s="4"/>
      <c r="D3143" s="4"/>
      <c r="E3143" s="4"/>
      <c r="F3143" s="4"/>
      <c r="G3143" s="5"/>
      <c r="H3143" s="6"/>
      <c r="I3143" s="7"/>
      <c r="J3143" s="6"/>
      <c r="K3143" s="6"/>
      <c r="L3143" s="3"/>
      <c r="M3143" s="3" t="str">
        <f>IFERROR(__xludf.DUMMYFUNCTION("""COMPUTED_VALUE"""),"")</f>
        <v/>
      </c>
    </row>
    <row r="3144" ht="48.0" customHeight="1">
      <c r="A3144" s="3"/>
      <c r="B3144" s="4"/>
      <c r="C3144" s="4"/>
      <c r="D3144" s="4"/>
      <c r="E3144" s="4"/>
      <c r="F3144" s="4"/>
      <c r="G3144" s="5"/>
      <c r="H3144" s="6"/>
      <c r="I3144" s="7"/>
      <c r="J3144" s="6"/>
      <c r="K3144" s="6"/>
      <c r="L3144" s="3"/>
      <c r="M3144" s="3" t="str">
        <f>IFERROR(__xludf.DUMMYFUNCTION("""COMPUTED_VALUE"""),"")</f>
        <v/>
      </c>
    </row>
    <row r="3145" ht="48.0" customHeight="1">
      <c r="A3145" s="3"/>
      <c r="B3145" s="4"/>
      <c r="C3145" s="4"/>
      <c r="D3145" s="4"/>
      <c r="E3145" s="4"/>
      <c r="F3145" s="4"/>
      <c r="G3145" s="5"/>
      <c r="H3145" s="6"/>
      <c r="I3145" s="7"/>
      <c r="J3145" s="6"/>
      <c r="K3145" s="6"/>
      <c r="L3145" s="3"/>
      <c r="M3145" s="3" t="str">
        <f>IFERROR(__xludf.DUMMYFUNCTION("""COMPUTED_VALUE"""),"")</f>
        <v/>
      </c>
    </row>
    <row r="3146" ht="48.0" customHeight="1">
      <c r="A3146" s="3"/>
      <c r="B3146" s="4"/>
      <c r="C3146" s="4"/>
      <c r="D3146" s="4"/>
      <c r="E3146" s="4"/>
      <c r="F3146" s="4"/>
      <c r="G3146" s="5"/>
      <c r="H3146" s="6"/>
      <c r="I3146" s="7"/>
      <c r="J3146" s="6"/>
      <c r="K3146" s="6"/>
      <c r="L3146" s="3"/>
      <c r="M3146" s="3" t="str">
        <f>IFERROR(__xludf.DUMMYFUNCTION("""COMPUTED_VALUE"""),"")</f>
        <v/>
      </c>
    </row>
    <row r="3147" ht="48.0" customHeight="1">
      <c r="A3147" s="3"/>
      <c r="B3147" s="4"/>
      <c r="C3147" s="4"/>
      <c r="D3147" s="4"/>
      <c r="E3147" s="4"/>
      <c r="F3147" s="4"/>
      <c r="G3147" s="5"/>
      <c r="H3147" s="6"/>
      <c r="I3147" s="7"/>
      <c r="J3147" s="6"/>
      <c r="K3147" s="6"/>
      <c r="L3147" s="3"/>
      <c r="M3147" s="3" t="str">
        <f>IFERROR(__xludf.DUMMYFUNCTION("""COMPUTED_VALUE"""),"")</f>
        <v/>
      </c>
    </row>
    <row r="3148" ht="48.0" customHeight="1">
      <c r="A3148" s="3"/>
      <c r="B3148" s="4"/>
      <c r="C3148" s="4"/>
      <c r="D3148" s="4"/>
      <c r="E3148" s="4"/>
      <c r="F3148" s="4"/>
      <c r="G3148" s="5"/>
      <c r="H3148" s="6"/>
      <c r="I3148" s="7"/>
      <c r="J3148" s="6"/>
      <c r="K3148" s="6"/>
      <c r="L3148" s="3"/>
      <c r="M3148" s="3" t="str">
        <f>IFERROR(__xludf.DUMMYFUNCTION("""COMPUTED_VALUE"""),"")</f>
        <v/>
      </c>
    </row>
    <row r="3149" ht="48.0" customHeight="1">
      <c r="A3149" s="3"/>
      <c r="B3149" s="4"/>
      <c r="C3149" s="4"/>
      <c r="D3149" s="4"/>
      <c r="E3149" s="4"/>
      <c r="F3149" s="4"/>
      <c r="G3149" s="5"/>
      <c r="H3149" s="6"/>
      <c r="I3149" s="7"/>
      <c r="J3149" s="6"/>
      <c r="K3149" s="6"/>
      <c r="L3149" s="3"/>
      <c r="M3149" s="3" t="str">
        <f>IFERROR(__xludf.DUMMYFUNCTION("""COMPUTED_VALUE"""),"")</f>
        <v/>
      </c>
    </row>
    <row r="3150" ht="48.0" customHeight="1">
      <c r="A3150" s="3"/>
      <c r="B3150" s="4"/>
      <c r="C3150" s="4"/>
      <c r="D3150" s="4"/>
      <c r="E3150" s="4"/>
      <c r="F3150" s="4"/>
      <c r="G3150" s="5"/>
      <c r="H3150" s="6"/>
      <c r="I3150" s="7"/>
      <c r="J3150" s="6"/>
      <c r="K3150" s="6"/>
      <c r="L3150" s="3"/>
      <c r="M3150" s="3" t="str">
        <f>IFERROR(__xludf.DUMMYFUNCTION("""COMPUTED_VALUE"""),"")</f>
        <v/>
      </c>
    </row>
    <row r="3151" ht="48.0" customHeight="1">
      <c r="A3151" s="3"/>
      <c r="B3151" s="4"/>
      <c r="C3151" s="4"/>
      <c r="D3151" s="4"/>
      <c r="E3151" s="4"/>
      <c r="F3151" s="4"/>
      <c r="G3151" s="5"/>
      <c r="H3151" s="6"/>
      <c r="I3151" s="7"/>
      <c r="J3151" s="6"/>
      <c r="K3151" s="6"/>
      <c r="L3151" s="3"/>
      <c r="M3151" s="3" t="str">
        <f>IFERROR(__xludf.DUMMYFUNCTION("""COMPUTED_VALUE"""),"")</f>
        <v/>
      </c>
    </row>
    <row r="3152" ht="48.0" customHeight="1">
      <c r="A3152" s="3"/>
      <c r="B3152" s="4"/>
      <c r="C3152" s="4"/>
      <c r="D3152" s="4"/>
      <c r="E3152" s="4"/>
      <c r="F3152" s="4"/>
      <c r="G3152" s="5"/>
      <c r="H3152" s="6"/>
      <c r="I3152" s="7"/>
      <c r="J3152" s="6"/>
      <c r="K3152" s="6"/>
      <c r="L3152" s="3"/>
      <c r="M3152" s="3" t="str">
        <f>IFERROR(__xludf.DUMMYFUNCTION("""COMPUTED_VALUE"""),"")</f>
        <v/>
      </c>
    </row>
    <row r="3153" ht="48.0" customHeight="1">
      <c r="A3153" s="3"/>
      <c r="B3153" s="4"/>
      <c r="C3153" s="4"/>
      <c r="D3153" s="4"/>
      <c r="E3153" s="4"/>
      <c r="F3153" s="4"/>
      <c r="G3153" s="5"/>
      <c r="H3153" s="6"/>
      <c r="I3153" s="7"/>
      <c r="J3153" s="6"/>
      <c r="K3153" s="6"/>
      <c r="L3153" s="3"/>
      <c r="M3153" s="3" t="str">
        <f>IFERROR(__xludf.DUMMYFUNCTION("""COMPUTED_VALUE"""),"")</f>
        <v/>
      </c>
    </row>
    <row r="3154" ht="48.0" customHeight="1">
      <c r="A3154" s="3"/>
      <c r="B3154" s="4"/>
      <c r="C3154" s="4"/>
      <c r="D3154" s="4"/>
      <c r="E3154" s="4"/>
      <c r="F3154" s="4"/>
      <c r="G3154" s="5"/>
      <c r="H3154" s="6"/>
      <c r="I3154" s="7"/>
      <c r="J3154" s="6"/>
      <c r="K3154" s="6"/>
      <c r="L3154" s="3"/>
      <c r="M3154" s="3" t="str">
        <f>IFERROR(__xludf.DUMMYFUNCTION("""COMPUTED_VALUE"""),"")</f>
        <v/>
      </c>
    </row>
    <row r="3155" ht="48.0" customHeight="1">
      <c r="A3155" s="3"/>
      <c r="B3155" s="4"/>
      <c r="C3155" s="4"/>
      <c r="D3155" s="4"/>
      <c r="E3155" s="4"/>
      <c r="F3155" s="4"/>
      <c r="G3155" s="5"/>
      <c r="H3155" s="6"/>
      <c r="I3155" s="7"/>
      <c r="J3155" s="6"/>
      <c r="K3155" s="6"/>
      <c r="L3155" s="3"/>
      <c r="M3155" s="3" t="str">
        <f>IFERROR(__xludf.DUMMYFUNCTION("""COMPUTED_VALUE"""),"")</f>
        <v/>
      </c>
    </row>
    <row r="3156" ht="48.0" customHeight="1">
      <c r="A3156" s="3"/>
      <c r="B3156" s="4"/>
      <c r="C3156" s="4"/>
      <c r="D3156" s="4"/>
      <c r="E3156" s="4"/>
      <c r="F3156" s="4"/>
      <c r="G3156" s="5"/>
      <c r="H3156" s="6"/>
      <c r="I3156" s="7"/>
      <c r="J3156" s="6"/>
      <c r="K3156" s="6"/>
      <c r="L3156" s="3"/>
      <c r="M3156" s="3" t="str">
        <f>IFERROR(__xludf.DUMMYFUNCTION("""COMPUTED_VALUE"""),"")</f>
        <v/>
      </c>
    </row>
    <row r="3157" ht="48.0" customHeight="1">
      <c r="A3157" s="3"/>
      <c r="B3157" s="4"/>
      <c r="C3157" s="4"/>
      <c r="D3157" s="4"/>
      <c r="E3157" s="4"/>
      <c r="F3157" s="4"/>
      <c r="G3157" s="5"/>
      <c r="H3157" s="6"/>
      <c r="I3157" s="7"/>
      <c r="J3157" s="6"/>
      <c r="K3157" s="6"/>
      <c r="L3157" s="3"/>
      <c r="M3157" s="3" t="str">
        <f>IFERROR(__xludf.DUMMYFUNCTION("""COMPUTED_VALUE"""),"")</f>
        <v/>
      </c>
    </row>
    <row r="3158" ht="48.0" customHeight="1">
      <c r="A3158" s="3"/>
      <c r="B3158" s="4"/>
      <c r="C3158" s="4"/>
      <c r="D3158" s="4"/>
      <c r="E3158" s="4"/>
      <c r="F3158" s="4"/>
      <c r="G3158" s="5"/>
      <c r="H3158" s="6"/>
      <c r="I3158" s="7"/>
      <c r="J3158" s="6"/>
      <c r="K3158" s="6"/>
      <c r="L3158" s="3"/>
      <c r="M3158" s="3" t="str">
        <f>IFERROR(__xludf.DUMMYFUNCTION("""COMPUTED_VALUE"""),"")</f>
        <v/>
      </c>
    </row>
    <row r="3159" ht="48.0" customHeight="1">
      <c r="A3159" s="3"/>
      <c r="B3159" s="4"/>
      <c r="C3159" s="4"/>
      <c r="D3159" s="4"/>
      <c r="E3159" s="4"/>
      <c r="F3159" s="4"/>
      <c r="G3159" s="5"/>
      <c r="H3159" s="6"/>
      <c r="I3159" s="7"/>
      <c r="J3159" s="6"/>
      <c r="K3159" s="6"/>
      <c r="L3159" s="3"/>
      <c r="M3159" s="3" t="str">
        <f>IFERROR(__xludf.DUMMYFUNCTION("""COMPUTED_VALUE"""),"")</f>
        <v/>
      </c>
    </row>
    <row r="3160" ht="48.0" customHeight="1">
      <c r="A3160" s="3"/>
      <c r="B3160" s="4"/>
      <c r="C3160" s="4"/>
      <c r="D3160" s="4"/>
      <c r="E3160" s="4"/>
      <c r="F3160" s="4"/>
      <c r="G3160" s="5"/>
      <c r="H3160" s="6"/>
      <c r="I3160" s="7"/>
      <c r="J3160" s="6"/>
      <c r="K3160" s="6"/>
      <c r="L3160" s="3"/>
      <c r="M3160" s="3" t="str">
        <f>IFERROR(__xludf.DUMMYFUNCTION("""COMPUTED_VALUE"""),"")</f>
        <v/>
      </c>
    </row>
    <row r="3161" ht="48.0" customHeight="1">
      <c r="A3161" s="3"/>
      <c r="B3161" s="4"/>
      <c r="C3161" s="4"/>
      <c r="D3161" s="4"/>
      <c r="E3161" s="4"/>
      <c r="F3161" s="4"/>
      <c r="G3161" s="5"/>
      <c r="H3161" s="6"/>
      <c r="I3161" s="7"/>
      <c r="J3161" s="6"/>
      <c r="K3161" s="6"/>
      <c r="L3161" s="3"/>
      <c r="M3161" s="3" t="str">
        <f>IFERROR(__xludf.DUMMYFUNCTION("""COMPUTED_VALUE"""),"")</f>
        <v/>
      </c>
    </row>
    <row r="3162" ht="48.0" customHeight="1">
      <c r="A3162" s="3"/>
      <c r="B3162" s="4"/>
      <c r="C3162" s="4"/>
      <c r="D3162" s="4"/>
      <c r="E3162" s="4"/>
      <c r="F3162" s="4"/>
      <c r="G3162" s="5"/>
      <c r="H3162" s="6"/>
      <c r="I3162" s="7"/>
      <c r="J3162" s="6"/>
      <c r="K3162" s="6"/>
      <c r="L3162" s="3"/>
      <c r="M3162" s="3" t="str">
        <f>IFERROR(__xludf.DUMMYFUNCTION("""COMPUTED_VALUE"""),"")</f>
        <v/>
      </c>
    </row>
    <row r="3163" ht="48.0" customHeight="1">
      <c r="A3163" s="3"/>
      <c r="B3163" s="4"/>
      <c r="C3163" s="4"/>
      <c r="D3163" s="4"/>
      <c r="E3163" s="4"/>
      <c r="F3163" s="4"/>
      <c r="G3163" s="5"/>
      <c r="H3163" s="6"/>
      <c r="I3163" s="7"/>
      <c r="J3163" s="6"/>
      <c r="K3163" s="6"/>
      <c r="L3163" s="3"/>
      <c r="M3163" s="3" t="str">
        <f>IFERROR(__xludf.DUMMYFUNCTION("""COMPUTED_VALUE"""),"")</f>
        <v/>
      </c>
    </row>
    <row r="3164" ht="48.0" customHeight="1">
      <c r="A3164" s="3"/>
      <c r="B3164" s="4"/>
      <c r="C3164" s="4"/>
      <c r="D3164" s="4"/>
      <c r="E3164" s="4"/>
      <c r="F3164" s="4"/>
      <c r="G3164" s="5"/>
      <c r="H3164" s="6"/>
      <c r="I3164" s="7"/>
      <c r="J3164" s="6"/>
      <c r="K3164" s="6"/>
      <c r="L3164" s="3"/>
      <c r="M3164" s="3" t="str">
        <f>IFERROR(__xludf.DUMMYFUNCTION("""COMPUTED_VALUE"""),"")</f>
        <v/>
      </c>
    </row>
    <row r="3165" ht="48.0" customHeight="1">
      <c r="A3165" s="3"/>
      <c r="B3165" s="4"/>
      <c r="C3165" s="4"/>
      <c r="D3165" s="4"/>
      <c r="E3165" s="4"/>
      <c r="F3165" s="4"/>
      <c r="G3165" s="5"/>
      <c r="H3165" s="6"/>
      <c r="I3165" s="7"/>
      <c r="J3165" s="6"/>
      <c r="K3165" s="6"/>
      <c r="L3165" s="3"/>
      <c r="M3165" s="3" t="str">
        <f>IFERROR(__xludf.DUMMYFUNCTION("""COMPUTED_VALUE"""),"")</f>
        <v/>
      </c>
    </row>
    <row r="3166" ht="48.0" customHeight="1">
      <c r="A3166" s="3"/>
      <c r="B3166" s="4"/>
      <c r="C3166" s="4"/>
      <c r="D3166" s="4"/>
      <c r="E3166" s="4"/>
      <c r="F3166" s="4"/>
      <c r="G3166" s="5"/>
      <c r="H3166" s="6"/>
      <c r="I3166" s="7"/>
      <c r="J3166" s="6"/>
      <c r="K3166" s="6"/>
      <c r="L3166" s="3"/>
      <c r="M3166" s="3" t="str">
        <f>IFERROR(__xludf.DUMMYFUNCTION("""COMPUTED_VALUE"""),"")</f>
        <v/>
      </c>
    </row>
    <row r="3167" ht="48.0" customHeight="1">
      <c r="A3167" s="3"/>
      <c r="B3167" s="4"/>
      <c r="C3167" s="4"/>
      <c r="D3167" s="4"/>
      <c r="E3167" s="4"/>
      <c r="F3167" s="4"/>
      <c r="G3167" s="5"/>
      <c r="H3167" s="6"/>
      <c r="I3167" s="7"/>
      <c r="J3167" s="6"/>
      <c r="K3167" s="6"/>
      <c r="L3167" s="3"/>
      <c r="M3167" s="3" t="str">
        <f>IFERROR(__xludf.DUMMYFUNCTION("""COMPUTED_VALUE"""),"")</f>
        <v/>
      </c>
    </row>
    <row r="3168" ht="48.0" customHeight="1">
      <c r="A3168" s="3"/>
      <c r="B3168" s="4"/>
      <c r="C3168" s="4"/>
      <c r="D3168" s="4"/>
      <c r="E3168" s="4"/>
      <c r="F3168" s="4"/>
      <c r="G3168" s="5"/>
      <c r="H3168" s="6"/>
      <c r="I3168" s="7"/>
      <c r="J3168" s="6"/>
      <c r="K3168" s="6"/>
      <c r="L3168" s="3"/>
      <c r="M3168" s="3" t="str">
        <f>IFERROR(__xludf.DUMMYFUNCTION("""COMPUTED_VALUE"""),"")</f>
        <v/>
      </c>
    </row>
    <row r="3169" ht="48.0" customHeight="1">
      <c r="A3169" s="3"/>
      <c r="B3169" s="4"/>
      <c r="C3169" s="4"/>
      <c r="D3169" s="4"/>
      <c r="E3169" s="4"/>
      <c r="F3169" s="4"/>
      <c r="G3169" s="5"/>
      <c r="H3169" s="6"/>
      <c r="I3169" s="7"/>
      <c r="J3169" s="6"/>
      <c r="K3169" s="6"/>
      <c r="L3169" s="3"/>
      <c r="M3169" s="3" t="str">
        <f>IFERROR(__xludf.DUMMYFUNCTION("""COMPUTED_VALUE"""),"")</f>
        <v/>
      </c>
    </row>
    <row r="3170" ht="48.0" customHeight="1">
      <c r="A3170" s="3"/>
      <c r="B3170" s="4"/>
      <c r="C3170" s="4"/>
      <c r="D3170" s="4"/>
      <c r="E3170" s="4"/>
      <c r="F3170" s="4"/>
      <c r="G3170" s="5"/>
      <c r="H3170" s="6"/>
      <c r="I3170" s="7"/>
      <c r="J3170" s="6"/>
      <c r="K3170" s="6"/>
      <c r="L3170" s="3"/>
      <c r="M3170" s="3" t="str">
        <f>IFERROR(__xludf.DUMMYFUNCTION("""COMPUTED_VALUE"""),"")</f>
        <v/>
      </c>
    </row>
    <row r="3171" ht="48.0" customHeight="1">
      <c r="A3171" s="3"/>
      <c r="B3171" s="4"/>
      <c r="C3171" s="4"/>
      <c r="D3171" s="4"/>
      <c r="E3171" s="4"/>
      <c r="F3171" s="4"/>
      <c r="G3171" s="5"/>
      <c r="H3171" s="6"/>
      <c r="I3171" s="7"/>
      <c r="J3171" s="6"/>
      <c r="K3171" s="6"/>
      <c r="L3171" s="3"/>
      <c r="M3171" s="3" t="str">
        <f>IFERROR(__xludf.DUMMYFUNCTION("""COMPUTED_VALUE"""),"")</f>
        <v/>
      </c>
    </row>
    <row r="3172" ht="48.0" customHeight="1">
      <c r="A3172" s="3"/>
      <c r="B3172" s="4"/>
      <c r="C3172" s="4"/>
      <c r="D3172" s="4"/>
      <c r="E3172" s="4"/>
      <c r="F3172" s="4"/>
      <c r="G3172" s="5"/>
      <c r="H3172" s="6"/>
      <c r="I3172" s="7"/>
      <c r="J3172" s="6"/>
      <c r="K3172" s="6"/>
      <c r="L3172" s="3"/>
      <c r="M3172" s="3" t="str">
        <f>IFERROR(__xludf.DUMMYFUNCTION("""COMPUTED_VALUE"""),"")</f>
        <v/>
      </c>
    </row>
    <row r="3173" ht="48.0" customHeight="1">
      <c r="A3173" s="3"/>
      <c r="B3173" s="4"/>
      <c r="C3173" s="4"/>
      <c r="D3173" s="4"/>
      <c r="E3173" s="4"/>
      <c r="F3173" s="4"/>
      <c r="G3173" s="5"/>
      <c r="H3173" s="6"/>
      <c r="I3173" s="7"/>
      <c r="J3173" s="6"/>
      <c r="K3173" s="6"/>
      <c r="L3173" s="3"/>
      <c r="M3173" s="3" t="str">
        <f>IFERROR(__xludf.DUMMYFUNCTION("""COMPUTED_VALUE"""),"")</f>
        <v/>
      </c>
    </row>
    <row r="3174" ht="48.0" customHeight="1">
      <c r="A3174" s="3"/>
      <c r="B3174" s="4"/>
      <c r="C3174" s="4"/>
      <c r="D3174" s="4"/>
      <c r="E3174" s="4"/>
      <c r="F3174" s="4"/>
      <c r="G3174" s="5"/>
      <c r="H3174" s="6"/>
      <c r="I3174" s="7"/>
      <c r="J3174" s="6"/>
      <c r="K3174" s="6"/>
      <c r="L3174" s="3"/>
      <c r="M3174" s="3" t="str">
        <f>IFERROR(__xludf.DUMMYFUNCTION("""COMPUTED_VALUE"""),"")</f>
        <v/>
      </c>
    </row>
    <row r="3175" ht="48.0" customHeight="1">
      <c r="A3175" s="3"/>
      <c r="B3175" s="4"/>
      <c r="C3175" s="4"/>
      <c r="D3175" s="4"/>
      <c r="E3175" s="4"/>
      <c r="F3175" s="4"/>
      <c r="G3175" s="5"/>
      <c r="H3175" s="6"/>
      <c r="I3175" s="7"/>
      <c r="J3175" s="6"/>
      <c r="K3175" s="6"/>
      <c r="L3175" s="3"/>
      <c r="M3175" s="3" t="str">
        <f>IFERROR(__xludf.DUMMYFUNCTION("""COMPUTED_VALUE"""),"")</f>
        <v/>
      </c>
    </row>
    <row r="3176" ht="48.0" customHeight="1">
      <c r="A3176" s="3"/>
      <c r="B3176" s="4"/>
      <c r="C3176" s="4"/>
      <c r="D3176" s="4"/>
      <c r="E3176" s="4"/>
      <c r="F3176" s="4"/>
      <c r="G3176" s="5"/>
      <c r="H3176" s="6"/>
      <c r="I3176" s="7"/>
      <c r="J3176" s="6"/>
      <c r="K3176" s="6"/>
      <c r="L3176" s="3"/>
      <c r="M3176" s="3" t="str">
        <f>IFERROR(__xludf.DUMMYFUNCTION("""COMPUTED_VALUE"""),"")</f>
        <v/>
      </c>
    </row>
    <row r="3177" ht="48.0" customHeight="1">
      <c r="A3177" s="3"/>
      <c r="B3177" s="4"/>
      <c r="C3177" s="4"/>
      <c r="D3177" s="4"/>
      <c r="E3177" s="4"/>
      <c r="F3177" s="4"/>
      <c r="G3177" s="5"/>
      <c r="H3177" s="6"/>
      <c r="I3177" s="7"/>
      <c r="J3177" s="6"/>
      <c r="K3177" s="6"/>
      <c r="L3177" s="3"/>
      <c r="M3177" s="3" t="str">
        <f>IFERROR(__xludf.DUMMYFUNCTION("""COMPUTED_VALUE"""),"")</f>
        <v/>
      </c>
    </row>
    <row r="3178" ht="48.0" customHeight="1">
      <c r="A3178" s="3"/>
      <c r="B3178" s="4"/>
      <c r="C3178" s="4"/>
      <c r="D3178" s="4"/>
      <c r="E3178" s="4"/>
      <c r="F3178" s="4"/>
      <c r="G3178" s="5"/>
      <c r="H3178" s="6"/>
      <c r="I3178" s="7"/>
      <c r="J3178" s="6"/>
      <c r="K3178" s="6"/>
      <c r="L3178" s="3"/>
      <c r="M3178" s="3" t="str">
        <f>IFERROR(__xludf.DUMMYFUNCTION("""COMPUTED_VALUE"""),"")</f>
        <v/>
      </c>
    </row>
    <row r="3179" ht="48.0" customHeight="1">
      <c r="A3179" s="3"/>
      <c r="B3179" s="4"/>
      <c r="C3179" s="4"/>
      <c r="D3179" s="4"/>
      <c r="E3179" s="4"/>
      <c r="F3179" s="4"/>
      <c r="G3179" s="5"/>
      <c r="H3179" s="6"/>
      <c r="I3179" s="7"/>
      <c r="J3179" s="6"/>
      <c r="K3179" s="6"/>
      <c r="L3179" s="3"/>
      <c r="M3179" s="3" t="str">
        <f>IFERROR(__xludf.DUMMYFUNCTION("""COMPUTED_VALUE"""),"")</f>
        <v/>
      </c>
    </row>
    <row r="3180" ht="48.0" customHeight="1">
      <c r="A3180" s="3"/>
      <c r="B3180" s="4"/>
      <c r="C3180" s="4"/>
      <c r="D3180" s="4"/>
      <c r="E3180" s="4"/>
      <c r="F3180" s="4"/>
      <c r="G3180" s="5"/>
      <c r="H3180" s="6"/>
      <c r="I3180" s="7"/>
      <c r="J3180" s="6"/>
      <c r="K3180" s="6"/>
      <c r="L3180" s="3"/>
      <c r="M3180" s="3" t="str">
        <f>IFERROR(__xludf.DUMMYFUNCTION("""COMPUTED_VALUE"""),"")</f>
        <v/>
      </c>
    </row>
    <row r="3181" ht="48.0" customHeight="1">
      <c r="A3181" s="3"/>
      <c r="B3181" s="4"/>
      <c r="C3181" s="4"/>
      <c r="D3181" s="4"/>
      <c r="E3181" s="4"/>
      <c r="F3181" s="4"/>
      <c r="G3181" s="5"/>
      <c r="H3181" s="6"/>
      <c r="I3181" s="7"/>
      <c r="J3181" s="6"/>
      <c r="K3181" s="6"/>
      <c r="L3181" s="3"/>
      <c r="M3181" s="3" t="str">
        <f>IFERROR(__xludf.DUMMYFUNCTION("""COMPUTED_VALUE"""),"")</f>
        <v/>
      </c>
    </row>
    <row r="3182" ht="48.0" customHeight="1">
      <c r="A3182" s="3"/>
      <c r="B3182" s="4"/>
      <c r="C3182" s="4"/>
      <c r="D3182" s="4"/>
      <c r="E3182" s="4"/>
      <c r="F3182" s="4"/>
      <c r="G3182" s="5"/>
      <c r="H3182" s="6"/>
      <c r="I3182" s="7"/>
      <c r="J3182" s="6"/>
      <c r="K3182" s="6"/>
      <c r="L3182" s="3"/>
      <c r="M3182" s="3" t="str">
        <f>IFERROR(__xludf.DUMMYFUNCTION("""COMPUTED_VALUE"""),"")</f>
        <v/>
      </c>
    </row>
    <row r="3183" ht="48.0" customHeight="1">
      <c r="A3183" s="3"/>
      <c r="B3183" s="4"/>
      <c r="C3183" s="4"/>
      <c r="D3183" s="4"/>
      <c r="E3183" s="4"/>
      <c r="F3183" s="4"/>
      <c r="G3183" s="5"/>
      <c r="H3183" s="6"/>
      <c r="I3183" s="7"/>
      <c r="J3183" s="6"/>
      <c r="K3183" s="6"/>
      <c r="L3183" s="3"/>
      <c r="M3183" s="3" t="str">
        <f>IFERROR(__xludf.DUMMYFUNCTION("""COMPUTED_VALUE"""),"")</f>
        <v/>
      </c>
    </row>
    <row r="3184" ht="48.0" customHeight="1">
      <c r="A3184" s="3"/>
      <c r="B3184" s="4"/>
      <c r="C3184" s="4"/>
      <c r="D3184" s="4"/>
      <c r="E3184" s="4"/>
      <c r="F3184" s="4"/>
      <c r="G3184" s="5"/>
      <c r="H3184" s="6"/>
      <c r="I3184" s="7"/>
      <c r="J3184" s="6"/>
      <c r="K3184" s="6"/>
      <c r="L3184" s="3"/>
      <c r="M3184" s="3" t="str">
        <f>IFERROR(__xludf.DUMMYFUNCTION("""COMPUTED_VALUE"""),"")</f>
        <v/>
      </c>
    </row>
    <row r="3185" ht="48.0" customHeight="1">
      <c r="A3185" s="3"/>
      <c r="B3185" s="4"/>
      <c r="C3185" s="4"/>
      <c r="D3185" s="4"/>
      <c r="E3185" s="4"/>
      <c r="F3185" s="4"/>
      <c r="G3185" s="5"/>
      <c r="H3185" s="6"/>
      <c r="I3185" s="7"/>
      <c r="J3185" s="6"/>
      <c r="K3185" s="6"/>
      <c r="L3185" s="3"/>
      <c r="M3185" s="3" t="str">
        <f>IFERROR(__xludf.DUMMYFUNCTION("""COMPUTED_VALUE"""),"")</f>
        <v/>
      </c>
    </row>
    <row r="3186" ht="48.0" customHeight="1">
      <c r="A3186" s="3"/>
      <c r="B3186" s="4"/>
      <c r="C3186" s="4"/>
      <c r="D3186" s="4"/>
      <c r="E3186" s="4"/>
      <c r="F3186" s="4"/>
      <c r="G3186" s="5"/>
      <c r="H3186" s="6"/>
      <c r="I3186" s="7"/>
      <c r="J3186" s="6"/>
      <c r="K3186" s="6"/>
      <c r="L3186" s="3"/>
      <c r="M3186" s="3" t="str">
        <f>IFERROR(__xludf.DUMMYFUNCTION("""COMPUTED_VALUE"""),"")</f>
        <v/>
      </c>
    </row>
    <row r="3187" ht="48.0" customHeight="1">
      <c r="A3187" s="3"/>
      <c r="B3187" s="4"/>
      <c r="C3187" s="4"/>
      <c r="D3187" s="4"/>
      <c r="E3187" s="4"/>
      <c r="F3187" s="4"/>
      <c r="G3187" s="5"/>
      <c r="H3187" s="6"/>
      <c r="I3187" s="7"/>
      <c r="J3187" s="6"/>
      <c r="K3187" s="6"/>
      <c r="L3187" s="3"/>
      <c r="M3187" s="3" t="str">
        <f>IFERROR(__xludf.DUMMYFUNCTION("""COMPUTED_VALUE"""),"")</f>
        <v/>
      </c>
    </row>
    <row r="3188" ht="48.0" customHeight="1">
      <c r="A3188" s="3"/>
      <c r="B3188" s="4"/>
      <c r="C3188" s="4"/>
      <c r="D3188" s="4"/>
      <c r="E3188" s="4"/>
      <c r="F3188" s="4"/>
      <c r="G3188" s="5"/>
      <c r="H3188" s="6"/>
      <c r="I3188" s="7"/>
      <c r="J3188" s="6"/>
      <c r="K3188" s="6"/>
      <c r="L3188" s="3"/>
      <c r="M3188" s="3" t="str">
        <f>IFERROR(__xludf.DUMMYFUNCTION("""COMPUTED_VALUE"""),"")</f>
        <v/>
      </c>
    </row>
    <row r="3189" ht="48.0" customHeight="1">
      <c r="A3189" s="3"/>
      <c r="B3189" s="4"/>
      <c r="C3189" s="4"/>
      <c r="D3189" s="4"/>
      <c r="E3189" s="4"/>
      <c r="F3189" s="4"/>
      <c r="G3189" s="5"/>
      <c r="H3189" s="6"/>
      <c r="I3189" s="7"/>
      <c r="J3189" s="6"/>
      <c r="K3189" s="6"/>
      <c r="L3189" s="3"/>
      <c r="M3189" s="3" t="str">
        <f>IFERROR(__xludf.DUMMYFUNCTION("""COMPUTED_VALUE"""),"")</f>
        <v/>
      </c>
    </row>
    <row r="3190" ht="48.0" customHeight="1">
      <c r="A3190" s="3"/>
      <c r="B3190" s="4"/>
      <c r="C3190" s="4"/>
      <c r="D3190" s="4"/>
      <c r="E3190" s="4"/>
      <c r="F3190" s="4"/>
      <c r="G3190" s="5"/>
      <c r="H3190" s="6"/>
      <c r="I3190" s="7"/>
      <c r="J3190" s="6"/>
      <c r="K3190" s="6"/>
      <c r="L3190" s="3"/>
      <c r="M3190" s="3" t="str">
        <f>IFERROR(__xludf.DUMMYFUNCTION("""COMPUTED_VALUE"""),"")</f>
        <v/>
      </c>
    </row>
    <row r="3191" ht="48.0" customHeight="1">
      <c r="A3191" s="3"/>
      <c r="B3191" s="4"/>
      <c r="C3191" s="4"/>
      <c r="D3191" s="4"/>
      <c r="E3191" s="4"/>
      <c r="F3191" s="4"/>
      <c r="G3191" s="5"/>
      <c r="H3191" s="6"/>
      <c r="I3191" s="7"/>
      <c r="J3191" s="6"/>
      <c r="K3191" s="6"/>
      <c r="L3191" s="3"/>
      <c r="M3191" s="3" t="str">
        <f>IFERROR(__xludf.DUMMYFUNCTION("""COMPUTED_VALUE"""),"")</f>
        <v/>
      </c>
    </row>
    <row r="3192" ht="48.0" customHeight="1">
      <c r="A3192" s="3"/>
      <c r="B3192" s="4"/>
      <c r="C3192" s="4"/>
      <c r="D3192" s="4"/>
      <c r="E3192" s="4"/>
      <c r="F3192" s="4"/>
      <c r="G3192" s="5"/>
      <c r="H3192" s="6"/>
      <c r="I3192" s="7"/>
      <c r="J3192" s="6"/>
      <c r="K3192" s="6"/>
      <c r="L3192" s="3"/>
      <c r="M3192" s="3" t="str">
        <f>IFERROR(__xludf.DUMMYFUNCTION("""COMPUTED_VALUE"""),"")</f>
        <v/>
      </c>
    </row>
    <row r="3193" ht="48.0" customHeight="1">
      <c r="A3193" s="3"/>
      <c r="B3193" s="4"/>
      <c r="C3193" s="4"/>
      <c r="D3193" s="4"/>
      <c r="E3193" s="4"/>
      <c r="F3193" s="4"/>
      <c r="G3193" s="5"/>
      <c r="H3193" s="6"/>
      <c r="I3193" s="7"/>
      <c r="J3193" s="6"/>
      <c r="K3193" s="6"/>
      <c r="L3193" s="3"/>
      <c r="M3193" s="3" t="str">
        <f>IFERROR(__xludf.DUMMYFUNCTION("""COMPUTED_VALUE"""),"")</f>
        <v/>
      </c>
    </row>
    <row r="3194" ht="48.0" customHeight="1">
      <c r="A3194" s="3"/>
      <c r="B3194" s="4"/>
      <c r="C3194" s="4"/>
      <c r="D3194" s="4"/>
      <c r="E3194" s="4"/>
      <c r="F3194" s="4"/>
      <c r="G3194" s="5"/>
      <c r="H3194" s="6"/>
      <c r="I3194" s="7"/>
      <c r="J3194" s="6"/>
      <c r="K3194" s="6"/>
      <c r="L3194" s="3"/>
      <c r="M3194" s="3" t="str">
        <f>IFERROR(__xludf.DUMMYFUNCTION("""COMPUTED_VALUE"""),"")</f>
        <v/>
      </c>
    </row>
    <row r="3195" ht="48.0" customHeight="1">
      <c r="A3195" s="3"/>
      <c r="B3195" s="4"/>
      <c r="C3195" s="4"/>
      <c r="D3195" s="4"/>
      <c r="E3195" s="4"/>
      <c r="F3195" s="4"/>
      <c r="G3195" s="5"/>
      <c r="H3195" s="6"/>
      <c r="I3195" s="7"/>
      <c r="J3195" s="6"/>
      <c r="K3195" s="6"/>
      <c r="L3195" s="3"/>
      <c r="M3195" s="3" t="str">
        <f>IFERROR(__xludf.DUMMYFUNCTION("""COMPUTED_VALUE"""),"")</f>
        <v/>
      </c>
    </row>
    <row r="3196" ht="48.0" customHeight="1">
      <c r="A3196" s="3"/>
      <c r="B3196" s="4"/>
      <c r="C3196" s="4"/>
      <c r="D3196" s="4"/>
      <c r="E3196" s="4"/>
      <c r="F3196" s="4"/>
      <c r="G3196" s="5"/>
      <c r="H3196" s="6"/>
      <c r="I3196" s="7"/>
      <c r="J3196" s="6"/>
      <c r="K3196" s="6"/>
      <c r="L3196" s="3"/>
      <c r="M3196" s="3" t="str">
        <f>IFERROR(__xludf.DUMMYFUNCTION("""COMPUTED_VALUE"""),"")</f>
        <v/>
      </c>
    </row>
    <row r="3197" ht="48.0" customHeight="1">
      <c r="A3197" s="3"/>
      <c r="B3197" s="4"/>
      <c r="C3197" s="4"/>
      <c r="D3197" s="4"/>
      <c r="E3197" s="4"/>
      <c r="F3197" s="4"/>
      <c r="G3197" s="5"/>
      <c r="H3197" s="6"/>
      <c r="I3197" s="7"/>
      <c r="J3197" s="6"/>
      <c r="K3197" s="6"/>
      <c r="L3197" s="3"/>
      <c r="M3197" s="3" t="str">
        <f>IFERROR(__xludf.DUMMYFUNCTION("""COMPUTED_VALUE"""),"")</f>
        <v/>
      </c>
    </row>
    <row r="3198" ht="48.0" customHeight="1">
      <c r="A3198" s="3"/>
      <c r="B3198" s="4"/>
      <c r="C3198" s="4"/>
      <c r="D3198" s="4"/>
      <c r="E3198" s="4"/>
      <c r="F3198" s="4"/>
      <c r="G3198" s="5"/>
      <c r="H3198" s="6"/>
      <c r="I3198" s="7"/>
      <c r="J3198" s="6"/>
      <c r="K3198" s="6"/>
      <c r="L3198" s="3"/>
      <c r="M3198" s="3" t="str">
        <f>IFERROR(__xludf.DUMMYFUNCTION("""COMPUTED_VALUE"""),"")</f>
        <v/>
      </c>
    </row>
    <row r="3199" ht="48.0" customHeight="1">
      <c r="A3199" s="3"/>
      <c r="B3199" s="4"/>
      <c r="C3199" s="4"/>
      <c r="D3199" s="4"/>
      <c r="E3199" s="4"/>
      <c r="F3199" s="4"/>
      <c r="G3199" s="5"/>
      <c r="H3199" s="6"/>
      <c r="I3199" s="7"/>
      <c r="J3199" s="6"/>
      <c r="K3199" s="6"/>
      <c r="L3199" s="3"/>
      <c r="M3199" s="3" t="str">
        <f>IFERROR(__xludf.DUMMYFUNCTION("""COMPUTED_VALUE"""),"")</f>
        <v/>
      </c>
    </row>
    <row r="3200" ht="48.0" customHeight="1">
      <c r="A3200" s="3"/>
      <c r="B3200" s="4"/>
      <c r="C3200" s="4"/>
      <c r="D3200" s="4"/>
      <c r="E3200" s="4"/>
      <c r="F3200" s="4"/>
      <c r="G3200" s="5"/>
      <c r="H3200" s="6"/>
      <c r="I3200" s="7"/>
      <c r="J3200" s="6"/>
      <c r="K3200" s="6"/>
      <c r="L3200" s="3"/>
      <c r="M3200" s="3" t="str">
        <f>IFERROR(__xludf.DUMMYFUNCTION("""COMPUTED_VALUE"""),"")</f>
        <v/>
      </c>
    </row>
    <row r="3201" ht="48.0" customHeight="1">
      <c r="A3201" s="3"/>
      <c r="B3201" s="4"/>
      <c r="C3201" s="4"/>
      <c r="D3201" s="4"/>
      <c r="E3201" s="4"/>
      <c r="F3201" s="4"/>
      <c r="G3201" s="5"/>
      <c r="H3201" s="6"/>
      <c r="I3201" s="7"/>
      <c r="J3201" s="6"/>
      <c r="K3201" s="6"/>
      <c r="L3201" s="3"/>
      <c r="M3201" s="3" t="str">
        <f>IFERROR(__xludf.DUMMYFUNCTION("""COMPUTED_VALUE"""),"")</f>
        <v/>
      </c>
    </row>
    <row r="3202" ht="48.0" customHeight="1">
      <c r="A3202" s="3"/>
      <c r="B3202" s="4"/>
      <c r="C3202" s="4"/>
      <c r="D3202" s="4"/>
      <c r="E3202" s="4"/>
      <c r="F3202" s="4"/>
      <c r="G3202" s="5"/>
      <c r="H3202" s="6"/>
      <c r="I3202" s="7"/>
      <c r="J3202" s="6"/>
      <c r="K3202" s="6"/>
      <c r="L3202" s="3"/>
      <c r="M3202" s="3" t="str">
        <f>IFERROR(__xludf.DUMMYFUNCTION("""COMPUTED_VALUE"""),"")</f>
        <v/>
      </c>
    </row>
    <row r="3203" ht="48.0" customHeight="1">
      <c r="A3203" s="3"/>
      <c r="B3203" s="4"/>
      <c r="C3203" s="4"/>
      <c r="D3203" s="4"/>
      <c r="E3203" s="4"/>
      <c r="F3203" s="4"/>
      <c r="G3203" s="5"/>
      <c r="H3203" s="6"/>
      <c r="I3203" s="7"/>
      <c r="J3203" s="6"/>
      <c r="K3203" s="6"/>
      <c r="L3203" s="3"/>
      <c r="M3203" s="3" t="str">
        <f>IFERROR(__xludf.DUMMYFUNCTION("""COMPUTED_VALUE"""),"")</f>
        <v/>
      </c>
    </row>
    <row r="3204" ht="48.0" customHeight="1">
      <c r="A3204" s="3"/>
      <c r="B3204" s="4"/>
      <c r="C3204" s="4"/>
      <c r="D3204" s="4"/>
      <c r="E3204" s="4"/>
      <c r="F3204" s="4"/>
      <c r="G3204" s="5"/>
      <c r="H3204" s="6"/>
      <c r="I3204" s="7"/>
      <c r="J3204" s="6"/>
      <c r="K3204" s="6"/>
      <c r="L3204" s="3"/>
      <c r="M3204" s="3" t="str">
        <f>IFERROR(__xludf.DUMMYFUNCTION("""COMPUTED_VALUE"""),"")</f>
        <v/>
      </c>
    </row>
    <row r="3205" ht="48.0" customHeight="1">
      <c r="A3205" s="3"/>
      <c r="B3205" s="4"/>
      <c r="C3205" s="4"/>
      <c r="D3205" s="4"/>
      <c r="E3205" s="4"/>
      <c r="F3205" s="4"/>
      <c r="G3205" s="5"/>
      <c r="H3205" s="6"/>
      <c r="I3205" s="7"/>
      <c r="J3205" s="6"/>
      <c r="K3205" s="6"/>
      <c r="L3205" s="3"/>
      <c r="M3205" s="3" t="str">
        <f>IFERROR(__xludf.DUMMYFUNCTION("""COMPUTED_VALUE"""),"")</f>
        <v/>
      </c>
    </row>
    <row r="3206" ht="48.0" customHeight="1">
      <c r="A3206" s="3"/>
      <c r="B3206" s="4"/>
      <c r="C3206" s="4"/>
      <c r="D3206" s="4"/>
      <c r="E3206" s="4"/>
      <c r="F3206" s="4"/>
      <c r="G3206" s="5"/>
      <c r="H3206" s="6"/>
      <c r="I3206" s="7"/>
      <c r="J3206" s="6"/>
      <c r="K3206" s="6"/>
      <c r="L3206" s="3"/>
      <c r="M3206" s="3" t="str">
        <f>IFERROR(__xludf.DUMMYFUNCTION("""COMPUTED_VALUE"""),"")</f>
        <v/>
      </c>
    </row>
    <row r="3207" ht="48.0" customHeight="1">
      <c r="A3207" s="3"/>
      <c r="B3207" s="4"/>
      <c r="C3207" s="4"/>
      <c r="D3207" s="4"/>
      <c r="E3207" s="4"/>
      <c r="F3207" s="4"/>
      <c r="G3207" s="5"/>
      <c r="H3207" s="6"/>
      <c r="I3207" s="7"/>
      <c r="J3207" s="6"/>
      <c r="K3207" s="6"/>
      <c r="L3207" s="3"/>
      <c r="M3207" s="3" t="str">
        <f>IFERROR(__xludf.DUMMYFUNCTION("""COMPUTED_VALUE"""),"")</f>
        <v/>
      </c>
    </row>
    <row r="3208" ht="48.0" customHeight="1">
      <c r="A3208" s="3"/>
      <c r="B3208" s="4"/>
      <c r="C3208" s="4"/>
      <c r="D3208" s="4"/>
      <c r="E3208" s="4"/>
      <c r="F3208" s="4"/>
      <c r="G3208" s="5"/>
      <c r="H3208" s="6"/>
      <c r="I3208" s="7"/>
      <c r="J3208" s="6"/>
      <c r="K3208" s="6"/>
      <c r="L3208" s="3"/>
      <c r="M3208" s="3" t="str">
        <f>IFERROR(__xludf.DUMMYFUNCTION("""COMPUTED_VALUE"""),"")</f>
        <v/>
      </c>
    </row>
    <row r="3209" ht="48.0" customHeight="1">
      <c r="A3209" s="3"/>
      <c r="B3209" s="4"/>
      <c r="C3209" s="4"/>
      <c r="D3209" s="4"/>
      <c r="E3209" s="4"/>
      <c r="F3209" s="4"/>
      <c r="G3209" s="5"/>
      <c r="H3209" s="6"/>
      <c r="I3209" s="7"/>
      <c r="J3209" s="6"/>
      <c r="K3209" s="6"/>
      <c r="L3209" s="3"/>
      <c r="M3209" s="3" t="str">
        <f>IFERROR(__xludf.DUMMYFUNCTION("""COMPUTED_VALUE"""),"")</f>
        <v/>
      </c>
    </row>
    <row r="3210" ht="48.0" customHeight="1">
      <c r="A3210" s="3"/>
      <c r="B3210" s="4"/>
      <c r="C3210" s="4"/>
      <c r="D3210" s="4"/>
      <c r="E3210" s="4"/>
      <c r="F3210" s="4"/>
      <c r="G3210" s="5"/>
      <c r="H3210" s="6"/>
      <c r="I3210" s="7"/>
      <c r="J3210" s="6"/>
      <c r="K3210" s="6"/>
      <c r="L3210" s="3"/>
      <c r="M3210" s="3" t="str">
        <f>IFERROR(__xludf.DUMMYFUNCTION("""COMPUTED_VALUE"""),"")</f>
        <v/>
      </c>
    </row>
    <row r="3211" ht="48.0" customHeight="1">
      <c r="A3211" s="3"/>
      <c r="B3211" s="4"/>
      <c r="C3211" s="4"/>
      <c r="D3211" s="4"/>
      <c r="E3211" s="4"/>
      <c r="F3211" s="4"/>
      <c r="G3211" s="5"/>
      <c r="H3211" s="6"/>
      <c r="I3211" s="7"/>
      <c r="J3211" s="6"/>
      <c r="K3211" s="6"/>
      <c r="L3211" s="3"/>
      <c r="M3211" s="3" t="str">
        <f>IFERROR(__xludf.DUMMYFUNCTION("""COMPUTED_VALUE"""),"")</f>
        <v/>
      </c>
    </row>
    <row r="3212" ht="48.0" customHeight="1">
      <c r="A3212" s="3"/>
      <c r="B3212" s="4"/>
      <c r="C3212" s="4"/>
      <c r="D3212" s="4"/>
      <c r="E3212" s="4"/>
      <c r="F3212" s="4"/>
      <c r="G3212" s="5"/>
      <c r="H3212" s="6"/>
      <c r="I3212" s="7"/>
      <c r="J3212" s="6"/>
      <c r="K3212" s="6"/>
      <c r="L3212" s="3"/>
      <c r="M3212" s="3" t="str">
        <f>IFERROR(__xludf.DUMMYFUNCTION("""COMPUTED_VALUE"""),"")</f>
        <v/>
      </c>
    </row>
    <row r="3213" ht="48.0" customHeight="1">
      <c r="A3213" s="3"/>
      <c r="B3213" s="4"/>
      <c r="C3213" s="4"/>
      <c r="D3213" s="4"/>
      <c r="E3213" s="4"/>
      <c r="F3213" s="4"/>
      <c r="G3213" s="5"/>
      <c r="H3213" s="6"/>
      <c r="I3213" s="7"/>
      <c r="J3213" s="6"/>
      <c r="K3213" s="6"/>
      <c r="L3213" s="3"/>
      <c r="M3213" s="3" t="str">
        <f>IFERROR(__xludf.DUMMYFUNCTION("""COMPUTED_VALUE"""),"")</f>
        <v/>
      </c>
    </row>
    <row r="3214" ht="48.0" customHeight="1">
      <c r="A3214" s="3"/>
      <c r="B3214" s="4"/>
      <c r="C3214" s="4"/>
      <c r="D3214" s="4"/>
      <c r="E3214" s="4"/>
      <c r="F3214" s="4"/>
      <c r="G3214" s="5"/>
      <c r="H3214" s="6"/>
      <c r="I3214" s="7"/>
      <c r="J3214" s="6"/>
      <c r="K3214" s="6"/>
      <c r="L3214" s="3"/>
      <c r="M3214" s="3" t="str">
        <f>IFERROR(__xludf.DUMMYFUNCTION("""COMPUTED_VALUE"""),"")</f>
        <v/>
      </c>
    </row>
    <row r="3215" ht="48.0" customHeight="1">
      <c r="A3215" s="3"/>
      <c r="B3215" s="4"/>
      <c r="C3215" s="4"/>
      <c r="D3215" s="4"/>
      <c r="E3215" s="4"/>
      <c r="F3215" s="4"/>
      <c r="G3215" s="5"/>
      <c r="H3215" s="6"/>
      <c r="I3215" s="7"/>
      <c r="J3215" s="6"/>
      <c r="K3215" s="6"/>
      <c r="L3215" s="3"/>
      <c r="M3215" s="3" t="str">
        <f>IFERROR(__xludf.DUMMYFUNCTION("""COMPUTED_VALUE"""),"")</f>
        <v/>
      </c>
    </row>
    <row r="3216" ht="48.0" customHeight="1">
      <c r="A3216" s="3"/>
      <c r="B3216" s="4"/>
      <c r="C3216" s="4"/>
      <c r="D3216" s="4"/>
      <c r="E3216" s="4"/>
      <c r="F3216" s="4"/>
      <c r="G3216" s="5"/>
      <c r="H3216" s="6"/>
      <c r="I3216" s="7"/>
      <c r="J3216" s="6"/>
      <c r="K3216" s="6"/>
      <c r="L3216" s="3"/>
      <c r="M3216" s="3" t="str">
        <f>IFERROR(__xludf.DUMMYFUNCTION("""COMPUTED_VALUE"""),"")</f>
        <v/>
      </c>
    </row>
    <row r="3217" ht="48.0" customHeight="1">
      <c r="A3217" s="3"/>
      <c r="B3217" s="4"/>
      <c r="C3217" s="4"/>
      <c r="D3217" s="4"/>
      <c r="E3217" s="4"/>
      <c r="F3217" s="4"/>
      <c r="G3217" s="5"/>
      <c r="H3217" s="6"/>
      <c r="I3217" s="7"/>
      <c r="J3217" s="6"/>
      <c r="K3217" s="6"/>
      <c r="L3217" s="3"/>
      <c r="M3217" s="3" t="str">
        <f>IFERROR(__xludf.DUMMYFUNCTION("""COMPUTED_VALUE"""),"")</f>
        <v/>
      </c>
    </row>
    <row r="3218" ht="48.0" customHeight="1">
      <c r="A3218" s="3"/>
      <c r="B3218" s="4"/>
      <c r="C3218" s="4"/>
      <c r="D3218" s="4"/>
      <c r="E3218" s="4"/>
      <c r="F3218" s="4"/>
      <c r="G3218" s="5"/>
      <c r="H3218" s="6"/>
      <c r="I3218" s="7"/>
      <c r="J3218" s="6"/>
      <c r="K3218" s="6"/>
      <c r="L3218" s="3"/>
      <c r="M3218" s="3" t="str">
        <f>IFERROR(__xludf.DUMMYFUNCTION("""COMPUTED_VALUE"""),"")</f>
        <v/>
      </c>
    </row>
    <row r="3219" ht="48.0" customHeight="1">
      <c r="A3219" s="3"/>
      <c r="B3219" s="4"/>
      <c r="C3219" s="4"/>
      <c r="D3219" s="4"/>
      <c r="E3219" s="4"/>
      <c r="F3219" s="4"/>
      <c r="G3219" s="5"/>
      <c r="H3219" s="6"/>
      <c r="I3219" s="7"/>
      <c r="J3219" s="6"/>
      <c r="K3219" s="6"/>
      <c r="L3219" s="3"/>
      <c r="M3219" s="3" t="str">
        <f>IFERROR(__xludf.DUMMYFUNCTION("""COMPUTED_VALUE"""),"")</f>
        <v/>
      </c>
    </row>
    <row r="3220" ht="48.0" customHeight="1">
      <c r="A3220" s="3"/>
      <c r="B3220" s="4"/>
      <c r="C3220" s="4"/>
      <c r="D3220" s="4"/>
      <c r="E3220" s="4"/>
      <c r="F3220" s="4"/>
      <c r="G3220" s="5"/>
      <c r="H3220" s="6"/>
      <c r="I3220" s="7"/>
      <c r="J3220" s="6"/>
      <c r="K3220" s="6"/>
      <c r="L3220" s="3"/>
      <c r="M3220" s="3" t="str">
        <f>IFERROR(__xludf.DUMMYFUNCTION("""COMPUTED_VALUE"""),"")</f>
        <v/>
      </c>
    </row>
    <row r="3221" ht="48.0" customHeight="1">
      <c r="A3221" s="3"/>
      <c r="B3221" s="4"/>
      <c r="C3221" s="4"/>
      <c r="D3221" s="4"/>
      <c r="E3221" s="4"/>
      <c r="F3221" s="4"/>
      <c r="G3221" s="5"/>
      <c r="H3221" s="6"/>
      <c r="I3221" s="7"/>
      <c r="J3221" s="6"/>
      <c r="K3221" s="6"/>
      <c r="L3221" s="3"/>
      <c r="M3221" s="3" t="str">
        <f>IFERROR(__xludf.DUMMYFUNCTION("""COMPUTED_VALUE"""),"")</f>
        <v/>
      </c>
    </row>
    <row r="3222" ht="48.0" customHeight="1">
      <c r="A3222" s="3"/>
      <c r="B3222" s="4"/>
      <c r="C3222" s="4"/>
      <c r="D3222" s="4"/>
      <c r="E3222" s="4"/>
      <c r="F3222" s="4"/>
      <c r="G3222" s="5"/>
      <c r="H3222" s="6"/>
      <c r="I3222" s="7"/>
      <c r="J3222" s="6"/>
      <c r="K3222" s="6"/>
      <c r="L3222" s="3"/>
      <c r="M3222" s="3" t="str">
        <f>IFERROR(__xludf.DUMMYFUNCTION("""COMPUTED_VALUE"""),"")</f>
        <v/>
      </c>
    </row>
    <row r="3223" ht="48.0" customHeight="1">
      <c r="A3223" s="3"/>
      <c r="B3223" s="4"/>
      <c r="C3223" s="4"/>
      <c r="D3223" s="4"/>
      <c r="E3223" s="4"/>
      <c r="F3223" s="4"/>
      <c r="G3223" s="5"/>
      <c r="H3223" s="6"/>
      <c r="I3223" s="7"/>
      <c r="J3223" s="6"/>
      <c r="K3223" s="6"/>
      <c r="L3223" s="3"/>
      <c r="M3223" s="3" t="str">
        <f>IFERROR(__xludf.DUMMYFUNCTION("""COMPUTED_VALUE"""),"")</f>
        <v/>
      </c>
    </row>
    <row r="3224" ht="48.0" customHeight="1">
      <c r="A3224" s="3"/>
      <c r="B3224" s="4"/>
      <c r="C3224" s="4"/>
      <c r="D3224" s="4"/>
      <c r="E3224" s="4"/>
      <c r="F3224" s="4"/>
      <c r="G3224" s="5"/>
      <c r="H3224" s="6"/>
      <c r="I3224" s="7"/>
      <c r="J3224" s="6"/>
      <c r="K3224" s="6"/>
      <c r="L3224" s="3"/>
      <c r="M3224" s="3" t="str">
        <f>IFERROR(__xludf.DUMMYFUNCTION("""COMPUTED_VALUE"""),"")</f>
        <v/>
      </c>
    </row>
    <row r="3225" ht="48.0" customHeight="1">
      <c r="A3225" s="3"/>
      <c r="B3225" s="4"/>
      <c r="C3225" s="4"/>
      <c r="D3225" s="4"/>
      <c r="E3225" s="4"/>
      <c r="F3225" s="4"/>
      <c r="G3225" s="5"/>
      <c r="H3225" s="6"/>
      <c r="I3225" s="7"/>
      <c r="J3225" s="6"/>
      <c r="K3225" s="6"/>
      <c r="L3225" s="3"/>
      <c r="M3225" s="3" t="str">
        <f>IFERROR(__xludf.DUMMYFUNCTION("""COMPUTED_VALUE"""),"")</f>
        <v/>
      </c>
    </row>
    <row r="3226" ht="48.0" customHeight="1">
      <c r="A3226" s="3"/>
      <c r="B3226" s="4"/>
      <c r="C3226" s="4"/>
      <c r="D3226" s="4"/>
      <c r="E3226" s="4"/>
      <c r="F3226" s="4"/>
      <c r="G3226" s="5"/>
      <c r="H3226" s="6"/>
      <c r="I3226" s="7"/>
      <c r="J3226" s="6"/>
      <c r="K3226" s="6"/>
      <c r="L3226" s="3"/>
      <c r="M3226" s="3" t="str">
        <f>IFERROR(__xludf.DUMMYFUNCTION("""COMPUTED_VALUE"""),"")</f>
        <v/>
      </c>
    </row>
    <row r="3227" ht="48.0" customHeight="1">
      <c r="A3227" s="3"/>
      <c r="B3227" s="4"/>
      <c r="C3227" s="4"/>
      <c r="D3227" s="4"/>
      <c r="E3227" s="4"/>
      <c r="F3227" s="4"/>
      <c r="G3227" s="5"/>
      <c r="H3227" s="6"/>
      <c r="I3227" s="7"/>
      <c r="J3227" s="6"/>
      <c r="K3227" s="6"/>
      <c r="L3227" s="3"/>
      <c r="M3227" s="3" t="str">
        <f>IFERROR(__xludf.DUMMYFUNCTION("""COMPUTED_VALUE"""),"")</f>
        <v/>
      </c>
    </row>
    <row r="3228" ht="48.0" customHeight="1">
      <c r="A3228" s="3"/>
      <c r="B3228" s="4"/>
      <c r="C3228" s="4"/>
      <c r="D3228" s="4"/>
      <c r="E3228" s="4"/>
      <c r="F3228" s="4"/>
      <c r="G3228" s="5"/>
      <c r="H3228" s="6"/>
      <c r="I3228" s="7"/>
      <c r="J3228" s="6"/>
      <c r="K3228" s="6"/>
      <c r="L3228" s="3"/>
      <c r="M3228" s="3" t="str">
        <f>IFERROR(__xludf.DUMMYFUNCTION("""COMPUTED_VALUE"""),"")</f>
        <v/>
      </c>
    </row>
    <row r="3229" ht="48.0" customHeight="1">
      <c r="A3229" s="3"/>
      <c r="B3229" s="4"/>
      <c r="C3229" s="4"/>
      <c r="D3229" s="4"/>
      <c r="E3229" s="4"/>
      <c r="F3229" s="4"/>
      <c r="G3229" s="5"/>
      <c r="H3229" s="6"/>
      <c r="I3229" s="7"/>
      <c r="J3229" s="6"/>
      <c r="K3229" s="6"/>
      <c r="L3229" s="3"/>
      <c r="M3229" s="3" t="str">
        <f>IFERROR(__xludf.DUMMYFUNCTION("""COMPUTED_VALUE"""),"")</f>
        <v/>
      </c>
    </row>
    <row r="3230" ht="48.0" customHeight="1">
      <c r="A3230" s="3"/>
      <c r="B3230" s="4"/>
      <c r="C3230" s="4"/>
      <c r="D3230" s="4"/>
      <c r="E3230" s="4"/>
      <c r="F3230" s="4"/>
      <c r="G3230" s="5"/>
      <c r="H3230" s="6"/>
      <c r="I3230" s="7"/>
      <c r="J3230" s="6"/>
      <c r="K3230" s="6"/>
      <c r="L3230" s="3"/>
      <c r="M3230" s="3" t="str">
        <f>IFERROR(__xludf.DUMMYFUNCTION("""COMPUTED_VALUE"""),"")</f>
        <v/>
      </c>
    </row>
    <row r="3231" ht="48.0" customHeight="1">
      <c r="A3231" s="3"/>
      <c r="B3231" s="4"/>
      <c r="C3231" s="4"/>
      <c r="D3231" s="4"/>
      <c r="E3231" s="4"/>
      <c r="F3231" s="4"/>
      <c r="G3231" s="5"/>
      <c r="H3231" s="6"/>
      <c r="I3231" s="7"/>
      <c r="J3231" s="6"/>
      <c r="K3231" s="6"/>
      <c r="L3231" s="3"/>
      <c r="M3231" s="3" t="str">
        <f>IFERROR(__xludf.DUMMYFUNCTION("""COMPUTED_VALUE"""),"")</f>
        <v/>
      </c>
    </row>
    <row r="3232" ht="48.0" customHeight="1">
      <c r="A3232" s="3"/>
      <c r="B3232" s="4"/>
      <c r="C3232" s="4"/>
      <c r="D3232" s="4"/>
      <c r="E3232" s="4"/>
      <c r="F3232" s="4"/>
      <c r="G3232" s="5"/>
      <c r="H3232" s="6"/>
      <c r="I3232" s="7"/>
      <c r="J3232" s="6"/>
      <c r="K3232" s="6"/>
      <c r="L3232" s="3"/>
      <c r="M3232" s="3" t="str">
        <f>IFERROR(__xludf.DUMMYFUNCTION("""COMPUTED_VALUE"""),"")</f>
        <v/>
      </c>
    </row>
    <row r="3233" ht="48.0" customHeight="1">
      <c r="A3233" s="3"/>
      <c r="B3233" s="4"/>
      <c r="C3233" s="4"/>
      <c r="D3233" s="4"/>
      <c r="E3233" s="4"/>
      <c r="F3233" s="4"/>
      <c r="G3233" s="5"/>
      <c r="H3233" s="6"/>
      <c r="I3233" s="7"/>
      <c r="J3233" s="6"/>
      <c r="K3233" s="6"/>
      <c r="L3233" s="3"/>
      <c r="M3233" s="3" t="str">
        <f>IFERROR(__xludf.DUMMYFUNCTION("""COMPUTED_VALUE"""),"")</f>
        <v/>
      </c>
    </row>
    <row r="3234" ht="48.0" customHeight="1">
      <c r="A3234" s="3"/>
      <c r="B3234" s="4"/>
      <c r="C3234" s="4"/>
      <c r="D3234" s="4"/>
      <c r="E3234" s="4"/>
      <c r="F3234" s="4"/>
      <c r="G3234" s="5"/>
      <c r="H3234" s="6"/>
      <c r="I3234" s="7"/>
      <c r="J3234" s="6"/>
      <c r="K3234" s="6"/>
      <c r="L3234" s="3"/>
      <c r="M3234" s="3" t="str">
        <f>IFERROR(__xludf.DUMMYFUNCTION("""COMPUTED_VALUE"""),"")</f>
        <v/>
      </c>
    </row>
    <row r="3235" ht="48.0" customHeight="1">
      <c r="A3235" s="3"/>
      <c r="B3235" s="4"/>
      <c r="C3235" s="4"/>
      <c r="D3235" s="4"/>
      <c r="E3235" s="4"/>
      <c r="F3235" s="4"/>
      <c r="G3235" s="5"/>
      <c r="H3235" s="6"/>
      <c r="I3235" s="7"/>
      <c r="J3235" s="6"/>
      <c r="K3235" s="6"/>
      <c r="L3235" s="3"/>
      <c r="M3235" s="3" t="str">
        <f>IFERROR(__xludf.DUMMYFUNCTION("""COMPUTED_VALUE"""),"")</f>
        <v/>
      </c>
    </row>
    <row r="3236" ht="48.0" customHeight="1">
      <c r="A3236" s="3"/>
      <c r="B3236" s="4"/>
      <c r="C3236" s="4"/>
      <c r="D3236" s="4"/>
      <c r="E3236" s="4"/>
      <c r="F3236" s="4"/>
      <c r="G3236" s="5"/>
      <c r="H3236" s="6"/>
      <c r="I3236" s="7"/>
      <c r="J3236" s="6"/>
      <c r="K3236" s="6"/>
      <c r="L3236" s="3"/>
      <c r="M3236" s="3" t="str">
        <f>IFERROR(__xludf.DUMMYFUNCTION("""COMPUTED_VALUE"""),"")</f>
        <v/>
      </c>
    </row>
    <row r="3237" ht="48.0" customHeight="1">
      <c r="A3237" s="3"/>
      <c r="B3237" s="4"/>
      <c r="C3237" s="4"/>
      <c r="D3237" s="4"/>
      <c r="E3237" s="4"/>
      <c r="F3237" s="4"/>
      <c r="G3237" s="5"/>
      <c r="H3237" s="6"/>
      <c r="I3237" s="7"/>
      <c r="J3237" s="6"/>
      <c r="K3237" s="6"/>
      <c r="L3237" s="3"/>
      <c r="M3237" s="3" t="str">
        <f>IFERROR(__xludf.DUMMYFUNCTION("""COMPUTED_VALUE"""),"")</f>
        <v/>
      </c>
    </row>
    <row r="3238" ht="48.0" customHeight="1">
      <c r="A3238" s="3"/>
      <c r="B3238" s="4"/>
      <c r="C3238" s="4"/>
      <c r="D3238" s="4"/>
      <c r="E3238" s="4"/>
      <c r="F3238" s="4"/>
      <c r="G3238" s="5"/>
      <c r="H3238" s="6"/>
      <c r="I3238" s="7"/>
      <c r="J3238" s="6"/>
      <c r="K3238" s="6"/>
      <c r="L3238" s="3"/>
      <c r="M3238" s="3" t="str">
        <f>IFERROR(__xludf.DUMMYFUNCTION("""COMPUTED_VALUE"""),"")</f>
        <v/>
      </c>
    </row>
    <row r="3239" ht="48.0" customHeight="1">
      <c r="A3239" s="3"/>
      <c r="B3239" s="4"/>
      <c r="C3239" s="4"/>
      <c r="D3239" s="4"/>
      <c r="E3239" s="4"/>
      <c r="F3239" s="4"/>
      <c r="G3239" s="5"/>
      <c r="H3239" s="6"/>
      <c r="I3239" s="7"/>
      <c r="J3239" s="6"/>
      <c r="K3239" s="6"/>
      <c r="L3239" s="3"/>
      <c r="M3239" s="3" t="str">
        <f>IFERROR(__xludf.DUMMYFUNCTION("""COMPUTED_VALUE"""),"")</f>
        <v/>
      </c>
    </row>
    <row r="3240" ht="48.0" customHeight="1">
      <c r="A3240" s="3"/>
      <c r="B3240" s="4"/>
      <c r="C3240" s="4"/>
      <c r="D3240" s="4"/>
      <c r="E3240" s="4"/>
      <c r="F3240" s="4"/>
      <c r="G3240" s="5"/>
      <c r="H3240" s="6"/>
      <c r="I3240" s="7"/>
      <c r="J3240" s="6"/>
      <c r="K3240" s="6"/>
      <c r="L3240" s="3"/>
      <c r="M3240" s="3" t="str">
        <f>IFERROR(__xludf.DUMMYFUNCTION("""COMPUTED_VALUE"""),"")</f>
        <v/>
      </c>
    </row>
    <row r="3241" ht="48.0" customHeight="1">
      <c r="A3241" s="3"/>
      <c r="B3241" s="4"/>
      <c r="C3241" s="4"/>
      <c r="D3241" s="4"/>
      <c r="E3241" s="4"/>
      <c r="F3241" s="4"/>
      <c r="G3241" s="5"/>
      <c r="H3241" s="6"/>
      <c r="I3241" s="7"/>
      <c r="J3241" s="6"/>
      <c r="K3241" s="6"/>
      <c r="L3241" s="3"/>
      <c r="M3241" s="3" t="str">
        <f>IFERROR(__xludf.DUMMYFUNCTION("""COMPUTED_VALUE"""),"")</f>
        <v/>
      </c>
    </row>
    <row r="3242" ht="48.0" customHeight="1">
      <c r="A3242" s="3"/>
      <c r="B3242" s="4"/>
      <c r="C3242" s="4"/>
      <c r="D3242" s="4"/>
      <c r="E3242" s="4"/>
      <c r="F3242" s="4"/>
      <c r="G3242" s="5"/>
      <c r="H3242" s="6"/>
      <c r="I3242" s="7"/>
      <c r="J3242" s="6"/>
      <c r="K3242" s="6"/>
      <c r="L3242" s="3"/>
      <c r="M3242" s="3" t="str">
        <f>IFERROR(__xludf.DUMMYFUNCTION("""COMPUTED_VALUE"""),"")</f>
        <v/>
      </c>
    </row>
    <row r="3243" ht="48.0" customHeight="1">
      <c r="A3243" s="3"/>
      <c r="B3243" s="4"/>
      <c r="C3243" s="4"/>
      <c r="D3243" s="4"/>
      <c r="E3243" s="4"/>
      <c r="F3243" s="4"/>
      <c r="G3243" s="5"/>
      <c r="H3243" s="6"/>
      <c r="I3243" s="7"/>
      <c r="J3243" s="6"/>
      <c r="K3243" s="6"/>
      <c r="L3243" s="3"/>
      <c r="M3243" s="3" t="str">
        <f>IFERROR(__xludf.DUMMYFUNCTION("""COMPUTED_VALUE"""),"")</f>
        <v/>
      </c>
    </row>
    <row r="3244" ht="48.0" customHeight="1">
      <c r="A3244" s="3"/>
      <c r="B3244" s="4"/>
      <c r="C3244" s="4"/>
      <c r="D3244" s="4"/>
      <c r="E3244" s="4"/>
      <c r="F3244" s="4"/>
      <c r="G3244" s="5"/>
      <c r="H3244" s="6"/>
      <c r="I3244" s="7"/>
      <c r="J3244" s="6"/>
      <c r="K3244" s="6"/>
      <c r="L3244" s="3"/>
      <c r="M3244" s="3" t="str">
        <f>IFERROR(__xludf.DUMMYFUNCTION("""COMPUTED_VALUE"""),"")</f>
        <v/>
      </c>
    </row>
    <row r="3245" ht="48.0" customHeight="1">
      <c r="A3245" s="3"/>
      <c r="B3245" s="4"/>
      <c r="C3245" s="4"/>
      <c r="D3245" s="4"/>
      <c r="E3245" s="4"/>
      <c r="F3245" s="4"/>
      <c r="G3245" s="5"/>
      <c r="H3245" s="6"/>
      <c r="I3245" s="7"/>
      <c r="J3245" s="6"/>
      <c r="K3245" s="6"/>
      <c r="L3245" s="3"/>
      <c r="M3245" s="3" t="str">
        <f>IFERROR(__xludf.DUMMYFUNCTION("""COMPUTED_VALUE"""),"")</f>
        <v/>
      </c>
    </row>
    <row r="3246" ht="48.0" customHeight="1">
      <c r="A3246" s="3"/>
      <c r="B3246" s="4"/>
      <c r="C3246" s="4"/>
      <c r="D3246" s="4"/>
      <c r="E3246" s="4"/>
      <c r="F3246" s="4"/>
      <c r="G3246" s="5"/>
      <c r="H3246" s="6"/>
      <c r="I3246" s="7"/>
      <c r="J3246" s="6"/>
      <c r="K3246" s="6"/>
      <c r="L3246" s="3"/>
      <c r="M3246" s="3" t="str">
        <f>IFERROR(__xludf.DUMMYFUNCTION("""COMPUTED_VALUE"""),"")</f>
        <v/>
      </c>
    </row>
    <row r="3247" ht="48.0" customHeight="1">
      <c r="A3247" s="3"/>
      <c r="B3247" s="4"/>
      <c r="C3247" s="4"/>
      <c r="D3247" s="4"/>
      <c r="E3247" s="4"/>
      <c r="F3247" s="4"/>
      <c r="G3247" s="5"/>
      <c r="H3247" s="6"/>
      <c r="I3247" s="7"/>
      <c r="J3247" s="6"/>
      <c r="K3247" s="6"/>
      <c r="L3247" s="3"/>
      <c r="M3247" s="3" t="str">
        <f>IFERROR(__xludf.DUMMYFUNCTION("""COMPUTED_VALUE"""),"")</f>
        <v/>
      </c>
    </row>
    <row r="3248" ht="48.0" customHeight="1">
      <c r="A3248" s="3"/>
      <c r="B3248" s="4"/>
      <c r="C3248" s="4"/>
      <c r="D3248" s="4"/>
      <c r="E3248" s="4"/>
      <c r="F3248" s="4"/>
      <c r="G3248" s="5"/>
      <c r="H3248" s="6"/>
      <c r="I3248" s="7"/>
      <c r="J3248" s="6"/>
      <c r="K3248" s="6"/>
      <c r="L3248" s="3"/>
      <c r="M3248" s="3" t="str">
        <f>IFERROR(__xludf.DUMMYFUNCTION("""COMPUTED_VALUE"""),"")</f>
        <v/>
      </c>
    </row>
    <row r="3249" ht="48.0" customHeight="1">
      <c r="A3249" s="3"/>
      <c r="B3249" s="4"/>
      <c r="C3249" s="4"/>
      <c r="D3249" s="4"/>
      <c r="E3249" s="4"/>
      <c r="F3249" s="4"/>
      <c r="G3249" s="5"/>
      <c r="H3249" s="6"/>
      <c r="I3249" s="7"/>
      <c r="J3249" s="6"/>
      <c r="K3249" s="6"/>
      <c r="L3249" s="3"/>
      <c r="M3249" s="3" t="str">
        <f>IFERROR(__xludf.DUMMYFUNCTION("""COMPUTED_VALUE"""),"")</f>
        <v/>
      </c>
    </row>
    <row r="3250" ht="48.0" customHeight="1">
      <c r="A3250" s="3"/>
      <c r="B3250" s="4"/>
      <c r="C3250" s="4"/>
      <c r="D3250" s="4"/>
      <c r="E3250" s="4"/>
      <c r="F3250" s="4"/>
      <c r="G3250" s="5"/>
      <c r="H3250" s="6"/>
      <c r="I3250" s="7"/>
      <c r="J3250" s="6"/>
      <c r="K3250" s="6"/>
      <c r="L3250" s="3"/>
      <c r="M3250" s="3" t="str">
        <f>IFERROR(__xludf.DUMMYFUNCTION("""COMPUTED_VALUE"""),"")</f>
        <v/>
      </c>
    </row>
    <row r="3251" ht="48.0" customHeight="1">
      <c r="A3251" s="3"/>
      <c r="B3251" s="4"/>
      <c r="C3251" s="4"/>
      <c r="D3251" s="4"/>
      <c r="E3251" s="4"/>
      <c r="F3251" s="4"/>
      <c r="G3251" s="5"/>
      <c r="H3251" s="6"/>
      <c r="I3251" s="7"/>
      <c r="J3251" s="6"/>
      <c r="K3251" s="6"/>
      <c r="L3251" s="3"/>
      <c r="M3251" s="3" t="str">
        <f>IFERROR(__xludf.DUMMYFUNCTION("""COMPUTED_VALUE"""),"")</f>
        <v/>
      </c>
    </row>
    <row r="3252" ht="48.0" customHeight="1">
      <c r="A3252" s="3"/>
      <c r="B3252" s="4"/>
      <c r="C3252" s="4"/>
      <c r="D3252" s="4"/>
      <c r="E3252" s="4"/>
      <c r="F3252" s="4"/>
      <c r="G3252" s="5"/>
      <c r="H3252" s="6"/>
      <c r="I3252" s="7"/>
      <c r="J3252" s="6"/>
      <c r="K3252" s="6"/>
      <c r="L3252" s="3"/>
      <c r="M3252" s="3" t="str">
        <f>IFERROR(__xludf.DUMMYFUNCTION("""COMPUTED_VALUE"""),"")</f>
        <v/>
      </c>
    </row>
    <row r="3253" ht="48.0" customHeight="1">
      <c r="A3253" s="3"/>
      <c r="B3253" s="4"/>
      <c r="C3253" s="4"/>
      <c r="D3253" s="4"/>
      <c r="E3253" s="4"/>
      <c r="F3253" s="4"/>
      <c r="G3253" s="5"/>
      <c r="H3253" s="6"/>
      <c r="I3253" s="7"/>
      <c r="J3253" s="6"/>
      <c r="K3253" s="6"/>
      <c r="L3253" s="3"/>
      <c r="M3253" s="3" t="str">
        <f>IFERROR(__xludf.DUMMYFUNCTION("""COMPUTED_VALUE"""),"")</f>
        <v/>
      </c>
    </row>
    <row r="3254" ht="48.0" customHeight="1">
      <c r="A3254" s="3"/>
      <c r="B3254" s="4"/>
      <c r="C3254" s="4"/>
      <c r="D3254" s="4"/>
      <c r="E3254" s="4"/>
      <c r="F3254" s="4"/>
      <c r="G3254" s="5"/>
      <c r="H3254" s="6"/>
      <c r="I3254" s="7"/>
      <c r="J3254" s="6"/>
      <c r="K3254" s="6"/>
      <c r="L3254" s="3"/>
      <c r="M3254" s="3" t="str">
        <f>IFERROR(__xludf.DUMMYFUNCTION("""COMPUTED_VALUE"""),"")</f>
        <v/>
      </c>
    </row>
    <row r="3255" ht="48.0" customHeight="1">
      <c r="A3255" s="3"/>
      <c r="B3255" s="4"/>
      <c r="C3255" s="4"/>
      <c r="D3255" s="4"/>
      <c r="E3255" s="4"/>
      <c r="F3255" s="4"/>
      <c r="G3255" s="5"/>
      <c r="H3255" s="6"/>
      <c r="I3255" s="7"/>
      <c r="J3255" s="6"/>
      <c r="K3255" s="6"/>
      <c r="L3255" s="3"/>
      <c r="M3255" s="3" t="str">
        <f>IFERROR(__xludf.DUMMYFUNCTION("""COMPUTED_VALUE"""),"")</f>
        <v/>
      </c>
    </row>
    <row r="3256" ht="48.0" customHeight="1">
      <c r="A3256" s="3"/>
      <c r="B3256" s="4"/>
      <c r="C3256" s="4"/>
      <c r="D3256" s="4"/>
      <c r="E3256" s="4"/>
      <c r="F3256" s="4"/>
      <c r="G3256" s="5"/>
      <c r="H3256" s="6"/>
      <c r="I3256" s="7"/>
      <c r="J3256" s="6"/>
      <c r="K3256" s="6"/>
      <c r="L3256" s="3"/>
      <c r="M3256" s="3" t="str">
        <f>IFERROR(__xludf.DUMMYFUNCTION("""COMPUTED_VALUE"""),"")</f>
        <v/>
      </c>
    </row>
    <row r="3257" ht="48.0" customHeight="1">
      <c r="A3257" s="3"/>
      <c r="B3257" s="4"/>
      <c r="C3257" s="4"/>
      <c r="D3257" s="4"/>
      <c r="E3257" s="4"/>
      <c r="F3257" s="4"/>
      <c r="G3257" s="5"/>
      <c r="H3257" s="6"/>
      <c r="I3257" s="7"/>
      <c r="J3257" s="6"/>
      <c r="K3257" s="6"/>
      <c r="L3257" s="3"/>
      <c r="M3257" s="3" t="str">
        <f>IFERROR(__xludf.DUMMYFUNCTION("""COMPUTED_VALUE"""),"")</f>
        <v/>
      </c>
    </row>
    <row r="3258" ht="48.0" customHeight="1">
      <c r="A3258" s="3"/>
      <c r="B3258" s="4"/>
      <c r="C3258" s="4"/>
      <c r="D3258" s="4"/>
      <c r="E3258" s="4"/>
      <c r="F3258" s="4"/>
      <c r="G3258" s="5"/>
      <c r="H3258" s="6"/>
      <c r="I3258" s="7"/>
      <c r="J3258" s="6"/>
      <c r="K3258" s="6"/>
      <c r="L3258" s="3"/>
      <c r="M3258" s="3" t="str">
        <f>IFERROR(__xludf.DUMMYFUNCTION("""COMPUTED_VALUE"""),"")</f>
        <v/>
      </c>
    </row>
    <row r="3259" ht="48.0" customHeight="1">
      <c r="A3259" s="3"/>
      <c r="B3259" s="4"/>
      <c r="C3259" s="4"/>
      <c r="D3259" s="4"/>
      <c r="E3259" s="4"/>
      <c r="F3259" s="4"/>
      <c r="G3259" s="5"/>
      <c r="H3259" s="6"/>
      <c r="I3259" s="7"/>
      <c r="J3259" s="6"/>
      <c r="K3259" s="6"/>
      <c r="L3259" s="3"/>
      <c r="M3259" s="3" t="str">
        <f>IFERROR(__xludf.DUMMYFUNCTION("""COMPUTED_VALUE"""),"")</f>
        <v/>
      </c>
    </row>
    <row r="3260" ht="48.0" customHeight="1">
      <c r="A3260" s="3"/>
      <c r="B3260" s="4"/>
      <c r="C3260" s="4"/>
      <c r="D3260" s="4"/>
      <c r="E3260" s="4"/>
      <c r="F3260" s="4"/>
      <c r="G3260" s="5"/>
      <c r="H3260" s="6"/>
      <c r="I3260" s="7"/>
      <c r="J3260" s="6"/>
      <c r="K3260" s="6"/>
      <c r="L3260" s="3"/>
      <c r="M3260" s="3" t="str">
        <f>IFERROR(__xludf.DUMMYFUNCTION("""COMPUTED_VALUE"""),"")</f>
        <v/>
      </c>
    </row>
    <row r="3261" ht="48.0" customHeight="1">
      <c r="A3261" s="3"/>
      <c r="B3261" s="4"/>
      <c r="C3261" s="4"/>
      <c r="D3261" s="4"/>
      <c r="E3261" s="4"/>
      <c r="F3261" s="4"/>
      <c r="G3261" s="5"/>
      <c r="H3261" s="6"/>
      <c r="I3261" s="7"/>
      <c r="J3261" s="6"/>
      <c r="K3261" s="6"/>
      <c r="L3261" s="3"/>
      <c r="M3261" s="3" t="str">
        <f>IFERROR(__xludf.DUMMYFUNCTION("""COMPUTED_VALUE"""),"")</f>
        <v/>
      </c>
    </row>
    <row r="3262" ht="48.0" customHeight="1">
      <c r="A3262" s="3"/>
      <c r="B3262" s="4"/>
      <c r="C3262" s="4"/>
      <c r="D3262" s="4"/>
      <c r="E3262" s="4"/>
      <c r="F3262" s="4"/>
      <c r="G3262" s="5"/>
      <c r="H3262" s="6"/>
      <c r="I3262" s="7"/>
      <c r="J3262" s="6"/>
      <c r="K3262" s="6"/>
      <c r="L3262" s="3"/>
      <c r="M3262" s="3" t="str">
        <f>IFERROR(__xludf.DUMMYFUNCTION("""COMPUTED_VALUE"""),"")</f>
        <v/>
      </c>
    </row>
    <row r="3263" ht="48.0" customHeight="1">
      <c r="A3263" s="3"/>
      <c r="B3263" s="4"/>
      <c r="C3263" s="4"/>
      <c r="D3263" s="4"/>
      <c r="E3263" s="4"/>
      <c r="F3263" s="4"/>
      <c r="G3263" s="5"/>
      <c r="H3263" s="6"/>
      <c r="I3263" s="7"/>
      <c r="J3263" s="6"/>
      <c r="K3263" s="6"/>
      <c r="L3263" s="3"/>
      <c r="M3263" s="3" t="str">
        <f>IFERROR(__xludf.DUMMYFUNCTION("""COMPUTED_VALUE"""),"")</f>
        <v/>
      </c>
    </row>
    <row r="3264" ht="48.0" customHeight="1">
      <c r="A3264" s="3"/>
      <c r="B3264" s="4"/>
      <c r="C3264" s="4"/>
      <c r="D3264" s="4"/>
      <c r="E3264" s="4"/>
      <c r="F3264" s="4"/>
      <c r="G3264" s="5"/>
      <c r="H3264" s="6"/>
      <c r="I3264" s="7"/>
      <c r="J3264" s="6"/>
      <c r="K3264" s="6"/>
      <c r="L3264" s="3"/>
      <c r="M3264" s="3" t="str">
        <f>IFERROR(__xludf.DUMMYFUNCTION("""COMPUTED_VALUE"""),"")</f>
        <v/>
      </c>
    </row>
    <row r="3265" ht="48.0" customHeight="1">
      <c r="A3265" s="3"/>
      <c r="B3265" s="4"/>
      <c r="C3265" s="4"/>
      <c r="D3265" s="4"/>
      <c r="E3265" s="4"/>
      <c r="F3265" s="4"/>
      <c r="G3265" s="5"/>
      <c r="H3265" s="6"/>
      <c r="I3265" s="7"/>
      <c r="J3265" s="6"/>
      <c r="K3265" s="6"/>
      <c r="L3265" s="3"/>
      <c r="M3265" s="3" t="str">
        <f>IFERROR(__xludf.DUMMYFUNCTION("""COMPUTED_VALUE"""),"")</f>
        <v/>
      </c>
    </row>
    <row r="3266" ht="48.0" customHeight="1">
      <c r="A3266" s="3"/>
      <c r="B3266" s="4"/>
      <c r="C3266" s="4"/>
      <c r="D3266" s="4"/>
      <c r="E3266" s="4"/>
      <c r="F3266" s="4"/>
      <c r="G3266" s="5"/>
      <c r="H3266" s="6"/>
      <c r="I3266" s="7"/>
      <c r="J3266" s="6"/>
      <c r="K3266" s="6"/>
      <c r="L3266" s="3"/>
      <c r="M3266" s="3" t="str">
        <f>IFERROR(__xludf.DUMMYFUNCTION("""COMPUTED_VALUE"""),"")</f>
        <v/>
      </c>
    </row>
    <row r="3267" ht="48.0" customHeight="1">
      <c r="A3267" s="3"/>
      <c r="B3267" s="4"/>
      <c r="C3267" s="4"/>
      <c r="D3267" s="4"/>
      <c r="E3267" s="4"/>
      <c r="F3267" s="4"/>
      <c r="G3267" s="5"/>
      <c r="H3267" s="6"/>
      <c r="I3267" s="7"/>
      <c r="J3267" s="6"/>
      <c r="K3267" s="6"/>
      <c r="L3267" s="3"/>
      <c r="M3267" s="3" t="str">
        <f>IFERROR(__xludf.DUMMYFUNCTION("""COMPUTED_VALUE"""),"")</f>
        <v/>
      </c>
    </row>
    <row r="3268" ht="48.0" customHeight="1">
      <c r="A3268" s="3"/>
      <c r="B3268" s="4"/>
      <c r="C3268" s="4"/>
      <c r="D3268" s="4"/>
      <c r="E3268" s="4"/>
      <c r="F3268" s="4"/>
      <c r="G3268" s="5"/>
      <c r="H3268" s="6"/>
      <c r="I3268" s="7"/>
      <c r="J3268" s="6"/>
      <c r="K3268" s="6"/>
      <c r="L3268" s="3"/>
      <c r="M3268" s="3" t="str">
        <f>IFERROR(__xludf.DUMMYFUNCTION("""COMPUTED_VALUE"""),"")</f>
        <v/>
      </c>
    </row>
    <row r="3269" ht="48.0" customHeight="1">
      <c r="A3269" s="3"/>
      <c r="B3269" s="4"/>
      <c r="C3269" s="4"/>
      <c r="D3269" s="4"/>
      <c r="E3269" s="4"/>
      <c r="F3269" s="4"/>
      <c r="G3269" s="5"/>
      <c r="H3269" s="6"/>
      <c r="I3269" s="7"/>
      <c r="J3269" s="6"/>
      <c r="K3269" s="6"/>
      <c r="L3269" s="3"/>
      <c r="M3269" s="3" t="str">
        <f>IFERROR(__xludf.DUMMYFUNCTION("""COMPUTED_VALUE"""),"")</f>
        <v/>
      </c>
    </row>
    <row r="3270" ht="48.0" customHeight="1">
      <c r="A3270" s="3"/>
      <c r="B3270" s="4"/>
      <c r="C3270" s="4"/>
      <c r="D3270" s="4"/>
      <c r="E3270" s="4"/>
      <c r="F3270" s="4"/>
      <c r="G3270" s="5"/>
      <c r="H3270" s="6"/>
      <c r="I3270" s="7"/>
      <c r="J3270" s="6"/>
      <c r="K3270" s="6"/>
      <c r="L3270" s="3"/>
      <c r="M3270" s="3" t="str">
        <f>IFERROR(__xludf.DUMMYFUNCTION("""COMPUTED_VALUE"""),"")</f>
        <v/>
      </c>
    </row>
    <row r="3271" ht="48.0" customHeight="1">
      <c r="A3271" s="3"/>
      <c r="B3271" s="4"/>
      <c r="C3271" s="4"/>
      <c r="D3271" s="4"/>
      <c r="E3271" s="4"/>
      <c r="F3271" s="4"/>
      <c r="G3271" s="5"/>
      <c r="H3271" s="6"/>
      <c r="I3271" s="7"/>
      <c r="J3271" s="6"/>
      <c r="K3271" s="6"/>
      <c r="L3271" s="3"/>
      <c r="M3271" s="3" t="str">
        <f>IFERROR(__xludf.DUMMYFUNCTION("""COMPUTED_VALUE"""),"")</f>
        <v/>
      </c>
    </row>
    <row r="3272" ht="48.0" customHeight="1">
      <c r="A3272" s="3"/>
      <c r="B3272" s="4"/>
      <c r="C3272" s="4"/>
      <c r="D3272" s="4"/>
      <c r="E3272" s="4"/>
      <c r="F3272" s="4"/>
      <c r="G3272" s="5"/>
      <c r="H3272" s="6"/>
      <c r="I3272" s="7"/>
      <c r="J3272" s="6"/>
      <c r="K3272" s="6"/>
      <c r="L3272" s="3"/>
      <c r="M3272" s="3" t="str">
        <f>IFERROR(__xludf.DUMMYFUNCTION("""COMPUTED_VALUE"""),"")</f>
        <v/>
      </c>
    </row>
    <row r="3273" ht="48.0" customHeight="1">
      <c r="A3273" s="3"/>
      <c r="B3273" s="4"/>
      <c r="C3273" s="4"/>
      <c r="D3273" s="4"/>
      <c r="E3273" s="4"/>
      <c r="F3273" s="4"/>
      <c r="G3273" s="5"/>
      <c r="H3273" s="6"/>
      <c r="I3273" s="7"/>
      <c r="J3273" s="6"/>
      <c r="K3273" s="6"/>
      <c r="L3273" s="3"/>
      <c r="M3273" s="3" t="str">
        <f>IFERROR(__xludf.DUMMYFUNCTION("""COMPUTED_VALUE"""),"")</f>
        <v/>
      </c>
    </row>
    <row r="3274" ht="48.0" customHeight="1">
      <c r="A3274" s="3"/>
      <c r="B3274" s="4"/>
      <c r="C3274" s="4"/>
      <c r="D3274" s="4"/>
      <c r="E3274" s="4"/>
      <c r="F3274" s="4"/>
      <c r="G3274" s="5"/>
      <c r="H3274" s="6"/>
      <c r="I3274" s="7"/>
      <c r="J3274" s="6"/>
      <c r="K3274" s="6"/>
      <c r="L3274" s="3"/>
      <c r="M3274" s="3" t="str">
        <f>IFERROR(__xludf.DUMMYFUNCTION("""COMPUTED_VALUE"""),"")</f>
        <v/>
      </c>
    </row>
    <row r="3275" ht="48.0" customHeight="1">
      <c r="A3275" s="3"/>
      <c r="B3275" s="4"/>
      <c r="C3275" s="4"/>
      <c r="D3275" s="4"/>
      <c r="E3275" s="4"/>
      <c r="F3275" s="4"/>
      <c r="G3275" s="5"/>
      <c r="H3275" s="6"/>
      <c r="I3275" s="7"/>
      <c r="J3275" s="6"/>
      <c r="K3275" s="6"/>
      <c r="L3275" s="3"/>
      <c r="M3275" s="3" t="str">
        <f>IFERROR(__xludf.DUMMYFUNCTION("""COMPUTED_VALUE"""),"")</f>
        <v/>
      </c>
    </row>
    <row r="3276" ht="48.0" customHeight="1">
      <c r="A3276" s="3"/>
      <c r="B3276" s="4"/>
      <c r="C3276" s="4"/>
      <c r="D3276" s="4"/>
      <c r="E3276" s="4"/>
      <c r="F3276" s="4"/>
      <c r="G3276" s="5"/>
      <c r="H3276" s="6"/>
      <c r="I3276" s="7"/>
      <c r="J3276" s="6"/>
      <c r="K3276" s="6"/>
      <c r="L3276" s="3"/>
      <c r="M3276" s="3" t="str">
        <f>IFERROR(__xludf.DUMMYFUNCTION("""COMPUTED_VALUE"""),"")</f>
        <v/>
      </c>
    </row>
    <row r="3277" ht="48.0" customHeight="1">
      <c r="A3277" s="3"/>
      <c r="B3277" s="4"/>
      <c r="C3277" s="4"/>
      <c r="D3277" s="4"/>
      <c r="E3277" s="4"/>
      <c r="F3277" s="4"/>
      <c r="G3277" s="5"/>
      <c r="H3277" s="6"/>
      <c r="I3277" s="7"/>
      <c r="J3277" s="6"/>
      <c r="K3277" s="6"/>
      <c r="L3277" s="3"/>
      <c r="M3277" s="3" t="str">
        <f>IFERROR(__xludf.DUMMYFUNCTION("""COMPUTED_VALUE"""),"")</f>
        <v/>
      </c>
    </row>
    <row r="3278" ht="48.0" customHeight="1">
      <c r="A3278" s="3"/>
      <c r="B3278" s="4"/>
      <c r="C3278" s="4"/>
      <c r="D3278" s="4"/>
      <c r="E3278" s="4"/>
      <c r="F3278" s="4"/>
      <c r="G3278" s="5"/>
      <c r="H3278" s="6"/>
      <c r="I3278" s="7"/>
      <c r="J3278" s="6"/>
      <c r="K3278" s="6"/>
      <c r="L3278" s="3"/>
      <c r="M3278" s="3" t="str">
        <f>IFERROR(__xludf.DUMMYFUNCTION("""COMPUTED_VALUE"""),"")</f>
        <v/>
      </c>
    </row>
    <row r="3279" ht="48.0" customHeight="1">
      <c r="A3279" s="3"/>
      <c r="B3279" s="4"/>
      <c r="C3279" s="4"/>
      <c r="D3279" s="4"/>
      <c r="E3279" s="4"/>
      <c r="F3279" s="4"/>
      <c r="G3279" s="5"/>
      <c r="H3279" s="6"/>
      <c r="I3279" s="7"/>
      <c r="J3279" s="6"/>
      <c r="K3279" s="6"/>
      <c r="L3279" s="3"/>
      <c r="M3279" s="3" t="str">
        <f>IFERROR(__xludf.DUMMYFUNCTION("""COMPUTED_VALUE"""),"")</f>
        <v/>
      </c>
    </row>
    <row r="3280" ht="48.0" customHeight="1">
      <c r="A3280" s="3"/>
      <c r="B3280" s="4"/>
      <c r="C3280" s="4"/>
      <c r="D3280" s="4"/>
      <c r="E3280" s="4"/>
      <c r="F3280" s="4"/>
      <c r="G3280" s="5"/>
      <c r="H3280" s="6"/>
      <c r="I3280" s="7"/>
      <c r="J3280" s="6"/>
      <c r="K3280" s="6"/>
      <c r="L3280" s="3"/>
      <c r="M3280" s="3" t="str">
        <f>IFERROR(__xludf.DUMMYFUNCTION("""COMPUTED_VALUE"""),"")</f>
        <v/>
      </c>
    </row>
    <row r="3281" ht="48.0" customHeight="1">
      <c r="A3281" s="3"/>
      <c r="B3281" s="4"/>
      <c r="C3281" s="4"/>
      <c r="D3281" s="4"/>
      <c r="E3281" s="4"/>
      <c r="F3281" s="4"/>
      <c r="G3281" s="5"/>
      <c r="H3281" s="6"/>
      <c r="I3281" s="7"/>
      <c r="J3281" s="6"/>
      <c r="K3281" s="6"/>
      <c r="L3281" s="3"/>
      <c r="M3281" s="3" t="str">
        <f>IFERROR(__xludf.DUMMYFUNCTION("""COMPUTED_VALUE"""),"")</f>
        <v/>
      </c>
    </row>
    <row r="3282" ht="48.0" customHeight="1">
      <c r="A3282" s="3"/>
      <c r="B3282" s="4"/>
      <c r="C3282" s="4"/>
      <c r="D3282" s="4"/>
      <c r="E3282" s="4"/>
      <c r="F3282" s="4"/>
      <c r="G3282" s="5"/>
      <c r="H3282" s="6"/>
      <c r="I3282" s="7"/>
      <c r="J3282" s="6"/>
      <c r="K3282" s="6"/>
      <c r="L3282" s="3"/>
      <c r="M3282" s="3" t="str">
        <f>IFERROR(__xludf.DUMMYFUNCTION("""COMPUTED_VALUE"""),"")</f>
        <v/>
      </c>
    </row>
    <row r="3283" ht="48.0" customHeight="1">
      <c r="A3283" s="3"/>
      <c r="B3283" s="4"/>
      <c r="C3283" s="4"/>
      <c r="D3283" s="4"/>
      <c r="E3283" s="4"/>
      <c r="F3283" s="4"/>
      <c r="G3283" s="5"/>
      <c r="H3283" s="6"/>
      <c r="I3283" s="7"/>
      <c r="J3283" s="6"/>
      <c r="K3283" s="6"/>
      <c r="L3283" s="3"/>
      <c r="M3283" s="3" t="str">
        <f>IFERROR(__xludf.DUMMYFUNCTION("""COMPUTED_VALUE"""),"")</f>
        <v/>
      </c>
    </row>
    <row r="3284" ht="48.0" customHeight="1">
      <c r="A3284" s="3"/>
      <c r="B3284" s="4"/>
      <c r="C3284" s="4"/>
      <c r="D3284" s="4"/>
      <c r="E3284" s="4"/>
      <c r="F3284" s="4"/>
      <c r="G3284" s="5"/>
      <c r="H3284" s="6"/>
      <c r="I3284" s="7"/>
      <c r="J3284" s="6"/>
      <c r="K3284" s="6"/>
      <c r="L3284" s="3"/>
      <c r="M3284" s="3" t="str">
        <f>IFERROR(__xludf.DUMMYFUNCTION("""COMPUTED_VALUE"""),"")</f>
        <v/>
      </c>
    </row>
    <row r="3285" ht="48.0" customHeight="1">
      <c r="A3285" s="3"/>
      <c r="B3285" s="4"/>
      <c r="C3285" s="4"/>
      <c r="D3285" s="4"/>
      <c r="E3285" s="4"/>
      <c r="F3285" s="4"/>
      <c r="G3285" s="5"/>
      <c r="H3285" s="6"/>
      <c r="I3285" s="7"/>
      <c r="J3285" s="6"/>
      <c r="K3285" s="6"/>
      <c r="L3285" s="3"/>
      <c r="M3285" s="3" t="str">
        <f>IFERROR(__xludf.DUMMYFUNCTION("""COMPUTED_VALUE"""),"")</f>
        <v/>
      </c>
    </row>
    <row r="3286" ht="48.0" customHeight="1">
      <c r="A3286" s="3"/>
      <c r="B3286" s="4"/>
      <c r="C3286" s="4"/>
      <c r="D3286" s="4"/>
      <c r="E3286" s="4"/>
      <c r="F3286" s="4"/>
      <c r="G3286" s="5"/>
      <c r="H3286" s="6"/>
      <c r="I3286" s="7"/>
      <c r="J3286" s="6"/>
      <c r="K3286" s="6"/>
      <c r="L3286" s="3"/>
      <c r="M3286" s="3" t="str">
        <f>IFERROR(__xludf.DUMMYFUNCTION("""COMPUTED_VALUE"""),"")</f>
        <v/>
      </c>
    </row>
    <row r="3287" ht="48.0" customHeight="1">
      <c r="A3287" s="3"/>
      <c r="B3287" s="4"/>
      <c r="C3287" s="4"/>
      <c r="D3287" s="4"/>
      <c r="E3287" s="4"/>
      <c r="F3287" s="4"/>
      <c r="G3287" s="5"/>
      <c r="H3287" s="6"/>
      <c r="I3287" s="7"/>
      <c r="J3287" s="6"/>
      <c r="K3287" s="6"/>
      <c r="L3287" s="3"/>
      <c r="M3287" s="3" t="str">
        <f>IFERROR(__xludf.DUMMYFUNCTION("""COMPUTED_VALUE"""),"")</f>
        <v/>
      </c>
    </row>
    <row r="3288" ht="48.0" customHeight="1">
      <c r="A3288" s="3"/>
      <c r="B3288" s="4"/>
      <c r="C3288" s="4"/>
      <c r="D3288" s="4"/>
      <c r="E3288" s="4"/>
      <c r="F3288" s="4"/>
      <c r="G3288" s="5"/>
      <c r="H3288" s="6"/>
      <c r="I3288" s="7"/>
      <c r="J3288" s="6"/>
      <c r="K3288" s="6"/>
      <c r="L3288" s="3"/>
      <c r="M3288" s="3" t="str">
        <f>IFERROR(__xludf.DUMMYFUNCTION("""COMPUTED_VALUE"""),"")</f>
        <v/>
      </c>
    </row>
    <row r="3289" ht="48.0" customHeight="1">
      <c r="A3289" s="3"/>
      <c r="B3289" s="4"/>
      <c r="C3289" s="4"/>
      <c r="D3289" s="4"/>
      <c r="E3289" s="4"/>
      <c r="F3289" s="4"/>
      <c r="G3289" s="5"/>
      <c r="H3289" s="6"/>
      <c r="I3289" s="7"/>
      <c r="J3289" s="6"/>
      <c r="K3289" s="6"/>
      <c r="L3289" s="3"/>
      <c r="M3289" s="3" t="str">
        <f>IFERROR(__xludf.DUMMYFUNCTION("""COMPUTED_VALUE"""),"")</f>
        <v/>
      </c>
    </row>
    <row r="3290" ht="48.0" customHeight="1">
      <c r="A3290" s="3"/>
      <c r="B3290" s="4"/>
      <c r="C3290" s="4"/>
      <c r="D3290" s="4"/>
      <c r="E3290" s="4"/>
      <c r="F3290" s="4"/>
      <c r="G3290" s="5"/>
      <c r="H3290" s="6"/>
      <c r="I3290" s="7"/>
      <c r="J3290" s="6"/>
      <c r="K3290" s="6"/>
      <c r="L3290" s="3"/>
      <c r="M3290" s="3" t="str">
        <f>IFERROR(__xludf.DUMMYFUNCTION("""COMPUTED_VALUE"""),"")</f>
        <v/>
      </c>
    </row>
    <row r="3291" ht="48.0" customHeight="1">
      <c r="A3291" s="3"/>
      <c r="B3291" s="4"/>
      <c r="C3291" s="4"/>
      <c r="D3291" s="4"/>
      <c r="E3291" s="4"/>
      <c r="F3291" s="4"/>
      <c r="G3291" s="5"/>
      <c r="H3291" s="6"/>
      <c r="I3291" s="7"/>
      <c r="J3291" s="6"/>
      <c r="K3291" s="6"/>
      <c r="L3291" s="3"/>
      <c r="M3291" s="3" t="str">
        <f>IFERROR(__xludf.DUMMYFUNCTION("""COMPUTED_VALUE"""),"")</f>
        <v/>
      </c>
    </row>
    <row r="3292" ht="48.0" customHeight="1">
      <c r="A3292" s="3"/>
      <c r="B3292" s="4"/>
      <c r="C3292" s="4"/>
      <c r="D3292" s="4"/>
      <c r="E3292" s="4"/>
      <c r="F3292" s="4"/>
      <c r="G3292" s="5"/>
      <c r="H3292" s="6"/>
      <c r="I3292" s="7"/>
      <c r="J3292" s="6"/>
      <c r="K3292" s="6"/>
      <c r="L3292" s="3"/>
      <c r="M3292" s="3" t="str">
        <f>IFERROR(__xludf.DUMMYFUNCTION("""COMPUTED_VALUE"""),"")</f>
        <v/>
      </c>
    </row>
    <row r="3293" ht="48.0" customHeight="1">
      <c r="A3293" s="3"/>
      <c r="B3293" s="4"/>
      <c r="C3293" s="4"/>
      <c r="D3293" s="4"/>
      <c r="E3293" s="4"/>
      <c r="F3293" s="4"/>
      <c r="G3293" s="5"/>
      <c r="H3293" s="6"/>
      <c r="I3293" s="7"/>
      <c r="J3293" s="6"/>
      <c r="K3293" s="6"/>
      <c r="L3293" s="3"/>
      <c r="M3293" s="3" t="str">
        <f>IFERROR(__xludf.DUMMYFUNCTION("""COMPUTED_VALUE"""),"")</f>
        <v/>
      </c>
    </row>
    <row r="3294" ht="48.0" customHeight="1">
      <c r="A3294" s="3"/>
      <c r="B3294" s="4"/>
      <c r="C3294" s="4"/>
      <c r="D3294" s="4"/>
      <c r="E3294" s="4"/>
      <c r="F3294" s="4"/>
      <c r="G3294" s="5"/>
      <c r="H3294" s="6"/>
      <c r="I3294" s="7"/>
      <c r="J3294" s="6"/>
      <c r="K3294" s="6"/>
      <c r="L3294" s="3"/>
      <c r="M3294" s="3" t="str">
        <f>IFERROR(__xludf.DUMMYFUNCTION("""COMPUTED_VALUE"""),"")</f>
        <v/>
      </c>
    </row>
    <row r="3295" ht="48.0" customHeight="1">
      <c r="A3295" s="3"/>
      <c r="B3295" s="4"/>
      <c r="C3295" s="4"/>
      <c r="D3295" s="4"/>
      <c r="E3295" s="4"/>
      <c r="F3295" s="4"/>
      <c r="G3295" s="5"/>
      <c r="H3295" s="6"/>
      <c r="I3295" s="7"/>
      <c r="J3295" s="6"/>
      <c r="K3295" s="6"/>
      <c r="L3295" s="3"/>
      <c r="M3295" s="3" t="str">
        <f>IFERROR(__xludf.DUMMYFUNCTION("""COMPUTED_VALUE"""),"")</f>
        <v/>
      </c>
    </row>
    <row r="3296" ht="48.0" customHeight="1">
      <c r="A3296" s="3"/>
      <c r="B3296" s="4"/>
      <c r="C3296" s="4"/>
      <c r="D3296" s="4"/>
      <c r="E3296" s="4"/>
      <c r="F3296" s="4"/>
      <c r="G3296" s="5"/>
      <c r="H3296" s="6"/>
      <c r="I3296" s="7"/>
      <c r="J3296" s="6"/>
      <c r="K3296" s="6"/>
      <c r="L3296" s="3"/>
      <c r="M3296" s="3" t="str">
        <f>IFERROR(__xludf.DUMMYFUNCTION("""COMPUTED_VALUE"""),"")</f>
        <v/>
      </c>
    </row>
    <row r="3297" ht="48.0" customHeight="1">
      <c r="A3297" s="3"/>
      <c r="B3297" s="4"/>
      <c r="C3297" s="4"/>
      <c r="D3297" s="4"/>
      <c r="E3297" s="4"/>
      <c r="F3297" s="4"/>
      <c r="G3297" s="5"/>
      <c r="H3297" s="6"/>
      <c r="I3297" s="7"/>
      <c r="J3297" s="6"/>
      <c r="K3297" s="6"/>
      <c r="L3297" s="3"/>
      <c r="M3297" s="3" t="str">
        <f>IFERROR(__xludf.DUMMYFUNCTION("""COMPUTED_VALUE"""),"")</f>
        <v/>
      </c>
    </row>
    <row r="3298" ht="48.0" customHeight="1">
      <c r="A3298" s="3"/>
      <c r="B3298" s="4"/>
      <c r="C3298" s="4"/>
      <c r="D3298" s="4"/>
      <c r="E3298" s="4"/>
      <c r="F3298" s="4"/>
      <c r="G3298" s="5"/>
      <c r="H3298" s="6"/>
      <c r="I3298" s="7"/>
      <c r="J3298" s="6"/>
      <c r="K3298" s="6"/>
      <c r="L3298" s="3"/>
      <c r="M3298" s="3" t="str">
        <f>IFERROR(__xludf.DUMMYFUNCTION("""COMPUTED_VALUE"""),"")</f>
        <v/>
      </c>
    </row>
    <row r="3299" ht="48.0" customHeight="1">
      <c r="A3299" s="3"/>
      <c r="B3299" s="4"/>
      <c r="C3299" s="4"/>
      <c r="D3299" s="4"/>
      <c r="E3299" s="4"/>
      <c r="F3299" s="4"/>
      <c r="G3299" s="5"/>
      <c r="H3299" s="6"/>
      <c r="I3299" s="7"/>
      <c r="J3299" s="6"/>
      <c r="K3299" s="6"/>
      <c r="L3299" s="3"/>
      <c r="M3299" s="3" t="str">
        <f>IFERROR(__xludf.DUMMYFUNCTION("""COMPUTED_VALUE"""),"")</f>
        <v/>
      </c>
    </row>
    <row r="3300" ht="48.0" customHeight="1">
      <c r="A3300" s="3"/>
      <c r="B3300" s="4"/>
      <c r="C3300" s="4"/>
      <c r="D3300" s="4"/>
      <c r="E3300" s="4"/>
      <c r="F3300" s="4"/>
      <c r="G3300" s="5"/>
      <c r="H3300" s="6"/>
      <c r="I3300" s="7"/>
      <c r="J3300" s="6"/>
      <c r="K3300" s="6"/>
      <c r="L3300" s="3"/>
      <c r="M3300" s="3" t="str">
        <f>IFERROR(__xludf.DUMMYFUNCTION("""COMPUTED_VALUE"""),"")</f>
        <v/>
      </c>
    </row>
    <row r="3301" ht="48.0" customHeight="1">
      <c r="A3301" s="3"/>
      <c r="B3301" s="4"/>
      <c r="C3301" s="4"/>
      <c r="D3301" s="4"/>
      <c r="E3301" s="4"/>
      <c r="F3301" s="4"/>
      <c r="G3301" s="5"/>
      <c r="H3301" s="6"/>
      <c r="I3301" s="7"/>
      <c r="J3301" s="6"/>
      <c r="K3301" s="6"/>
      <c r="L3301" s="3"/>
      <c r="M3301" s="3" t="str">
        <f>IFERROR(__xludf.DUMMYFUNCTION("""COMPUTED_VALUE"""),"")</f>
        <v/>
      </c>
    </row>
    <row r="3302" ht="48.0" customHeight="1">
      <c r="A3302" s="3"/>
      <c r="B3302" s="4"/>
      <c r="C3302" s="4"/>
      <c r="D3302" s="4"/>
      <c r="E3302" s="4"/>
      <c r="F3302" s="4"/>
      <c r="G3302" s="5"/>
      <c r="H3302" s="6"/>
      <c r="I3302" s="7"/>
      <c r="J3302" s="6"/>
      <c r="K3302" s="6"/>
      <c r="L3302" s="3"/>
      <c r="M3302" s="3" t="str">
        <f>IFERROR(__xludf.DUMMYFUNCTION("""COMPUTED_VALUE"""),"")</f>
        <v/>
      </c>
    </row>
    <row r="3303" ht="48.0" customHeight="1">
      <c r="A3303" s="3"/>
      <c r="B3303" s="4"/>
      <c r="C3303" s="4"/>
      <c r="D3303" s="4"/>
      <c r="E3303" s="4"/>
      <c r="F3303" s="4"/>
      <c r="G3303" s="5"/>
      <c r="H3303" s="6"/>
      <c r="I3303" s="7"/>
      <c r="J3303" s="6"/>
      <c r="K3303" s="6"/>
      <c r="L3303" s="3"/>
      <c r="M3303" s="3" t="str">
        <f>IFERROR(__xludf.DUMMYFUNCTION("""COMPUTED_VALUE"""),"")</f>
        <v/>
      </c>
    </row>
    <row r="3304" ht="48.0" customHeight="1">
      <c r="A3304" s="3"/>
      <c r="B3304" s="4"/>
      <c r="C3304" s="4"/>
      <c r="D3304" s="4"/>
      <c r="E3304" s="4"/>
      <c r="F3304" s="4"/>
      <c r="G3304" s="5"/>
      <c r="H3304" s="6"/>
      <c r="I3304" s="7"/>
      <c r="J3304" s="6"/>
      <c r="K3304" s="6"/>
      <c r="L3304" s="3"/>
      <c r="M3304" s="3" t="str">
        <f>IFERROR(__xludf.DUMMYFUNCTION("""COMPUTED_VALUE"""),"")</f>
        <v/>
      </c>
    </row>
    <row r="3305" ht="48.0" customHeight="1">
      <c r="A3305" s="3"/>
      <c r="B3305" s="4"/>
      <c r="C3305" s="4"/>
      <c r="D3305" s="4"/>
      <c r="E3305" s="4"/>
      <c r="F3305" s="4"/>
      <c r="G3305" s="5"/>
      <c r="H3305" s="6"/>
      <c r="I3305" s="7"/>
      <c r="J3305" s="6"/>
      <c r="K3305" s="6"/>
      <c r="L3305" s="3"/>
      <c r="M3305" s="3" t="str">
        <f>IFERROR(__xludf.DUMMYFUNCTION("""COMPUTED_VALUE"""),"")</f>
        <v/>
      </c>
    </row>
    <row r="3306" ht="48.0" customHeight="1">
      <c r="A3306" s="3"/>
      <c r="B3306" s="4"/>
      <c r="C3306" s="4"/>
      <c r="D3306" s="4"/>
      <c r="E3306" s="4"/>
      <c r="F3306" s="4"/>
      <c r="G3306" s="5"/>
      <c r="H3306" s="6"/>
      <c r="I3306" s="7"/>
      <c r="J3306" s="6"/>
      <c r="K3306" s="6"/>
      <c r="L3306" s="3"/>
      <c r="M3306" s="3" t="str">
        <f>IFERROR(__xludf.DUMMYFUNCTION("""COMPUTED_VALUE"""),"")</f>
        <v/>
      </c>
    </row>
    <row r="3307" ht="48.0" customHeight="1">
      <c r="A3307" s="3"/>
      <c r="B3307" s="4"/>
      <c r="C3307" s="4"/>
      <c r="D3307" s="4"/>
      <c r="E3307" s="4"/>
      <c r="F3307" s="4"/>
      <c r="G3307" s="5"/>
      <c r="H3307" s="6"/>
      <c r="I3307" s="7"/>
      <c r="J3307" s="6"/>
      <c r="K3307" s="6"/>
      <c r="L3307" s="3"/>
      <c r="M3307" s="3" t="str">
        <f>IFERROR(__xludf.DUMMYFUNCTION("""COMPUTED_VALUE"""),"")</f>
        <v/>
      </c>
    </row>
    <row r="3308" ht="48.0" customHeight="1">
      <c r="A3308" s="3"/>
      <c r="B3308" s="4"/>
      <c r="C3308" s="4"/>
      <c r="D3308" s="4"/>
      <c r="E3308" s="4"/>
      <c r="F3308" s="4"/>
      <c r="G3308" s="5"/>
      <c r="H3308" s="6"/>
      <c r="I3308" s="7"/>
      <c r="J3308" s="6"/>
      <c r="K3308" s="6"/>
      <c r="L3308" s="3"/>
      <c r="M3308" s="3" t="str">
        <f>IFERROR(__xludf.DUMMYFUNCTION("""COMPUTED_VALUE"""),"")</f>
        <v/>
      </c>
    </row>
    <row r="3309" ht="48.0" customHeight="1">
      <c r="A3309" s="3"/>
      <c r="B3309" s="4"/>
      <c r="C3309" s="4"/>
      <c r="D3309" s="4"/>
      <c r="E3309" s="4"/>
      <c r="F3309" s="4"/>
      <c r="G3309" s="5"/>
      <c r="H3309" s="6"/>
      <c r="I3309" s="7"/>
      <c r="J3309" s="6"/>
      <c r="K3309" s="6"/>
      <c r="L3309" s="3"/>
      <c r="M3309" s="3" t="str">
        <f>IFERROR(__xludf.DUMMYFUNCTION("""COMPUTED_VALUE"""),"")</f>
        <v/>
      </c>
    </row>
    <row r="3310" ht="48.0" customHeight="1">
      <c r="A3310" s="3"/>
      <c r="B3310" s="4"/>
      <c r="C3310" s="4"/>
      <c r="D3310" s="4"/>
      <c r="E3310" s="4"/>
      <c r="F3310" s="4"/>
      <c r="G3310" s="5"/>
      <c r="H3310" s="6"/>
      <c r="I3310" s="7"/>
      <c r="J3310" s="6"/>
      <c r="K3310" s="6"/>
      <c r="L3310" s="3"/>
      <c r="M3310" s="3" t="str">
        <f>IFERROR(__xludf.DUMMYFUNCTION("""COMPUTED_VALUE"""),"")</f>
        <v/>
      </c>
    </row>
    <row r="3311" ht="48.0" customHeight="1">
      <c r="A3311" s="3"/>
      <c r="B3311" s="4"/>
      <c r="C3311" s="4"/>
      <c r="D3311" s="4"/>
      <c r="E3311" s="4"/>
      <c r="F3311" s="4"/>
      <c r="G3311" s="5"/>
      <c r="H3311" s="6"/>
      <c r="I3311" s="7"/>
      <c r="J3311" s="6"/>
      <c r="K3311" s="6"/>
      <c r="L3311" s="3"/>
      <c r="M3311" s="3" t="str">
        <f>IFERROR(__xludf.DUMMYFUNCTION("""COMPUTED_VALUE"""),"")</f>
        <v/>
      </c>
    </row>
    <row r="3312" ht="48.0" customHeight="1">
      <c r="A3312" s="3"/>
      <c r="B3312" s="4"/>
      <c r="C3312" s="4"/>
      <c r="D3312" s="4"/>
      <c r="E3312" s="4"/>
      <c r="F3312" s="4"/>
      <c r="G3312" s="5"/>
      <c r="H3312" s="6"/>
      <c r="I3312" s="7"/>
      <c r="J3312" s="6"/>
      <c r="K3312" s="6"/>
      <c r="L3312" s="3"/>
      <c r="M3312" s="3" t="str">
        <f>IFERROR(__xludf.DUMMYFUNCTION("""COMPUTED_VALUE"""),"")</f>
        <v/>
      </c>
    </row>
    <row r="3313" ht="48.0" customHeight="1">
      <c r="A3313" s="3"/>
      <c r="B3313" s="4"/>
      <c r="C3313" s="4"/>
      <c r="D3313" s="4"/>
      <c r="E3313" s="4"/>
      <c r="F3313" s="4"/>
      <c r="G3313" s="5"/>
      <c r="H3313" s="6"/>
      <c r="I3313" s="7"/>
      <c r="J3313" s="6"/>
      <c r="K3313" s="6"/>
      <c r="L3313" s="3"/>
      <c r="M3313" s="3" t="str">
        <f>IFERROR(__xludf.DUMMYFUNCTION("""COMPUTED_VALUE"""),"")</f>
        <v/>
      </c>
    </row>
    <row r="3314" ht="48.0" customHeight="1">
      <c r="A3314" s="3"/>
      <c r="B3314" s="4"/>
      <c r="C3314" s="4"/>
      <c r="D3314" s="4"/>
      <c r="E3314" s="4"/>
      <c r="F3314" s="4"/>
      <c r="G3314" s="5"/>
      <c r="H3314" s="6"/>
      <c r="I3314" s="7"/>
      <c r="J3314" s="6"/>
      <c r="K3314" s="6"/>
      <c r="L3314" s="3"/>
      <c r="M3314" s="3" t="str">
        <f>IFERROR(__xludf.DUMMYFUNCTION("""COMPUTED_VALUE"""),"")</f>
        <v/>
      </c>
    </row>
    <row r="3315" ht="48.0" customHeight="1">
      <c r="A3315" s="3"/>
      <c r="B3315" s="4"/>
      <c r="C3315" s="4"/>
      <c r="D3315" s="4"/>
      <c r="E3315" s="4"/>
      <c r="F3315" s="4"/>
      <c r="G3315" s="5"/>
      <c r="H3315" s="6"/>
      <c r="I3315" s="7"/>
      <c r="J3315" s="6"/>
      <c r="K3315" s="6"/>
      <c r="L3315" s="3"/>
      <c r="M3315" s="3" t="str">
        <f>IFERROR(__xludf.DUMMYFUNCTION("""COMPUTED_VALUE"""),"")</f>
        <v/>
      </c>
    </row>
    <row r="3316" ht="48.0" customHeight="1">
      <c r="A3316" s="3"/>
      <c r="B3316" s="4"/>
      <c r="C3316" s="4"/>
      <c r="D3316" s="4"/>
      <c r="E3316" s="4"/>
      <c r="F3316" s="4"/>
      <c r="G3316" s="5"/>
      <c r="H3316" s="6"/>
      <c r="I3316" s="7"/>
      <c r="J3316" s="6"/>
      <c r="K3316" s="6"/>
      <c r="L3316" s="3"/>
      <c r="M3316" s="3" t="str">
        <f>IFERROR(__xludf.DUMMYFUNCTION("""COMPUTED_VALUE"""),"")</f>
        <v/>
      </c>
    </row>
    <row r="3317" ht="48.0" customHeight="1">
      <c r="A3317" s="3"/>
      <c r="B3317" s="4"/>
      <c r="C3317" s="4"/>
      <c r="D3317" s="4"/>
      <c r="E3317" s="4"/>
      <c r="F3317" s="4"/>
      <c r="G3317" s="5"/>
      <c r="H3317" s="6"/>
      <c r="I3317" s="7"/>
      <c r="J3317" s="6"/>
      <c r="K3317" s="6"/>
      <c r="L3317" s="3"/>
      <c r="M3317" s="3" t="str">
        <f>IFERROR(__xludf.DUMMYFUNCTION("""COMPUTED_VALUE"""),"")</f>
        <v/>
      </c>
    </row>
    <row r="3318" ht="48.0" customHeight="1">
      <c r="A3318" s="3"/>
      <c r="B3318" s="4"/>
      <c r="C3318" s="4"/>
      <c r="D3318" s="4"/>
      <c r="E3318" s="4"/>
      <c r="F3318" s="4"/>
      <c r="G3318" s="5"/>
      <c r="H3318" s="6"/>
      <c r="I3318" s="7"/>
      <c r="J3318" s="6"/>
      <c r="K3318" s="6"/>
      <c r="L3318" s="3"/>
      <c r="M3318" s="3" t="str">
        <f>IFERROR(__xludf.DUMMYFUNCTION("""COMPUTED_VALUE"""),"")</f>
        <v/>
      </c>
    </row>
    <row r="3319" ht="48.0" customHeight="1">
      <c r="A3319" s="3"/>
      <c r="B3319" s="4"/>
      <c r="C3319" s="4"/>
      <c r="D3319" s="4"/>
      <c r="E3319" s="4"/>
      <c r="F3319" s="4"/>
      <c r="G3319" s="5"/>
      <c r="H3319" s="6"/>
      <c r="I3319" s="7"/>
      <c r="J3319" s="6"/>
      <c r="K3319" s="6"/>
      <c r="L3319" s="3"/>
      <c r="M3319" s="3" t="str">
        <f>IFERROR(__xludf.DUMMYFUNCTION("""COMPUTED_VALUE"""),"")</f>
        <v/>
      </c>
    </row>
    <row r="3320" ht="48.0" customHeight="1">
      <c r="A3320" s="3"/>
      <c r="B3320" s="4"/>
      <c r="C3320" s="4"/>
      <c r="D3320" s="4"/>
      <c r="E3320" s="4"/>
      <c r="F3320" s="4"/>
      <c r="G3320" s="5"/>
      <c r="H3320" s="6"/>
      <c r="I3320" s="7"/>
      <c r="J3320" s="6"/>
      <c r="K3320" s="6"/>
      <c r="L3320" s="3"/>
      <c r="M3320" s="3" t="str">
        <f>IFERROR(__xludf.DUMMYFUNCTION("""COMPUTED_VALUE"""),"")</f>
        <v/>
      </c>
    </row>
    <row r="3321" ht="48.0" customHeight="1">
      <c r="A3321" s="3"/>
      <c r="B3321" s="4"/>
      <c r="C3321" s="4"/>
      <c r="D3321" s="4"/>
      <c r="E3321" s="4"/>
      <c r="F3321" s="4"/>
      <c r="G3321" s="5"/>
      <c r="H3321" s="6"/>
      <c r="I3321" s="7"/>
      <c r="J3321" s="6"/>
      <c r="K3321" s="6"/>
      <c r="L3321" s="3"/>
      <c r="M3321" s="3" t="str">
        <f>IFERROR(__xludf.DUMMYFUNCTION("""COMPUTED_VALUE"""),"")</f>
        <v/>
      </c>
    </row>
    <row r="3322" ht="48.0" customHeight="1">
      <c r="A3322" s="3"/>
      <c r="B3322" s="4"/>
      <c r="C3322" s="4"/>
      <c r="D3322" s="4"/>
      <c r="E3322" s="4"/>
      <c r="F3322" s="4"/>
      <c r="G3322" s="5"/>
      <c r="H3322" s="6"/>
      <c r="I3322" s="7"/>
      <c r="J3322" s="6"/>
      <c r="K3322" s="6"/>
      <c r="L3322" s="3"/>
      <c r="M3322" s="3" t="str">
        <f>IFERROR(__xludf.DUMMYFUNCTION("""COMPUTED_VALUE"""),"")</f>
        <v/>
      </c>
    </row>
    <row r="3323" ht="48.0" customHeight="1">
      <c r="A3323" s="3"/>
      <c r="B3323" s="4"/>
      <c r="C3323" s="4"/>
      <c r="D3323" s="4"/>
      <c r="E3323" s="4"/>
      <c r="F3323" s="4"/>
      <c r="G3323" s="5"/>
      <c r="H3323" s="6"/>
      <c r="I3323" s="7"/>
      <c r="J3323" s="6"/>
      <c r="K3323" s="6"/>
      <c r="L3323" s="3"/>
      <c r="M3323" s="3" t="str">
        <f>IFERROR(__xludf.DUMMYFUNCTION("""COMPUTED_VALUE"""),"")</f>
        <v/>
      </c>
    </row>
    <row r="3324" ht="48.0" customHeight="1">
      <c r="A3324" s="3"/>
      <c r="B3324" s="4"/>
      <c r="C3324" s="4"/>
      <c r="D3324" s="4"/>
      <c r="E3324" s="4"/>
      <c r="F3324" s="4"/>
      <c r="G3324" s="5"/>
      <c r="H3324" s="6"/>
      <c r="I3324" s="7"/>
      <c r="J3324" s="6"/>
      <c r="K3324" s="6"/>
      <c r="L3324" s="3"/>
      <c r="M3324" s="3" t="str">
        <f>IFERROR(__xludf.DUMMYFUNCTION("""COMPUTED_VALUE"""),"")</f>
        <v/>
      </c>
    </row>
    <row r="3325" ht="48.0" customHeight="1">
      <c r="A3325" s="3"/>
      <c r="B3325" s="4"/>
      <c r="C3325" s="4"/>
      <c r="D3325" s="4"/>
      <c r="E3325" s="4"/>
      <c r="F3325" s="4"/>
      <c r="G3325" s="5"/>
      <c r="H3325" s="6"/>
      <c r="I3325" s="7"/>
      <c r="J3325" s="6"/>
      <c r="K3325" s="6"/>
      <c r="L3325" s="3"/>
      <c r="M3325" s="3" t="str">
        <f>IFERROR(__xludf.DUMMYFUNCTION("""COMPUTED_VALUE"""),"")</f>
        <v/>
      </c>
    </row>
    <row r="3326" ht="48.0" customHeight="1">
      <c r="A3326" s="3"/>
      <c r="B3326" s="4"/>
      <c r="C3326" s="4"/>
      <c r="D3326" s="4"/>
      <c r="E3326" s="4"/>
      <c r="F3326" s="4"/>
      <c r="G3326" s="5"/>
      <c r="H3326" s="6"/>
      <c r="I3326" s="7"/>
      <c r="J3326" s="6"/>
      <c r="K3326" s="6"/>
      <c r="L3326" s="3"/>
      <c r="M3326" s="3" t="str">
        <f>IFERROR(__xludf.DUMMYFUNCTION("""COMPUTED_VALUE"""),"")</f>
        <v/>
      </c>
    </row>
    <row r="3327" ht="48.0" customHeight="1">
      <c r="A3327" s="3"/>
      <c r="B3327" s="4"/>
      <c r="C3327" s="4"/>
      <c r="D3327" s="4"/>
      <c r="E3327" s="4"/>
      <c r="F3327" s="4"/>
      <c r="G3327" s="5"/>
      <c r="H3327" s="6"/>
      <c r="I3327" s="7"/>
      <c r="J3327" s="6"/>
      <c r="K3327" s="6"/>
      <c r="L3327" s="3"/>
      <c r="M3327" s="3" t="str">
        <f>IFERROR(__xludf.DUMMYFUNCTION("""COMPUTED_VALUE"""),"")</f>
        <v/>
      </c>
    </row>
    <row r="3328" ht="48.0" customHeight="1">
      <c r="A3328" s="3"/>
      <c r="B3328" s="4"/>
      <c r="C3328" s="4"/>
      <c r="D3328" s="4"/>
      <c r="E3328" s="4"/>
      <c r="F3328" s="4"/>
      <c r="G3328" s="5"/>
      <c r="H3328" s="6"/>
      <c r="I3328" s="7"/>
      <c r="J3328" s="6"/>
      <c r="K3328" s="6"/>
      <c r="L3328" s="3"/>
      <c r="M3328" s="3" t="str">
        <f>IFERROR(__xludf.DUMMYFUNCTION("""COMPUTED_VALUE"""),"")</f>
        <v/>
      </c>
    </row>
    <row r="3329" ht="48.0" customHeight="1">
      <c r="A3329" s="3"/>
      <c r="B3329" s="4"/>
      <c r="C3329" s="4"/>
      <c r="D3329" s="4"/>
      <c r="E3329" s="4"/>
      <c r="F3329" s="4"/>
      <c r="G3329" s="5"/>
      <c r="H3329" s="6"/>
      <c r="I3329" s="7"/>
      <c r="J3329" s="6"/>
      <c r="K3329" s="6"/>
      <c r="L3329" s="3"/>
      <c r="M3329" s="3" t="str">
        <f>IFERROR(__xludf.DUMMYFUNCTION("""COMPUTED_VALUE"""),"")</f>
        <v/>
      </c>
    </row>
    <row r="3330" ht="48.0" customHeight="1">
      <c r="A3330" s="3"/>
      <c r="B3330" s="4"/>
      <c r="C3330" s="4"/>
      <c r="D3330" s="4"/>
      <c r="E3330" s="4"/>
      <c r="F3330" s="4"/>
      <c r="G3330" s="5"/>
      <c r="H3330" s="6"/>
      <c r="I3330" s="7"/>
      <c r="J3330" s="6"/>
      <c r="K3330" s="6"/>
      <c r="L3330" s="3"/>
      <c r="M3330" s="3" t="str">
        <f>IFERROR(__xludf.DUMMYFUNCTION("""COMPUTED_VALUE"""),"")</f>
        <v/>
      </c>
    </row>
    <row r="3331" ht="48.0" customHeight="1">
      <c r="A3331" s="3"/>
      <c r="B3331" s="4"/>
      <c r="C3331" s="4"/>
      <c r="D3331" s="4"/>
      <c r="E3331" s="4"/>
      <c r="F3331" s="4"/>
      <c r="G3331" s="5"/>
      <c r="H3331" s="6"/>
      <c r="I3331" s="7"/>
      <c r="J3331" s="6"/>
      <c r="K3331" s="6"/>
      <c r="L3331" s="3"/>
      <c r="M3331" s="3" t="str">
        <f>IFERROR(__xludf.DUMMYFUNCTION("""COMPUTED_VALUE"""),"")</f>
        <v/>
      </c>
    </row>
    <row r="3332" ht="48.0" customHeight="1">
      <c r="A3332" s="3"/>
      <c r="B3332" s="4"/>
      <c r="C3332" s="4"/>
      <c r="D3332" s="4"/>
      <c r="E3332" s="4"/>
      <c r="F3332" s="4"/>
      <c r="G3332" s="5"/>
      <c r="H3332" s="6"/>
      <c r="I3332" s="7"/>
      <c r="J3332" s="6"/>
      <c r="K3332" s="6"/>
      <c r="L3332" s="3"/>
      <c r="M3332" s="3" t="str">
        <f>IFERROR(__xludf.DUMMYFUNCTION("""COMPUTED_VALUE"""),"")</f>
        <v/>
      </c>
    </row>
    <row r="3333" ht="48.0" customHeight="1">
      <c r="A3333" s="3"/>
      <c r="B3333" s="4"/>
      <c r="C3333" s="4"/>
      <c r="D3333" s="4"/>
      <c r="E3333" s="4"/>
      <c r="F3333" s="4"/>
      <c r="G3333" s="5"/>
      <c r="H3333" s="6"/>
      <c r="I3333" s="7"/>
      <c r="J3333" s="6"/>
      <c r="K3333" s="6"/>
      <c r="L3333" s="3"/>
      <c r="M3333" s="3" t="str">
        <f>IFERROR(__xludf.DUMMYFUNCTION("""COMPUTED_VALUE"""),"")</f>
        <v/>
      </c>
    </row>
    <row r="3334" ht="48.0" customHeight="1">
      <c r="A3334" s="3"/>
      <c r="B3334" s="4"/>
      <c r="C3334" s="4"/>
      <c r="D3334" s="4"/>
      <c r="E3334" s="4"/>
      <c r="F3334" s="4"/>
      <c r="G3334" s="5"/>
      <c r="H3334" s="6"/>
      <c r="I3334" s="7"/>
      <c r="J3334" s="6"/>
      <c r="K3334" s="6"/>
      <c r="L3334" s="3"/>
      <c r="M3334" s="3" t="str">
        <f>IFERROR(__xludf.DUMMYFUNCTION("""COMPUTED_VALUE"""),"")</f>
        <v/>
      </c>
    </row>
    <row r="3335" ht="48.0" customHeight="1">
      <c r="A3335" s="3"/>
      <c r="B3335" s="4"/>
      <c r="C3335" s="4"/>
      <c r="D3335" s="4"/>
      <c r="E3335" s="4"/>
      <c r="F3335" s="4"/>
      <c r="G3335" s="5"/>
      <c r="H3335" s="6"/>
      <c r="I3335" s="7"/>
      <c r="J3335" s="6"/>
      <c r="K3335" s="6"/>
      <c r="L3335" s="3"/>
      <c r="M3335" s="3" t="str">
        <f>IFERROR(__xludf.DUMMYFUNCTION("""COMPUTED_VALUE"""),"")</f>
        <v/>
      </c>
    </row>
    <row r="3336" ht="48.0" customHeight="1">
      <c r="A3336" s="3"/>
      <c r="B3336" s="4"/>
      <c r="C3336" s="4"/>
      <c r="D3336" s="4"/>
      <c r="E3336" s="4"/>
      <c r="F3336" s="4"/>
      <c r="G3336" s="5"/>
      <c r="H3336" s="6"/>
      <c r="I3336" s="7"/>
      <c r="J3336" s="6"/>
      <c r="K3336" s="6"/>
      <c r="L3336" s="3"/>
      <c r="M3336" s="3" t="str">
        <f>IFERROR(__xludf.DUMMYFUNCTION("""COMPUTED_VALUE"""),"")</f>
        <v/>
      </c>
    </row>
    <row r="3337" ht="48.0" customHeight="1">
      <c r="A3337" s="3"/>
      <c r="B3337" s="4"/>
      <c r="C3337" s="4"/>
      <c r="D3337" s="4"/>
      <c r="E3337" s="4"/>
      <c r="F3337" s="4"/>
      <c r="G3337" s="5"/>
      <c r="H3337" s="6"/>
      <c r="I3337" s="7"/>
      <c r="J3337" s="6"/>
      <c r="K3337" s="6"/>
      <c r="L3337" s="3"/>
      <c r="M3337" s="3" t="str">
        <f>IFERROR(__xludf.DUMMYFUNCTION("""COMPUTED_VALUE"""),"")</f>
        <v/>
      </c>
    </row>
    <row r="3338" ht="48.0" customHeight="1">
      <c r="A3338" s="3"/>
      <c r="B3338" s="4"/>
      <c r="C3338" s="4"/>
      <c r="D3338" s="4"/>
      <c r="E3338" s="4"/>
      <c r="F3338" s="4"/>
      <c r="G3338" s="5"/>
      <c r="H3338" s="6"/>
      <c r="I3338" s="7"/>
      <c r="J3338" s="6"/>
      <c r="K3338" s="6"/>
      <c r="L3338" s="3"/>
      <c r="M3338" s="3" t="str">
        <f>IFERROR(__xludf.DUMMYFUNCTION("""COMPUTED_VALUE"""),"")</f>
        <v/>
      </c>
    </row>
    <row r="3339" ht="48.0" customHeight="1">
      <c r="A3339" s="3"/>
      <c r="B3339" s="4"/>
      <c r="C3339" s="4"/>
      <c r="D3339" s="4"/>
      <c r="E3339" s="4"/>
      <c r="F3339" s="4"/>
      <c r="G3339" s="5"/>
      <c r="H3339" s="6"/>
      <c r="I3339" s="7"/>
      <c r="J3339" s="6"/>
      <c r="K3339" s="6"/>
      <c r="L3339" s="3"/>
      <c r="M3339" s="3" t="str">
        <f>IFERROR(__xludf.DUMMYFUNCTION("""COMPUTED_VALUE"""),"")</f>
        <v/>
      </c>
    </row>
    <row r="3340" ht="48.0" customHeight="1">
      <c r="A3340" s="3"/>
      <c r="B3340" s="4"/>
      <c r="C3340" s="4"/>
      <c r="D3340" s="4"/>
      <c r="E3340" s="4"/>
      <c r="F3340" s="4"/>
      <c r="G3340" s="5"/>
      <c r="H3340" s="6"/>
      <c r="I3340" s="7"/>
      <c r="J3340" s="6"/>
      <c r="K3340" s="6"/>
      <c r="L3340" s="3"/>
      <c r="M3340" s="3" t="str">
        <f>IFERROR(__xludf.DUMMYFUNCTION("""COMPUTED_VALUE"""),"")</f>
        <v/>
      </c>
    </row>
    <row r="3341" ht="48.0" customHeight="1">
      <c r="A3341" s="3"/>
      <c r="B3341" s="4"/>
      <c r="C3341" s="4"/>
      <c r="D3341" s="4"/>
      <c r="E3341" s="4"/>
      <c r="F3341" s="4"/>
      <c r="G3341" s="5"/>
      <c r="H3341" s="6"/>
      <c r="I3341" s="7"/>
      <c r="J3341" s="6"/>
      <c r="K3341" s="6"/>
      <c r="L3341" s="3"/>
      <c r="M3341" s="3" t="str">
        <f>IFERROR(__xludf.DUMMYFUNCTION("""COMPUTED_VALUE"""),"")</f>
        <v/>
      </c>
    </row>
    <row r="3342" ht="48.0" customHeight="1">
      <c r="A3342" s="3"/>
      <c r="B3342" s="4"/>
      <c r="C3342" s="4"/>
      <c r="D3342" s="4"/>
      <c r="E3342" s="4"/>
      <c r="F3342" s="4"/>
      <c r="G3342" s="5"/>
      <c r="H3342" s="6"/>
      <c r="I3342" s="7"/>
      <c r="J3342" s="6"/>
      <c r="K3342" s="6"/>
      <c r="L3342" s="3"/>
      <c r="M3342" s="3" t="str">
        <f>IFERROR(__xludf.DUMMYFUNCTION("""COMPUTED_VALUE"""),"")</f>
        <v/>
      </c>
    </row>
    <row r="3343" ht="48.0" customHeight="1">
      <c r="A3343" s="3"/>
      <c r="B3343" s="4"/>
      <c r="C3343" s="4"/>
      <c r="D3343" s="4"/>
      <c r="E3343" s="4"/>
      <c r="F3343" s="4"/>
      <c r="G3343" s="5"/>
      <c r="H3343" s="6"/>
      <c r="I3343" s="7"/>
      <c r="J3343" s="6"/>
      <c r="K3343" s="6"/>
      <c r="L3343" s="3"/>
      <c r="M3343" s="3" t="str">
        <f>IFERROR(__xludf.DUMMYFUNCTION("""COMPUTED_VALUE"""),"")</f>
        <v/>
      </c>
    </row>
    <row r="3344" ht="48.0" customHeight="1">
      <c r="A3344" s="3"/>
      <c r="B3344" s="4"/>
      <c r="C3344" s="4"/>
      <c r="D3344" s="4"/>
      <c r="E3344" s="4"/>
      <c r="F3344" s="4"/>
      <c r="G3344" s="5"/>
      <c r="H3344" s="6"/>
      <c r="I3344" s="7"/>
      <c r="J3344" s="6"/>
      <c r="K3344" s="6"/>
      <c r="L3344" s="3"/>
      <c r="M3344" s="3" t="str">
        <f>IFERROR(__xludf.DUMMYFUNCTION("""COMPUTED_VALUE"""),"")</f>
        <v/>
      </c>
    </row>
    <row r="3345" ht="48.0" customHeight="1">
      <c r="A3345" s="3"/>
      <c r="B3345" s="4"/>
      <c r="C3345" s="4"/>
      <c r="D3345" s="4"/>
      <c r="E3345" s="4"/>
      <c r="F3345" s="4"/>
      <c r="G3345" s="5"/>
      <c r="H3345" s="6"/>
      <c r="I3345" s="7"/>
      <c r="J3345" s="6"/>
      <c r="K3345" s="6"/>
      <c r="L3345" s="3"/>
      <c r="M3345" s="3" t="str">
        <f>IFERROR(__xludf.DUMMYFUNCTION("""COMPUTED_VALUE"""),"")</f>
        <v/>
      </c>
    </row>
    <row r="3346" ht="48.0" customHeight="1">
      <c r="A3346" s="3"/>
      <c r="B3346" s="4"/>
      <c r="C3346" s="4"/>
      <c r="D3346" s="4"/>
      <c r="E3346" s="4"/>
      <c r="F3346" s="4"/>
      <c r="G3346" s="5"/>
      <c r="H3346" s="6"/>
      <c r="I3346" s="7"/>
      <c r="J3346" s="6"/>
      <c r="K3346" s="6"/>
      <c r="L3346" s="3"/>
      <c r="M3346" s="3" t="str">
        <f>IFERROR(__xludf.DUMMYFUNCTION("""COMPUTED_VALUE"""),"")</f>
        <v/>
      </c>
    </row>
    <row r="3347" ht="48.0" customHeight="1">
      <c r="A3347" s="3"/>
      <c r="B3347" s="4"/>
      <c r="C3347" s="4"/>
      <c r="D3347" s="4"/>
      <c r="E3347" s="4"/>
      <c r="F3347" s="4"/>
      <c r="G3347" s="5"/>
      <c r="H3347" s="6"/>
      <c r="I3347" s="7"/>
      <c r="J3347" s="6"/>
      <c r="K3347" s="6"/>
      <c r="L3347" s="3"/>
      <c r="M3347" s="3" t="str">
        <f>IFERROR(__xludf.DUMMYFUNCTION("""COMPUTED_VALUE"""),"")</f>
        <v/>
      </c>
    </row>
    <row r="3348" ht="48.0" customHeight="1">
      <c r="A3348" s="3"/>
      <c r="B3348" s="4"/>
      <c r="C3348" s="4"/>
      <c r="D3348" s="4"/>
      <c r="E3348" s="4"/>
      <c r="F3348" s="4"/>
      <c r="G3348" s="5"/>
      <c r="H3348" s="6"/>
      <c r="I3348" s="7"/>
      <c r="J3348" s="6"/>
      <c r="K3348" s="6"/>
      <c r="L3348" s="3"/>
      <c r="M3348" s="3" t="str">
        <f>IFERROR(__xludf.DUMMYFUNCTION("""COMPUTED_VALUE"""),"")</f>
        <v/>
      </c>
    </row>
    <row r="3349" ht="48.0" customHeight="1">
      <c r="A3349" s="3"/>
      <c r="B3349" s="4"/>
      <c r="C3349" s="4"/>
      <c r="D3349" s="4"/>
      <c r="E3349" s="4"/>
      <c r="F3349" s="4"/>
      <c r="G3349" s="5"/>
      <c r="H3349" s="6"/>
      <c r="I3349" s="7"/>
      <c r="J3349" s="6"/>
      <c r="K3349" s="6"/>
      <c r="L3349" s="3"/>
      <c r="M3349" s="3" t="str">
        <f>IFERROR(__xludf.DUMMYFUNCTION("""COMPUTED_VALUE"""),"")</f>
        <v/>
      </c>
    </row>
    <row r="3350" ht="48.0" customHeight="1">
      <c r="A3350" s="3"/>
      <c r="B3350" s="4"/>
      <c r="C3350" s="4"/>
      <c r="D3350" s="4"/>
      <c r="E3350" s="4"/>
      <c r="F3350" s="4"/>
      <c r="G3350" s="5"/>
      <c r="H3350" s="6"/>
      <c r="I3350" s="7"/>
      <c r="J3350" s="6"/>
      <c r="K3350" s="6"/>
      <c r="L3350" s="3"/>
      <c r="M3350" s="3" t="str">
        <f>IFERROR(__xludf.DUMMYFUNCTION("""COMPUTED_VALUE"""),"")</f>
        <v/>
      </c>
    </row>
    <row r="3351" ht="48.0" customHeight="1">
      <c r="A3351" s="3"/>
      <c r="B3351" s="4"/>
      <c r="C3351" s="4"/>
      <c r="D3351" s="4"/>
      <c r="E3351" s="4"/>
      <c r="F3351" s="4"/>
      <c r="G3351" s="5"/>
      <c r="H3351" s="6"/>
      <c r="I3351" s="7"/>
      <c r="J3351" s="6"/>
      <c r="K3351" s="6"/>
      <c r="L3351" s="3"/>
      <c r="M3351" s="3" t="str">
        <f>IFERROR(__xludf.DUMMYFUNCTION("""COMPUTED_VALUE"""),"")</f>
        <v/>
      </c>
    </row>
    <row r="3352" ht="48.0" customHeight="1">
      <c r="A3352" s="3"/>
      <c r="B3352" s="4"/>
      <c r="C3352" s="4"/>
      <c r="D3352" s="4"/>
      <c r="E3352" s="4"/>
      <c r="F3352" s="4"/>
      <c r="G3352" s="5"/>
      <c r="H3352" s="6"/>
      <c r="I3352" s="7"/>
      <c r="J3352" s="6"/>
      <c r="K3352" s="6"/>
      <c r="L3352" s="3"/>
      <c r="M3352" s="3" t="str">
        <f>IFERROR(__xludf.DUMMYFUNCTION("""COMPUTED_VALUE"""),"")</f>
        <v/>
      </c>
    </row>
    <row r="3353" ht="48.0" customHeight="1">
      <c r="A3353" s="3"/>
      <c r="B3353" s="4"/>
      <c r="C3353" s="4"/>
      <c r="D3353" s="4"/>
      <c r="E3353" s="4"/>
      <c r="F3353" s="4"/>
      <c r="G3353" s="5"/>
      <c r="H3353" s="6"/>
      <c r="I3353" s="7"/>
      <c r="J3353" s="6"/>
      <c r="K3353" s="6"/>
      <c r="L3353" s="3"/>
      <c r="M3353" s="3" t="str">
        <f>IFERROR(__xludf.DUMMYFUNCTION("""COMPUTED_VALUE"""),"")</f>
        <v/>
      </c>
    </row>
    <row r="3354" ht="48.0" customHeight="1">
      <c r="A3354" s="3"/>
      <c r="B3354" s="4"/>
      <c r="C3354" s="4"/>
      <c r="D3354" s="4"/>
      <c r="E3354" s="4"/>
      <c r="F3354" s="4"/>
      <c r="G3354" s="5"/>
      <c r="H3354" s="6"/>
      <c r="I3354" s="7"/>
      <c r="J3354" s="6"/>
      <c r="K3354" s="6"/>
      <c r="L3354" s="3"/>
      <c r="M3354" s="3" t="str">
        <f>IFERROR(__xludf.DUMMYFUNCTION("""COMPUTED_VALUE"""),"")</f>
        <v/>
      </c>
    </row>
    <row r="3355" ht="48.0" customHeight="1">
      <c r="A3355" s="3"/>
      <c r="B3355" s="4"/>
      <c r="C3355" s="4"/>
      <c r="D3355" s="4"/>
      <c r="E3355" s="4"/>
      <c r="F3355" s="4"/>
      <c r="G3355" s="5"/>
      <c r="H3355" s="6"/>
      <c r="I3355" s="7"/>
      <c r="J3355" s="6"/>
      <c r="K3355" s="6"/>
      <c r="L3355" s="3"/>
      <c r="M3355" s="3" t="str">
        <f>IFERROR(__xludf.DUMMYFUNCTION("""COMPUTED_VALUE"""),"")</f>
        <v/>
      </c>
    </row>
    <row r="3356" ht="48.0" customHeight="1">
      <c r="A3356" s="3"/>
      <c r="B3356" s="4"/>
      <c r="C3356" s="4"/>
      <c r="D3356" s="4"/>
      <c r="E3356" s="4"/>
      <c r="F3356" s="4"/>
      <c r="G3356" s="5"/>
      <c r="H3356" s="6"/>
      <c r="I3356" s="7"/>
      <c r="J3356" s="6"/>
      <c r="K3356" s="6"/>
      <c r="L3356" s="3"/>
      <c r="M3356" s="3" t="str">
        <f>IFERROR(__xludf.DUMMYFUNCTION("""COMPUTED_VALUE"""),"")</f>
        <v/>
      </c>
    </row>
    <row r="3357" ht="48.0" customHeight="1">
      <c r="A3357" s="3"/>
      <c r="B3357" s="4"/>
      <c r="C3357" s="4"/>
      <c r="D3357" s="4"/>
      <c r="E3357" s="4"/>
      <c r="F3357" s="4"/>
      <c r="G3357" s="5"/>
      <c r="H3357" s="6"/>
      <c r="I3357" s="7"/>
      <c r="J3357" s="6"/>
      <c r="K3357" s="6"/>
      <c r="L3357" s="3"/>
      <c r="M3357" s="3" t="str">
        <f>IFERROR(__xludf.DUMMYFUNCTION("""COMPUTED_VALUE"""),"")</f>
        <v/>
      </c>
    </row>
    <row r="3358" ht="48.0" customHeight="1">
      <c r="A3358" s="3"/>
      <c r="B3358" s="4"/>
      <c r="C3358" s="4"/>
      <c r="D3358" s="4"/>
      <c r="E3358" s="4"/>
      <c r="F3358" s="4"/>
      <c r="G3358" s="5"/>
      <c r="H3358" s="6"/>
      <c r="I3358" s="7"/>
      <c r="J3358" s="6"/>
      <c r="K3358" s="6"/>
      <c r="L3358" s="3"/>
      <c r="M3358" s="3" t="str">
        <f>IFERROR(__xludf.DUMMYFUNCTION("""COMPUTED_VALUE"""),"")</f>
        <v/>
      </c>
    </row>
    <row r="3359" ht="48.0" customHeight="1">
      <c r="A3359" s="3"/>
      <c r="B3359" s="4"/>
      <c r="C3359" s="4"/>
      <c r="D3359" s="4"/>
      <c r="E3359" s="4"/>
      <c r="F3359" s="4"/>
      <c r="G3359" s="5"/>
      <c r="H3359" s="6"/>
      <c r="I3359" s="7"/>
      <c r="J3359" s="6"/>
      <c r="K3359" s="6"/>
      <c r="L3359" s="3"/>
      <c r="M3359" s="3" t="str">
        <f>IFERROR(__xludf.DUMMYFUNCTION("""COMPUTED_VALUE"""),"")</f>
        <v/>
      </c>
    </row>
    <row r="3360" ht="48.0" customHeight="1">
      <c r="A3360" s="3"/>
      <c r="B3360" s="4"/>
      <c r="C3360" s="4"/>
      <c r="D3360" s="4"/>
      <c r="E3360" s="4"/>
      <c r="F3360" s="4"/>
      <c r="G3360" s="5"/>
      <c r="H3360" s="6"/>
      <c r="I3360" s="7"/>
      <c r="J3360" s="6"/>
      <c r="K3360" s="6"/>
      <c r="L3360" s="3"/>
      <c r="M3360" s="3" t="str">
        <f>IFERROR(__xludf.DUMMYFUNCTION("""COMPUTED_VALUE"""),"")</f>
        <v/>
      </c>
    </row>
    <row r="3361" ht="48.0" customHeight="1">
      <c r="A3361" s="3"/>
      <c r="B3361" s="4"/>
      <c r="C3361" s="4"/>
      <c r="D3361" s="4"/>
      <c r="E3361" s="4"/>
      <c r="F3361" s="4"/>
      <c r="G3361" s="5"/>
      <c r="H3361" s="6"/>
      <c r="I3361" s="7"/>
      <c r="J3361" s="6"/>
      <c r="K3361" s="6"/>
      <c r="L3361" s="3"/>
      <c r="M3361" s="3" t="str">
        <f>IFERROR(__xludf.DUMMYFUNCTION("""COMPUTED_VALUE"""),"")</f>
        <v/>
      </c>
    </row>
    <row r="3362" ht="48.0" customHeight="1">
      <c r="A3362" s="3"/>
      <c r="B3362" s="4"/>
      <c r="C3362" s="4"/>
      <c r="D3362" s="4"/>
      <c r="E3362" s="4"/>
      <c r="F3362" s="4"/>
      <c r="G3362" s="5"/>
      <c r="H3362" s="6"/>
      <c r="I3362" s="7"/>
      <c r="J3362" s="6"/>
      <c r="K3362" s="6"/>
      <c r="L3362" s="3"/>
      <c r="M3362" s="3" t="str">
        <f>IFERROR(__xludf.DUMMYFUNCTION("""COMPUTED_VALUE"""),"")</f>
        <v/>
      </c>
    </row>
    <row r="3363" ht="48.0" customHeight="1">
      <c r="A3363" s="3"/>
      <c r="B3363" s="4"/>
      <c r="C3363" s="4"/>
      <c r="D3363" s="4"/>
      <c r="E3363" s="4"/>
      <c r="F3363" s="4"/>
      <c r="G3363" s="5"/>
      <c r="H3363" s="6"/>
      <c r="I3363" s="7"/>
      <c r="J3363" s="6"/>
      <c r="K3363" s="6"/>
      <c r="L3363" s="3"/>
      <c r="M3363" s="3" t="str">
        <f>IFERROR(__xludf.DUMMYFUNCTION("""COMPUTED_VALUE"""),"")</f>
        <v/>
      </c>
    </row>
    <row r="3364" ht="48.0" customHeight="1">
      <c r="A3364" s="3"/>
      <c r="B3364" s="4"/>
      <c r="C3364" s="4"/>
      <c r="D3364" s="4"/>
      <c r="E3364" s="4"/>
      <c r="F3364" s="4"/>
      <c r="G3364" s="5"/>
      <c r="H3364" s="6"/>
      <c r="I3364" s="7"/>
      <c r="J3364" s="6"/>
      <c r="K3364" s="6"/>
      <c r="L3364" s="3"/>
      <c r="M3364" s="3" t="str">
        <f>IFERROR(__xludf.DUMMYFUNCTION("""COMPUTED_VALUE"""),"")</f>
        <v/>
      </c>
    </row>
    <row r="3365" ht="48.0" customHeight="1">
      <c r="A3365" s="3"/>
      <c r="B3365" s="4"/>
      <c r="C3365" s="4"/>
      <c r="D3365" s="4"/>
      <c r="E3365" s="4"/>
      <c r="F3365" s="4"/>
      <c r="G3365" s="5"/>
      <c r="H3365" s="6"/>
      <c r="I3365" s="7"/>
      <c r="J3365" s="6"/>
      <c r="K3365" s="6"/>
      <c r="L3365" s="3"/>
      <c r="M3365" s="3" t="str">
        <f>IFERROR(__xludf.DUMMYFUNCTION("""COMPUTED_VALUE"""),"")</f>
        <v/>
      </c>
    </row>
    <row r="3366" ht="48.0" customHeight="1">
      <c r="A3366" s="3"/>
      <c r="B3366" s="4"/>
      <c r="C3366" s="4"/>
      <c r="D3366" s="4"/>
      <c r="E3366" s="4"/>
      <c r="F3366" s="4"/>
      <c r="G3366" s="5"/>
      <c r="H3366" s="6"/>
      <c r="I3366" s="7"/>
      <c r="J3366" s="6"/>
      <c r="K3366" s="6"/>
      <c r="L3366" s="3"/>
      <c r="M3366" s="3" t="str">
        <f>IFERROR(__xludf.DUMMYFUNCTION("""COMPUTED_VALUE"""),"")</f>
        <v/>
      </c>
    </row>
    <row r="3367" ht="48.0" customHeight="1">
      <c r="A3367" s="3"/>
      <c r="B3367" s="4"/>
      <c r="C3367" s="4"/>
      <c r="D3367" s="4"/>
      <c r="E3367" s="4"/>
      <c r="F3367" s="4"/>
      <c r="G3367" s="5"/>
      <c r="H3367" s="6"/>
      <c r="I3367" s="7"/>
      <c r="J3367" s="6"/>
      <c r="K3367" s="6"/>
      <c r="L3367" s="3"/>
      <c r="M3367" s="3" t="str">
        <f>IFERROR(__xludf.DUMMYFUNCTION("""COMPUTED_VALUE"""),"")</f>
        <v/>
      </c>
    </row>
    <row r="3368" ht="48.0" customHeight="1">
      <c r="A3368" s="3"/>
      <c r="B3368" s="4"/>
      <c r="C3368" s="4"/>
      <c r="D3368" s="4"/>
      <c r="E3368" s="4"/>
      <c r="F3368" s="4"/>
      <c r="G3368" s="5"/>
      <c r="H3368" s="6"/>
      <c r="I3368" s="7"/>
      <c r="J3368" s="6"/>
      <c r="K3368" s="6"/>
      <c r="L3368" s="3"/>
      <c r="M3368" s="3" t="str">
        <f>IFERROR(__xludf.DUMMYFUNCTION("""COMPUTED_VALUE"""),"")</f>
        <v/>
      </c>
    </row>
    <row r="3369" ht="48.0" customHeight="1">
      <c r="A3369" s="3"/>
      <c r="B3369" s="4"/>
      <c r="C3369" s="4"/>
      <c r="D3369" s="4"/>
      <c r="E3369" s="4"/>
      <c r="F3369" s="4"/>
      <c r="G3369" s="5"/>
      <c r="H3369" s="6"/>
      <c r="I3369" s="7"/>
      <c r="J3369" s="6"/>
      <c r="K3369" s="6"/>
      <c r="L3369" s="3"/>
      <c r="M3369" s="3" t="str">
        <f>IFERROR(__xludf.DUMMYFUNCTION("""COMPUTED_VALUE"""),"")</f>
        <v/>
      </c>
    </row>
    <row r="3370" ht="48.0" customHeight="1">
      <c r="A3370" s="3"/>
      <c r="B3370" s="4"/>
      <c r="C3370" s="4"/>
      <c r="D3370" s="4"/>
      <c r="E3370" s="4"/>
      <c r="F3370" s="4"/>
      <c r="G3370" s="5"/>
      <c r="H3370" s="6"/>
      <c r="I3370" s="7"/>
      <c r="J3370" s="6"/>
      <c r="K3370" s="6"/>
      <c r="L3370" s="3"/>
      <c r="M3370" s="3" t="str">
        <f>IFERROR(__xludf.DUMMYFUNCTION("""COMPUTED_VALUE"""),"")</f>
        <v/>
      </c>
    </row>
    <row r="3371" ht="48.0" customHeight="1">
      <c r="A3371" s="3"/>
      <c r="B3371" s="4"/>
      <c r="C3371" s="4"/>
      <c r="D3371" s="4"/>
      <c r="E3371" s="4"/>
      <c r="F3371" s="4"/>
      <c r="G3371" s="5"/>
      <c r="H3371" s="6"/>
      <c r="I3371" s="7"/>
      <c r="J3371" s="6"/>
      <c r="K3371" s="6"/>
      <c r="L3371" s="3"/>
      <c r="M3371" s="3" t="str">
        <f>IFERROR(__xludf.DUMMYFUNCTION("""COMPUTED_VALUE"""),"")</f>
        <v/>
      </c>
    </row>
    <row r="3372" ht="48.0" customHeight="1">
      <c r="A3372" s="3"/>
      <c r="B3372" s="4"/>
      <c r="C3372" s="4"/>
      <c r="D3372" s="4"/>
      <c r="E3372" s="4"/>
      <c r="F3372" s="4"/>
      <c r="G3372" s="5"/>
      <c r="H3372" s="6"/>
      <c r="I3372" s="7"/>
      <c r="J3372" s="6"/>
      <c r="K3372" s="6"/>
      <c r="L3372" s="3"/>
      <c r="M3372" s="3" t="str">
        <f>IFERROR(__xludf.DUMMYFUNCTION("""COMPUTED_VALUE"""),"")</f>
        <v/>
      </c>
    </row>
    <row r="3373" ht="48.0" customHeight="1">
      <c r="A3373" s="3"/>
      <c r="B3373" s="4"/>
      <c r="C3373" s="4"/>
      <c r="D3373" s="4"/>
      <c r="E3373" s="4"/>
      <c r="F3373" s="4"/>
      <c r="G3373" s="5"/>
      <c r="H3373" s="6"/>
      <c r="I3373" s="7"/>
      <c r="J3373" s="6"/>
      <c r="K3373" s="6"/>
      <c r="L3373" s="3"/>
      <c r="M3373" s="3" t="str">
        <f>IFERROR(__xludf.DUMMYFUNCTION("""COMPUTED_VALUE"""),"")</f>
        <v/>
      </c>
    </row>
    <row r="3374" ht="48.0" customHeight="1">
      <c r="A3374" s="3"/>
      <c r="B3374" s="4"/>
      <c r="C3374" s="4"/>
      <c r="D3374" s="4"/>
      <c r="E3374" s="4"/>
      <c r="F3374" s="4"/>
      <c r="G3374" s="5"/>
      <c r="H3374" s="6"/>
      <c r="I3374" s="7"/>
      <c r="J3374" s="6"/>
      <c r="K3374" s="6"/>
      <c r="L3374" s="3"/>
      <c r="M3374" s="3" t="str">
        <f>IFERROR(__xludf.DUMMYFUNCTION("""COMPUTED_VALUE"""),"")</f>
        <v/>
      </c>
    </row>
    <row r="3375" ht="48.0" customHeight="1">
      <c r="A3375" s="3"/>
      <c r="B3375" s="4"/>
      <c r="C3375" s="4"/>
      <c r="D3375" s="4"/>
      <c r="E3375" s="4"/>
      <c r="F3375" s="4"/>
      <c r="G3375" s="5"/>
      <c r="H3375" s="6"/>
      <c r="I3375" s="7"/>
      <c r="J3375" s="6"/>
      <c r="K3375" s="6"/>
      <c r="L3375" s="3"/>
      <c r="M3375" s="3" t="str">
        <f>IFERROR(__xludf.DUMMYFUNCTION("""COMPUTED_VALUE"""),"")</f>
        <v/>
      </c>
    </row>
    <row r="3376" ht="48.0" customHeight="1">
      <c r="A3376" s="3"/>
      <c r="B3376" s="4"/>
      <c r="C3376" s="4"/>
      <c r="D3376" s="4"/>
      <c r="E3376" s="4"/>
      <c r="F3376" s="4"/>
      <c r="G3376" s="5"/>
      <c r="H3376" s="6"/>
      <c r="I3376" s="7"/>
      <c r="J3376" s="6"/>
      <c r="K3376" s="6"/>
      <c r="L3376" s="3"/>
      <c r="M3376" s="3" t="str">
        <f>IFERROR(__xludf.DUMMYFUNCTION("""COMPUTED_VALUE"""),"")</f>
        <v/>
      </c>
    </row>
    <row r="3377" ht="48.0" customHeight="1">
      <c r="A3377" s="3"/>
      <c r="B3377" s="4"/>
      <c r="C3377" s="4"/>
      <c r="D3377" s="4"/>
      <c r="E3377" s="4"/>
      <c r="F3377" s="4"/>
      <c r="G3377" s="5"/>
      <c r="H3377" s="6"/>
      <c r="I3377" s="7"/>
      <c r="J3377" s="6"/>
      <c r="K3377" s="6"/>
      <c r="L3377" s="3"/>
      <c r="M3377" s="3" t="str">
        <f>IFERROR(__xludf.DUMMYFUNCTION("""COMPUTED_VALUE"""),"")</f>
        <v/>
      </c>
    </row>
    <row r="3378" ht="48.0" customHeight="1">
      <c r="A3378" s="3"/>
      <c r="B3378" s="4"/>
      <c r="C3378" s="4"/>
      <c r="D3378" s="4"/>
      <c r="E3378" s="4"/>
      <c r="F3378" s="4"/>
      <c r="G3378" s="5"/>
      <c r="H3378" s="6"/>
      <c r="I3378" s="7"/>
      <c r="J3378" s="6"/>
      <c r="K3378" s="6"/>
      <c r="L3378" s="3"/>
      <c r="M3378" s="3" t="str">
        <f>IFERROR(__xludf.DUMMYFUNCTION("""COMPUTED_VALUE"""),"")</f>
        <v/>
      </c>
    </row>
    <row r="3379" ht="48.0" customHeight="1">
      <c r="A3379" s="3"/>
      <c r="B3379" s="4"/>
      <c r="C3379" s="4"/>
      <c r="D3379" s="4"/>
      <c r="E3379" s="4"/>
      <c r="F3379" s="4"/>
      <c r="G3379" s="5"/>
      <c r="H3379" s="6"/>
      <c r="I3379" s="7"/>
      <c r="J3379" s="6"/>
      <c r="K3379" s="6"/>
      <c r="L3379" s="3"/>
      <c r="M3379" s="3" t="str">
        <f>IFERROR(__xludf.DUMMYFUNCTION("""COMPUTED_VALUE"""),"")</f>
        <v/>
      </c>
    </row>
    <row r="3380" ht="48.0" customHeight="1">
      <c r="A3380" s="3"/>
      <c r="B3380" s="4"/>
      <c r="C3380" s="4"/>
      <c r="D3380" s="4"/>
      <c r="E3380" s="4"/>
      <c r="F3380" s="4"/>
      <c r="G3380" s="5"/>
      <c r="H3380" s="6"/>
      <c r="I3380" s="7"/>
      <c r="J3380" s="6"/>
      <c r="K3380" s="6"/>
      <c r="L3380" s="3"/>
      <c r="M3380" s="3" t="str">
        <f>IFERROR(__xludf.DUMMYFUNCTION("""COMPUTED_VALUE"""),"")</f>
        <v/>
      </c>
    </row>
    <row r="3381" ht="48.0" customHeight="1">
      <c r="A3381" s="3"/>
      <c r="B3381" s="4"/>
      <c r="C3381" s="4"/>
      <c r="D3381" s="4"/>
      <c r="E3381" s="4"/>
      <c r="F3381" s="4"/>
      <c r="G3381" s="5"/>
      <c r="H3381" s="6"/>
      <c r="I3381" s="7"/>
      <c r="J3381" s="6"/>
      <c r="K3381" s="6"/>
      <c r="L3381" s="3"/>
      <c r="M3381" s="3" t="str">
        <f>IFERROR(__xludf.DUMMYFUNCTION("""COMPUTED_VALUE"""),"")</f>
        <v/>
      </c>
    </row>
    <row r="3382" ht="48.0" customHeight="1">
      <c r="A3382" s="3"/>
      <c r="B3382" s="4"/>
      <c r="C3382" s="4"/>
      <c r="D3382" s="4"/>
      <c r="E3382" s="4"/>
      <c r="F3382" s="4"/>
      <c r="G3382" s="5"/>
      <c r="H3382" s="6"/>
      <c r="I3382" s="7"/>
      <c r="J3382" s="6"/>
      <c r="K3382" s="6"/>
      <c r="L3382" s="3"/>
      <c r="M3382" s="3" t="str">
        <f>IFERROR(__xludf.DUMMYFUNCTION("""COMPUTED_VALUE"""),"")</f>
        <v/>
      </c>
    </row>
    <row r="3383" ht="48.0" customHeight="1">
      <c r="A3383" s="3"/>
      <c r="B3383" s="4"/>
      <c r="C3383" s="4"/>
      <c r="D3383" s="4"/>
      <c r="E3383" s="4"/>
      <c r="F3383" s="4"/>
      <c r="G3383" s="5"/>
      <c r="H3383" s="6"/>
      <c r="I3383" s="7"/>
      <c r="J3383" s="6"/>
      <c r="K3383" s="6"/>
      <c r="L3383" s="3"/>
      <c r="M3383" s="3" t="str">
        <f>IFERROR(__xludf.DUMMYFUNCTION("""COMPUTED_VALUE"""),"")</f>
        <v/>
      </c>
    </row>
    <row r="3384" ht="48.0" customHeight="1">
      <c r="A3384" s="3"/>
      <c r="B3384" s="4"/>
      <c r="C3384" s="4"/>
      <c r="D3384" s="4"/>
      <c r="E3384" s="4"/>
      <c r="F3384" s="4"/>
      <c r="G3384" s="5"/>
      <c r="H3384" s="6"/>
      <c r="I3384" s="7"/>
      <c r="J3384" s="6"/>
      <c r="K3384" s="6"/>
      <c r="L3384" s="3"/>
      <c r="M3384" s="3" t="str">
        <f>IFERROR(__xludf.DUMMYFUNCTION("""COMPUTED_VALUE"""),"")</f>
        <v/>
      </c>
    </row>
    <row r="3385" ht="48.0" customHeight="1">
      <c r="A3385" s="3"/>
      <c r="B3385" s="4"/>
      <c r="C3385" s="4"/>
      <c r="D3385" s="4"/>
      <c r="E3385" s="4"/>
      <c r="F3385" s="4"/>
      <c r="G3385" s="5"/>
      <c r="H3385" s="6"/>
      <c r="I3385" s="7"/>
      <c r="J3385" s="6"/>
      <c r="K3385" s="6"/>
      <c r="L3385" s="3"/>
      <c r="M3385" s="3" t="str">
        <f>IFERROR(__xludf.DUMMYFUNCTION("""COMPUTED_VALUE"""),"")</f>
        <v/>
      </c>
    </row>
    <row r="3386" ht="48.0" customHeight="1">
      <c r="A3386" s="3"/>
      <c r="B3386" s="4"/>
      <c r="C3386" s="4"/>
      <c r="D3386" s="4"/>
      <c r="E3386" s="4"/>
      <c r="F3386" s="4"/>
      <c r="G3386" s="5"/>
      <c r="H3386" s="6"/>
      <c r="I3386" s="7"/>
      <c r="J3386" s="6"/>
      <c r="K3386" s="6"/>
      <c r="L3386" s="3"/>
      <c r="M3386" s="3" t="str">
        <f>IFERROR(__xludf.DUMMYFUNCTION("""COMPUTED_VALUE"""),"")</f>
        <v/>
      </c>
    </row>
    <row r="3387" ht="48.0" customHeight="1">
      <c r="A3387" s="3"/>
      <c r="B3387" s="4"/>
      <c r="C3387" s="4"/>
      <c r="D3387" s="4"/>
      <c r="E3387" s="4"/>
      <c r="F3387" s="4"/>
      <c r="G3387" s="5"/>
      <c r="H3387" s="6"/>
      <c r="I3387" s="7"/>
      <c r="J3387" s="6"/>
      <c r="K3387" s="6"/>
      <c r="L3387" s="3"/>
      <c r="M3387" s="3" t="str">
        <f>IFERROR(__xludf.DUMMYFUNCTION("""COMPUTED_VALUE"""),"")</f>
        <v/>
      </c>
    </row>
    <row r="3388" ht="48.0" customHeight="1">
      <c r="A3388" s="3"/>
      <c r="B3388" s="4"/>
      <c r="C3388" s="4"/>
      <c r="D3388" s="4"/>
      <c r="E3388" s="4"/>
      <c r="F3388" s="4"/>
      <c r="G3388" s="5"/>
      <c r="H3388" s="6"/>
      <c r="I3388" s="7"/>
      <c r="J3388" s="6"/>
      <c r="K3388" s="6"/>
      <c r="L3388" s="3"/>
      <c r="M3388" s="3" t="str">
        <f>IFERROR(__xludf.DUMMYFUNCTION("""COMPUTED_VALUE"""),"")</f>
        <v/>
      </c>
    </row>
    <row r="3389" ht="48.0" customHeight="1">
      <c r="A3389" s="3"/>
      <c r="B3389" s="4"/>
      <c r="C3389" s="4"/>
      <c r="D3389" s="4"/>
      <c r="E3389" s="4"/>
      <c r="F3389" s="4"/>
      <c r="G3389" s="5"/>
      <c r="H3389" s="6"/>
      <c r="I3389" s="7"/>
      <c r="J3389" s="6"/>
      <c r="K3389" s="6"/>
      <c r="L3389" s="3"/>
      <c r="M3389" s="3" t="str">
        <f>IFERROR(__xludf.DUMMYFUNCTION("""COMPUTED_VALUE"""),"")</f>
        <v/>
      </c>
    </row>
    <row r="3390" ht="48.0" customHeight="1">
      <c r="A3390" s="3"/>
      <c r="B3390" s="4"/>
      <c r="C3390" s="4"/>
      <c r="D3390" s="4"/>
      <c r="E3390" s="4"/>
      <c r="F3390" s="4"/>
      <c r="G3390" s="5"/>
      <c r="H3390" s="6"/>
      <c r="I3390" s="7"/>
      <c r="J3390" s="6"/>
      <c r="K3390" s="6"/>
      <c r="L3390" s="3"/>
      <c r="M3390" s="3" t="str">
        <f>IFERROR(__xludf.DUMMYFUNCTION("""COMPUTED_VALUE"""),"")</f>
        <v/>
      </c>
    </row>
    <row r="3391" ht="48.0" customHeight="1">
      <c r="A3391" s="3"/>
      <c r="B3391" s="4"/>
      <c r="C3391" s="4"/>
      <c r="D3391" s="4"/>
      <c r="E3391" s="4"/>
      <c r="F3391" s="4"/>
      <c r="G3391" s="5"/>
      <c r="H3391" s="6"/>
      <c r="I3391" s="7"/>
      <c r="J3391" s="6"/>
      <c r="K3391" s="6"/>
      <c r="L3391" s="3"/>
      <c r="M3391" s="3" t="str">
        <f>IFERROR(__xludf.DUMMYFUNCTION("""COMPUTED_VALUE"""),"")</f>
        <v/>
      </c>
    </row>
    <row r="3392" ht="48.0" customHeight="1">
      <c r="A3392" s="3"/>
      <c r="B3392" s="4"/>
      <c r="C3392" s="4"/>
      <c r="D3392" s="4"/>
      <c r="E3392" s="4"/>
      <c r="F3392" s="4"/>
      <c r="G3392" s="5"/>
      <c r="H3392" s="6"/>
      <c r="I3392" s="7"/>
      <c r="J3392" s="6"/>
      <c r="K3392" s="6"/>
      <c r="L3392" s="3"/>
      <c r="M3392" s="3" t="str">
        <f>IFERROR(__xludf.DUMMYFUNCTION("""COMPUTED_VALUE"""),"")</f>
        <v/>
      </c>
    </row>
    <row r="3393" ht="48.0" customHeight="1">
      <c r="A3393" s="3"/>
      <c r="B3393" s="4"/>
      <c r="C3393" s="4"/>
      <c r="D3393" s="4"/>
      <c r="E3393" s="4"/>
      <c r="F3393" s="4"/>
      <c r="G3393" s="5"/>
      <c r="H3393" s="6"/>
      <c r="I3393" s="7"/>
      <c r="J3393" s="6"/>
      <c r="K3393" s="6"/>
      <c r="L3393" s="3"/>
      <c r="M3393" s="3" t="str">
        <f>IFERROR(__xludf.DUMMYFUNCTION("""COMPUTED_VALUE"""),"")</f>
        <v/>
      </c>
    </row>
    <row r="3394" ht="48.0" customHeight="1">
      <c r="A3394" s="3"/>
      <c r="B3394" s="4"/>
      <c r="C3394" s="4"/>
      <c r="D3394" s="4"/>
      <c r="E3394" s="4"/>
      <c r="F3394" s="4"/>
      <c r="G3394" s="5"/>
      <c r="H3394" s="6"/>
      <c r="I3394" s="7"/>
      <c r="J3394" s="6"/>
      <c r="K3394" s="6"/>
      <c r="L3394" s="3"/>
      <c r="M3394" s="3" t="str">
        <f>IFERROR(__xludf.DUMMYFUNCTION("""COMPUTED_VALUE"""),"")</f>
        <v/>
      </c>
    </row>
    <row r="3395" ht="48.0" customHeight="1">
      <c r="A3395" s="3"/>
      <c r="B3395" s="4"/>
      <c r="C3395" s="4"/>
      <c r="D3395" s="4"/>
      <c r="E3395" s="4"/>
      <c r="F3395" s="4"/>
      <c r="G3395" s="5"/>
      <c r="H3395" s="6"/>
      <c r="I3395" s="7"/>
      <c r="J3395" s="6"/>
      <c r="K3395" s="6"/>
      <c r="L3395" s="3"/>
      <c r="M3395" s="3" t="str">
        <f>IFERROR(__xludf.DUMMYFUNCTION("""COMPUTED_VALUE"""),"")</f>
        <v/>
      </c>
    </row>
    <row r="3396" ht="48.0" customHeight="1">
      <c r="A3396" s="3"/>
      <c r="B3396" s="4"/>
      <c r="C3396" s="4"/>
      <c r="D3396" s="4"/>
      <c r="E3396" s="4"/>
      <c r="F3396" s="4"/>
      <c r="G3396" s="5"/>
      <c r="H3396" s="6"/>
      <c r="I3396" s="7"/>
      <c r="J3396" s="6"/>
      <c r="K3396" s="6"/>
      <c r="L3396" s="3"/>
      <c r="M3396" s="3" t="str">
        <f>IFERROR(__xludf.DUMMYFUNCTION("""COMPUTED_VALUE"""),"")</f>
        <v/>
      </c>
    </row>
    <row r="3397" ht="48.0" customHeight="1">
      <c r="A3397" s="3"/>
      <c r="B3397" s="4"/>
      <c r="C3397" s="4"/>
      <c r="D3397" s="4"/>
      <c r="E3397" s="4"/>
      <c r="F3397" s="4"/>
      <c r="G3397" s="5"/>
      <c r="H3397" s="6"/>
      <c r="I3397" s="7"/>
      <c r="J3397" s="6"/>
      <c r="K3397" s="6"/>
      <c r="L3397" s="3"/>
      <c r="M3397" s="3" t="str">
        <f>IFERROR(__xludf.DUMMYFUNCTION("""COMPUTED_VALUE"""),"")</f>
        <v/>
      </c>
    </row>
    <row r="3398" ht="48.0" customHeight="1">
      <c r="A3398" s="3"/>
      <c r="B3398" s="4"/>
      <c r="C3398" s="4"/>
      <c r="D3398" s="4"/>
      <c r="E3398" s="4"/>
      <c r="F3398" s="4"/>
      <c r="G3398" s="5"/>
      <c r="H3398" s="6"/>
      <c r="I3398" s="7"/>
      <c r="J3398" s="6"/>
      <c r="K3398" s="6"/>
      <c r="L3398" s="3"/>
      <c r="M3398" s="3" t="str">
        <f>IFERROR(__xludf.DUMMYFUNCTION("""COMPUTED_VALUE"""),"")</f>
        <v/>
      </c>
    </row>
    <row r="3399" ht="48.0" customHeight="1">
      <c r="A3399" s="3"/>
      <c r="B3399" s="4"/>
      <c r="C3399" s="4"/>
      <c r="D3399" s="4"/>
      <c r="E3399" s="4"/>
      <c r="F3399" s="4"/>
      <c r="G3399" s="5"/>
      <c r="H3399" s="6"/>
      <c r="I3399" s="7"/>
      <c r="J3399" s="6"/>
      <c r="K3399" s="6"/>
      <c r="L3399" s="3"/>
      <c r="M3399" s="3" t="str">
        <f>IFERROR(__xludf.DUMMYFUNCTION("""COMPUTED_VALUE"""),"")</f>
        <v/>
      </c>
    </row>
    <row r="3400" ht="48.0" customHeight="1">
      <c r="A3400" s="3"/>
      <c r="B3400" s="4"/>
      <c r="C3400" s="4"/>
      <c r="D3400" s="4"/>
      <c r="E3400" s="4"/>
      <c r="F3400" s="4"/>
      <c r="G3400" s="5"/>
      <c r="H3400" s="6"/>
      <c r="I3400" s="7"/>
      <c r="J3400" s="6"/>
      <c r="K3400" s="6"/>
      <c r="L3400" s="3"/>
      <c r="M3400" s="3" t="str">
        <f>IFERROR(__xludf.DUMMYFUNCTION("""COMPUTED_VALUE"""),"")</f>
        <v/>
      </c>
    </row>
    <row r="3401" ht="48.0" customHeight="1">
      <c r="A3401" s="3"/>
      <c r="B3401" s="4"/>
      <c r="C3401" s="4"/>
      <c r="D3401" s="4"/>
      <c r="E3401" s="4"/>
      <c r="F3401" s="4"/>
      <c r="G3401" s="5"/>
      <c r="H3401" s="6"/>
      <c r="I3401" s="7"/>
      <c r="J3401" s="6"/>
      <c r="K3401" s="6"/>
      <c r="L3401" s="3"/>
      <c r="M3401" s="3" t="str">
        <f>IFERROR(__xludf.DUMMYFUNCTION("""COMPUTED_VALUE"""),"")</f>
        <v/>
      </c>
    </row>
    <row r="3402" ht="48.0" customHeight="1">
      <c r="A3402" s="3"/>
      <c r="B3402" s="4"/>
      <c r="C3402" s="4"/>
      <c r="D3402" s="4"/>
      <c r="E3402" s="4"/>
      <c r="F3402" s="4"/>
      <c r="G3402" s="5"/>
      <c r="H3402" s="6"/>
      <c r="I3402" s="7"/>
      <c r="J3402" s="6"/>
      <c r="K3402" s="6"/>
      <c r="L3402" s="3"/>
      <c r="M3402" s="3" t="str">
        <f>IFERROR(__xludf.DUMMYFUNCTION("""COMPUTED_VALUE"""),"")</f>
        <v/>
      </c>
    </row>
    <row r="3403" ht="48.0" customHeight="1">
      <c r="A3403" s="3"/>
      <c r="B3403" s="4"/>
      <c r="C3403" s="4"/>
      <c r="D3403" s="4"/>
      <c r="E3403" s="4"/>
      <c r="F3403" s="4"/>
      <c r="G3403" s="5"/>
      <c r="H3403" s="6"/>
      <c r="I3403" s="7"/>
      <c r="J3403" s="6"/>
      <c r="K3403" s="6"/>
      <c r="L3403" s="3"/>
      <c r="M3403" s="3" t="str">
        <f>IFERROR(__xludf.DUMMYFUNCTION("""COMPUTED_VALUE"""),"")</f>
        <v/>
      </c>
    </row>
    <row r="3404" ht="48.0" customHeight="1">
      <c r="A3404" s="3"/>
      <c r="B3404" s="4"/>
      <c r="C3404" s="4"/>
      <c r="D3404" s="4"/>
      <c r="E3404" s="4"/>
      <c r="F3404" s="4"/>
      <c r="G3404" s="5"/>
      <c r="H3404" s="6"/>
      <c r="I3404" s="7"/>
      <c r="J3404" s="6"/>
      <c r="K3404" s="6"/>
      <c r="L3404" s="3"/>
      <c r="M3404" s="3" t="str">
        <f>IFERROR(__xludf.DUMMYFUNCTION("""COMPUTED_VALUE"""),"")</f>
        <v/>
      </c>
    </row>
    <row r="3405" ht="48.0" customHeight="1">
      <c r="A3405" s="3"/>
      <c r="B3405" s="4"/>
      <c r="C3405" s="4"/>
      <c r="D3405" s="4"/>
      <c r="E3405" s="4"/>
      <c r="F3405" s="4"/>
      <c r="G3405" s="5"/>
      <c r="H3405" s="6"/>
      <c r="I3405" s="7"/>
      <c r="J3405" s="6"/>
      <c r="K3405" s="6"/>
      <c r="L3405" s="3"/>
      <c r="M3405" s="3" t="str">
        <f>IFERROR(__xludf.DUMMYFUNCTION("""COMPUTED_VALUE"""),"")</f>
        <v/>
      </c>
    </row>
    <row r="3406" ht="48.0" customHeight="1">
      <c r="A3406" s="3"/>
      <c r="B3406" s="4"/>
      <c r="C3406" s="4"/>
      <c r="D3406" s="4"/>
      <c r="E3406" s="4"/>
      <c r="F3406" s="4"/>
      <c r="G3406" s="5"/>
      <c r="H3406" s="6"/>
      <c r="I3406" s="7"/>
      <c r="J3406" s="6"/>
      <c r="K3406" s="6"/>
      <c r="L3406" s="3"/>
      <c r="M3406" s="3" t="str">
        <f>IFERROR(__xludf.DUMMYFUNCTION("""COMPUTED_VALUE"""),"")</f>
        <v/>
      </c>
    </row>
    <row r="3407" ht="48.0" customHeight="1">
      <c r="A3407" s="3"/>
      <c r="B3407" s="4"/>
      <c r="C3407" s="4"/>
      <c r="D3407" s="4"/>
      <c r="E3407" s="4"/>
      <c r="F3407" s="4"/>
      <c r="G3407" s="5"/>
      <c r="H3407" s="6"/>
      <c r="I3407" s="7"/>
      <c r="J3407" s="6"/>
      <c r="K3407" s="6"/>
      <c r="L3407" s="3"/>
      <c r="M3407" s="3" t="str">
        <f>IFERROR(__xludf.DUMMYFUNCTION("""COMPUTED_VALUE"""),"")</f>
        <v/>
      </c>
    </row>
    <row r="3408" ht="48.0" customHeight="1">
      <c r="A3408" s="3"/>
      <c r="B3408" s="4"/>
      <c r="C3408" s="4"/>
      <c r="D3408" s="4"/>
      <c r="E3408" s="4"/>
      <c r="F3408" s="4"/>
      <c r="G3408" s="5"/>
      <c r="H3408" s="6"/>
      <c r="I3408" s="7"/>
      <c r="J3408" s="6"/>
      <c r="K3408" s="6"/>
      <c r="L3408" s="3"/>
      <c r="M3408" s="3" t="str">
        <f>IFERROR(__xludf.DUMMYFUNCTION("""COMPUTED_VALUE"""),"")</f>
        <v/>
      </c>
    </row>
    <row r="3409" ht="48.0" customHeight="1">
      <c r="A3409" s="3"/>
      <c r="B3409" s="4"/>
      <c r="C3409" s="4"/>
      <c r="D3409" s="4"/>
      <c r="E3409" s="4"/>
      <c r="F3409" s="4"/>
      <c r="G3409" s="5"/>
      <c r="H3409" s="6"/>
      <c r="I3409" s="7"/>
      <c r="J3409" s="6"/>
      <c r="K3409" s="6"/>
      <c r="L3409" s="3"/>
      <c r="M3409" s="3" t="str">
        <f>IFERROR(__xludf.DUMMYFUNCTION("""COMPUTED_VALUE"""),"")</f>
        <v/>
      </c>
    </row>
    <row r="3410" ht="48.0" customHeight="1">
      <c r="A3410" s="3"/>
      <c r="B3410" s="4"/>
      <c r="C3410" s="4"/>
      <c r="D3410" s="4"/>
      <c r="E3410" s="4"/>
      <c r="F3410" s="4"/>
      <c r="G3410" s="5"/>
      <c r="H3410" s="6"/>
      <c r="I3410" s="7"/>
      <c r="J3410" s="6"/>
      <c r="K3410" s="6"/>
      <c r="L3410" s="3"/>
      <c r="M3410" s="3" t="str">
        <f>IFERROR(__xludf.DUMMYFUNCTION("""COMPUTED_VALUE"""),"")</f>
        <v/>
      </c>
    </row>
    <row r="3411" ht="48.0" customHeight="1">
      <c r="A3411" s="3"/>
      <c r="B3411" s="4"/>
      <c r="C3411" s="4"/>
      <c r="D3411" s="4"/>
      <c r="E3411" s="4"/>
      <c r="F3411" s="4"/>
      <c r="G3411" s="5"/>
      <c r="H3411" s="6"/>
      <c r="I3411" s="7"/>
      <c r="J3411" s="6"/>
      <c r="K3411" s="6"/>
      <c r="L3411" s="3"/>
      <c r="M3411" s="3" t="str">
        <f>IFERROR(__xludf.DUMMYFUNCTION("""COMPUTED_VALUE"""),"")</f>
        <v/>
      </c>
    </row>
    <row r="3412" ht="48.0" customHeight="1">
      <c r="A3412" s="3"/>
      <c r="B3412" s="4"/>
      <c r="C3412" s="4"/>
      <c r="D3412" s="4"/>
      <c r="E3412" s="4"/>
      <c r="F3412" s="4"/>
      <c r="G3412" s="5"/>
      <c r="H3412" s="6"/>
      <c r="I3412" s="7"/>
      <c r="J3412" s="6"/>
      <c r="K3412" s="6"/>
      <c r="L3412" s="3"/>
      <c r="M3412" s="3" t="str">
        <f>IFERROR(__xludf.DUMMYFUNCTION("""COMPUTED_VALUE"""),"")</f>
        <v/>
      </c>
    </row>
    <row r="3413" ht="48.0" customHeight="1">
      <c r="A3413" s="3"/>
      <c r="B3413" s="4"/>
      <c r="C3413" s="4"/>
      <c r="D3413" s="4"/>
      <c r="E3413" s="4"/>
      <c r="F3413" s="4"/>
      <c r="G3413" s="5"/>
      <c r="H3413" s="6"/>
      <c r="I3413" s="7"/>
      <c r="J3413" s="6"/>
      <c r="K3413" s="6"/>
      <c r="L3413" s="3"/>
      <c r="M3413" s="3" t="str">
        <f>IFERROR(__xludf.DUMMYFUNCTION("""COMPUTED_VALUE"""),"")</f>
        <v/>
      </c>
    </row>
    <row r="3414" ht="48.0" customHeight="1">
      <c r="A3414" s="3"/>
      <c r="B3414" s="4"/>
      <c r="C3414" s="4"/>
      <c r="D3414" s="4"/>
      <c r="E3414" s="4"/>
      <c r="F3414" s="4"/>
      <c r="G3414" s="5"/>
      <c r="H3414" s="6"/>
      <c r="I3414" s="7"/>
      <c r="J3414" s="6"/>
      <c r="K3414" s="6"/>
      <c r="L3414" s="3"/>
      <c r="M3414" s="3" t="str">
        <f>IFERROR(__xludf.DUMMYFUNCTION("""COMPUTED_VALUE"""),"")</f>
        <v/>
      </c>
    </row>
    <row r="3415" ht="48.0" customHeight="1">
      <c r="A3415" s="3"/>
      <c r="B3415" s="4"/>
      <c r="C3415" s="4"/>
      <c r="D3415" s="4"/>
      <c r="E3415" s="4"/>
      <c r="F3415" s="4"/>
      <c r="G3415" s="5"/>
      <c r="H3415" s="6"/>
      <c r="I3415" s="7"/>
      <c r="J3415" s="6"/>
      <c r="K3415" s="6"/>
      <c r="L3415" s="3"/>
      <c r="M3415" s="3" t="str">
        <f>IFERROR(__xludf.DUMMYFUNCTION("""COMPUTED_VALUE"""),"")</f>
        <v/>
      </c>
    </row>
    <row r="3416" ht="48.0" customHeight="1">
      <c r="A3416" s="3"/>
      <c r="B3416" s="4"/>
      <c r="C3416" s="4"/>
      <c r="D3416" s="4"/>
      <c r="E3416" s="4"/>
      <c r="F3416" s="4"/>
      <c r="G3416" s="5"/>
      <c r="H3416" s="6"/>
      <c r="I3416" s="7"/>
      <c r="J3416" s="6"/>
      <c r="K3416" s="6"/>
      <c r="L3416" s="3"/>
      <c r="M3416" s="3" t="str">
        <f>IFERROR(__xludf.DUMMYFUNCTION("""COMPUTED_VALUE"""),"")</f>
        <v/>
      </c>
    </row>
    <row r="3417" ht="48.0" customHeight="1">
      <c r="A3417" s="3"/>
      <c r="B3417" s="4"/>
      <c r="C3417" s="4"/>
      <c r="D3417" s="4"/>
      <c r="E3417" s="4"/>
      <c r="F3417" s="4"/>
      <c r="G3417" s="5"/>
      <c r="H3417" s="6"/>
      <c r="I3417" s="7"/>
      <c r="J3417" s="6"/>
      <c r="K3417" s="6"/>
      <c r="L3417" s="3"/>
      <c r="M3417" s="3" t="str">
        <f>IFERROR(__xludf.DUMMYFUNCTION("""COMPUTED_VALUE"""),"")</f>
        <v/>
      </c>
    </row>
    <row r="3418" ht="48.0" customHeight="1">
      <c r="A3418" s="3"/>
      <c r="B3418" s="4"/>
      <c r="C3418" s="4"/>
      <c r="D3418" s="4"/>
      <c r="E3418" s="4"/>
      <c r="F3418" s="4"/>
      <c r="G3418" s="5"/>
      <c r="H3418" s="6"/>
      <c r="I3418" s="7"/>
      <c r="J3418" s="6"/>
      <c r="K3418" s="6"/>
      <c r="L3418" s="3"/>
      <c r="M3418" s="3" t="str">
        <f>IFERROR(__xludf.DUMMYFUNCTION("""COMPUTED_VALUE"""),"")</f>
        <v/>
      </c>
    </row>
    <row r="3419" ht="48.0" customHeight="1">
      <c r="A3419" s="3"/>
      <c r="B3419" s="4"/>
      <c r="C3419" s="4"/>
      <c r="D3419" s="4"/>
      <c r="E3419" s="4"/>
      <c r="F3419" s="4"/>
      <c r="G3419" s="5"/>
      <c r="H3419" s="6"/>
      <c r="I3419" s="7"/>
      <c r="J3419" s="6"/>
      <c r="K3419" s="6"/>
      <c r="L3419" s="3"/>
      <c r="M3419" s="3" t="str">
        <f>IFERROR(__xludf.DUMMYFUNCTION("""COMPUTED_VALUE"""),"")</f>
        <v/>
      </c>
    </row>
    <row r="3420" ht="48.0" customHeight="1">
      <c r="A3420" s="3"/>
      <c r="B3420" s="4"/>
      <c r="C3420" s="4"/>
      <c r="D3420" s="4"/>
      <c r="E3420" s="4"/>
      <c r="F3420" s="4"/>
      <c r="G3420" s="5"/>
      <c r="H3420" s="6"/>
      <c r="I3420" s="7"/>
      <c r="J3420" s="6"/>
      <c r="K3420" s="6"/>
      <c r="L3420" s="3"/>
      <c r="M3420" s="3" t="str">
        <f>IFERROR(__xludf.DUMMYFUNCTION("""COMPUTED_VALUE"""),"")</f>
        <v/>
      </c>
    </row>
    <row r="3421" ht="48.0" customHeight="1">
      <c r="A3421" s="3"/>
      <c r="B3421" s="4"/>
      <c r="C3421" s="4"/>
      <c r="D3421" s="4"/>
      <c r="E3421" s="4"/>
      <c r="F3421" s="4"/>
      <c r="G3421" s="5"/>
      <c r="H3421" s="6"/>
      <c r="I3421" s="7"/>
      <c r="J3421" s="6"/>
      <c r="K3421" s="6"/>
      <c r="L3421" s="3"/>
      <c r="M3421" s="3" t="str">
        <f>IFERROR(__xludf.DUMMYFUNCTION("""COMPUTED_VALUE"""),"")</f>
        <v/>
      </c>
    </row>
    <row r="3422" ht="48.0" customHeight="1">
      <c r="A3422" s="3"/>
      <c r="B3422" s="4"/>
      <c r="C3422" s="4"/>
      <c r="D3422" s="4"/>
      <c r="E3422" s="4"/>
      <c r="F3422" s="4"/>
      <c r="G3422" s="5"/>
      <c r="H3422" s="6"/>
      <c r="I3422" s="7"/>
      <c r="J3422" s="6"/>
      <c r="K3422" s="6"/>
      <c r="L3422" s="3"/>
      <c r="M3422" s="3" t="str">
        <f>IFERROR(__xludf.DUMMYFUNCTION("""COMPUTED_VALUE"""),"")</f>
        <v/>
      </c>
    </row>
    <row r="3423" ht="48.0" customHeight="1">
      <c r="A3423" s="3"/>
      <c r="B3423" s="4"/>
      <c r="C3423" s="4"/>
      <c r="D3423" s="4"/>
      <c r="E3423" s="4"/>
      <c r="F3423" s="4"/>
      <c r="G3423" s="5"/>
      <c r="H3423" s="6"/>
      <c r="I3423" s="7"/>
      <c r="J3423" s="6"/>
      <c r="K3423" s="6"/>
      <c r="L3423" s="3"/>
      <c r="M3423" s="3" t="str">
        <f>IFERROR(__xludf.DUMMYFUNCTION("""COMPUTED_VALUE"""),"")</f>
        <v/>
      </c>
    </row>
    <row r="3424" ht="48.0" customHeight="1">
      <c r="A3424" s="3"/>
      <c r="B3424" s="4"/>
      <c r="C3424" s="4"/>
      <c r="D3424" s="4"/>
      <c r="E3424" s="4"/>
      <c r="F3424" s="4"/>
      <c r="G3424" s="5"/>
      <c r="H3424" s="6"/>
      <c r="I3424" s="7"/>
      <c r="J3424" s="6"/>
      <c r="K3424" s="6"/>
      <c r="L3424" s="3"/>
      <c r="M3424" s="3" t="str">
        <f>IFERROR(__xludf.DUMMYFUNCTION("""COMPUTED_VALUE"""),"")</f>
        <v/>
      </c>
    </row>
    <row r="3425" ht="48.0" customHeight="1">
      <c r="A3425" s="3"/>
      <c r="B3425" s="4"/>
      <c r="C3425" s="4"/>
      <c r="D3425" s="4"/>
      <c r="E3425" s="4"/>
      <c r="F3425" s="4"/>
      <c r="G3425" s="5"/>
      <c r="H3425" s="6"/>
      <c r="I3425" s="7"/>
      <c r="J3425" s="6"/>
      <c r="K3425" s="6"/>
      <c r="L3425" s="3"/>
      <c r="M3425" s="3" t="str">
        <f>IFERROR(__xludf.DUMMYFUNCTION("""COMPUTED_VALUE"""),"")</f>
        <v/>
      </c>
    </row>
    <row r="3426" ht="48.0" customHeight="1">
      <c r="A3426" s="3"/>
      <c r="B3426" s="4"/>
      <c r="C3426" s="4"/>
      <c r="D3426" s="4"/>
      <c r="E3426" s="4"/>
      <c r="F3426" s="4"/>
      <c r="G3426" s="5"/>
      <c r="H3426" s="6"/>
      <c r="I3426" s="7"/>
      <c r="J3426" s="6"/>
      <c r="K3426" s="6"/>
      <c r="L3426" s="3"/>
      <c r="M3426" s="3" t="str">
        <f>IFERROR(__xludf.DUMMYFUNCTION("""COMPUTED_VALUE"""),"")</f>
        <v/>
      </c>
    </row>
    <row r="3427" ht="48.0" customHeight="1">
      <c r="A3427" s="3"/>
      <c r="B3427" s="4"/>
      <c r="C3427" s="4"/>
      <c r="D3427" s="4"/>
      <c r="E3427" s="4"/>
      <c r="F3427" s="4"/>
      <c r="G3427" s="5"/>
      <c r="H3427" s="6"/>
      <c r="I3427" s="7"/>
      <c r="J3427" s="6"/>
      <c r="K3427" s="6"/>
      <c r="L3427" s="3"/>
      <c r="M3427" s="3" t="str">
        <f>IFERROR(__xludf.DUMMYFUNCTION("""COMPUTED_VALUE"""),"")</f>
        <v/>
      </c>
    </row>
    <row r="3428" ht="48.0" customHeight="1">
      <c r="A3428" s="3"/>
      <c r="B3428" s="4"/>
      <c r="C3428" s="4"/>
      <c r="D3428" s="4"/>
      <c r="E3428" s="4"/>
      <c r="F3428" s="4"/>
      <c r="G3428" s="5"/>
      <c r="H3428" s="6"/>
      <c r="I3428" s="7"/>
      <c r="J3428" s="6"/>
      <c r="K3428" s="6"/>
      <c r="L3428" s="3"/>
      <c r="M3428" s="3" t="str">
        <f>IFERROR(__xludf.DUMMYFUNCTION("""COMPUTED_VALUE"""),"")</f>
        <v/>
      </c>
    </row>
    <row r="3429" ht="48.0" customHeight="1">
      <c r="A3429" s="3"/>
      <c r="B3429" s="4"/>
      <c r="C3429" s="4"/>
      <c r="D3429" s="4"/>
      <c r="E3429" s="4"/>
      <c r="F3429" s="4"/>
      <c r="G3429" s="5"/>
      <c r="H3429" s="6"/>
      <c r="I3429" s="7"/>
      <c r="J3429" s="6"/>
      <c r="K3429" s="6"/>
      <c r="L3429" s="3"/>
      <c r="M3429" s="3" t="str">
        <f>IFERROR(__xludf.DUMMYFUNCTION("""COMPUTED_VALUE"""),"")</f>
        <v/>
      </c>
    </row>
    <row r="3430" ht="48.0" customHeight="1">
      <c r="A3430" s="3"/>
      <c r="B3430" s="4"/>
      <c r="C3430" s="4"/>
      <c r="D3430" s="4"/>
      <c r="E3430" s="4"/>
      <c r="F3430" s="4"/>
      <c r="G3430" s="5"/>
      <c r="H3430" s="6"/>
      <c r="I3430" s="7"/>
      <c r="J3430" s="6"/>
      <c r="K3430" s="6"/>
      <c r="L3430" s="3"/>
      <c r="M3430" s="3" t="str">
        <f>IFERROR(__xludf.DUMMYFUNCTION("""COMPUTED_VALUE"""),"")</f>
        <v/>
      </c>
    </row>
    <row r="3431" ht="48.0" customHeight="1">
      <c r="A3431" s="3"/>
      <c r="B3431" s="4"/>
      <c r="C3431" s="4"/>
      <c r="D3431" s="4"/>
      <c r="E3431" s="4"/>
      <c r="F3431" s="4"/>
      <c r="G3431" s="5"/>
      <c r="H3431" s="6"/>
      <c r="I3431" s="7"/>
      <c r="J3431" s="6"/>
      <c r="K3431" s="6"/>
      <c r="L3431" s="3"/>
      <c r="M3431" s="3" t="str">
        <f>IFERROR(__xludf.DUMMYFUNCTION("""COMPUTED_VALUE"""),"")</f>
        <v/>
      </c>
    </row>
    <row r="3432" ht="48.0" customHeight="1">
      <c r="A3432" s="3"/>
      <c r="B3432" s="4"/>
      <c r="C3432" s="4"/>
      <c r="D3432" s="4"/>
      <c r="E3432" s="4"/>
      <c r="F3432" s="4"/>
      <c r="G3432" s="5"/>
      <c r="H3432" s="6"/>
      <c r="I3432" s="7"/>
      <c r="J3432" s="6"/>
      <c r="K3432" s="6"/>
      <c r="L3432" s="3"/>
      <c r="M3432" s="3" t="str">
        <f>IFERROR(__xludf.DUMMYFUNCTION("""COMPUTED_VALUE"""),"")</f>
        <v/>
      </c>
    </row>
    <row r="3433" ht="48.0" customHeight="1">
      <c r="A3433" s="3"/>
      <c r="B3433" s="4"/>
      <c r="C3433" s="4"/>
      <c r="D3433" s="4"/>
      <c r="E3433" s="4"/>
      <c r="F3433" s="4"/>
      <c r="G3433" s="5"/>
      <c r="H3433" s="6"/>
      <c r="I3433" s="7"/>
      <c r="J3433" s="6"/>
      <c r="K3433" s="6"/>
      <c r="L3433" s="3"/>
      <c r="M3433" s="3" t="str">
        <f>IFERROR(__xludf.DUMMYFUNCTION("""COMPUTED_VALUE"""),"")</f>
        <v/>
      </c>
    </row>
    <row r="3434" ht="48.0" customHeight="1">
      <c r="A3434" s="3"/>
      <c r="B3434" s="4"/>
      <c r="C3434" s="4"/>
      <c r="D3434" s="4"/>
      <c r="E3434" s="4"/>
      <c r="F3434" s="4"/>
      <c r="G3434" s="5"/>
      <c r="H3434" s="6"/>
      <c r="I3434" s="7"/>
      <c r="J3434" s="6"/>
      <c r="K3434" s="6"/>
      <c r="L3434" s="3"/>
      <c r="M3434" s="3" t="str">
        <f>IFERROR(__xludf.DUMMYFUNCTION("""COMPUTED_VALUE"""),"")</f>
        <v/>
      </c>
    </row>
    <row r="3435" ht="48.0" customHeight="1">
      <c r="A3435" s="3"/>
      <c r="B3435" s="4"/>
      <c r="C3435" s="4"/>
      <c r="D3435" s="4"/>
      <c r="E3435" s="4"/>
      <c r="F3435" s="4"/>
      <c r="G3435" s="5"/>
      <c r="H3435" s="6"/>
      <c r="I3435" s="7"/>
      <c r="J3435" s="6"/>
      <c r="K3435" s="6"/>
      <c r="L3435" s="3"/>
      <c r="M3435" s="3" t="str">
        <f>IFERROR(__xludf.DUMMYFUNCTION("""COMPUTED_VALUE"""),"")</f>
        <v/>
      </c>
    </row>
    <row r="3436" ht="48.0" customHeight="1">
      <c r="A3436" s="3"/>
      <c r="B3436" s="4"/>
      <c r="C3436" s="4"/>
      <c r="D3436" s="4"/>
      <c r="E3436" s="4"/>
      <c r="F3436" s="4"/>
      <c r="G3436" s="5"/>
      <c r="H3436" s="6"/>
      <c r="I3436" s="7"/>
      <c r="J3436" s="6"/>
      <c r="K3436" s="6"/>
      <c r="L3436" s="3"/>
      <c r="M3436" s="3" t="str">
        <f>IFERROR(__xludf.DUMMYFUNCTION("""COMPUTED_VALUE"""),"")</f>
        <v/>
      </c>
    </row>
    <row r="3437" ht="48.0" customHeight="1">
      <c r="A3437" s="3"/>
      <c r="B3437" s="4"/>
      <c r="C3437" s="4"/>
      <c r="D3437" s="4"/>
      <c r="E3437" s="4"/>
      <c r="F3437" s="4"/>
      <c r="G3437" s="5"/>
      <c r="H3437" s="6"/>
      <c r="I3437" s="7"/>
      <c r="J3437" s="6"/>
      <c r="K3437" s="6"/>
      <c r="L3437" s="3"/>
      <c r="M3437" s="3" t="str">
        <f>IFERROR(__xludf.DUMMYFUNCTION("""COMPUTED_VALUE"""),"")</f>
        <v/>
      </c>
    </row>
    <row r="3438" ht="48.0" customHeight="1">
      <c r="A3438" s="3"/>
      <c r="B3438" s="4"/>
      <c r="C3438" s="4"/>
      <c r="D3438" s="4"/>
      <c r="E3438" s="4"/>
      <c r="F3438" s="4"/>
      <c r="G3438" s="5"/>
      <c r="H3438" s="6"/>
      <c r="I3438" s="7"/>
      <c r="J3438" s="6"/>
      <c r="K3438" s="6"/>
      <c r="L3438" s="3"/>
      <c r="M3438" s="3" t="str">
        <f>IFERROR(__xludf.DUMMYFUNCTION("""COMPUTED_VALUE"""),"")</f>
        <v/>
      </c>
    </row>
    <row r="3439" ht="48.0" customHeight="1">
      <c r="A3439" s="3"/>
      <c r="B3439" s="4"/>
      <c r="C3439" s="4"/>
      <c r="D3439" s="4"/>
      <c r="E3439" s="4"/>
      <c r="F3439" s="4"/>
      <c r="G3439" s="5"/>
      <c r="H3439" s="6"/>
      <c r="I3439" s="7"/>
      <c r="J3439" s="6"/>
      <c r="K3439" s="6"/>
      <c r="L3439" s="3"/>
      <c r="M3439" s="3" t="str">
        <f>IFERROR(__xludf.DUMMYFUNCTION("""COMPUTED_VALUE"""),"")</f>
        <v/>
      </c>
    </row>
    <row r="3440" ht="48.0" customHeight="1">
      <c r="A3440" s="3"/>
      <c r="B3440" s="4"/>
      <c r="C3440" s="4"/>
      <c r="D3440" s="4"/>
      <c r="E3440" s="4"/>
      <c r="F3440" s="4"/>
      <c r="G3440" s="5"/>
      <c r="H3440" s="6"/>
      <c r="I3440" s="7"/>
      <c r="J3440" s="6"/>
      <c r="K3440" s="6"/>
      <c r="L3440" s="3"/>
      <c r="M3440" s="3" t="str">
        <f>IFERROR(__xludf.DUMMYFUNCTION("""COMPUTED_VALUE"""),"")</f>
        <v/>
      </c>
    </row>
    <row r="3441" ht="48.0" customHeight="1">
      <c r="A3441" s="3"/>
      <c r="B3441" s="4"/>
      <c r="C3441" s="4"/>
      <c r="D3441" s="4"/>
      <c r="E3441" s="4"/>
      <c r="F3441" s="4"/>
      <c r="G3441" s="5"/>
      <c r="H3441" s="6"/>
      <c r="I3441" s="7"/>
      <c r="J3441" s="6"/>
      <c r="K3441" s="6"/>
      <c r="L3441" s="3"/>
      <c r="M3441" s="3" t="str">
        <f>IFERROR(__xludf.DUMMYFUNCTION("""COMPUTED_VALUE"""),"")</f>
        <v/>
      </c>
    </row>
    <row r="3442" ht="48.0" customHeight="1">
      <c r="A3442" s="3"/>
      <c r="B3442" s="4"/>
      <c r="C3442" s="4"/>
      <c r="D3442" s="4"/>
      <c r="E3442" s="4"/>
      <c r="F3442" s="4"/>
      <c r="G3442" s="5"/>
      <c r="H3442" s="6"/>
      <c r="I3442" s="7"/>
      <c r="J3442" s="6"/>
      <c r="K3442" s="6"/>
      <c r="L3442" s="3"/>
      <c r="M3442" s="3" t="str">
        <f>IFERROR(__xludf.DUMMYFUNCTION("""COMPUTED_VALUE"""),"")</f>
        <v/>
      </c>
    </row>
    <row r="3443" ht="48.0" customHeight="1">
      <c r="A3443" s="3"/>
      <c r="B3443" s="4"/>
      <c r="C3443" s="4"/>
      <c r="D3443" s="4"/>
      <c r="E3443" s="4"/>
      <c r="F3443" s="4"/>
      <c r="G3443" s="5"/>
      <c r="H3443" s="6"/>
      <c r="I3443" s="7"/>
      <c r="J3443" s="6"/>
      <c r="K3443" s="6"/>
      <c r="L3443" s="3"/>
      <c r="M3443" s="3" t="str">
        <f>IFERROR(__xludf.DUMMYFUNCTION("""COMPUTED_VALUE"""),"")</f>
        <v/>
      </c>
    </row>
    <row r="3444" ht="48.0" customHeight="1">
      <c r="A3444" s="3"/>
      <c r="B3444" s="4"/>
      <c r="C3444" s="4"/>
      <c r="D3444" s="4"/>
      <c r="E3444" s="4"/>
      <c r="F3444" s="4"/>
      <c r="G3444" s="5"/>
      <c r="H3444" s="6"/>
      <c r="I3444" s="7"/>
      <c r="J3444" s="6"/>
      <c r="K3444" s="6"/>
      <c r="L3444" s="3"/>
      <c r="M3444" s="3" t="str">
        <f>IFERROR(__xludf.DUMMYFUNCTION("""COMPUTED_VALUE"""),"")</f>
        <v/>
      </c>
    </row>
    <row r="3445" ht="48.0" customHeight="1">
      <c r="A3445" s="3"/>
      <c r="B3445" s="4"/>
      <c r="C3445" s="4"/>
      <c r="D3445" s="4"/>
      <c r="E3445" s="4"/>
      <c r="F3445" s="4"/>
      <c r="G3445" s="5"/>
      <c r="H3445" s="6"/>
      <c r="I3445" s="7"/>
      <c r="J3445" s="6"/>
      <c r="K3445" s="6"/>
      <c r="L3445" s="3"/>
      <c r="M3445" s="3" t="str">
        <f>IFERROR(__xludf.DUMMYFUNCTION("""COMPUTED_VALUE"""),"")</f>
        <v/>
      </c>
    </row>
    <row r="3446" ht="48.0" customHeight="1">
      <c r="A3446" s="3"/>
      <c r="B3446" s="4"/>
      <c r="C3446" s="4"/>
      <c r="D3446" s="4"/>
      <c r="E3446" s="4"/>
      <c r="F3446" s="4"/>
      <c r="G3446" s="5"/>
      <c r="H3446" s="6"/>
      <c r="I3446" s="7"/>
      <c r="J3446" s="6"/>
      <c r="K3446" s="6"/>
      <c r="L3446" s="3"/>
      <c r="M3446" s="3" t="str">
        <f>IFERROR(__xludf.DUMMYFUNCTION("""COMPUTED_VALUE"""),"")</f>
        <v/>
      </c>
    </row>
    <row r="3447" ht="48.0" customHeight="1">
      <c r="A3447" s="3"/>
      <c r="B3447" s="4"/>
      <c r="C3447" s="4"/>
      <c r="D3447" s="4"/>
      <c r="E3447" s="4"/>
      <c r="F3447" s="4"/>
      <c r="G3447" s="5"/>
      <c r="H3447" s="6"/>
      <c r="I3447" s="7"/>
      <c r="J3447" s="6"/>
      <c r="K3447" s="6"/>
      <c r="L3447" s="3"/>
      <c r="M3447" s="3" t="str">
        <f>IFERROR(__xludf.DUMMYFUNCTION("""COMPUTED_VALUE"""),"")</f>
        <v/>
      </c>
    </row>
    <row r="3448" ht="48.0" customHeight="1">
      <c r="A3448" s="3"/>
      <c r="B3448" s="4"/>
      <c r="C3448" s="4"/>
      <c r="D3448" s="4"/>
      <c r="E3448" s="4"/>
      <c r="F3448" s="4"/>
      <c r="G3448" s="5"/>
      <c r="H3448" s="6"/>
      <c r="I3448" s="7"/>
      <c r="J3448" s="6"/>
      <c r="K3448" s="6"/>
      <c r="L3448" s="3"/>
      <c r="M3448" s="3" t="str">
        <f>IFERROR(__xludf.DUMMYFUNCTION("""COMPUTED_VALUE"""),"")</f>
        <v/>
      </c>
    </row>
    <row r="3449" ht="48.0" customHeight="1">
      <c r="A3449" s="3"/>
      <c r="B3449" s="4"/>
      <c r="C3449" s="4"/>
      <c r="D3449" s="4"/>
      <c r="E3449" s="4"/>
      <c r="F3449" s="4"/>
      <c r="G3449" s="5"/>
      <c r="H3449" s="6"/>
      <c r="I3449" s="7"/>
      <c r="J3449" s="6"/>
      <c r="K3449" s="6"/>
      <c r="L3449" s="3"/>
      <c r="M3449" s="3" t="str">
        <f>IFERROR(__xludf.DUMMYFUNCTION("""COMPUTED_VALUE"""),"")</f>
        <v/>
      </c>
    </row>
    <row r="3450" ht="48.0" customHeight="1">
      <c r="A3450" s="3"/>
      <c r="B3450" s="4"/>
      <c r="C3450" s="4"/>
      <c r="D3450" s="4"/>
      <c r="E3450" s="4"/>
      <c r="F3450" s="4"/>
      <c r="G3450" s="5"/>
      <c r="H3450" s="6"/>
      <c r="I3450" s="7"/>
      <c r="J3450" s="6"/>
      <c r="K3450" s="6"/>
      <c r="L3450" s="3"/>
      <c r="M3450" s="3" t="str">
        <f>IFERROR(__xludf.DUMMYFUNCTION("""COMPUTED_VALUE"""),"")</f>
        <v/>
      </c>
    </row>
    <row r="3451" ht="48.0" customHeight="1">
      <c r="A3451" s="3"/>
      <c r="B3451" s="4"/>
      <c r="C3451" s="4"/>
      <c r="D3451" s="4"/>
      <c r="E3451" s="4"/>
      <c r="F3451" s="4"/>
      <c r="G3451" s="5"/>
      <c r="H3451" s="6"/>
      <c r="I3451" s="7"/>
      <c r="J3451" s="6"/>
      <c r="K3451" s="6"/>
      <c r="L3451" s="3"/>
      <c r="M3451" s="3" t="str">
        <f>IFERROR(__xludf.DUMMYFUNCTION("""COMPUTED_VALUE"""),"")</f>
        <v/>
      </c>
    </row>
    <row r="3452" ht="48.0" customHeight="1">
      <c r="A3452" s="3"/>
      <c r="B3452" s="4"/>
      <c r="C3452" s="4"/>
      <c r="D3452" s="4"/>
      <c r="E3452" s="4"/>
      <c r="F3452" s="4"/>
      <c r="G3452" s="5"/>
      <c r="H3452" s="6"/>
      <c r="I3452" s="7"/>
      <c r="J3452" s="6"/>
      <c r="K3452" s="6"/>
      <c r="L3452" s="3"/>
      <c r="M3452" s="3" t="str">
        <f>IFERROR(__xludf.DUMMYFUNCTION("""COMPUTED_VALUE"""),"")</f>
        <v/>
      </c>
    </row>
    <row r="3453" ht="48.0" customHeight="1">
      <c r="A3453" s="3"/>
      <c r="B3453" s="4"/>
      <c r="C3453" s="4"/>
      <c r="D3453" s="4"/>
      <c r="E3453" s="4"/>
      <c r="F3453" s="4"/>
      <c r="G3453" s="5"/>
      <c r="H3453" s="6"/>
      <c r="I3453" s="7"/>
      <c r="J3453" s="6"/>
      <c r="K3453" s="6"/>
      <c r="L3453" s="3"/>
      <c r="M3453" s="3" t="str">
        <f>IFERROR(__xludf.DUMMYFUNCTION("""COMPUTED_VALUE"""),"")</f>
        <v/>
      </c>
    </row>
    <row r="3454" ht="48.0" customHeight="1">
      <c r="A3454" s="3"/>
      <c r="B3454" s="4"/>
      <c r="C3454" s="4"/>
      <c r="D3454" s="4"/>
      <c r="E3454" s="4"/>
      <c r="F3454" s="4"/>
      <c r="G3454" s="5"/>
      <c r="H3454" s="6"/>
      <c r="I3454" s="7"/>
      <c r="J3454" s="6"/>
      <c r="K3454" s="6"/>
      <c r="L3454" s="3"/>
      <c r="M3454" s="3" t="str">
        <f>IFERROR(__xludf.DUMMYFUNCTION("""COMPUTED_VALUE"""),"")</f>
        <v/>
      </c>
    </row>
    <row r="3455" ht="48.0" customHeight="1">
      <c r="A3455" s="3"/>
      <c r="B3455" s="4"/>
      <c r="C3455" s="4"/>
      <c r="D3455" s="4"/>
      <c r="E3455" s="4"/>
      <c r="F3455" s="4"/>
      <c r="G3455" s="5"/>
      <c r="H3455" s="6"/>
      <c r="I3455" s="7"/>
      <c r="J3455" s="6"/>
      <c r="K3455" s="6"/>
      <c r="L3455" s="3"/>
      <c r="M3455" s="3" t="str">
        <f>IFERROR(__xludf.DUMMYFUNCTION("""COMPUTED_VALUE"""),"")</f>
        <v/>
      </c>
    </row>
    <row r="3456" ht="48.0" customHeight="1">
      <c r="A3456" s="3"/>
      <c r="B3456" s="4"/>
      <c r="C3456" s="4"/>
      <c r="D3456" s="4"/>
      <c r="E3456" s="4"/>
      <c r="F3456" s="4"/>
      <c r="G3456" s="5"/>
      <c r="H3456" s="6"/>
      <c r="I3456" s="7"/>
      <c r="J3456" s="6"/>
      <c r="K3456" s="6"/>
      <c r="L3456" s="3"/>
      <c r="M3456" s="3" t="str">
        <f>IFERROR(__xludf.DUMMYFUNCTION("""COMPUTED_VALUE"""),"")</f>
        <v/>
      </c>
    </row>
    <row r="3457" ht="48.0" customHeight="1">
      <c r="A3457" s="3"/>
      <c r="B3457" s="4"/>
      <c r="C3457" s="4"/>
      <c r="D3457" s="4"/>
      <c r="E3457" s="4"/>
      <c r="F3457" s="4"/>
      <c r="G3457" s="5"/>
      <c r="H3457" s="6"/>
      <c r="I3457" s="7"/>
      <c r="J3457" s="6"/>
      <c r="K3457" s="6"/>
      <c r="L3457" s="3"/>
      <c r="M3457" s="3" t="str">
        <f>IFERROR(__xludf.DUMMYFUNCTION("""COMPUTED_VALUE"""),"")</f>
        <v/>
      </c>
    </row>
    <row r="3458" ht="48.0" customHeight="1">
      <c r="A3458" s="3"/>
      <c r="B3458" s="4"/>
      <c r="C3458" s="4"/>
      <c r="D3458" s="4"/>
      <c r="E3458" s="4"/>
      <c r="F3458" s="4"/>
      <c r="G3458" s="5"/>
      <c r="H3458" s="6"/>
      <c r="I3458" s="7"/>
      <c r="J3458" s="6"/>
      <c r="K3458" s="6"/>
      <c r="L3458" s="3"/>
      <c r="M3458" s="3" t="str">
        <f>IFERROR(__xludf.DUMMYFUNCTION("""COMPUTED_VALUE"""),"")</f>
        <v/>
      </c>
    </row>
    <row r="3459" ht="48.0" customHeight="1">
      <c r="A3459" s="3"/>
      <c r="B3459" s="4"/>
      <c r="C3459" s="4"/>
      <c r="D3459" s="4"/>
      <c r="E3459" s="4"/>
      <c r="F3459" s="4"/>
      <c r="G3459" s="5"/>
      <c r="H3459" s="6"/>
      <c r="I3459" s="7"/>
      <c r="J3459" s="6"/>
      <c r="K3459" s="6"/>
      <c r="L3459" s="3"/>
      <c r="M3459" s="3" t="str">
        <f>IFERROR(__xludf.DUMMYFUNCTION("""COMPUTED_VALUE"""),"")</f>
        <v/>
      </c>
    </row>
    <row r="3460" ht="48.0" customHeight="1">
      <c r="A3460" s="3"/>
      <c r="B3460" s="4"/>
      <c r="C3460" s="4"/>
      <c r="D3460" s="4"/>
      <c r="E3460" s="4"/>
      <c r="F3460" s="4"/>
      <c r="G3460" s="5"/>
      <c r="H3460" s="6"/>
      <c r="I3460" s="7"/>
      <c r="J3460" s="6"/>
      <c r="K3460" s="6"/>
      <c r="L3460" s="3"/>
      <c r="M3460" s="3" t="str">
        <f>IFERROR(__xludf.DUMMYFUNCTION("""COMPUTED_VALUE"""),"")</f>
        <v/>
      </c>
    </row>
    <row r="3461" ht="48.0" customHeight="1">
      <c r="A3461" s="3"/>
      <c r="B3461" s="4"/>
      <c r="C3461" s="4"/>
      <c r="D3461" s="4"/>
      <c r="E3461" s="4"/>
      <c r="F3461" s="4"/>
      <c r="G3461" s="5"/>
      <c r="H3461" s="6"/>
      <c r="I3461" s="7"/>
      <c r="J3461" s="6"/>
      <c r="K3461" s="6"/>
      <c r="L3461" s="3"/>
      <c r="M3461" s="3" t="str">
        <f>IFERROR(__xludf.DUMMYFUNCTION("""COMPUTED_VALUE"""),"")</f>
        <v/>
      </c>
    </row>
    <row r="3462" ht="48.0" customHeight="1">
      <c r="A3462" s="3"/>
      <c r="B3462" s="4"/>
      <c r="C3462" s="4"/>
      <c r="D3462" s="4"/>
      <c r="E3462" s="4"/>
      <c r="F3462" s="4"/>
      <c r="G3462" s="5"/>
      <c r="H3462" s="6"/>
      <c r="I3462" s="7"/>
      <c r="J3462" s="6"/>
      <c r="K3462" s="6"/>
      <c r="L3462" s="3"/>
      <c r="M3462" s="3" t="str">
        <f>IFERROR(__xludf.DUMMYFUNCTION("""COMPUTED_VALUE"""),"")</f>
        <v/>
      </c>
    </row>
    <row r="3463" ht="48.0" customHeight="1">
      <c r="A3463" s="3"/>
      <c r="B3463" s="4"/>
      <c r="C3463" s="4"/>
      <c r="D3463" s="4"/>
      <c r="E3463" s="4"/>
      <c r="F3463" s="4"/>
      <c r="G3463" s="5"/>
      <c r="H3463" s="6"/>
      <c r="I3463" s="7"/>
      <c r="J3463" s="6"/>
      <c r="K3463" s="6"/>
      <c r="L3463" s="3"/>
      <c r="M3463" s="3" t="str">
        <f>IFERROR(__xludf.DUMMYFUNCTION("""COMPUTED_VALUE"""),"")</f>
        <v/>
      </c>
    </row>
    <row r="3464" ht="48.0" customHeight="1">
      <c r="A3464" s="3"/>
      <c r="B3464" s="4"/>
      <c r="C3464" s="4"/>
      <c r="D3464" s="4"/>
      <c r="E3464" s="4"/>
      <c r="F3464" s="4"/>
      <c r="G3464" s="5"/>
      <c r="H3464" s="6"/>
      <c r="I3464" s="7"/>
      <c r="J3464" s="6"/>
      <c r="K3464" s="6"/>
      <c r="L3464" s="3"/>
      <c r="M3464" s="3" t="str">
        <f>IFERROR(__xludf.DUMMYFUNCTION("""COMPUTED_VALUE"""),"")</f>
        <v/>
      </c>
    </row>
    <row r="3465" ht="48.0" customHeight="1">
      <c r="A3465" s="3"/>
      <c r="B3465" s="4"/>
      <c r="C3465" s="4"/>
      <c r="D3465" s="4"/>
      <c r="E3465" s="4"/>
      <c r="F3465" s="4"/>
      <c r="G3465" s="5"/>
      <c r="H3465" s="6"/>
      <c r="I3465" s="7"/>
      <c r="J3465" s="6"/>
      <c r="K3465" s="6"/>
      <c r="L3465" s="3"/>
      <c r="M3465" s="3" t="str">
        <f>IFERROR(__xludf.DUMMYFUNCTION("""COMPUTED_VALUE"""),"")</f>
        <v/>
      </c>
    </row>
    <row r="3466" ht="48.0" customHeight="1">
      <c r="A3466" s="3"/>
      <c r="B3466" s="4"/>
      <c r="C3466" s="4"/>
      <c r="D3466" s="4"/>
      <c r="E3466" s="4"/>
      <c r="F3466" s="4"/>
      <c r="G3466" s="5"/>
      <c r="H3466" s="6"/>
      <c r="I3466" s="7"/>
      <c r="J3466" s="6"/>
      <c r="K3466" s="6"/>
      <c r="L3466" s="3"/>
      <c r="M3466" s="3" t="str">
        <f>IFERROR(__xludf.DUMMYFUNCTION("""COMPUTED_VALUE"""),"")</f>
        <v/>
      </c>
    </row>
    <row r="3467" ht="48.0" customHeight="1">
      <c r="A3467" s="3"/>
      <c r="B3467" s="4"/>
      <c r="C3467" s="4"/>
      <c r="D3467" s="4"/>
      <c r="E3467" s="4"/>
      <c r="F3467" s="4"/>
      <c r="G3467" s="5"/>
      <c r="H3467" s="6"/>
      <c r="I3467" s="7"/>
      <c r="J3467" s="6"/>
      <c r="K3467" s="6"/>
      <c r="L3467" s="3"/>
      <c r="M3467" s="3" t="str">
        <f>IFERROR(__xludf.DUMMYFUNCTION("""COMPUTED_VALUE"""),"")</f>
        <v/>
      </c>
    </row>
    <row r="3468" ht="48.0" customHeight="1">
      <c r="A3468" s="3"/>
      <c r="B3468" s="4"/>
      <c r="C3468" s="4"/>
      <c r="D3468" s="4"/>
      <c r="E3468" s="4"/>
      <c r="F3468" s="4"/>
      <c r="G3468" s="5"/>
      <c r="H3468" s="6"/>
      <c r="I3468" s="7"/>
      <c r="J3468" s="6"/>
      <c r="K3468" s="6"/>
      <c r="L3468" s="3"/>
      <c r="M3468" s="3" t="str">
        <f>IFERROR(__xludf.DUMMYFUNCTION("""COMPUTED_VALUE"""),"")</f>
        <v/>
      </c>
    </row>
    <row r="3469" ht="48.0" customHeight="1">
      <c r="A3469" s="3"/>
      <c r="B3469" s="4"/>
      <c r="C3469" s="4"/>
      <c r="D3469" s="4"/>
      <c r="E3469" s="4"/>
      <c r="F3469" s="4"/>
      <c r="G3469" s="5"/>
      <c r="H3469" s="6"/>
      <c r="I3469" s="7"/>
      <c r="J3469" s="6"/>
      <c r="K3469" s="6"/>
      <c r="L3469" s="3"/>
      <c r="M3469" s="3" t="str">
        <f>IFERROR(__xludf.DUMMYFUNCTION("""COMPUTED_VALUE"""),"")</f>
        <v/>
      </c>
    </row>
    <row r="3470" ht="48.0" customHeight="1">
      <c r="A3470" s="3"/>
      <c r="B3470" s="4"/>
      <c r="C3470" s="4"/>
      <c r="D3470" s="4"/>
      <c r="E3470" s="4"/>
      <c r="F3470" s="4"/>
      <c r="G3470" s="5"/>
      <c r="H3470" s="6"/>
      <c r="I3470" s="7"/>
      <c r="J3470" s="6"/>
      <c r="K3470" s="6"/>
      <c r="L3470" s="3"/>
      <c r="M3470" s="3" t="str">
        <f>IFERROR(__xludf.DUMMYFUNCTION("""COMPUTED_VALUE"""),"")</f>
        <v/>
      </c>
    </row>
    <row r="3471" ht="48.0" customHeight="1">
      <c r="A3471" s="3"/>
      <c r="B3471" s="4"/>
      <c r="C3471" s="4"/>
      <c r="D3471" s="4"/>
      <c r="E3471" s="4"/>
      <c r="F3471" s="4"/>
      <c r="G3471" s="5"/>
      <c r="H3471" s="6"/>
      <c r="I3471" s="7"/>
      <c r="J3471" s="6"/>
      <c r="K3471" s="6"/>
      <c r="L3471" s="3"/>
      <c r="M3471" s="3" t="str">
        <f>IFERROR(__xludf.DUMMYFUNCTION("""COMPUTED_VALUE"""),"")</f>
        <v/>
      </c>
    </row>
    <row r="3472" ht="48.0" customHeight="1">
      <c r="A3472" s="3"/>
      <c r="B3472" s="4"/>
      <c r="C3472" s="4"/>
      <c r="D3472" s="4"/>
      <c r="E3472" s="4"/>
      <c r="F3472" s="4"/>
      <c r="G3472" s="5"/>
      <c r="H3472" s="6"/>
      <c r="I3472" s="7"/>
      <c r="J3472" s="6"/>
      <c r="K3472" s="6"/>
      <c r="L3472" s="3"/>
      <c r="M3472" s="3" t="str">
        <f>IFERROR(__xludf.DUMMYFUNCTION("""COMPUTED_VALUE"""),"")</f>
        <v/>
      </c>
    </row>
    <row r="3473" ht="48.0" customHeight="1">
      <c r="A3473" s="3"/>
      <c r="B3473" s="4"/>
      <c r="C3473" s="4"/>
      <c r="D3473" s="4"/>
      <c r="E3473" s="4"/>
      <c r="F3473" s="4"/>
      <c r="G3473" s="5"/>
      <c r="H3473" s="6"/>
      <c r="I3473" s="7"/>
      <c r="J3473" s="6"/>
      <c r="K3473" s="6"/>
      <c r="L3473" s="3"/>
      <c r="M3473" s="3" t="str">
        <f>IFERROR(__xludf.DUMMYFUNCTION("""COMPUTED_VALUE"""),"")</f>
        <v/>
      </c>
    </row>
    <row r="3474" ht="48.0" customHeight="1">
      <c r="A3474" s="3"/>
      <c r="B3474" s="4"/>
      <c r="C3474" s="4"/>
      <c r="D3474" s="4"/>
      <c r="E3474" s="4"/>
      <c r="F3474" s="4"/>
      <c r="G3474" s="5"/>
      <c r="H3474" s="6"/>
      <c r="I3474" s="7"/>
      <c r="J3474" s="6"/>
      <c r="K3474" s="6"/>
      <c r="L3474" s="3"/>
      <c r="M3474" s="3" t="str">
        <f>IFERROR(__xludf.DUMMYFUNCTION("""COMPUTED_VALUE"""),"")</f>
        <v/>
      </c>
    </row>
    <row r="3475" ht="48.0" customHeight="1">
      <c r="A3475" s="3"/>
      <c r="B3475" s="4"/>
      <c r="C3475" s="4"/>
      <c r="D3475" s="4"/>
      <c r="E3475" s="4"/>
      <c r="F3475" s="4"/>
      <c r="G3475" s="5"/>
      <c r="H3475" s="6"/>
      <c r="I3475" s="7"/>
      <c r="J3475" s="6"/>
      <c r="K3475" s="6"/>
      <c r="L3475" s="3"/>
      <c r="M3475" s="3" t="str">
        <f>IFERROR(__xludf.DUMMYFUNCTION("""COMPUTED_VALUE"""),"")</f>
        <v/>
      </c>
    </row>
    <row r="3476" ht="48.0" customHeight="1">
      <c r="A3476" s="3"/>
      <c r="B3476" s="4"/>
      <c r="C3476" s="4"/>
      <c r="D3476" s="4"/>
      <c r="E3476" s="4"/>
      <c r="F3476" s="4"/>
      <c r="G3476" s="5"/>
      <c r="H3476" s="6"/>
      <c r="I3476" s="7"/>
      <c r="J3476" s="6"/>
      <c r="K3476" s="6"/>
      <c r="L3476" s="3"/>
      <c r="M3476" s="3" t="str">
        <f>IFERROR(__xludf.DUMMYFUNCTION("""COMPUTED_VALUE"""),"")</f>
        <v/>
      </c>
    </row>
    <row r="3477" ht="48.0" customHeight="1">
      <c r="A3477" s="3"/>
      <c r="B3477" s="4"/>
      <c r="C3477" s="4"/>
      <c r="D3477" s="4"/>
      <c r="E3477" s="4"/>
      <c r="F3477" s="4"/>
      <c r="G3477" s="5"/>
      <c r="H3477" s="6"/>
      <c r="I3477" s="7"/>
      <c r="J3477" s="6"/>
      <c r="K3477" s="6"/>
      <c r="L3477" s="3"/>
      <c r="M3477" s="3" t="str">
        <f>IFERROR(__xludf.DUMMYFUNCTION("""COMPUTED_VALUE"""),"")</f>
        <v/>
      </c>
    </row>
    <row r="3478" ht="48.0" customHeight="1">
      <c r="A3478" s="3"/>
      <c r="B3478" s="4"/>
      <c r="C3478" s="4"/>
      <c r="D3478" s="4"/>
      <c r="E3478" s="4"/>
      <c r="F3478" s="4"/>
      <c r="G3478" s="5"/>
      <c r="H3478" s="6"/>
      <c r="I3478" s="7"/>
      <c r="J3478" s="6"/>
      <c r="K3478" s="6"/>
      <c r="L3478" s="3"/>
      <c r="M3478" s="3" t="str">
        <f>IFERROR(__xludf.DUMMYFUNCTION("""COMPUTED_VALUE"""),"")</f>
        <v/>
      </c>
    </row>
    <row r="3479" ht="48.0" customHeight="1">
      <c r="A3479" s="3"/>
      <c r="B3479" s="4"/>
      <c r="C3479" s="4"/>
      <c r="D3479" s="4"/>
      <c r="E3479" s="4"/>
      <c r="F3479" s="4"/>
      <c r="G3479" s="5"/>
      <c r="H3479" s="6"/>
      <c r="I3479" s="7"/>
      <c r="J3479" s="6"/>
      <c r="K3479" s="6"/>
      <c r="L3479" s="3"/>
      <c r="M3479" s="3" t="str">
        <f>IFERROR(__xludf.DUMMYFUNCTION("""COMPUTED_VALUE"""),"")</f>
        <v/>
      </c>
    </row>
    <row r="3480" ht="48.0" customHeight="1">
      <c r="A3480" s="3"/>
      <c r="B3480" s="4"/>
      <c r="C3480" s="4"/>
      <c r="D3480" s="4"/>
      <c r="E3480" s="4"/>
      <c r="F3480" s="4"/>
      <c r="G3480" s="5"/>
      <c r="H3480" s="6"/>
      <c r="I3480" s="7"/>
      <c r="J3480" s="6"/>
      <c r="K3480" s="6"/>
      <c r="L3480" s="3"/>
      <c r="M3480" s="3" t="str">
        <f>IFERROR(__xludf.DUMMYFUNCTION("""COMPUTED_VALUE"""),"")</f>
        <v/>
      </c>
    </row>
    <row r="3481" ht="48.0" customHeight="1">
      <c r="A3481" s="3"/>
      <c r="B3481" s="4"/>
      <c r="C3481" s="4"/>
      <c r="D3481" s="4"/>
      <c r="E3481" s="4"/>
      <c r="F3481" s="4"/>
      <c r="G3481" s="5"/>
      <c r="H3481" s="6"/>
      <c r="I3481" s="7"/>
      <c r="J3481" s="6"/>
      <c r="K3481" s="6"/>
      <c r="L3481" s="3"/>
      <c r="M3481" s="3" t="str">
        <f>IFERROR(__xludf.DUMMYFUNCTION("""COMPUTED_VALUE"""),"")</f>
        <v/>
      </c>
    </row>
    <row r="3482" ht="48.0" customHeight="1">
      <c r="A3482" s="3"/>
      <c r="B3482" s="4"/>
      <c r="C3482" s="4"/>
      <c r="D3482" s="4"/>
      <c r="E3482" s="4"/>
      <c r="F3482" s="4"/>
      <c r="G3482" s="5"/>
      <c r="H3482" s="6"/>
      <c r="I3482" s="7"/>
      <c r="J3482" s="6"/>
      <c r="K3482" s="6"/>
      <c r="L3482" s="3"/>
      <c r="M3482" s="3" t="str">
        <f>IFERROR(__xludf.DUMMYFUNCTION("""COMPUTED_VALUE"""),"")</f>
        <v/>
      </c>
    </row>
    <row r="3483" ht="48.0" customHeight="1">
      <c r="A3483" s="3"/>
      <c r="B3483" s="4"/>
      <c r="C3483" s="4"/>
      <c r="D3483" s="4"/>
      <c r="E3483" s="4"/>
      <c r="F3483" s="4"/>
      <c r="G3483" s="5"/>
      <c r="H3483" s="6"/>
      <c r="I3483" s="7"/>
      <c r="J3483" s="6"/>
      <c r="K3483" s="6"/>
      <c r="L3483" s="3"/>
      <c r="M3483" s="3" t="str">
        <f>IFERROR(__xludf.DUMMYFUNCTION("""COMPUTED_VALUE"""),"")</f>
        <v/>
      </c>
    </row>
    <row r="3484" ht="48.0" customHeight="1">
      <c r="A3484" s="3"/>
      <c r="B3484" s="4"/>
      <c r="C3484" s="4"/>
      <c r="D3484" s="4"/>
      <c r="E3484" s="4"/>
      <c r="F3484" s="4"/>
      <c r="G3484" s="5"/>
      <c r="H3484" s="6"/>
      <c r="I3484" s="7"/>
      <c r="J3484" s="6"/>
      <c r="K3484" s="6"/>
      <c r="L3484" s="3"/>
      <c r="M3484" s="3" t="str">
        <f>IFERROR(__xludf.DUMMYFUNCTION("""COMPUTED_VALUE"""),"")</f>
        <v/>
      </c>
    </row>
    <row r="3485" ht="48.0" customHeight="1">
      <c r="A3485" s="3"/>
      <c r="B3485" s="4"/>
      <c r="C3485" s="4"/>
      <c r="D3485" s="4"/>
      <c r="E3485" s="4"/>
      <c r="F3485" s="4"/>
      <c r="G3485" s="5"/>
      <c r="H3485" s="6"/>
      <c r="I3485" s="7"/>
      <c r="J3485" s="6"/>
      <c r="K3485" s="6"/>
      <c r="L3485" s="3"/>
      <c r="M3485" s="3" t="str">
        <f>IFERROR(__xludf.DUMMYFUNCTION("""COMPUTED_VALUE"""),"")</f>
        <v/>
      </c>
    </row>
    <row r="3486" ht="48.0" customHeight="1">
      <c r="A3486" s="3"/>
      <c r="B3486" s="4"/>
      <c r="C3486" s="4"/>
      <c r="D3486" s="4"/>
      <c r="E3486" s="4"/>
      <c r="F3486" s="4"/>
      <c r="G3486" s="5"/>
      <c r="H3486" s="6"/>
      <c r="I3486" s="7"/>
      <c r="J3486" s="6"/>
      <c r="K3486" s="6"/>
      <c r="L3486" s="3"/>
      <c r="M3486" s="3" t="str">
        <f>IFERROR(__xludf.DUMMYFUNCTION("""COMPUTED_VALUE"""),"")</f>
        <v/>
      </c>
    </row>
    <row r="3487" ht="48.0" customHeight="1">
      <c r="A3487" s="3"/>
      <c r="B3487" s="4"/>
      <c r="C3487" s="4"/>
      <c r="D3487" s="4"/>
      <c r="E3487" s="4"/>
      <c r="F3487" s="4"/>
      <c r="G3487" s="5"/>
      <c r="H3487" s="6"/>
      <c r="I3487" s="7"/>
      <c r="J3487" s="6"/>
      <c r="K3487" s="6"/>
      <c r="L3487" s="3"/>
      <c r="M3487" s="3" t="str">
        <f>IFERROR(__xludf.DUMMYFUNCTION("""COMPUTED_VALUE"""),"")</f>
        <v/>
      </c>
    </row>
    <row r="3488" ht="48.0" customHeight="1">
      <c r="A3488" s="3"/>
      <c r="B3488" s="4"/>
      <c r="C3488" s="4"/>
      <c r="D3488" s="4"/>
      <c r="E3488" s="4"/>
      <c r="F3488" s="4"/>
      <c r="G3488" s="5"/>
      <c r="H3488" s="6"/>
      <c r="I3488" s="7"/>
      <c r="J3488" s="6"/>
      <c r="K3488" s="6"/>
      <c r="L3488" s="3"/>
      <c r="M3488" s="3" t="str">
        <f>IFERROR(__xludf.DUMMYFUNCTION("""COMPUTED_VALUE"""),"")</f>
        <v/>
      </c>
    </row>
    <row r="3489" ht="48.0" customHeight="1">
      <c r="A3489" s="3"/>
      <c r="B3489" s="4"/>
      <c r="C3489" s="4"/>
      <c r="D3489" s="4"/>
      <c r="E3489" s="4"/>
      <c r="F3489" s="4"/>
      <c r="G3489" s="5"/>
      <c r="H3489" s="6"/>
      <c r="I3489" s="7"/>
      <c r="J3489" s="6"/>
      <c r="K3489" s="6"/>
      <c r="L3489" s="3"/>
      <c r="M3489" s="3" t="str">
        <f>IFERROR(__xludf.DUMMYFUNCTION("""COMPUTED_VALUE"""),"")</f>
        <v/>
      </c>
    </row>
    <row r="3490" ht="48.0" customHeight="1">
      <c r="A3490" s="3"/>
      <c r="B3490" s="4"/>
      <c r="C3490" s="4"/>
      <c r="D3490" s="4"/>
      <c r="E3490" s="4"/>
      <c r="F3490" s="4"/>
      <c r="G3490" s="5"/>
      <c r="H3490" s="6"/>
      <c r="I3490" s="7"/>
      <c r="J3490" s="6"/>
      <c r="K3490" s="6"/>
      <c r="L3490" s="3"/>
      <c r="M3490" s="3" t="str">
        <f>IFERROR(__xludf.DUMMYFUNCTION("""COMPUTED_VALUE"""),"")</f>
        <v/>
      </c>
    </row>
    <row r="3491" ht="48.0" customHeight="1">
      <c r="A3491" s="3"/>
      <c r="B3491" s="4"/>
      <c r="C3491" s="4"/>
      <c r="D3491" s="4"/>
      <c r="E3491" s="4"/>
      <c r="F3491" s="4"/>
      <c r="G3491" s="5"/>
      <c r="H3491" s="6"/>
      <c r="I3491" s="7"/>
      <c r="J3491" s="6"/>
      <c r="K3491" s="6"/>
      <c r="L3491" s="3"/>
      <c r="M3491" s="3" t="str">
        <f>IFERROR(__xludf.DUMMYFUNCTION("""COMPUTED_VALUE"""),"")</f>
        <v/>
      </c>
    </row>
    <row r="3492" ht="48.0" customHeight="1">
      <c r="A3492" s="3"/>
      <c r="B3492" s="4"/>
      <c r="C3492" s="4"/>
      <c r="D3492" s="4"/>
      <c r="E3492" s="4"/>
      <c r="F3492" s="4"/>
      <c r="G3492" s="5"/>
      <c r="H3492" s="6"/>
      <c r="I3492" s="7"/>
      <c r="J3492" s="6"/>
      <c r="K3492" s="6"/>
      <c r="L3492" s="3"/>
      <c r="M3492" s="3" t="str">
        <f>IFERROR(__xludf.DUMMYFUNCTION("""COMPUTED_VALUE"""),"")</f>
        <v/>
      </c>
    </row>
    <row r="3493" ht="48.0" customHeight="1">
      <c r="A3493" s="3"/>
      <c r="B3493" s="4"/>
      <c r="C3493" s="4"/>
      <c r="D3493" s="4"/>
      <c r="E3493" s="4"/>
      <c r="F3493" s="4"/>
      <c r="G3493" s="5"/>
      <c r="H3493" s="6"/>
      <c r="I3493" s="7"/>
      <c r="J3493" s="6"/>
      <c r="K3493" s="6"/>
      <c r="L3493" s="3"/>
      <c r="M3493" s="3" t="str">
        <f>IFERROR(__xludf.DUMMYFUNCTION("""COMPUTED_VALUE"""),"")</f>
        <v/>
      </c>
    </row>
    <row r="3494" ht="48.0" customHeight="1">
      <c r="A3494" s="3"/>
      <c r="B3494" s="4"/>
      <c r="C3494" s="4"/>
      <c r="D3494" s="4"/>
      <c r="E3494" s="4"/>
      <c r="F3494" s="4"/>
      <c r="G3494" s="5"/>
      <c r="H3494" s="6"/>
      <c r="I3494" s="7"/>
      <c r="J3494" s="6"/>
      <c r="K3494" s="6"/>
      <c r="L3494" s="3"/>
      <c r="M3494" s="3" t="str">
        <f>IFERROR(__xludf.DUMMYFUNCTION("""COMPUTED_VALUE"""),"")</f>
        <v/>
      </c>
    </row>
    <row r="3495" ht="48.0" customHeight="1">
      <c r="A3495" s="3"/>
      <c r="B3495" s="4"/>
      <c r="C3495" s="4"/>
      <c r="D3495" s="4"/>
      <c r="E3495" s="4"/>
      <c r="F3495" s="4"/>
      <c r="G3495" s="5"/>
      <c r="H3495" s="6"/>
      <c r="I3495" s="7"/>
      <c r="J3495" s="6"/>
      <c r="K3495" s="6"/>
      <c r="L3495" s="3"/>
      <c r="M3495" s="3" t="str">
        <f>IFERROR(__xludf.DUMMYFUNCTION("""COMPUTED_VALUE"""),"")</f>
        <v/>
      </c>
    </row>
    <row r="3496" ht="48.0" customHeight="1">
      <c r="A3496" s="3"/>
      <c r="B3496" s="4"/>
      <c r="C3496" s="4"/>
      <c r="D3496" s="4"/>
      <c r="E3496" s="4"/>
      <c r="F3496" s="4"/>
      <c r="G3496" s="5"/>
      <c r="H3496" s="6"/>
      <c r="I3496" s="7"/>
      <c r="J3496" s="6"/>
      <c r="K3496" s="6"/>
      <c r="L3496" s="3"/>
      <c r="M3496" s="3" t="str">
        <f>IFERROR(__xludf.DUMMYFUNCTION("""COMPUTED_VALUE"""),"")</f>
        <v/>
      </c>
    </row>
    <row r="3497" ht="48.0" customHeight="1">
      <c r="A3497" s="3"/>
      <c r="B3497" s="4"/>
      <c r="C3497" s="4"/>
      <c r="D3497" s="4"/>
      <c r="E3497" s="4"/>
      <c r="F3497" s="4"/>
      <c r="G3497" s="5"/>
      <c r="H3497" s="6"/>
      <c r="I3497" s="7"/>
      <c r="J3497" s="6"/>
      <c r="K3497" s="6"/>
      <c r="L3497" s="3"/>
      <c r="M3497" s="3" t="str">
        <f>IFERROR(__xludf.DUMMYFUNCTION("""COMPUTED_VALUE"""),"")</f>
        <v/>
      </c>
    </row>
    <row r="3498" ht="48.0" customHeight="1">
      <c r="A3498" s="3"/>
      <c r="B3498" s="4"/>
      <c r="C3498" s="4"/>
      <c r="D3498" s="4"/>
      <c r="E3498" s="4"/>
      <c r="F3498" s="4"/>
      <c r="G3498" s="5"/>
      <c r="H3498" s="6"/>
      <c r="I3498" s="7"/>
      <c r="J3498" s="6"/>
      <c r="K3498" s="6"/>
      <c r="L3498" s="3"/>
      <c r="M3498" s="3" t="str">
        <f>IFERROR(__xludf.DUMMYFUNCTION("""COMPUTED_VALUE"""),"")</f>
        <v/>
      </c>
    </row>
    <row r="3499" ht="48.0" customHeight="1">
      <c r="A3499" s="3"/>
      <c r="B3499" s="4"/>
      <c r="C3499" s="4"/>
      <c r="D3499" s="4"/>
      <c r="E3499" s="4"/>
      <c r="F3499" s="4"/>
      <c r="G3499" s="5"/>
      <c r="H3499" s="6"/>
      <c r="I3499" s="7"/>
      <c r="J3499" s="6"/>
      <c r="K3499" s="6"/>
      <c r="L3499" s="3"/>
      <c r="M3499" s="3" t="str">
        <f>IFERROR(__xludf.DUMMYFUNCTION("""COMPUTED_VALUE"""),"")</f>
        <v/>
      </c>
    </row>
    <row r="3500" ht="48.0" customHeight="1">
      <c r="A3500" s="3"/>
      <c r="B3500" s="4"/>
      <c r="C3500" s="4"/>
      <c r="D3500" s="4"/>
      <c r="E3500" s="4"/>
      <c r="F3500" s="4"/>
      <c r="G3500" s="5"/>
      <c r="H3500" s="6"/>
      <c r="I3500" s="7"/>
      <c r="J3500" s="6"/>
      <c r="K3500" s="6"/>
      <c r="L3500" s="3"/>
      <c r="M3500" s="3" t="str">
        <f>IFERROR(__xludf.DUMMYFUNCTION("""COMPUTED_VALUE"""),"")</f>
        <v/>
      </c>
    </row>
    <row r="3501" ht="48.0" customHeight="1">
      <c r="A3501" s="3"/>
      <c r="B3501" s="4"/>
      <c r="C3501" s="4"/>
      <c r="D3501" s="4"/>
      <c r="E3501" s="4"/>
      <c r="F3501" s="4"/>
      <c r="G3501" s="5"/>
      <c r="H3501" s="6"/>
      <c r="I3501" s="7"/>
      <c r="J3501" s="6"/>
      <c r="K3501" s="6"/>
      <c r="L3501" s="3"/>
      <c r="M3501" s="3" t="str">
        <f>IFERROR(__xludf.DUMMYFUNCTION("""COMPUTED_VALUE"""),"")</f>
        <v/>
      </c>
    </row>
    <row r="3502" ht="48.0" customHeight="1">
      <c r="A3502" s="3"/>
      <c r="B3502" s="4"/>
      <c r="C3502" s="4"/>
      <c r="D3502" s="4"/>
      <c r="E3502" s="4"/>
      <c r="F3502" s="4"/>
      <c r="G3502" s="5"/>
      <c r="H3502" s="6"/>
      <c r="I3502" s="7"/>
      <c r="J3502" s="6"/>
      <c r="K3502" s="6"/>
      <c r="L3502" s="3"/>
      <c r="M3502" s="3" t="str">
        <f>IFERROR(__xludf.DUMMYFUNCTION("""COMPUTED_VALUE"""),"")</f>
        <v/>
      </c>
    </row>
    <row r="3503" ht="48.0" customHeight="1">
      <c r="A3503" s="3"/>
      <c r="B3503" s="4"/>
      <c r="C3503" s="4"/>
      <c r="D3503" s="4"/>
      <c r="E3503" s="4"/>
      <c r="F3503" s="4"/>
      <c r="G3503" s="5"/>
      <c r="H3503" s="6"/>
      <c r="I3503" s="7"/>
      <c r="J3503" s="6"/>
      <c r="K3503" s="6"/>
      <c r="L3503" s="3"/>
      <c r="M3503" s="3" t="str">
        <f>IFERROR(__xludf.DUMMYFUNCTION("""COMPUTED_VALUE"""),"")</f>
        <v/>
      </c>
    </row>
    <row r="3504" ht="48.0" customHeight="1">
      <c r="A3504" s="3"/>
      <c r="B3504" s="4"/>
      <c r="C3504" s="4"/>
      <c r="D3504" s="4"/>
      <c r="E3504" s="4"/>
      <c r="F3504" s="4"/>
      <c r="G3504" s="5"/>
      <c r="H3504" s="6"/>
      <c r="I3504" s="7"/>
      <c r="J3504" s="6"/>
      <c r="K3504" s="6"/>
      <c r="L3504" s="3"/>
      <c r="M3504" s="3" t="str">
        <f>IFERROR(__xludf.DUMMYFUNCTION("""COMPUTED_VALUE"""),"")</f>
        <v/>
      </c>
    </row>
    <row r="3505" ht="48.0" customHeight="1">
      <c r="A3505" s="3"/>
      <c r="B3505" s="4"/>
      <c r="C3505" s="4"/>
      <c r="D3505" s="4"/>
      <c r="E3505" s="4"/>
      <c r="F3505" s="4"/>
      <c r="G3505" s="5"/>
      <c r="H3505" s="6"/>
      <c r="I3505" s="7"/>
      <c r="J3505" s="6"/>
      <c r="K3505" s="6"/>
      <c r="L3505" s="3"/>
      <c r="M3505" s="3" t="str">
        <f>IFERROR(__xludf.DUMMYFUNCTION("""COMPUTED_VALUE"""),"")</f>
        <v/>
      </c>
    </row>
    <row r="3506" ht="48.0" customHeight="1">
      <c r="A3506" s="3"/>
      <c r="B3506" s="4"/>
      <c r="C3506" s="4"/>
      <c r="D3506" s="4"/>
      <c r="E3506" s="4"/>
      <c r="F3506" s="4"/>
      <c r="G3506" s="5"/>
      <c r="H3506" s="6"/>
      <c r="I3506" s="7"/>
      <c r="J3506" s="6"/>
      <c r="K3506" s="6"/>
      <c r="L3506" s="3"/>
      <c r="M3506" s="3" t="str">
        <f>IFERROR(__xludf.DUMMYFUNCTION("""COMPUTED_VALUE"""),"")</f>
        <v/>
      </c>
    </row>
    <row r="3507" ht="48.0" customHeight="1">
      <c r="A3507" s="3"/>
      <c r="B3507" s="4"/>
      <c r="C3507" s="4"/>
      <c r="D3507" s="4"/>
      <c r="E3507" s="4"/>
      <c r="F3507" s="4"/>
      <c r="G3507" s="5"/>
      <c r="H3507" s="6"/>
      <c r="I3507" s="7"/>
      <c r="J3507" s="6"/>
      <c r="K3507" s="6"/>
      <c r="L3507" s="3"/>
      <c r="M3507" s="3" t="str">
        <f>IFERROR(__xludf.DUMMYFUNCTION("""COMPUTED_VALUE"""),"")</f>
        <v/>
      </c>
    </row>
    <row r="3508" ht="48.0" customHeight="1">
      <c r="A3508" s="3"/>
      <c r="B3508" s="4"/>
      <c r="C3508" s="4"/>
      <c r="D3508" s="4"/>
      <c r="E3508" s="4"/>
      <c r="F3508" s="4"/>
      <c r="G3508" s="5"/>
      <c r="H3508" s="6"/>
      <c r="I3508" s="7"/>
      <c r="J3508" s="6"/>
      <c r="K3508" s="6"/>
      <c r="L3508" s="3"/>
      <c r="M3508" s="3" t="str">
        <f>IFERROR(__xludf.DUMMYFUNCTION("""COMPUTED_VALUE"""),"")</f>
        <v/>
      </c>
    </row>
    <row r="3509" ht="48.0" customHeight="1">
      <c r="A3509" s="3"/>
      <c r="B3509" s="4"/>
      <c r="C3509" s="4"/>
      <c r="D3509" s="4"/>
      <c r="E3509" s="4"/>
      <c r="F3509" s="4"/>
      <c r="G3509" s="5"/>
      <c r="H3509" s="6"/>
      <c r="I3509" s="7"/>
      <c r="J3509" s="6"/>
      <c r="K3509" s="6"/>
      <c r="L3509" s="3"/>
      <c r="M3509" s="3" t="str">
        <f>IFERROR(__xludf.DUMMYFUNCTION("""COMPUTED_VALUE"""),"")</f>
        <v/>
      </c>
    </row>
    <row r="3510" ht="48.0" customHeight="1">
      <c r="A3510" s="3"/>
      <c r="B3510" s="4"/>
      <c r="C3510" s="4"/>
      <c r="D3510" s="4"/>
      <c r="E3510" s="4"/>
      <c r="F3510" s="4"/>
      <c r="G3510" s="5"/>
      <c r="H3510" s="6"/>
      <c r="I3510" s="7"/>
      <c r="J3510" s="6"/>
      <c r="K3510" s="6"/>
      <c r="L3510" s="3"/>
      <c r="M3510" s="3" t="str">
        <f>IFERROR(__xludf.DUMMYFUNCTION("""COMPUTED_VALUE"""),"")</f>
        <v/>
      </c>
    </row>
    <row r="3511" ht="48.0" customHeight="1">
      <c r="A3511" s="3"/>
      <c r="B3511" s="4"/>
      <c r="C3511" s="4"/>
      <c r="D3511" s="4"/>
      <c r="E3511" s="4"/>
      <c r="F3511" s="4"/>
      <c r="G3511" s="5"/>
      <c r="H3511" s="6"/>
      <c r="I3511" s="7"/>
      <c r="J3511" s="6"/>
      <c r="K3511" s="6"/>
      <c r="L3511" s="3"/>
      <c r="M3511" s="3" t="str">
        <f>IFERROR(__xludf.DUMMYFUNCTION("""COMPUTED_VALUE"""),"")</f>
        <v/>
      </c>
    </row>
    <row r="3512" ht="48.0" customHeight="1">
      <c r="A3512" s="3"/>
      <c r="B3512" s="4"/>
      <c r="C3512" s="4"/>
      <c r="D3512" s="4"/>
      <c r="E3512" s="4"/>
      <c r="F3512" s="4"/>
      <c r="G3512" s="5"/>
      <c r="H3512" s="6"/>
      <c r="I3512" s="7"/>
      <c r="J3512" s="6"/>
      <c r="K3512" s="6"/>
      <c r="L3512" s="3"/>
      <c r="M3512" s="3" t="str">
        <f>IFERROR(__xludf.DUMMYFUNCTION("""COMPUTED_VALUE"""),"")</f>
        <v/>
      </c>
    </row>
    <row r="3513" ht="48.0" customHeight="1">
      <c r="A3513" s="3"/>
      <c r="B3513" s="4"/>
      <c r="C3513" s="4"/>
      <c r="D3513" s="4"/>
      <c r="E3513" s="4"/>
      <c r="F3513" s="4"/>
      <c r="G3513" s="5"/>
      <c r="H3513" s="6"/>
      <c r="I3513" s="7"/>
      <c r="J3513" s="6"/>
      <c r="K3513" s="6"/>
      <c r="L3513" s="3"/>
      <c r="M3513" s="3" t="str">
        <f>IFERROR(__xludf.DUMMYFUNCTION("""COMPUTED_VALUE"""),"")</f>
        <v/>
      </c>
    </row>
    <row r="3514" ht="48.0" customHeight="1">
      <c r="A3514" s="3"/>
      <c r="B3514" s="4"/>
      <c r="C3514" s="4"/>
      <c r="D3514" s="4"/>
      <c r="E3514" s="4"/>
      <c r="F3514" s="4"/>
      <c r="G3514" s="5"/>
      <c r="H3514" s="6"/>
      <c r="I3514" s="7"/>
      <c r="J3514" s="6"/>
      <c r="K3514" s="6"/>
      <c r="L3514" s="3"/>
      <c r="M3514" s="3" t="str">
        <f>IFERROR(__xludf.DUMMYFUNCTION("""COMPUTED_VALUE"""),"")</f>
        <v/>
      </c>
    </row>
    <row r="3515" ht="48.0" customHeight="1">
      <c r="A3515" s="3"/>
      <c r="B3515" s="4"/>
      <c r="C3515" s="4"/>
      <c r="D3515" s="4"/>
      <c r="E3515" s="4"/>
      <c r="F3515" s="4"/>
      <c r="G3515" s="5"/>
      <c r="H3515" s="6"/>
      <c r="I3515" s="7"/>
      <c r="J3515" s="6"/>
      <c r="K3515" s="6"/>
      <c r="L3515" s="3"/>
      <c r="M3515" s="3" t="str">
        <f>IFERROR(__xludf.DUMMYFUNCTION("""COMPUTED_VALUE"""),"")</f>
        <v/>
      </c>
    </row>
    <row r="3516" ht="48.0" customHeight="1">
      <c r="A3516" s="3"/>
      <c r="B3516" s="4"/>
      <c r="C3516" s="4"/>
      <c r="D3516" s="4"/>
      <c r="E3516" s="4"/>
      <c r="F3516" s="4"/>
      <c r="G3516" s="5"/>
      <c r="H3516" s="6"/>
      <c r="I3516" s="7"/>
      <c r="J3516" s="6"/>
      <c r="K3516" s="6"/>
      <c r="L3516" s="3"/>
      <c r="M3516" s="3" t="str">
        <f>IFERROR(__xludf.DUMMYFUNCTION("""COMPUTED_VALUE"""),"")</f>
        <v/>
      </c>
    </row>
    <row r="3517" ht="48.0" customHeight="1">
      <c r="A3517" s="3"/>
      <c r="B3517" s="4"/>
      <c r="C3517" s="4"/>
      <c r="D3517" s="4"/>
      <c r="E3517" s="4"/>
      <c r="F3517" s="4"/>
      <c r="G3517" s="5"/>
      <c r="H3517" s="6"/>
      <c r="I3517" s="7"/>
      <c r="J3517" s="6"/>
      <c r="K3517" s="6"/>
      <c r="L3517" s="3"/>
      <c r="M3517" s="3" t="str">
        <f>IFERROR(__xludf.DUMMYFUNCTION("""COMPUTED_VALUE"""),"")</f>
        <v/>
      </c>
    </row>
    <row r="3518" ht="48.0" customHeight="1">
      <c r="A3518" s="3"/>
      <c r="B3518" s="4"/>
      <c r="C3518" s="4"/>
      <c r="D3518" s="4"/>
      <c r="E3518" s="4"/>
      <c r="F3518" s="4"/>
      <c r="G3518" s="5"/>
      <c r="H3518" s="6"/>
      <c r="I3518" s="7"/>
      <c r="J3518" s="6"/>
      <c r="K3518" s="6"/>
      <c r="L3518" s="3"/>
      <c r="M3518" s="3" t="str">
        <f>IFERROR(__xludf.DUMMYFUNCTION("""COMPUTED_VALUE"""),"")</f>
        <v/>
      </c>
    </row>
    <row r="3519" ht="48.0" customHeight="1">
      <c r="A3519" s="3"/>
      <c r="B3519" s="4"/>
      <c r="C3519" s="4"/>
      <c r="D3519" s="4"/>
      <c r="E3519" s="4"/>
      <c r="F3519" s="4"/>
      <c r="G3519" s="5"/>
      <c r="H3519" s="6"/>
      <c r="I3519" s="7"/>
      <c r="J3519" s="6"/>
      <c r="K3519" s="6"/>
      <c r="L3519" s="3"/>
      <c r="M3519" s="3" t="str">
        <f>IFERROR(__xludf.DUMMYFUNCTION("""COMPUTED_VALUE"""),"")</f>
        <v/>
      </c>
    </row>
    <row r="3520" ht="48.0" customHeight="1">
      <c r="A3520" s="3"/>
      <c r="B3520" s="4"/>
      <c r="C3520" s="4"/>
      <c r="D3520" s="4"/>
      <c r="E3520" s="4"/>
      <c r="F3520" s="4"/>
      <c r="G3520" s="5"/>
      <c r="H3520" s="6"/>
      <c r="I3520" s="7"/>
      <c r="J3520" s="6"/>
      <c r="K3520" s="6"/>
      <c r="L3520" s="3"/>
      <c r="M3520" s="3" t="str">
        <f>IFERROR(__xludf.DUMMYFUNCTION("""COMPUTED_VALUE"""),"")</f>
        <v/>
      </c>
    </row>
    <row r="3521" ht="48.0" customHeight="1">
      <c r="A3521" s="3"/>
      <c r="B3521" s="4"/>
      <c r="C3521" s="4"/>
      <c r="D3521" s="4"/>
      <c r="E3521" s="4"/>
      <c r="F3521" s="4"/>
      <c r="G3521" s="5"/>
      <c r="H3521" s="6"/>
      <c r="I3521" s="7"/>
      <c r="J3521" s="6"/>
      <c r="K3521" s="6"/>
      <c r="L3521" s="3"/>
      <c r="M3521" s="3" t="str">
        <f>IFERROR(__xludf.DUMMYFUNCTION("""COMPUTED_VALUE"""),"")</f>
        <v/>
      </c>
    </row>
    <row r="3522" ht="48.0" customHeight="1">
      <c r="A3522" s="3"/>
      <c r="B3522" s="4"/>
      <c r="C3522" s="4"/>
      <c r="D3522" s="4"/>
      <c r="E3522" s="4"/>
      <c r="F3522" s="4"/>
      <c r="G3522" s="5"/>
      <c r="H3522" s="6"/>
      <c r="I3522" s="7"/>
      <c r="J3522" s="6"/>
      <c r="K3522" s="6"/>
      <c r="L3522" s="3"/>
      <c r="M3522" s="3" t="str">
        <f>IFERROR(__xludf.DUMMYFUNCTION("""COMPUTED_VALUE"""),"")</f>
        <v/>
      </c>
    </row>
    <row r="3523" ht="48.0" customHeight="1">
      <c r="A3523" s="3"/>
      <c r="B3523" s="4"/>
      <c r="C3523" s="4"/>
      <c r="D3523" s="4"/>
      <c r="E3523" s="4"/>
      <c r="F3523" s="4"/>
      <c r="G3523" s="5"/>
      <c r="H3523" s="6"/>
      <c r="I3523" s="7"/>
      <c r="J3523" s="6"/>
      <c r="K3523" s="6"/>
      <c r="L3523" s="3"/>
      <c r="M3523" s="3" t="str">
        <f>IFERROR(__xludf.DUMMYFUNCTION("""COMPUTED_VALUE"""),"")</f>
        <v/>
      </c>
    </row>
    <row r="3524" ht="48.0" customHeight="1">
      <c r="A3524" s="3"/>
      <c r="B3524" s="4"/>
      <c r="C3524" s="4"/>
      <c r="D3524" s="4"/>
      <c r="E3524" s="4"/>
      <c r="F3524" s="4"/>
      <c r="G3524" s="5"/>
      <c r="H3524" s="6"/>
      <c r="I3524" s="7"/>
      <c r="J3524" s="6"/>
      <c r="K3524" s="6"/>
      <c r="L3524" s="3"/>
      <c r="M3524" s="3" t="str">
        <f>IFERROR(__xludf.DUMMYFUNCTION("""COMPUTED_VALUE"""),"")</f>
        <v/>
      </c>
    </row>
    <row r="3525" ht="48.0" customHeight="1">
      <c r="A3525" s="3"/>
      <c r="B3525" s="4"/>
      <c r="C3525" s="4"/>
      <c r="D3525" s="4"/>
      <c r="E3525" s="4"/>
      <c r="F3525" s="4"/>
      <c r="G3525" s="5"/>
      <c r="H3525" s="6"/>
      <c r="I3525" s="7"/>
      <c r="J3525" s="6"/>
      <c r="K3525" s="6"/>
      <c r="L3525" s="3"/>
      <c r="M3525" s="3" t="str">
        <f>IFERROR(__xludf.DUMMYFUNCTION("""COMPUTED_VALUE"""),"")</f>
        <v/>
      </c>
    </row>
    <row r="3526" ht="48.0" customHeight="1">
      <c r="A3526" s="3"/>
      <c r="B3526" s="4"/>
      <c r="C3526" s="4"/>
      <c r="D3526" s="4"/>
      <c r="E3526" s="4"/>
      <c r="F3526" s="4"/>
      <c r="G3526" s="5"/>
      <c r="H3526" s="6"/>
      <c r="I3526" s="7"/>
      <c r="J3526" s="6"/>
      <c r="K3526" s="6"/>
      <c r="L3526" s="3"/>
      <c r="M3526" s="3" t="str">
        <f>IFERROR(__xludf.DUMMYFUNCTION("""COMPUTED_VALUE"""),"")</f>
        <v/>
      </c>
    </row>
    <row r="3527" ht="48.0" customHeight="1">
      <c r="A3527" s="3"/>
      <c r="B3527" s="4"/>
      <c r="C3527" s="4"/>
      <c r="D3527" s="4"/>
      <c r="E3527" s="4"/>
      <c r="F3527" s="4"/>
      <c r="G3527" s="5"/>
      <c r="H3527" s="6"/>
      <c r="I3527" s="7"/>
      <c r="J3527" s="6"/>
      <c r="K3527" s="6"/>
      <c r="L3527" s="3"/>
      <c r="M3527" s="3" t="str">
        <f>IFERROR(__xludf.DUMMYFUNCTION("""COMPUTED_VALUE"""),"")</f>
        <v/>
      </c>
    </row>
    <row r="3528" ht="48.0" customHeight="1">
      <c r="A3528" s="3"/>
      <c r="B3528" s="4"/>
      <c r="C3528" s="4"/>
      <c r="D3528" s="4"/>
      <c r="E3528" s="4"/>
      <c r="F3528" s="4"/>
      <c r="G3528" s="5"/>
      <c r="H3528" s="6"/>
      <c r="I3528" s="7"/>
      <c r="J3528" s="6"/>
      <c r="K3528" s="6"/>
      <c r="L3528" s="3"/>
      <c r="M3528" s="3" t="str">
        <f>IFERROR(__xludf.DUMMYFUNCTION("""COMPUTED_VALUE"""),"")</f>
        <v/>
      </c>
    </row>
    <row r="3529" ht="48.0" customHeight="1">
      <c r="A3529" s="3"/>
      <c r="B3529" s="4"/>
      <c r="C3529" s="4"/>
      <c r="D3529" s="4"/>
      <c r="E3529" s="4"/>
      <c r="F3529" s="4"/>
      <c r="G3529" s="5"/>
      <c r="H3529" s="6"/>
      <c r="I3529" s="7"/>
      <c r="J3529" s="6"/>
      <c r="K3529" s="6"/>
      <c r="L3529" s="3"/>
      <c r="M3529" s="3" t="str">
        <f>IFERROR(__xludf.DUMMYFUNCTION("""COMPUTED_VALUE"""),"")</f>
        <v/>
      </c>
    </row>
    <row r="3530" ht="48.0" customHeight="1">
      <c r="A3530" s="3"/>
      <c r="B3530" s="4"/>
      <c r="C3530" s="4"/>
      <c r="D3530" s="4"/>
      <c r="E3530" s="4"/>
      <c r="F3530" s="4"/>
      <c r="G3530" s="5"/>
      <c r="H3530" s="6"/>
      <c r="I3530" s="7"/>
      <c r="J3530" s="6"/>
      <c r="K3530" s="6"/>
      <c r="L3530" s="3"/>
      <c r="M3530" s="3" t="str">
        <f>IFERROR(__xludf.DUMMYFUNCTION("""COMPUTED_VALUE"""),"")</f>
        <v/>
      </c>
    </row>
    <row r="3531" ht="48.0" customHeight="1">
      <c r="A3531" s="3"/>
      <c r="B3531" s="4"/>
      <c r="C3531" s="4"/>
      <c r="D3531" s="4"/>
      <c r="E3531" s="4"/>
      <c r="F3531" s="4"/>
      <c r="G3531" s="5"/>
      <c r="H3531" s="6"/>
      <c r="I3531" s="7"/>
      <c r="J3531" s="6"/>
      <c r="K3531" s="6"/>
      <c r="L3531" s="3"/>
      <c r="M3531" s="3" t="str">
        <f>IFERROR(__xludf.DUMMYFUNCTION("""COMPUTED_VALUE"""),"")</f>
        <v/>
      </c>
    </row>
    <row r="3532" ht="48.0" customHeight="1">
      <c r="A3532" s="3"/>
      <c r="B3532" s="4"/>
      <c r="C3532" s="4"/>
      <c r="D3532" s="4"/>
      <c r="E3532" s="4"/>
      <c r="F3532" s="4"/>
      <c r="G3532" s="5"/>
      <c r="H3532" s="6"/>
      <c r="I3532" s="7"/>
      <c r="J3532" s="6"/>
      <c r="K3532" s="6"/>
      <c r="L3532" s="3"/>
      <c r="M3532" s="3" t="str">
        <f>IFERROR(__xludf.DUMMYFUNCTION("""COMPUTED_VALUE"""),"")</f>
        <v/>
      </c>
    </row>
    <row r="3533" ht="48.0" customHeight="1">
      <c r="A3533" s="3"/>
      <c r="B3533" s="4"/>
      <c r="C3533" s="4"/>
      <c r="D3533" s="4"/>
      <c r="E3533" s="4"/>
      <c r="F3533" s="4"/>
      <c r="G3533" s="5"/>
      <c r="H3533" s="6"/>
      <c r="I3533" s="7"/>
      <c r="J3533" s="6"/>
      <c r="K3533" s="6"/>
      <c r="L3533" s="3"/>
      <c r="M3533" s="3" t="str">
        <f>IFERROR(__xludf.DUMMYFUNCTION("""COMPUTED_VALUE"""),"")</f>
        <v/>
      </c>
    </row>
    <row r="3534" ht="48.0" customHeight="1">
      <c r="A3534" s="3"/>
      <c r="B3534" s="4"/>
      <c r="C3534" s="4"/>
      <c r="D3534" s="4"/>
      <c r="E3534" s="4"/>
      <c r="F3534" s="4"/>
      <c r="G3534" s="5"/>
      <c r="H3534" s="6"/>
      <c r="I3534" s="7"/>
      <c r="J3534" s="6"/>
      <c r="K3534" s="6"/>
      <c r="L3534" s="3"/>
      <c r="M3534" s="3" t="str">
        <f>IFERROR(__xludf.DUMMYFUNCTION("""COMPUTED_VALUE"""),"")</f>
        <v/>
      </c>
    </row>
    <row r="3535" ht="48.0" customHeight="1">
      <c r="A3535" s="3"/>
      <c r="B3535" s="4"/>
      <c r="C3535" s="4"/>
      <c r="D3535" s="4"/>
      <c r="E3535" s="4"/>
      <c r="F3535" s="4"/>
      <c r="G3535" s="5"/>
      <c r="H3535" s="6"/>
      <c r="I3535" s="7"/>
      <c r="J3535" s="6"/>
      <c r="K3535" s="6"/>
      <c r="L3535" s="3"/>
      <c r="M3535" s="3" t="str">
        <f>IFERROR(__xludf.DUMMYFUNCTION("""COMPUTED_VALUE"""),"")</f>
        <v/>
      </c>
    </row>
    <row r="3536" ht="48.0" customHeight="1">
      <c r="A3536" s="3"/>
      <c r="B3536" s="4"/>
      <c r="C3536" s="4"/>
      <c r="D3536" s="4"/>
      <c r="E3536" s="4"/>
      <c r="F3536" s="4"/>
      <c r="G3536" s="5"/>
      <c r="H3536" s="6"/>
      <c r="I3536" s="7"/>
      <c r="J3536" s="6"/>
      <c r="K3536" s="6"/>
      <c r="L3536" s="3"/>
      <c r="M3536" s="3" t="str">
        <f>IFERROR(__xludf.DUMMYFUNCTION("""COMPUTED_VALUE"""),"")</f>
        <v/>
      </c>
    </row>
    <row r="3537" ht="48.0" customHeight="1">
      <c r="A3537" s="3"/>
      <c r="B3537" s="4"/>
      <c r="C3537" s="4"/>
      <c r="D3537" s="4"/>
      <c r="E3537" s="4"/>
      <c r="F3537" s="4"/>
      <c r="G3537" s="5"/>
      <c r="H3537" s="6"/>
      <c r="I3537" s="7"/>
      <c r="J3537" s="6"/>
      <c r="K3537" s="6"/>
      <c r="L3537" s="3"/>
      <c r="M3537" s="3" t="str">
        <f>IFERROR(__xludf.DUMMYFUNCTION("""COMPUTED_VALUE"""),"")</f>
        <v/>
      </c>
    </row>
    <row r="3538" ht="48.0" customHeight="1">
      <c r="A3538" s="3"/>
      <c r="B3538" s="4"/>
      <c r="C3538" s="4"/>
      <c r="D3538" s="4"/>
      <c r="E3538" s="4"/>
      <c r="F3538" s="4"/>
      <c r="G3538" s="5"/>
      <c r="H3538" s="6"/>
      <c r="I3538" s="7"/>
      <c r="J3538" s="6"/>
      <c r="K3538" s="6"/>
      <c r="L3538" s="3"/>
      <c r="M3538" s="3" t="str">
        <f>IFERROR(__xludf.DUMMYFUNCTION("""COMPUTED_VALUE"""),"")</f>
        <v/>
      </c>
    </row>
    <row r="3539" ht="48.0" customHeight="1">
      <c r="A3539" s="3"/>
      <c r="B3539" s="4"/>
      <c r="C3539" s="4"/>
      <c r="D3539" s="4"/>
      <c r="E3539" s="4"/>
      <c r="F3539" s="4"/>
      <c r="G3539" s="5"/>
      <c r="H3539" s="6"/>
      <c r="I3539" s="7"/>
      <c r="J3539" s="6"/>
      <c r="K3539" s="6"/>
      <c r="L3539" s="3"/>
      <c r="M3539" s="3" t="str">
        <f>IFERROR(__xludf.DUMMYFUNCTION("""COMPUTED_VALUE"""),"")</f>
        <v/>
      </c>
    </row>
    <row r="3540" ht="48.0" customHeight="1">
      <c r="A3540" s="3"/>
      <c r="B3540" s="4"/>
      <c r="C3540" s="4"/>
      <c r="D3540" s="4"/>
      <c r="E3540" s="4"/>
      <c r="F3540" s="4"/>
      <c r="G3540" s="5"/>
      <c r="H3540" s="6"/>
      <c r="I3540" s="7"/>
      <c r="J3540" s="6"/>
      <c r="K3540" s="6"/>
      <c r="L3540" s="3"/>
      <c r="M3540" s="3" t="str">
        <f>IFERROR(__xludf.DUMMYFUNCTION("""COMPUTED_VALUE"""),"")</f>
        <v/>
      </c>
    </row>
    <row r="3541" ht="48.0" customHeight="1">
      <c r="A3541" s="3"/>
      <c r="B3541" s="4"/>
      <c r="C3541" s="4"/>
      <c r="D3541" s="4"/>
      <c r="E3541" s="4"/>
      <c r="F3541" s="4"/>
      <c r="G3541" s="5"/>
      <c r="H3541" s="6"/>
      <c r="I3541" s="7"/>
      <c r="J3541" s="6"/>
      <c r="K3541" s="6"/>
      <c r="L3541" s="3"/>
      <c r="M3541" s="3" t="str">
        <f>IFERROR(__xludf.DUMMYFUNCTION("""COMPUTED_VALUE"""),"")</f>
        <v/>
      </c>
    </row>
    <row r="3542" ht="48.0" customHeight="1">
      <c r="A3542" s="3"/>
      <c r="B3542" s="4"/>
      <c r="C3542" s="4"/>
      <c r="D3542" s="4"/>
      <c r="E3542" s="4"/>
      <c r="F3542" s="4"/>
      <c r="G3542" s="5"/>
      <c r="H3542" s="6"/>
      <c r="I3542" s="7"/>
      <c r="J3542" s="6"/>
      <c r="K3542" s="6"/>
      <c r="L3542" s="3"/>
      <c r="M3542" s="3" t="str">
        <f>IFERROR(__xludf.DUMMYFUNCTION("""COMPUTED_VALUE"""),"")</f>
        <v/>
      </c>
    </row>
    <row r="3543" ht="48.0" customHeight="1">
      <c r="A3543" s="3"/>
      <c r="B3543" s="4"/>
      <c r="C3543" s="4"/>
      <c r="D3543" s="4"/>
      <c r="E3543" s="4"/>
      <c r="F3543" s="4"/>
      <c r="G3543" s="5"/>
      <c r="H3543" s="6"/>
      <c r="I3543" s="7"/>
      <c r="J3543" s="6"/>
      <c r="K3543" s="6"/>
      <c r="L3543" s="3"/>
      <c r="M3543" s="3" t="str">
        <f>IFERROR(__xludf.DUMMYFUNCTION("""COMPUTED_VALUE"""),"")</f>
        <v/>
      </c>
    </row>
    <row r="3544" ht="48.0" customHeight="1">
      <c r="A3544" s="3"/>
      <c r="B3544" s="4"/>
      <c r="C3544" s="4"/>
      <c r="D3544" s="4"/>
      <c r="E3544" s="4"/>
      <c r="F3544" s="4"/>
      <c r="G3544" s="5"/>
      <c r="H3544" s="6"/>
      <c r="I3544" s="7"/>
      <c r="J3544" s="6"/>
      <c r="K3544" s="6"/>
      <c r="L3544" s="3"/>
      <c r="M3544" s="3" t="str">
        <f>IFERROR(__xludf.DUMMYFUNCTION("""COMPUTED_VALUE"""),"")</f>
        <v/>
      </c>
    </row>
    <row r="3545" ht="48.0" customHeight="1">
      <c r="A3545" s="3"/>
      <c r="B3545" s="4"/>
      <c r="C3545" s="4"/>
      <c r="D3545" s="4"/>
      <c r="E3545" s="4"/>
      <c r="F3545" s="4"/>
      <c r="G3545" s="5"/>
      <c r="H3545" s="6"/>
      <c r="I3545" s="7"/>
      <c r="J3545" s="6"/>
      <c r="K3545" s="6"/>
      <c r="L3545" s="3"/>
      <c r="M3545" s="3" t="str">
        <f>IFERROR(__xludf.DUMMYFUNCTION("""COMPUTED_VALUE"""),"")</f>
        <v/>
      </c>
    </row>
    <row r="3546" ht="48.0" customHeight="1">
      <c r="A3546" s="3"/>
      <c r="B3546" s="4"/>
      <c r="C3546" s="4"/>
      <c r="D3546" s="4"/>
      <c r="E3546" s="4"/>
      <c r="F3546" s="4"/>
      <c r="G3546" s="5"/>
      <c r="H3546" s="6"/>
      <c r="I3546" s="7"/>
      <c r="J3546" s="6"/>
      <c r="K3546" s="6"/>
      <c r="L3546" s="3"/>
      <c r="M3546" s="3" t="str">
        <f>IFERROR(__xludf.DUMMYFUNCTION("""COMPUTED_VALUE"""),"")</f>
        <v/>
      </c>
    </row>
    <row r="3547" ht="48.0" customHeight="1">
      <c r="A3547" s="3"/>
      <c r="B3547" s="4"/>
      <c r="C3547" s="4"/>
      <c r="D3547" s="4"/>
      <c r="E3547" s="4"/>
      <c r="F3547" s="4"/>
      <c r="G3547" s="5"/>
      <c r="H3547" s="6"/>
      <c r="I3547" s="7"/>
      <c r="J3547" s="6"/>
      <c r="K3547" s="6"/>
      <c r="L3547" s="3"/>
      <c r="M3547" s="3" t="str">
        <f>IFERROR(__xludf.DUMMYFUNCTION("""COMPUTED_VALUE"""),"")</f>
        <v/>
      </c>
    </row>
    <row r="3548" ht="48.0" customHeight="1">
      <c r="A3548" s="3"/>
      <c r="B3548" s="4"/>
      <c r="C3548" s="4"/>
      <c r="D3548" s="4"/>
      <c r="E3548" s="4"/>
      <c r="F3548" s="4"/>
      <c r="G3548" s="5"/>
      <c r="H3548" s="6"/>
      <c r="I3548" s="7"/>
      <c r="J3548" s="6"/>
      <c r="K3548" s="6"/>
      <c r="L3548" s="3"/>
      <c r="M3548" s="3" t="str">
        <f>IFERROR(__xludf.DUMMYFUNCTION("""COMPUTED_VALUE"""),"")</f>
        <v/>
      </c>
    </row>
    <row r="3549" ht="48.0" customHeight="1">
      <c r="A3549" s="3"/>
      <c r="B3549" s="4"/>
      <c r="C3549" s="4"/>
      <c r="D3549" s="4"/>
      <c r="E3549" s="4"/>
      <c r="F3549" s="4"/>
      <c r="G3549" s="5"/>
      <c r="H3549" s="6"/>
      <c r="I3549" s="7"/>
      <c r="J3549" s="6"/>
      <c r="K3549" s="6"/>
      <c r="L3549" s="3"/>
      <c r="M3549" s="3" t="str">
        <f>IFERROR(__xludf.DUMMYFUNCTION("""COMPUTED_VALUE"""),"")</f>
        <v/>
      </c>
    </row>
    <row r="3550" ht="48.0" customHeight="1">
      <c r="A3550" s="3"/>
      <c r="B3550" s="4"/>
      <c r="C3550" s="4"/>
      <c r="D3550" s="4"/>
      <c r="E3550" s="4"/>
      <c r="F3550" s="4"/>
      <c r="G3550" s="5"/>
      <c r="H3550" s="6"/>
      <c r="I3550" s="7"/>
      <c r="J3550" s="6"/>
      <c r="K3550" s="6"/>
      <c r="L3550" s="3"/>
      <c r="M3550" s="3" t="str">
        <f>IFERROR(__xludf.DUMMYFUNCTION("""COMPUTED_VALUE"""),"")</f>
        <v/>
      </c>
    </row>
    <row r="3551" ht="48.0" customHeight="1">
      <c r="A3551" s="3"/>
      <c r="B3551" s="4"/>
      <c r="C3551" s="4"/>
      <c r="D3551" s="4"/>
      <c r="E3551" s="4"/>
      <c r="F3551" s="4"/>
      <c r="G3551" s="5"/>
      <c r="H3551" s="6"/>
      <c r="I3551" s="7"/>
      <c r="J3551" s="6"/>
      <c r="K3551" s="6"/>
      <c r="L3551" s="3"/>
      <c r="M3551" s="3" t="str">
        <f>IFERROR(__xludf.DUMMYFUNCTION("""COMPUTED_VALUE"""),"")</f>
        <v/>
      </c>
    </row>
    <row r="3552" ht="48.0" customHeight="1">
      <c r="A3552" s="3"/>
      <c r="B3552" s="4"/>
      <c r="C3552" s="4"/>
      <c r="D3552" s="4"/>
      <c r="E3552" s="4"/>
      <c r="F3552" s="4"/>
      <c r="G3552" s="5"/>
      <c r="H3552" s="6"/>
      <c r="I3552" s="7"/>
      <c r="J3552" s="6"/>
      <c r="K3552" s="6"/>
      <c r="L3552" s="3"/>
      <c r="M3552" s="3" t="str">
        <f>IFERROR(__xludf.DUMMYFUNCTION("""COMPUTED_VALUE"""),"")</f>
        <v/>
      </c>
    </row>
    <row r="3553" ht="48.0" customHeight="1">
      <c r="A3553" s="3"/>
      <c r="B3553" s="4"/>
      <c r="C3553" s="4"/>
      <c r="D3553" s="4"/>
      <c r="E3553" s="4"/>
      <c r="F3553" s="4"/>
      <c r="G3553" s="5"/>
      <c r="H3553" s="6"/>
      <c r="I3553" s="7"/>
      <c r="J3553" s="6"/>
      <c r="K3553" s="6"/>
      <c r="L3553" s="3"/>
      <c r="M3553" s="3" t="str">
        <f>IFERROR(__xludf.DUMMYFUNCTION("""COMPUTED_VALUE"""),"")</f>
        <v/>
      </c>
    </row>
    <row r="3554" ht="48.0" customHeight="1">
      <c r="A3554" s="3"/>
      <c r="B3554" s="4"/>
      <c r="C3554" s="4"/>
      <c r="D3554" s="4"/>
      <c r="E3554" s="4"/>
      <c r="F3554" s="4"/>
      <c r="G3554" s="5"/>
      <c r="H3554" s="6"/>
      <c r="I3554" s="7"/>
      <c r="J3554" s="6"/>
      <c r="K3554" s="6"/>
      <c r="L3554" s="3"/>
      <c r="M3554" s="3" t="str">
        <f>IFERROR(__xludf.DUMMYFUNCTION("""COMPUTED_VALUE"""),"")</f>
        <v/>
      </c>
    </row>
    <row r="3555" ht="48.0" customHeight="1">
      <c r="A3555" s="3"/>
      <c r="B3555" s="4"/>
      <c r="C3555" s="4"/>
      <c r="D3555" s="4"/>
      <c r="E3555" s="4"/>
      <c r="F3555" s="4"/>
      <c r="G3555" s="5"/>
      <c r="H3555" s="6"/>
      <c r="I3555" s="7"/>
      <c r="J3555" s="6"/>
      <c r="K3555" s="6"/>
      <c r="L3555" s="3"/>
      <c r="M3555" s="3" t="str">
        <f>IFERROR(__xludf.DUMMYFUNCTION("""COMPUTED_VALUE"""),"")</f>
        <v/>
      </c>
    </row>
    <row r="3556" ht="48.0" customHeight="1">
      <c r="A3556" s="3"/>
      <c r="B3556" s="4"/>
      <c r="C3556" s="4"/>
      <c r="D3556" s="4"/>
      <c r="E3556" s="4"/>
      <c r="F3556" s="4"/>
      <c r="G3556" s="5"/>
      <c r="H3556" s="6"/>
      <c r="I3556" s="7"/>
      <c r="J3556" s="6"/>
      <c r="K3556" s="6"/>
      <c r="L3556" s="3"/>
      <c r="M3556" s="3" t="str">
        <f>IFERROR(__xludf.DUMMYFUNCTION("""COMPUTED_VALUE"""),"")</f>
        <v/>
      </c>
    </row>
    <row r="3557" ht="48.0" customHeight="1">
      <c r="A3557" s="3"/>
      <c r="B3557" s="4"/>
      <c r="C3557" s="4"/>
      <c r="D3557" s="4"/>
      <c r="E3557" s="4"/>
      <c r="F3557" s="4"/>
      <c r="G3557" s="5"/>
      <c r="H3557" s="6"/>
      <c r="I3557" s="7"/>
      <c r="J3557" s="6"/>
      <c r="K3557" s="6"/>
      <c r="L3557" s="3"/>
      <c r="M3557" s="3" t="str">
        <f>IFERROR(__xludf.DUMMYFUNCTION("""COMPUTED_VALUE"""),"")</f>
        <v/>
      </c>
    </row>
    <row r="3558" ht="48.0" customHeight="1">
      <c r="A3558" s="3"/>
      <c r="B3558" s="4"/>
      <c r="C3558" s="4"/>
      <c r="D3558" s="4"/>
      <c r="E3558" s="4"/>
      <c r="F3558" s="4"/>
      <c r="G3558" s="5"/>
      <c r="H3558" s="6"/>
      <c r="I3558" s="7"/>
      <c r="J3558" s="6"/>
      <c r="K3558" s="6"/>
      <c r="L3558" s="3"/>
      <c r="M3558" s="3" t="str">
        <f>IFERROR(__xludf.DUMMYFUNCTION("""COMPUTED_VALUE"""),"")</f>
        <v/>
      </c>
    </row>
    <row r="3559" ht="48.0" customHeight="1">
      <c r="A3559" s="3"/>
      <c r="B3559" s="4"/>
      <c r="C3559" s="4"/>
      <c r="D3559" s="4"/>
      <c r="E3559" s="4"/>
      <c r="F3559" s="4"/>
      <c r="G3559" s="5"/>
      <c r="H3559" s="6"/>
      <c r="I3559" s="7"/>
      <c r="J3559" s="6"/>
      <c r="K3559" s="6"/>
      <c r="L3559" s="3"/>
      <c r="M3559" s="3" t="str">
        <f>IFERROR(__xludf.DUMMYFUNCTION("""COMPUTED_VALUE"""),"")</f>
        <v/>
      </c>
    </row>
    <row r="3560" ht="48.0" customHeight="1">
      <c r="A3560" s="3"/>
      <c r="B3560" s="4"/>
      <c r="C3560" s="4"/>
      <c r="D3560" s="4"/>
      <c r="E3560" s="4"/>
      <c r="F3560" s="4"/>
      <c r="G3560" s="5"/>
      <c r="H3560" s="6"/>
      <c r="I3560" s="7"/>
      <c r="J3560" s="6"/>
      <c r="K3560" s="6"/>
      <c r="L3560" s="3"/>
      <c r="M3560" s="3" t="str">
        <f>IFERROR(__xludf.DUMMYFUNCTION("""COMPUTED_VALUE"""),"")</f>
        <v/>
      </c>
    </row>
    <row r="3561" ht="48.0" customHeight="1">
      <c r="A3561" s="3"/>
      <c r="B3561" s="4"/>
      <c r="C3561" s="4"/>
      <c r="D3561" s="4"/>
      <c r="E3561" s="4"/>
      <c r="F3561" s="4"/>
      <c r="G3561" s="5"/>
      <c r="H3561" s="6"/>
      <c r="I3561" s="7"/>
      <c r="J3561" s="6"/>
      <c r="K3561" s="6"/>
      <c r="L3561" s="3"/>
      <c r="M3561" s="3" t="str">
        <f>IFERROR(__xludf.DUMMYFUNCTION("""COMPUTED_VALUE"""),"")</f>
        <v/>
      </c>
    </row>
    <row r="3562" ht="48.0" customHeight="1">
      <c r="A3562" s="3"/>
      <c r="B3562" s="4"/>
      <c r="C3562" s="4"/>
      <c r="D3562" s="4"/>
      <c r="E3562" s="4"/>
      <c r="F3562" s="4"/>
      <c r="G3562" s="5"/>
      <c r="H3562" s="6"/>
      <c r="I3562" s="7"/>
      <c r="J3562" s="6"/>
      <c r="K3562" s="6"/>
      <c r="L3562" s="3"/>
      <c r="M3562" s="3" t="str">
        <f>IFERROR(__xludf.DUMMYFUNCTION("""COMPUTED_VALUE"""),"")</f>
        <v/>
      </c>
    </row>
    <row r="3563" ht="48.0" customHeight="1">
      <c r="A3563" s="3"/>
      <c r="B3563" s="4"/>
      <c r="C3563" s="4"/>
      <c r="D3563" s="4"/>
      <c r="E3563" s="4"/>
      <c r="F3563" s="4"/>
      <c r="G3563" s="5"/>
      <c r="H3563" s="6"/>
      <c r="I3563" s="7"/>
      <c r="J3563" s="6"/>
      <c r="K3563" s="6"/>
      <c r="L3563" s="3"/>
      <c r="M3563" s="3" t="str">
        <f>IFERROR(__xludf.DUMMYFUNCTION("""COMPUTED_VALUE"""),"")</f>
        <v/>
      </c>
    </row>
    <row r="3564" ht="48.0" customHeight="1">
      <c r="A3564" s="3"/>
      <c r="B3564" s="4"/>
      <c r="C3564" s="4"/>
      <c r="D3564" s="4"/>
      <c r="E3564" s="4"/>
      <c r="F3564" s="4"/>
      <c r="G3564" s="5"/>
      <c r="H3564" s="6"/>
      <c r="I3564" s="7"/>
      <c r="J3564" s="6"/>
      <c r="K3564" s="6"/>
      <c r="L3564" s="3"/>
      <c r="M3564" s="3" t="str">
        <f>IFERROR(__xludf.DUMMYFUNCTION("""COMPUTED_VALUE"""),"")</f>
        <v/>
      </c>
    </row>
    <row r="3565" ht="48.0" customHeight="1">
      <c r="A3565" s="3"/>
      <c r="B3565" s="4"/>
      <c r="C3565" s="4"/>
      <c r="D3565" s="4"/>
      <c r="E3565" s="4"/>
      <c r="F3565" s="4"/>
      <c r="G3565" s="5"/>
      <c r="H3565" s="6"/>
      <c r="I3565" s="7"/>
      <c r="J3565" s="6"/>
      <c r="K3565" s="6"/>
      <c r="L3565" s="3"/>
      <c r="M3565" s="3" t="str">
        <f>IFERROR(__xludf.DUMMYFUNCTION("""COMPUTED_VALUE"""),"")</f>
        <v/>
      </c>
    </row>
    <row r="3566" ht="48.0" customHeight="1">
      <c r="A3566" s="3"/>
      <c r="B3566" s="4"/>
      <c r="C3566" s="4"/>
      <c r="D3566" s="4"/>
      <c r="E3566" s="4"/>
      <c r="F3566" s="4"/>
      <c r="G3566" s="5"/>
      <c r="H3566" s="6"/>
      <c r="I3566" s="7"/>
      <c r="J3566" s="6"/>
      <c r="K3566" s="6"/>
      <c r="L3566" s="3"/>
      <c r="M3566" s="3" t="str">
        <f>IFERROR(__xludf.DUMMYFUNCTION("""COMPUTED_VALUE"""),"")</f>
        <v/>
      </c>
    </row>
    <row r="3567" ht="48.0" customHeight="1">
      <c r="A3567" s="3"/>
      <c r="B3567" s="4"/>
      <c r="C3567" s="4"/>
      <c r="D3567" s="4"/>
      <c r="E3567" s="4"/>
      <c r="F3567" s="4"/>
      <c r="G3567" s="5"/>
      <c r="H3567" s="6"/>
      <c r="I3567" s="7"/>
      <c r="J3567" s="6"/>
      <c r="K3567" s="6"/>
      <c r="L3567" s="3"/>
      <c r="M3567" s="3" t="str">
        <f>IFERROR(__xludf.DUMMYFUNCTION("""COMPUTED_VALUE"""),"")</f>
        <v/>
      </c>
    </row>
    <row r="3568" ht="48.0" customHeight="1">
      <c r="A3568" s="3"/>
      <c r="B3568" s="4"/>
      <c r="C3568" s="4"/>
      <c r="D3568" s="4"/>
      <c r="E3568" s="4"/>
      <c r="F3568" s="4"/>
      <c r="G3568" s="5"/>
      <c r="H3568" s="6"/>
      <c r="I3568" s="7"/>
      <c r="J3568" s="6"/>
      <c r="K3568" s="6"/>
      <c r="L3568" s="3"/>
      <c r="M3568" s="3" t="str">
        <f>IFERROR(__xludf.DUMMYFUNCTION("""COMPUTED_VALUE"""),"")</f>
        <v/>
      </c>
    </row>
    <row r="3569" ht="48.0" customHeight="1">
      <c r="A3569" s="3"/>
      <c r="B3569" s="4"/>
      <c r="C3569" s="4"/>
      <c r="D3569" s="4"/>
      <c r="E3569" s="4"/>
      <c r="F3569" s="4"/>
      <c r="G3569" s="5"/>
      <c r="H3569" s="6"/>
      <c r="I3569" s="7"/>
      <c r="J3569" s="6"/>
      <c r="K3569" s="6"/>
      <c r="L3569" s="3"/>
      <c r="M3569" s="3" t="str">
        <f>IFERROR(__xludf.DUMMYFUNCTION("""COMPUTED_VALUE"""),"")</f>
        <v/>
      </c>
    </row>
    <row r="3570" ht="48.0" customHeight="1">
      <c r="A3570" s="3"/>
      <c r="B3570" s="4"/>
      <c r="C3570" s="4"/>
      <c r="D3570" s="4"/>
      <c r="E3570" s="4"/>
      <c r="F3570" s="4"/>
      <c r="G3570" s="5"/>
      <c r="H3570" s="6"/>
      <c r="I3570" s="7"/>
      <c r="J3570" s="6"/>
      <c r="K3570" s="6"/>
      <c r="L3570" s="3"/>
      <c r="M3570" s="3" t="str">
        <f>IFERROR(__xludf.DUMMYFUNCTION("""COMPUTED_VALUE"""),"")</f>
        <v/>
      </c>
    </row>
    <row r="3571" ht="48.0" customHeight="1">
      <c r="A3571" s="3"/>
      <c r="B3571" s="4"/>
      <c r="C3571" s="4"/>
      <c r="D3571" s="4"/>
      <c r="E3571" s="4"/>
      <c r="F3571" s="4"/>
      <c r="G3571" s="5"/>
      <c r="H3571" s="6"/>
      <c r="I3571" s="7"/>
      <c r="J3571" s="6"/>
      <c r="K3571" s="6"/>
      <c r="L3571" s="3"/>
      <c r="M3571" s="3" t="str">
        <f>IFERROR(__xludf.DUMMYFUNCTION("""COMPUTED_VALUE"""),"")</f>
        <v/>
      </c>
    </row>
    <row r="3572" ht="48.0" customHeight="1">
      <c r="A3572" s="3"/>
      <c r="B3572" s="4"/>
      <c r="C3572" s="4"/>
      <c r="D3572" s="4"/>
      <c r="E3572" s="4"/>
      <c r="F3572" s="4"/>
      <c r="G3572" s="5"/>
      <c r="H3572" s="6"/>
      <c r="I3572" s="7"/>
      <c r="J3572" s="6"/>
      <c r="K3572" s="6"/>
      <c r="L3572" s="3"/>
      <c r="M3572" s="3" t="str">
        <f>IFERROR(__xludf.DUMMYFUNCTION("""COMPUTED_VALUE"""),"")</f>
        <v/>
      </c>
    </row>
    <row r="3573" ht="48.0" customHeight="1">
      <c r="A3573" s="3"/>
      <c r="B3573" s="4"/>
      <c r="C3573" s="4"/>
      <c r="D3573" s="4"/>
      <c r="E3573" s="4"/>
      <c r="F3573" s="4"/>
      <c r="G3573" s="5"/>
      <c r="H3573" s="6"/>
      <c r="I3573" s="7"/>
      <c r="J3573" s="6"/>
      <c r="K3573" s="6"/>
      <c r="L3573" s="3"/>
      <c r="M3573" s="3" t="str">
        <f>IFERROR(__xludf.DUMMYFUNCTION("""COMPUTED_VALUE"""),"")</f>
        <v/>
      </c>
    </row>
    <row r="3574" ht="48.0" customHeight="1">
      <c r="A3574" s="3"/>
      <c r="B3574" s="4"/>
      <c r="C3574" s="4"/>
      <c r="D3574" s="4"/>
      <c r="E3574" s="4"/>
      <c r="F3574" s="4"/>
      <c r="G3574" s="5"/>
      <c r="H3574" s="6"/>
      <c r="I3574" s="7"/>
      <c r="J3574" s="6"/>
      <c r="K3574" s="6"/>
      <c r="L3574" s="3"/>
      <c r="M3574" s="3" t="str">
        <f>IFERROR(__xludf.DUMMYFUNCTION("""COMPUTED_VALUE"""),"")</f>
        <v/>
      </c>
    </row>
    <row r="3575" ht="48.0" customHeight="1">
      <c r="A3575" s="3"/>
      <c r="B3575" s="4"/>
      <c r="C3575" s="4"/>
      <c r="D3575" s="4"/>
      <c r="E3575" s="4"/>
      <c r="F3575" s="4"/>
      <c r="G3575" s="5"/>
      <c r="H3575" s="6"/>
      <c r="I3575" s="7"/>
      <c r="J3575" s="6"/>
      <c r="K3575" s="6"/>
      <c r="L3575" s="3"/>
      <c r="M3575" s="3" t="str">
        <f>IFERROR(__xludf.DUMMYFUNCTION("""COMPUTED_VALUE"""),"")</f>
        <v/>
      </c>
    </row>
    <row r="3576" ht="48.0" customHeight="1">
      <c r="A3576" s="3"/>
      <c r="B3576" s="4"/>
      <c r="C3576" s="4"/>
      <c r="D3576" s="4"/>
      <c r="E3576" s="4"/>
      <c r="F3576" s="4"/>
      <c r="G3576" s="5"/>
      <c r="H3576" s="6"/>
      <c r="I3576" s="7"/>
      <c r="J3576" s="6"/>
      <c r="K3576" s="6"/>
      <c r="L3576" s="3"/>
      <c r="M3576" s="3" t="str">
        <f>IFERROR(__xludf.DUMMYFUNCTION("""COMPUTED_VALUE"""),"")</f>
        <v/>
      </c>
    </row>
    <row r="3577" ht="48.0" customHeight="1">
      <c r="A3577" s="3"/>
      <c r="B3577" s="4"/>
      <c r="C3577" s="4"/>
      <c r="D3577" s="4"/>
      <c r="E3577" s="4"/>
      <c r="F3577" s="4"/>
      <c r="G3577" s="5"/>
      <c r="H3577" s="6"/>
      <c r="I3577" s="7"/>
      <c r="J3577" s="6"/>
      <c r="K3577" s="6"/>
      <c r="L3577" s="3"/>
      <c r="M3577" s="3" t="str">
        <f>IFERROR(__xludf.DUMMYFUNCTION("""COMPUTED_VALUE"""),"")</f>
        <v/>
      </c>
    </row>
    <row r="3578" ht="48.0" customHeight="1">
      <c r="A3578" s="3"/>
      <c r="B3578" s="4"/>
      <c r="C3578" s="4"/>
      <c r="D3578" s="4"/>
      <c r="E3578" s="4"/>
      <c r="F3578" s="4"/>
      <c r="G3578" s="5"/>
      <c r="H3578" s="6"/>
      <c r="I3578" s="7"/>
      <c r="J3578" s="6"/>
      <c r="K3578" s="6"/>
      <c r="L3578" s="3"/>
      <c r="M3578" s="3" t="str">
        <f>IFERROR(__xludf.DUMMYFUNCTION("""COMPUTED_VALUE"""),"")</f>
        <v/>
      </c>
    </row>
    <row r="3579" ht="48.0" customHeight="1">
      <c r="A3579" s="3"/>
      <c r="B3579" s="4"/>
      <c r="C3579" s="4"/>
      <c r="D3579" s="4"/>
      <c r="E3579" s="4"/>
      <c r="F3579" s="4"/>
      <c r="G3579" s="5"/>
      <c r="H3579" s="6"/>
      <c r="I3579" s="7"/>
      <c r="J3579" s="6"/>
      <c r="K3579" s="6"/>
      <c r="L3579" s="3"/>
      <c r="M3579" s="3" t="str">
        <f>IFERROR(__xludf.DUMMYFUNCTION("""COMPUTED_VALUE"""),"")</f>
        <v/>
      </c>
    </row>
    <row r="3580" ht="48.0" customHeight="1">
      <c r="A3580" s="3"/>
      <c r="B3580" s="4"/>
      <c r="C3580" s="4"/>
      <c r="D3580" s="4"/>
      <c r="E3580" s="4"/>
      <c r="F3580" s="4"/>
      <c r="G3580" s="5"/>
      <c r="H3580" s="6"/>
      <c r="I3580" s="7"/>
      <c r="J3580" s="6"/>
      <c r="K3580" s="6"/>
      <c r="L3580" s="3"/>
      <c r="M3580" s="3" t="str">
        <f>IFERROR(__xludf.DUMMYFUNCTION("""COMPUTED_VALUE"""),"")</f>
        <v/>
      </c>
    </row>
    <row r="3581" ht="48.0" customHeight="1">
      <c r="A3581" s="3"/>
      <c r="B3581" s="4"/>
      <c r="C3581" s="4"/>
      <c r="D3581" s="4"/>
      <c r="E3581" s="4"/>
      <c r="F3581" s="4"/>
      <c r="G3581" s="5"/>
      <c r="H3581" s="6"/>
      <c r="I3581" s="7"/>
      <c r="J3581" s="6"/>
      <c r="K3581" s="6"/>
      <c r="L3581" s="3"/>
      <c r="M3581" s="3" t="str">
        <f>IFERROR(__xludf.DUMMYFUNCTION("""COMPUTED_VALUE"""),"")</f>
        <v/>
      </c>
    </row>
    <row r="3582" ht="48.0" customHeight="1">
      <c r="A3582" s="3"/>
      <c r="B3582" s="4"/>
      <c r="C3582" s="4"/>
      <c r="D3582" s="4"/>
      <c r="E3582" s="4"/>
      <c r="F3582" s="4"/>
      <c r="G3582" s="5"/>
      <c r="H3582" s="6"/>
      <c r="I3582" s="7"/>
      <c r="J3582" s="6"/>
      <c r="K3582" s="6"/>
      <c r="L3582" s="3"/>
      <c r="M3582" s="3" t="str">
        <f>IFERROR(__xludf.DUMMYFUNCTION("""COMPUTED_VALUE"""),"")</f>
        <v/>
      </c>
    </row>
    <row r="3583" ht="48.0" customHeight="1">
      <c r="A3583" s="3"/>
      <c r="B3583" s="4"/>
      <c r="C3583" s="4"/>
      <c r="D3583" s="4"/>
      <c r="E3583" s="4"/>
      <c r="F3583" s="4"/>
      <c r="G3583" s="5"/>
      <c r="H3583" s="6"/>
      <c r="I3583" s="7"/>
      <c r="J3583" s="6"/>
      <c r="K3583" s="6"/>
      <c r="L3583" s="3"/>
      <c r="M3583" s="3" t="str">
        <f>IFERROR(__xludf.DUMMYFUNCTION("""COMPUTED_VALUE"""),"")</f>
        <v/>
      </c>
    </row>
    <row r="3584" ht="48.0" customHeight="1">
      <c r="A3584" s="3"/>
      <c r="B3584" s="4"/>
      <c r="C3584" s="4"/>
      <c r="D3584" s="4"/>
      <c r="E3584" s="4"/>
      <c r="F3584" s="4"/>
      <c r="G3584" s="5"/>
      <c r="H3584" s="6"/>
      <c r="I3584" s="7"/>
      <c r="J3584" s="6"/>
      <c r="K3584" s="6"/>
      <c r="L3584" s="3"/>
      <c r="M3584" s="3" t="str">
        <f>IFERROR(__xludf.DUMMYFUNCTION("""COMPUTED_VALUE"""),"")</f>
        <v/>
      </c>
    </row>
    <row r="3585" ht="48.0" customHeight="1">
      <c r="A3585" s="3"/>
      <c r="B3585" s="4"/>
      <c r="C3585" s="4"/>
      <c r="D3585" s="4"/>
      <c r="E3585" s="4"/>
      <c r="F3585" s="4"/>
      <c r="G3585" s="5"/>
      <c r="H3585" s="6"/>
      <c r="I3585" s="7"/>
      <c r="J3585" s="6"/>
      <c r="K3585" s="6"/>
      <c r="L3585" s="3"/>
      <c r="M3585" s="3" t="str">
        <f>IFERROR(__xludf.DUMMYFUNCTION("""COMPUTED_VALUE"""),"")</f>
        <v/>
      </c>
    </row>
    <row r="3586" ht="48.0" customHeight="1">
      <c r="A3586" s="3"/>
      <c r="B3586" s="4"/>
      <c r="C3586" s="4"/>
      <c r="D3586" s="4"/>
      <c r="E3586" s="4"/>
      <c r="F3586" s="4"/>
      <c r="G3586" s="5"/>
      <c r="H3586" s="6"/>
      <c r="I3586" s="7"/>
      <c r="J3586" s="6"/>
      <c r="K3586" s="6"/>
      <c r="L3586" s="3"/>
      <c r="M3586" s="3" t="str">
        <f>IFERROR(__xludf.DUMMYFUNCTION("""COMPUTED_VALUE"""),"")</f>
        <v/>
      </c>
    </row>
    <row r="3587" ht="48.0" customHeight="1">
      <c r="A3587" s="3"/>
      <c r="B3587" s="4"/>
      <c r="C3587" s="4"/>
      <c r="D3587" s="4"/>
      <c r="E3587" s="4"/>
      <c r="F3587" s="4"/>
      <c r="G3587" s="5"/>
      <c r="H3587" s="6"/>
      <c r="I3587" s="7"/>
      <c r="J3587" s="6"/>
      <c r="K3587" s="6"/>
      <c r="L3587" s="3"/>
      <c r="M3587" s="3" t="str">
        <f>IFERROR(__xludf.DUMMYFUNCTION("""COMPUTED_VALUE"""),"")</f>
        <v/>
      </c>
    </row>
    <row r="3588" ht="48.0" customHeight="1">
      <c r="A3588" s="3"/>
      <c r="B3588" s="4"/>
      <c r="C3588" s="4"/>
      <c r="D3588" s="4"/>
      <c r="E3588" s="4"/>
      <c r="F3588" s="4"/>
      <c r="G3588" s="5"/>
      <c r="H3588" s="6"/>
      <c r="I3588" s="7"/>
      <c r="J3588" s="6"/>
      <c r="K3588" s="6"/>
      <c r="L3588" s="3"/>
      <c r="M3588" s="3" t="str">
        <f>IFERROR(__xludf.DUMMYFUNCTION("""COMPUTED_VALUE"""),"")</f>
        <v/>
      </c>
    </row>
    <row r="3589" ht="48.0" customHeight="1">
      <c r="A3589" s="3"/>
      <c r="B3589" s="4"/>
      <c r="C3589" s="4"/>
      <c r="D3589" s="4"/>
      <c r="E3589" s="4"/>
      <c r="F3589" s="4"/>
      <c r="G3589" s="5"/>
      <c r="H3589" s="6"/>
      <c r="I3589" s="7"/>
      <c r="J3589" s="6"/>
      <c r="K3589" s="6"/>
      <c r="L3589" s="3"/>
      <c r="M3589" s="3" t="str">
        <f>IFERROR(__xludf.DUMMYFUNCTION("""COMPUTED_VALUE"""),"")</f>
        <v/>
      </c>
    </row>
    <row r="3590" ht="48.0" customHeight="1">
      <c r="A3590" s="3"/>
      <c r="B3590" s="4"/>
      <c r="C3590" s="4"/>
      <c r="D3590" s="4"/>
      <c r="E3590" s="4"/>
      <c r="F3590" s="4"/>
      <c r="G3590" s="5"/>
      <c r="H3590" s="6"/>
      <c r="I3590" s="7"/>
      <c r="J3590" s="6"/>
      <c r="K3590" s="6"/>
      <c r="L3590" s="3"/>
      <c r="M3590" s="3" t="str">
        <f>IFERROR(__xludf.DUMMYFUNCTION("""COMPUTED_VALUE"""),"")</f>
        <v/>
      </c>
    </row>
    <row r="3591" ht="48.0" customHeight="1">
      <c r="A3591" s="3"/>
      <c r="B3591" s="4"/>
      <c r="C3591" s="4"/>
      <c r="D3591" s="4"/>
      <c r="E3591" s="4"/>
      <c r="F3591" s="4"/>
      <c r="G3591" s="5"/>
      <c r="H3591" s="6"/>
      <c r="I3591" s="7"/>
      <c r="J3591" s="6"/>
      <c r="K3591" s="6"/>
      <c r="L3591" s="3"/>
      <c r="M3591" s="3" t="str">
        <f>IFERROR(__xludf.DUMMYFUNCTION("""COMPUTED_VALUE"""),"")</f>
        <v/>
      </c>
    </row>
    <row r="3592" ht="48.0" customHeight="1">
      <c r="A3592" s="3"/>
      <c r="B3592" s="4"/>
      <c r="C3592" s="4"/>
      <c r="D3592" s="4"/>
      <c r="E3592" s="4"/>
      <c r="F3592" s="4"/>
      <c r="G3592" s="5"/>
      <c r="H3592" s="6"/>
      <c r="I3592" s="7"/>
      <c r="J3592" s="6"/>
      <c r="K3592" s="6"/>
      <c r="L3592" s="3"/>
      <c r="M3592" s="3" t="str">
        <f>IFERROR(__xludf.DUMMYFUNCTION("""COMPUTED_VALUE"""),"")</f>
        <v/>
      </c>
    </row>
    <row r="3593" ht="48.0" customHeight="1">
      <c r="A3593" s="3"/>
      <c r="B3593" s="4"/>
      <c r="C3593" s="4"/>
      <c r="D3593" s="4"/>
      <c r="E3593" s="4"/>
      <c r="F3593" s="4"/>
      <c r="G3593" s="5"/>
      <c r="H3593" s="6"/>
      <c r="I3593" s="7"/>
      <c r="J3593" s="6"/>
      <c r="K3593" s="6"/>
      <c r="L3593" s="3"/>
      <c r="M3593" s="3" t="str">
        <f>IFERROR(__xludf.DUMMYFUNCTION("""COMPUTED_VALUE"""),"")</f>
        <v/>
      </c>
    </row>
    <row r="3594" ht="48.0" customHeight="1">
      <c r="A3594" s="3"/>
      <c r="B3594" s="4"/>
      <c r="C3594" s="4"/>
      <c r="D3594" s="4"/>
      <c r="E3594" s="4"/>
      <c r="F3594" s="4"/>
      <c r="G3594" s="5"/>
      <c r="H3594" s="6"/>
      <c r="I3594" s="7"/>
      <c r="J3594" s="6"/>
      <c r="K3594" s="6"/>
      <c r="L3594" s="3"/>
      <c r="M3594" s="3" t="str">
        <f>IFERROR(__xludf.DUMMYFUNCTION("""COMPUTED_VALUE"""),"")</f>
        <v/>
      </c>
    </row>
    <row r="3595" ht="48.0" customHeight="1">
      <c r="A3595" s="3"/>
      <c r="B3595" s="4"/>
      <c r="C3595" s="4"/>
      <c r="D3595" s="4"/>
      <c r="E3595" s="4"/>
      <c r="F3595" s="4"/>
      <c r="G3595" s="5"/>
      <c r="H3595" s="6"/>
      <c r="I3595" s="7"/>
      <c r="J3595" s="6"/>
      <c r="K3595" s="6"/>
      <c r="L3595" s="3"/>
      <c r="M3595" s="3" t="str">
        <f>IFERROR(__xludf.DUMMYFUNCTION("""COMPUTED_VALUE"""),"")</f>
        <v/>
      </c>
    </row>
    <row r="3596" ht="48.0" customHeight="1">
      <c r="A3596" s="3"/>
      <c r="B3596" s="4"/>
      <c r="C3596" s="4"/>
      <c r="D3596" s="4"/>
      <c r="E3596" s="4"/>
      <c r="F3596" s="4"/>
      <c r="G3596" s="5"/>
      <c r="H3596" s="6"/>
      <c r="I3596" s="7"/>
      <c r="J3596" s="6"/>
      <c r="K3596" s="6"/>
      <c r="L3596" s="3"/>
      <c r="M3596" s="3" t="str">
        <f>IFERROR(__xludf.DUMMYFUNCTION("""COMPUTED_VALUE"""),"")</f>
        <v/>
      </c>
    </row>
    <row r="3597" ht="48.0" customHeight="1">
      <c r="A3597" s="3"/>
      <c r="B3597" s="4"/>
      <c r="C3597" s="4"/>
      <c r="D3597" s="4"/>
      <c r="E3597" s="4"/>
      <c r="F3597" s="4"/>
      <c r="G3597" s="5"/>
      <c r="H3597" s="6"/>
      <c r="I3597" s="7"/>
      <c r="J3597" s="6"/>
      <c r="K3597" s="6"/>
      <c r="L3597" s="3"/>
      <c r="M3597" s="3" t="str">
        <f>IFERROR(__xludf.DUMMYFUNCTION("""COMPUTED_VALUE"""),"")</f>
        <v/>
      </c>
    </row>
    <row r="3598" ht="48.0" customHeight="1">
      <c r="A3598" s="3"/>
      <c r="B3598" s="4"/>
      <c r="C3598" s="4"/>
      <c r="D3598" s="4"/>
      <c r="E3598" s="4"/>
      <c r="F3598" s="4"/>
      <c r="G3598" s="5"/>
      <c r="H3598" s="6"/>
      <c r="I3598" s="7"/>
      <c r="J3598" s="6"/>
      <c r="K3598" s="6"/>
      <c r="L3598" s="3"/>
      <c r="M3598" s="3" t="str">
        <f>IFERROR(__xludf.DUMMYFUNCTION("""COMPUTED_VALUE"""),"")</f>
        <v/>
      </c>
    </row>
    <row r="3599" ht="48.0" customHeight="1">
      <c r="A3599" s="3"/>
      <c r="B3599" s="4"/>
      <c r="C3599" s="4"/>
      <c r="D3599" s="4"/>
      <c r="E3599" s="4"/>
      <c r="F3599" s="4"/>
      <c r="G3599" s="5"/>
      <c r="H3599" s="6"/>
      <c r="I3599" s="7"/>
      <c r="J3599" s="6"/>
      <c r="K3599" s="6"/>
      <c r="L3599" s="3"/>
      <c r="M3599" s="3" t="str">
        <f>IFERROR(__xludf.DUMMYFUNCTION("""COMPUTED_VALUE"""),"")</f>
        <v/>
      </c>
    </row>
    <row r="3600" ht="48.0" customHeight="1">
      <c r="A3600" s="3"/>
      <c r="B3600" s="4"/>
      <c r="C3600" s="4"/>
      <c r="D3600" s="4"/>
      <c r="E3600" s="4"/>
      <c r="F3600" s="4"/>
      <c r="G3600" s="5"/>
      <c r="H3600" s="6"/>
      <c r="I3600" s="7"/>
      <c r="J3600" s="6"/>
      <c r="K3600" s="6"/>
      <c r="L3600" s="3"/>
      <c r="M3600" s="3" t="str">
        <f>IFERROR(__xludf.DUMMYFUNCTION("""COMPUTED_VALUE"""),"")</f>
        <v/>
      </c>
    </row>
    <row r="3601" ht="48.0" customHeight="1">
      <c r="A3601" s="3"/>
      <c r="B3601" s="4"/>
      <c r="C3601" s="4"/>
      <c r="D3601" s="4"/>
      <c r="E3601" s="4"/>
      <c r="F3601" s="4"/>
      <c r="G3601" s="5"/>
      <c r="H3601" s="6"/>
      <c r="I3601" s="7"/>
      <c r="J3601" s="6"/>
      <c r="K3601" s="6"/>
      <c r="L3601" s="3"/>
      <c r="M3601" s="3" t="str">
        <f>IFERROR(__xludf.DUMMYFUNCTION("""COMPUTED_VALUE"""),"")</f>
        <v/>
      </c>
    </row>
    <row r="3602" ht="48.0" customHeight="1">
      <c r="A3602" s="3"/>
      <c r="B3602" s="4"/>
      <c r="C3602" s="4"/>
      <c r="D3602" s="4"/>
      <c r="E3602" s="4"/>
      <c r="F3602" s="4"/>
      <c r="G3602" s="5"/>
      <c r="H3602" s="6"/>
      <c r="I3602" s="7"/>
      <c r="J3602" s="6"/>
      <c r="K3602" s="6"/>
      <c r="L3602" s="3"/>
      <c r="M3602" s="3" t="str">
        <f>IFERROR(__xludf.DUMMYFUNCTION("""COMPUTED_VALUE"""),"")</f>
        <v/>
      </c>
    </row>
    <row r="3603" ht="48.0" customHeight="1">
      <c r="A3603" s="3"/>
      <c r="B3603" s="4"/>
      <c r="C3603" s="4"/>
      <c r="D3603" s="4"/>
      <c r="E3603" s="4"/>
      <c r="F3603" s="4"/>
      <c r="G3603" s="5"/>
      <c r="H3603" s="6"/>
      <c r="I3603" s="7"/>
      <c r="J3603" s="6"/>
      <c r="K3603" s="6"/>
      <c r="L3603" s="3"/>
      <c r="M3603" s="3" t="str">
        <f>IFERROR(__xludf.DUMMYFUNCTION("""COMPUTED_VALUE"""),"")</f>
        <v/>
      </c>
    </row>
    <row r="3604" ht="48.0" customHeight="1">
      <c r="A3604" s="3"/>
      <c r="B3604" s="4"/>
      <c r="C3604" s="4"/>
      <c r="D3604" s="4"/>
      <c r="E3604" s="4"/>
      <c r="F3604" s="4"/>
      <c r="G3604" s="5"/>
      <c r="H3604" s="6"/>
      <c r="I3604" s="7"/>
      <c r="J3604" s="6"/>
      <c r="K3604" s="6"/>
      <c r="L3604" s="3"/>
      <c r="M3604" s="3" t="str">
        <f>IFERROR(__xludf.DUMMYFUNCTION("""COMPUTED_VALUE"""),"")</f>
        <v/>
      </c>
    </row>
    <row r="3605" ht="48.0" customHeight="1">
      <c r="A3605" s="3"/>
      <c r="B3605" s="4"/>
      <c r="C3605" s="4"/>
      <c r="D3605" s="4"/>
      <c r="E3605" s="4"/>
      <c r="F3605" s="4"/>
      <c r="G3605" s="5"/>
      <c r="H3605" s="6"/>
      <c r="I3605" s="7"/>
      <c r="J3605" s="6"/>
      <c r="K3605" s="6"/>
      <c r="L3605" s="3"/>
      <c r="M3605" s="3" t="str">
        <f>IFERROR(__xludf.DUMMYFUNCTION("""COMPUTED_VALUE"""),"")</f>
        <v/>
      </c>
    </row>
    <row r="3606" ht="48.0" customHeight="1">
      <c r="A3606" s="3"/>
      <c r="B3606" s="4"/>
      <c r="C3606" s="4"/>
      <c r="D3606" s="4"/>
      <c r="E3606" s="4"/>
      <c r="F3606" s="4"/>
      <c r="G3606" s="5"/>
      <c r="H3606" s="6"/>
      <c r="I3606" s="7"/>
      <c r="J3606" s="6"/>
      <c r="K3606" s="6"/>
      <c r="L3606" s="3"/>
      <c r="M3606" s="3" t="str">
        <f>IFERROR(__xludf.DUMMYFUNCTION("""COMPUTED_VALUE"""),"")</f>
        <v/>
      </c>
    </row>
    <row r="3607" ht="48.0" customHeight="1">
      <c r="A3607" s="3"/>
      <c r="B3607" s="4"/>
      <c r="C3607" s="4"/>
      <c r="D3607" s="4"/>
      <c r="E3607" s="4"/>
      <c r="F3607" s="4"/>
      <c r="G3607" s="5"/>
      <c r="H3607" s="6"/>
      <c r="I3607" s="7"/>
      <c r="J3607" s="6"/>
      <c r="K3607" s="6"/>
      <c r="L3607" s="3"/>
      <c r="M3607" s="3" t="str">
        <f>IFERROR(__xludf.DUMMYFUNCTION("""COMPUTED_VALUE"""),"")</f>
        <v/>
      </c>
    </row>
    <row r="3608" ht="48.0" customHeight="1">
      <c r="A3608" s="3"/>
      <c r="B3608" s="4"/>
      <c r="C3608" s="4"/>
      <c r="D3608" s="4"/>
      <c r="E3608" s="4"/>
      <c r="F3608" s="4"/>
      <c r="G3608" s="5"/>
      <c r="H3608" s="6"/>
      <c r="I3608" s="7"/>
      <c r="J3608" s="6"/>
      <c r="K3608" s="6"/>
      <c r="L3608" s="3"/>
      <c r="M3608" s="3" t="str">
        <f>IFERROR(__xludf.DUMMYFUNCTION("""COMPUTED_VALUE"""),"")</f>
        <v/>
      </c>
    </row>
    <row r="3609" ht="48.0" customHeight="1">
      <c r="A3609" s="3"/>
      <c r="B3609" s="4"/>
      <c r="C3609" s="4"/>
      <c r="D3609" s="4"/>
      <c r="E3609" s="4"/>
      <c r="F3609" s="4"/>
      <c r="G3609" s="5"/>
      <c r="H3609" s="6"/>
      <c r="I3609" s="7"/>
      <c r="J3609" s="6"/>
      <c r="K3609" s="6"/>
      <c r="L3609" s="3"/>
      <c r="M3609" s="3" t="str">
        <f>IFERROR(__xludf.DUMMYFUNCTION("""COMPUTED_VALUE"""),"")</f>
        <v/>
      </c>
    </row>
    <row r="3610" ht="48.0" customHeight="1">
      <c r="A3610" s="3"/>
      <c r="B3610" s="4"/>
      <c r="C3610" s="4"/>
      <c r="D3610" s="4"/>
      <c r="E3610" s="4"/>
      <c r="F3610" s="4"/>
      <c r="G3610" s="5"/>
      <c r="H3610" s="6"/>
      <c r="I3610" s="7"/>
      <c r="J3610" s="6"/>
      <c r="K3610" s="6"/>
      <c r="L3610" s="3"/>
      <c r="M3610" s="3" t="str">
        <f>IFERROR(__xludf.DUMMYFUNCTION("""COMPUTED_VALUE"""),"")</f>
        <v/>
      </c>
    </row>
    <row r="3611" ht="48.0" customHeight="1">
      <c r="A3611" s="3"/>
      <c r="B3611" s="4"/>
      <c r="C3611" s="4"/>
      <c r="D3611" s="4"/>
      <c r="E3611" s="4"/>
      <c r="F3611" s="4"/>
      <c r="G3611" s="5"/>
      <c r="H3611" s="6"/>
      <c r="I3611" s="7"/>
      <c r="J3611" s="6"/>
      <c r="K3611" s="6"/>
      <c r="L3611" s="3"/>
      <c r="M3611" s="3" t="str">
        <f>IFERROR(__xludf.DUMMYFUNCTION("""COMPUTED_VALUE"""),"")</f>
        <v/>
      </c>
    </row>
    <row r="3612" ht="48.0" customHeight="1">
      <c r="A3612" s="3"/>
      <c r="B3612" s="4"/>
      <c r="C3612" s="4"/>
      <c r="D3612" s="4"/>
      <c r="E3612" s="4"/>
      <c r="F3612" s="4"/>
      <c r="G3612" s="5"/>
      <c r="H3612" s="6"/>
      <c r="I3612" s="7"/>
      <c r="J3612" s="6"/>
      <c r="K3612" s="6"/>
      <c r="L3612" s="3"/>
      <c r="M3612" s="3" t="str">
        <f>IFERROR(__xludf.DUMMYFUNCTION("""COMPUTED_VALUE"""),"")</f>
        <v/>
      </c>
    </row>
    <row r="3613" ht="48.0" customHeight="1">
      <c r="A3613" s="3"/>
      <c r="B3613" s="4"/>
      <c r="C3613" s="4"/>
      <c r="D3613" s="4"/>
      <c r="E3613" s="4"/>
      <c r="F3613" s="4"/>
      <c r="G3613" s="5"/>
      <c r="H3613" s="6"/>
      <c r="I3613" s="7"/>
      <c r="J3613" s="6"/>
      <c r="K3613" s="6"/>
      <c r="L3613" s="3"/>
      <c r="M3613" s="3" t="str">
        <f>IFERROR(__xludf.DUMMYFUNCTION("""COMPUTED_VALUE"""),"")</f>
        <v/>
      </c>
    </row>
    <row r="3614" ht="48.0" customHeight="1">
      <c r="A3614" s="3"/>
      <c r="B3614" s="4"/>
      <c r="C3614" s="4"/>
      <c r="D3614" s="4"/>
      <c r="E3614" s="4"/>
      <c r="F3614" s="4"/>
      <c r="G3614" s="5"/>
      <c r="H3614" s="6"/>
      <c r="I3614" s="7"/>
      <c r="J3614" s="6"/>
      <c r="K3614" s="6"/>
      <c r="L3614" s="3"/>
      <c r="M3614" s="3" t="str">
        <f>IFERROR(__xludf.DUMMYFUNCTION("""COMPUTED_VALUE"""),"")</f>
        <v/>
      </c>
    </row>
    <row r="3615" ht="48.0" customHeight="1">
      <c r="A3615" s="3"/>
      <c r="B3615" s="4"/>
      <c r="C3615" s="4"/>
      <c r="D3615" s="4"/>
      <c r="E3615" s="4"/>
      <c r="F3615" s="4"/>
      <c r="G3615" s="5"/>
      <c r="H3615" s="6"/>
      <c r="I3615" s="7"/>
      <c r="J3615" s="6"/>
      <c r="K3615" s="6"/>
      <c r="L3615" s="3"/>
      <c r="M3615" s="3" t="str">
        <f>IFERROR(__xludf.DUMMYFUNCTION("""COMPUTED_VALUE"""),"")</f>
        <v/>
      </c>
    </row>
    <row r="3616" ht="48.0" customHeight="1">
      <c r="A3616" s="3"/>
      <c r="B3616" s="4"/>
      <c r="C3616" s="4"/>
      <c r="D3616" s="4"/>
      <c r="E3616" s="4"/>
      <c r="F3616" s="4"/>
      <c r="G3616" s="5"/>
      <c r="H3616" s="6"/>
      <c r="I3616" s="7"/>
      <c r="J3616" s="6"/>
      <c r="K3616" s="6"/>
      <c r="L3616" s="3"/>
      <c r="M3616" s="3" t="str">
        <f>IFERROR(__xludf.DUMMYFUNCTION("""COMPUTED_VALUE"""),"")</f>
        <v/>
      </c>
    </row>
    <row r="3617" ht="48.0" customHeight="1">
      <c r="A3617" s="3"/>
      <c r="B3617" s="4"/>
      <c r="C3617" s="4"/>
      <c r="D3617" s="4"/>
      <c r="E3617" s="4"/>
      <c r="F3617" s="4"/>
      <c r="G3617" s="5"/>
      <c r="H3617" s="6"/>
      <c r="I3617" s="7"/>
      <c r="J3617" s="6"/>
      <c r="K3617" s="6"/>
      <c r="L3617" s="3"/>
      <c r="M3617" s="3" t="str">
        <f>IFERROR(__xludf.DUMMYFUNCTION("""COMPUTED_VALUE"""),"")</f>
        <v/>
      </c>
    </row>
    <row r="3618" ht="48.0" customHeight="1">
      <c r="A3618" s="3"/>
      <c r="B3618" s="4"/>
      <c r="C3618" s="4"/>
      <c r="D3618" s="4"/>
      <c r="E3618" s="4"/>
      <c r="F3618" s="4"/>
      <c r="G3618" s="5"/>
      <c r="H3618" s="6"/>
      <c r="I3618" s="7"/>
      <c r="J3618" s="6"/>
      <c r="K3618" s="6"/>
      <c r="L3618" s="3"/>
      <c r="M3618" s="3" t="str">
        <f>IFERROR(__xludf.DUMMYFUNCTION("""COMPUTED_VALUE"""),"")</f>
        <v/>
      </c>
    </row>
    <row r="3619" ht="48.0" customHeight="1">
      <c r="A3619" s="3"/>
      <c r="B3619" s="4"/>
      <c r="C3619" s="4"/>
      <c r="D3619" s="4"/>
      <c r="E3619" s="4"/>
      <c r="F3619" s="4"/>
      <c r="G3619" s="5"/>
      <c r="H3619" s="6"/>
      <c r="I3619" s="7"/>
      <c r="J3619" s="6"/>
      <c r="K3619" s="6"/>
      <c r="L3619" s="3"/>
      <c r="M3619" s="3" t="str">
        <f>IFERROR(__xludf.DUMMYFUNCTION("""COMPUTED_VALUE"""),"")</f>
        <v/>
      </c>
    </row>
    <row r="3620" ht="48.0" customHeight="1">
      <c r="A3620" s="3"/>
      <c r="B3620" s="4"/>
      <c r="C3620" s="4"/>
      <c r="D3620" s="4"/>
      <c r="E3620" s="4"/>
      <c r="F3620" s="4"/>
      <c r="G3620" s="5"/>
      <c r="H3620" s="6"/>
      <c r="I3620" s="7"/>
      <c r="J3620" s="6"/>
      <c r="K3620" s="6"/>
      <c r="L3620" s="3"/>
      <c r="M3620" s="3" t="str">
        <f>IFERROR(__xludf.DUMMYFUNCTION("""COMPUTED_VALUE"""),"")</f>
        <v/>
      </c>
    </row>
    <row r="3621" ht="48.0" customHeight="1">
      <c r="A3621" s="3"/>
      <c r="B3621" s="4"/>
      <c r="C3621" s="4"/>
      <c r="D3621" s="4"/>
      <c r="E3621" s="4"/>
      <c r="F3621" s="4"/>
      <c r="G3621" s="5"/>
      <c r="H3621" s="6"/>
      <c r="I3621" s="7"/>
      <c r="J3621" s="6"/>
      <c r="K3621" s="6"/>
      <c r="L3621" s="3"/>
      <c r="M3621" s="3" t="str">
        <f>IFERROR(__xludf.DUMMYFUNCTION("""COMPUTED_VALUE"""),"")</f>
        <v/>
      </c>
    </row>
    <row r="3622" ht="48.0" customHeight="1">
      <c r="A3622" s="3"/>
      <c r="B3622" s="4"/>
      <c r="C3622" s="4"/>
      <c r="D3622" s="4"/>
      <c r="E3622" s="4"/>
      <c r="F3622" s="4"/>
      <c r="G3622" s="5"/>
      <c r="H3622" s="6"/>
      <c r="I3622" s="7"/>
      <c r="J3622" s="6"/>
      <c r="K3622" s="6"/>
      <c r="L3622" s="3"/>
      <c r="M3622" s="3" t="str">
        <f>IFERROR(__xludf.DUMMYFUNCTION("""COMPUTED_VALUE"""),"")</f>
        <v/>
      </c>
    </row>
    <row r="3623" ht="48.0" customHeight="1">
      <c r="A3623" s="3"/>
      <c r="B3623" s="4"/>
      <c r="C3623" s="4"/>
      <c r="D3623" s="4"/>
      <c r="E3623" s="4"/>
      <c r="F3623" s="4"/>
      <c r="G3623" s="5"/>
      <c r="H3623" s="6"/>
      <c r="I3623" s="7"/>
      <c r="J3623" s="6"/>
      <c r="K3623" s="6"/>
      <c r="L3623" s="3"/>
      <c r="M3623" s="3" t="str">
        <f>IFERROR(__xludf.DUMMYFUNCTION("""COMPUTED_VALUE"""),"")</f>
        <v/>
      </c>
    </row>
    <row r="3624" ht="48.0" customHeight="1">
      <c r="A3624" s="3"/>
      <c r="B3624" s="4"/>
      <c r="C3624" s="4"/>
      <c r="D3624" s="4"/>
      <c r="E3624" s="4"/>
      <c r="F3624" s="4"/>
      <c r="G3624" s="5"/>
      <c r="H3624" s="6"/>
      <c r="I3624" s="7"/>
      <c r="J3624" s="6"/>
      <c r="K3624" s="6"/>
      <c r="L3624" s="3"/>
      <c r="M3624" s="3" t="str">
        <f>IFERROR(__xludf.DUMMYFUNCTION("""COMPUTED_VALUE"""),"")</f>
        <v/>
      </c>
    </row>
    <row r="3625" ht="48.0" customHeight="1">
      <c r="A3625" s="3"/>
      <c r="B3625" s="4"/>
      <c r="C3625" s="4"/>
      <c r="D3625" s="4"/>
      <c r="E3625" s="4"/>
      <c r="F3625" s="4"/>
      <c r="G3625" s="5"/>
      <c r="H3625" s="6"/>
      <c r="I3625" s="7"/>
      <c r="J3625" s="6"/>
      <c r="K3625" s="6"/>
      <c r="L3625" s="3"/>
      <c r="M3625" s="3" t="str">
        <f>IFERROR(__xludf.DUMMYFUNCTION("""COMPUTED_VALUE"""),"")</f>
        <v/>
      </c>
    </row>
    <row r="3626" ht="48.0" customHeight="1">
      <c r="A3626" s="3"/>
      <c r="B3626" s="4"/>
      <c r="C3626" s="4"/>
      <c r="D3626" s="4"/>
      <c r="E3626" s="4"/>
      <c r="F3626" s="4"/>
      <c r="G3626" s="5"/>
      <c r="H3626" s="6"/>
      <c r="I3626" s="7"/>
      <c r="J3626" s="6"/>
      <c r="K3626" s="6"/>
      <c r="L3626" s="3"/>
      <c r="M3626" s="3" t="str">
        <f>IFERROR(__xludf.DUMMYFUNCTION("""COMPUTED_VALUE"""),"")</f>
        <v/>
      </c>
    </row>
    <row r="3627" ht="48.0" customHeight="1">
      <c r="A3627" s="3"/>
      <c r="B3627" s="4"/>
      <c r="C3627" s="4"/>
      <c r="D3627" s="4"/>
      <c r="E3627" s="4"/>
      <c r="F3627" s="4"/>
      <c r="G3627" s="5"/>
      <c r="H3627" s="6"/>
      <c r="I3627" s="7"/>
      <c r="J3627" s="6"/>
      <c r="K3627" s="6"/>
      <c r="L3627" s="3"/>
      <c r="M3627" s="3" t="str">
        <f>IFERROR(__xludf.DUMMYFUNCTION("""COMPUTED_VALUE"""),"")</f>
        <v/>
      </c>
    </row>
    <row r="3628" ht="48.0" customHeight="1">
      <c r="A3628" s="3"/>
      <c r="B3628" s="4"/>
      <c r="C3628" s="4"/>
      <c r="D3628" s="4"/>
      <c r="E3628" s="4"/>
      <c r="F3628" s="4"/>
      <c r="G3628" s="5"/>
      <c r="H3628" s="6"/>
      <c r="I3628" s="7"/>
      <c r="J3628" s="6"/>
      <c r="K3628" s="6"/>
      <c r="L3628" s="3"/>
      <c r="M3628" s="3" t="str">
        <f>IFERROR(__xludf.DUMMYFUNCTION("""COMPUTED_VALUE"""),"")</f>
        <v/>
      </c>
    </row>
    <row r="3629" ht="48.0" customHeight="1">
      <c r="A3629" s="3"/>
      <c r="B3629" s="4"/>
      <c r="C3629" s="4"/>
      <c r="D3629" s="4"/>
      <c r="E3629" s="4"/>
      <c r="F3629" s="4"/>
      <c r="G3629" s="5"/>
      <c r="H3629" s="6"/>
      <c r="I3629" s="7"/>
      <c r="J3629" s="6"/>
      <c r="K3629" s="6"/>
      <c r="L3629" s="3"/>
      <c r="M3629" s="3" t="str">
        <f>IFERROR(__xludf.DUMMYFUNCTION("""COMPUTED_VALUE"""),"")</f>
        <v/>
      </c>
    </row>
    <row r="3630" ht="48.0" customHeight="1">
      <c r="A3630" s="3"/>
      <c r="B3630" s="4"/>
      <c r="C3630" s="4"/>
      <c r="D3630" s="4"/>
      <c r="E3630" s="4"/>
      <c r="F3630" s="4"/>
      <c r="G3630" s="5"/>
      <c r="H3630" s="6"/>
      <c r="I3630" s="7"/>
      <c r="J3630" s="6"/>
      <c r="K3630" s="6"/>
      <c r="L3630" s="3"/>
      <c r="M3630" s="3" t="str">
        <f>IFERROR(__xludf.DUMMYFUNCTION("""COMPUTED_VALUE"""),"")</f>
        <v/>
      </c>
    </row>
    <row r="3631" ht="48.0" customHeight="1">
      <c r="A3631" s="3"/>
      <c r="B3631" s="4"/>
      <c r="C3631" s="4"/>
      <c r="D3631" s="4"/>
      <c r="E3631" s="4"/>
      <c r="F3631" s="4"/>
      <c r="G3631" s="5"/>
      <c r="H3631" s="6"/>
      <c r="I3631" s="7"/>
      <c r="J3631" s="6"/>
      <c r="K3631" s="6"/>
      <c r="L3631" s="3"/>
      <c r="M3631" s="3" t="str">
        <f>IFERROR(__xludf.DUMMYFUNCTION("""COMPUTED_VALUE"""),"")</f>
        <v/>
      </c>
    </row>
    <row r="3632" ht="48.0" customHeight="1">
      <c r="A3632" s="3"/>
      <c r="B3632" s="4"/>
      <c r="C3632" s="4"/>
      <c r="D3632" s="4"/>
      <c r="E3632" s="4"/>
      <c r="F3632" s="4"/>
      <c r="G3632" s="5"/>
      <c r="H3632" s="6"/>
      <c r="I3632" s="7"/>
      <c r="J3632" s="6"/>
      <c r="K3632" s="6"/>
      <c r="L3632" s="3"/>
      <c r="M3632" s="3" t="str">
        <f>IFERROR(__xludf.DUMMYFUNCTION("""COMPUTED_VALUE"""),"")</f>
        <v/>
      </c>
    </row>
    <row r="3633" ht="48.0" customHeight="1">
      <c r="A3633" s="3"/>
      <c r="B3633" s="4"/>
      <c r="C3633" s="4"/>
      <c r="D3633" s="4"/>
      <c r="E3633" s="4"/>
      <c r="F3633" s="4"/>
      <c r="G3633" s="5"/>
      <c r="H3633" s="6"/>
      <c r="I3633" s="7"/>
      <c r="J3633" s="6"/>
      <c r="K3633" s="6"/>
      <c r="L3633" s="3"/>
      <c r="M3633" s="3" t="str">
        <f>IFERROR(__xludf.DUMMYFUNCTION("""COMPUTED_VALUE"""),"")</f>
        <v/>
      </c>
    </row>
    <row r="3634" ht="48.0" customHeight="1">
      <c r="A3634" s="3"/>
      <c r="B3634" s="4"/>
      <c r="C3634" s="4"/>
      <c r="D3634" s="4"/>
      <c r="E3634" s="4"/>
      <c r="F3634" s="4"/>
      <c r="G3634" s="5"/>
      <c r="H3634" s="6"/>
      <c r="I3634" s="7"/>
      <c r="J3634" s="6"/>
      <c r="K3634" s="6"/>
      <c r="L3634" s="3"/>
      <c r="M3634" s="3" t="str">
        <f>IFERROR(__xludf.DUMMYFUNCTION("""COMPUTED_VALUE"""),"")</f>
        <v/>
      </c>
    </row>
    <row r="3635" ht="48.0" customHeight="1">
      <c r="A3635" s="3"/>
      <c r="B3635" s="4"/>
      <c r="C3635" s="4"/>
      <c r="D3635" s="4"/>
      <c r="E3635" s="4"/>
      <c r="F3635" s="4"/>
      <c r="G3635" s="5"/>
      <c r="H3635" s="6"/>
      <c r="I3635" s="7"/>
      <c r="J3635" s="6"/>
      <c r="K3635" s="6"/>
      <c r="L3635" s="3"/>
      <c r="M3635" s="3" t="str">
        <f>IFERROR(__xludf.DUMMYFUNCTION("""COMPUTED_VALUE"""),"")</f>
        <v/>
      </c>
    </row>
    <row r="3636" ht="48.0" customHeight="1">
      <c r="A3636" s="3"/>
      <c r="B3636" s="4"/>
      <c r="C3636" s="4"/>
      <c r="D3636" s="4"/>
      <c r="E3636" s="4"/>
      <c r="F3636" s="4"/>
      <c r="G3636" s="5"/>
      <c r="H3636" s="6"/>
      <c r="I3636" s="7"/>
      <c r="J3636" s="6"/>
      <c r="K3636" s="6"/>
      <c r="L3636" s="3"/>
      <c r="M3636" s="3" t="str">
        <f>IFERROR(__xludf.DUMMYFUNCTION("""COMPUTED_VALUE"""),"")</f>
        <v/>
      </c>
    </row>
    <row r="3637" ht="48.0" customHeight="1">
      <c r="A3637" s="3"/>
      <c r="B3637" s="4"/>
      <c r="C3637" s="4"/>
      <c r="D3637" s="4"/>
      <c r="E3637" s="4"/>
      <c r="F3637" s="4"/>
      <c r="G3637" s="5"/>
      <c r="H3637" s="6"/>
      <c r="I3637" s="7"/>
      <c r="J3637" s="6"/>
      <c r="K3637" s="6"/>
      <c r="L3637" s="3"/>
      <c r="M3637" s="3" t="str">
        <f>IFERROR(__xludf.DUMMYFUNCTION("""COMPUTED_VALUE"""),"")</f>
        <v/>
      </c>
    </row>
    <row r="3638" ht="48.0" customHeight="1">
      <c r="A3638" s="3"/>
      <c r="B3638" s="4"/>
      <c r="C3638" s="4"/>
      <c r="D3638" s="4"/>
      <c r="E3638" s="4"/>
      <c r="F3638" s="4"/>
      <c r="G3638" s="5"/>
      <c r="H3638" s="6"/>
      <c r="I3638" s="7"/>
      <c r="J3638" s="6"/>
      <c r="K3638" s="6"/>
      <c r="L3638" s="3"/>
      <c r="M3638" s="3" t="str">
        <f>IFERROR(__xludf.DUMMYFUNCTION("""COMPUTED_VALUE"""),"")</f>
        <v/>
      </c>
    </row>
    <row r="3639" ht="48.0" customHeight="1">
      <c r="A3639" s="3"/>
      <c r="B3639" s="4"/>
      <c r="C3639" s="4"/>
      <c r="D3639" s="4"/>
      <c r="E3639" s="4"/>
      <c r="F3639" s="4"/>
      <c r="G3639" s="5"/>
      <c r="H3639" s="6"/>
      <c r="I3639" s="7"/>
      <c r="J3639" s="6"/>
      <c r="K3639" s="6"/>
      <c r="L3639" s="3"/>
      <c r="M3639" s="3" t="str">
        <f>IFERROR(__xludf.DUMMYFUNCTION("""COMPUTED_VALUE"""),"")</f>
        <v/>
      </c>
    </row>
    <row r="3640" ht="48.0" customHeight="1">
      <c r="A3640" s="3"/>
      <c r="B3640" s="4"/>
      <c r="C3640" s="4"/>
      <c r="D3640" s="4"/>
      <c r="E3640" s="4"/>
      <c r="F3640" s="4"/>
      <c r="G3640" s="5"/>
      <c r="H3640" s="6"/>
      <c r="I3640" s="7"/>
      <c r="J3640" s="6"/>
      <c r="K3640" s="6"/>
      <c r="L3640" s="3"/>
      <c r="M3640" s="3" t="str">
        <f>IFERROR(__xludf.DUMMYFUNCTION("""COMPUTED_VALUE"""),"")</f>
        <v/>
      </c>
    </row>
    <row r="3641" ht="48.0" customHeight="1">
      <c r="A3641" s="3"/>
      <c r="B3641" s="4"/>
      <c r="C3641" s="4"/>
      <c r="D3641" s="4"/>
      <c r="E3641" s="4"/>
      <c r="F3641" s="4"/>
      <c r="G3641" s="5"/>
      <c r="H3641" s="6"/>
      <c r="I3641" s="7"/>
      <c r="J3641" s="6"/>
      <c r="K3641" s="6"/>
      <c r="L3641" s="3"/>
      <c r="M3641" s="3" t="str">
        <f>IFERROR(__xludf.DUMMYFUNCTION("""COMPUTED_VALUE"""),"")</f>
        <v/>
      </c>
    </row>
    <row r="3642" ht="48.0" customHeight="1">
      <c r="A3642" s="3"/>
      <c r="B3642" s="4"/>
      <c r="C3642" s="4"/>
      <c r="D3642" s="4"/>
      <c r="E3642" s="4"/>
      <c r="F3642" s="4"/>
      <c r="G3642" s="5"/>
      <c r="H3642" s="6"/>
      <c r="I3642" s="7"/>
      <c r="J3642" s="6"/>
      <c r="K3642" s="6"/>
      <c r="L3642" s="3"/>
      <c r="M3642" s="3" t="str">
        <f>IFERROR(__xludf.DUMMYFUNCTION("""COMPUTED_VALUE"""),"")</f>
        <v/>
      </c>
    </row>
    <row r="3643" ht="48.0" customHeight="1">
      <c r="A3643" s="3"/>
      <c r="B3643" s="4"/>
      <c r="C3643" s="4"/>
      <c r="D3643" s="4"/>
      <c r="E3643" s="4"/>
      <c r="F3643" s="4"/>
      <c r="G3643" s="5"/>
      <c r="H3643" s="6"/>
      <c r="I3643" s="7"/>
      <c r="J3643" s="6"/>
      <c r="K3643" s="6"/>
      <c r="L3643" s="3"/>
      <c r="M3643" s="3" t="str">
        <f>IFERROR(__xludf.DUMMYFUNCTION("""COMPUTED_VALUE"""),"")</f>
        <v/>
      </c>
    </row>
    <row r="3644" ht="48.0" customHeight="1">
      <c r="A3644" s="3"/>
      <c r="B3644" s="4"/>
      <c r="C3644" s="4"/>
      <c r="D3644" s="4"/>
      <c r="E3644" s="4"/>
      <c r="F3644" s="4"/>
      <c r="G3644" s="5"/>
      <c r="H3644" s="6"/>
      <c r="I3644" s="7"/>
      <c r="J3644" s="6"/>
      <c r="K3644" s="6"/>
      <c r="L3644" s="3"/>
      <c r="M3644" s="3" t="str">
        <f>IFERROR(__xludf.DUMMYFUNCTION("""COMPUTED_VALUE"""),"")</f>
        <v/>
      </c>
    </row>
    <row r="3645" ht="48.0" customHeight="1">
      <c r="A3645" s="3"/>
      <c r="B3645" s="4"/>
      <c r="C3645" s="4"/>
      <c r="D3645" s="4"/>
      <c r="E3645" s="4"/>
      <c r="F3645" s="4"/>
      <c r="G3645" s="5"/>
      <c r="H3645" s="6"/>
      <c r="I3645" s="7"/>
      <c r="J3645" s="6"/>
      <c r="K3645" s="6"/>
      <c r="L3645" s="3"/>
      <c r="M3645" s="3" t="str">
        <f>IFERROR(__xludf.DUMMYFUNCTION("""COMPUTED_VALUE"""),"")</f>
        <v/>
      </c>
    </row>
    <row r="3646" ht="48.0" customHeight="1">
      <c r="A3646" s="3"/>
      <c r="B3646" s="4"/>
      <c r="C3646" s="4"/>
      <c r="D3646" s="4"/>
      <c r="E3646" s="4"/>
      <c r="F3646" s="4"/>
      <c r="G3646" s="5"/>
      <c r="H3646" s="6"/>
      <c r="I3646" s="7"/>
      <c r="J3646" s="6"/>
      <c r="K3646" s="6"/>
      <c r="L3646" s="3"/>
      <c r="M3646" s="3" t="str">
        <f>IFERROR(__xludf.DUMMYFUNCTION("""COMPUTED_VALUE"""),"")</f>
        <v/>
      </c>
    </row>
    <row r="3647" ht="48.0" customHeight="1">
      <c r="A3647" s="3"/>
      <c r="B3647" s="4"/>
      <c r="C3647" s="4"/>
      <c r="D3647" s="4"/>
      <c r="E3647" s="4"/>
      <c r="F3647" s="4"/>
      <c r="G3647" s="5"/>
      <c r="H3647" s="6"/>
      <c r="I3647" s="7"/>
      <c r="J3647" s="6"/>
      <c r="K3647" s="6"/>
      <c r="L3647" s="3"/>
      <c r="M3647" s="3" t="str">
        <f>IFERROR(__xludf.DUMMYFUNCTION("""COMPUTED_VALUE"""),"")</f>
        <v/>
      </c>
    </row>
    <row r="3648" ht="48.0" customHeight="1">
      <c r="A3648" s="3"/>
      <c r="B3648" s="4"/>
      <c r="C3648" s="4"/>
      <c r="D3648" s="4"/>
      <c r="E3648" s="4"/>
      <c r="F3648" s="4"/>
      <c r="G3648" s="5"/>
      <c r="H3648" s="6"/>
      <c r="I3648" s="7"/>
      <c r="J3648" s="6"/>
      <c r="K3648" s="6"/>
      <c r="L3648" s="3"/>
      <c r="M3648" s="3" t="str">
        <f>IFERROR(__xludf.DUMMYFUNCTION("""COMPUTED_VALUE"""),"")</f>
        <v/>
      </c>
    </row>
    <row r="3649" ht="48.0" customHeight="1">
      <c r="A3649" s="3"/>
      <c r="B3649" s="4"/>
      <c r="C3649" s="4"/>
      <c r="D3649" s="4"/>
      <c r="E3649" s="4"/>
      <c r="F3649" s="4"/>
      <c r="G3649" s="5"/>
      <c r="H3649" s="6"/>
      <c r="I3649" s="7"/>
      <c r="J3649" s="6"/>
      <c r="K3649" s="6"/>
      <c r="L3649" s="3"/>
      <c r="M3649" s="3" t="str">
        <f>IFERROR(__xludf.DUMMYFUNCTION("""COMPUTED_VALUE"""),"")</f>
        <v/>
      </c>
    </row>
    <row r="3650" ht="48.0" customHeight="1">
      <c r="A3650" s="3"/>
      <c r="B3650" s="4"/>
      <c r="C3650" s="4"/>
      <c r="D3650" s="4"/>
      <c r="E3650" s="4"/>
      <c r="F3650" s="4"/>
      <c r="G3650" s="5"/>
      <c r="H3650" s="6"/>
      <c r="I3650" s="7"/>
      <c r="J3650" s="6"/>
      <c r="K3650" s="6"/>
      <c r="L3650" s="3"/>
      <c r="M3650" s="3" t="str">
        <f>IFERROR(__xludf.DUMMYFUNCTION("""COMPUTED_VALUE"""),"")</f>
        <v/>
      </c>
    </row>
    <row r="3651" ht="48.0" customHeight="1">
      <c r="A3651" s="3"/>
      <c r="B3651" s="4"/>
      <c r="C3651" s="4"/>
      <c r="D3651" s="4"/>
      <c r="E3651" s="4"/>
      <c r="F3651" s="4"/>
      <c r="G3651" s="5"/>
      <c r="H3651" s="6"/>
      <c r="I3651" s="7"/>
      <c r="J3651" s="6"/>
      <c r="K3651" s="6"/>
      <c r="L3651" s="3"/>
      <c r="M3651" s="3" t="str">
        <f>IFERROR(__xludf.DUMMYFUNCTION("""COMPUTED_VALUE"""),"")</f>
        <v/>
      </c>
    </row>
    <row r="3652" ht="48.0" customHeight="1">
      <c r="A3652" s="3"/>
      <c r="B3652" s="4"/>
      <c r="C3652" s="4"/>
      <c r="D3652" s="4"/>
      <c r="E3652" s="4"/>
      <c r="F3652" s="4"/>
      <c r="G3652" s="5"/>
      <c r="H3652" s="6"/>
      <c r="I3652" s="7"/>
      <c r="J3652" s="6"/>
      <c r="K3652" s="6"/>
      <c r="L3652" s="3"/>
      <c r="M3652" s="3" t="str">
        <f>IFERROR(__xludf.DUMMYFUNCTION("""COMPUTED_VALUE"""),"")</f>
        <v/>
      </c>
    </row>
    <row r="3653" ht="48.0" customHeight="1">
      <c r="A3653" s="3"/>
      <c r="B3653" s="4"/>
      <c r="C3653" s="4"/>
      <c r="D3653" s="4"/>
      <c r="E3653" s="4"/>
      <c r="F3653" s="4"/>
      <c r="G3653" s="5"/>
      <c r="H3653" s="6"/>
      <c r="I3653" s="7"/>
      <c r="J3653" s="6"/>
      <c r="K3653" s="6"/>
      <c r="L3653" s="3"/>
      <c r="M3653" s="3" t="str">
        <f>IFERROR(__xludf.DUMMYFUNCTION("""COMPUTED_VALUE"""),"")</f>
        <v/>
      </c>
    </row>
    <row r="3654" ht="48.0" customHeight="1">
      <c r="A3654" s="3"/>
      <c r="B3654" s="4"/>
      <c r="C3654" s="4"/>
      <c r="D3654" s="4"/>
      <c r="E3654" s="4"/>
      <c r="F3654" s="4"/>
      <c r="G3654" s="5"/>
      <c r="H3654" s="6"/>
      <c r="I3654" s="7"/>
      <c r="J3654" s="6"/>
      <c r="K3654" s="6"/>
      <c r="L3654" s="3"/>
      <c r="M3654" s="3" t="str">
        <f>IFERROR(__xludf.DUMMYFUNCTION("""COMPUTED_VALUE"""),"")</f>
        <v/>
      </c>
    </row>
    <row r="3655" ht="48.0" customHeight="1">
      <c r="A3655" s="3"/>
      <c r="B3655" s="4"/>
      <c r="C3655" s="4"/>
      <c r="D3655" s="4"/>
      <c r="E3655" s="4"/>
      <c r="F3655" s="4"/>
      <c r="G3655" s="5"/>
      <c r="H3655" s="6"/>
      <c r="I3655" s="7"/>
      <c r="J3655" s="6"/>
      <c r="K3655" s="6"/>
      <c r="L3655" s="3"/>
      <c r="M3655" s="3" t="str">
        <f>IFERROR(__xludf.DUMMYFUNCTION("""COMPUTED_VALUE"""),"")</f>
        <v/>
      </c>
    </row>
    <row r="3656" ht="48.0" customHeight="1">
      <c r="A3656" s="3"/>
      <c r="B3656" s="4"/>
      <c r="C3656" s="4"/>
      <c r="D3656" s="4"/>
      <c r="E3656" s="4"/>
      <c r="F3656" s="4"/>
      <c r="G3656" s="5"/>
      <c r="H3656" s="6"/>
      <c r="I3656" s="7"/>
      <c r="J3656" s="6"/>
      <c r="K3656" s="6"/>
      <c r="L3656" s="3"/>
      <c r="M3656" s="3" t="str">
        <f>IFERROR(__xludf.DUMMYFUNCTION("""COMPUTED_VALUE"""),"")</f>
        <v/>
      </c>
    </row>
    <row r="3657" ht="48.0" customHeight="1">
      <c r="A3657" s="3"/>
      <c r="B3657" s="4"/>
      <c r="C3657" s="4"/>
      <c r="D3657" s="4"/>
      <c r="E3657" s="4"/>
      <c r="F3657" s="4"/>
      <c r="G3657" s="5"/>
      <c r="H3657" s="6"/>
      <c r="I3657" s="7"/>
      <c r="J3657" s="6"/>
      <c r="K3657" s="6"/>
      <c r="L3657" s="3"/>
      <c r="M3657" s="3" t="str">
        <f>IFERROR(__xludf.DUMMYFUNCTION("""COMPUTED_VALUE"""),"")</f>
        <v/>
      </c>
    </row>
    <row r="3658" ht="48.0" customHeight="1">
      <c r="A3658" s="3"/>
      <c r="B3658" s="4"/>
      <c r="C3658" s="4"/>
      <c r="D3658" s="4"/>
      <c r="E3658" s="4"/>
      <c r="F3658" s="4"/>
      <c r="G3658" s="5"/>
      <c r="H3658" s="6"/>
      <c r="I3658" s="7"/>
      <c r="J3658" s="6"/>
      <c r="K3658" s="6"/>
      <c r="L3658" s="3"/>
      <c r="M3658" s="3" t="str">
        <f>IFERROR(__xludf.DUMMYFUNCTION("""COMPUTED_VALUE"""),"")</f>
        <v/>
      </c>
    </row>
    <row r="3659" ht="48.0" customHeight="1">
      <c r="A3659" s="3"/>
      <c r="B3659" s="4"/>
      <c r="C3659" s="4"/>
      <c r="D3659" s="4"/>
      <c r="E3659" s="4"/>
      <c r="F3659" s="4"/>
      <c r="G3659" s="5"/>
      <c r="H3659" s="6"/>
      <c r="I3659" s="7"/>
      <c r="J3659" s="6"/>
      <c r="K3659" s="6"/>
      <c r="L3659" s="3"/>
      <c r="M3659" s="3" t="str">
        <f>IFERROR(__xludf.DUMMYFUNCTION("""COMPUTED_VALUE"""),"")</f>
        <v/>
      </c>
    </row>
    <row r="3660" ht="48.0" customHeight="1">
      <c r="A3660" s="3"/>
      <c r="B3660" s="4"/>
      <c r="C3660" s="4"/>
      <c r="D3660" s="4"/>
      <c r="E3660" s="4"/>
      <c r="F3660" s="4"/>
      <c r="G3660" s="5"/>
      <c r="H3660" s="6"/>
      <c r="I3660" s="7"/>
      <c r="J3660" s="6"/>
      <c r="K3660" s="6"/>
      <c r="L3660" s="3"/>
      <c r="M3660" s="3" t="str">
        <f>IFERROR(__xludf.DUMMYFUNCTION("""COMPUTED_VALUE"""),"")</f>
        <v/>
      </c>
    </row>
    <row r="3661" ht="48.0" customHeight="1">
      <c r="A3661" s="3"/>
      <c r="B3661" s="4"/>
      <c r="C3661" s="4"/>
      <c r="D3661" s="4"/>
      <c r="E3661" s="4"/>
      <c r="F3661" s="4"/>
      <c r="G3661" s="5"/>
      <c r="H3661" s="6"/>
      <c r="I3661" s="7"/>
      <c r="J3661" s="6"/>
      <c r="K3661" s="6"/>
      <c r="L3661" s="3"/>
      <c r="M3661" s="3" t="str">
        <f>IFERROR(__xludf.DUMMYFUNCTION("""COMPUTED_VALUE"""),"")</f>
        <v/>
      </c>
    </row>
    <row r="3662" ht="48.0" customHeight="1">
      <c r="A3662" s="3"/>
      <c r="B3662" s="4"/>
      <c r="C3662" s="4"/>
      <c r="D3662" s="4"/>
      <c r="E3662" s="4"/>
      <c r="F3662" s="4"/>
      <c r="G3662" s="5"/>
      <c r="H3662" s="6"/>
      <c r="I3662" s="7"/>
      <c r="J3662" s="6"/>
      <c r="K3662" s="6"/>
      <c r="L3662" s="3"/>
      <c r="M3662" s="3" t="str">
        <f>IFERROR(__xludf.DUMMYFUNCTION("""COMPUTED_VALUE"""),"")</f>
        <v/>
      </c>
    </row>
    <row r="3663" ht="48.0" customHeight="1">
      <c r="A3663" s="3"/>
      <c r="B3663" s="4"/>
      <c r="C3663" s="4"/>
      <c r="D3663" s="4"/>
      <c r="E3663" s="4"/>
      <c r="F3663" s="4"/>
      <c r="G3663" s="5"/>
      <c r="H3663" s="6"/>
      <c r="I3663" s="7"/>
      <c r="J3663" s="6"/>
      <c r="K3663" s="6"/>
      <c r="L3663" s="3"/>
      <c r="M3663" s="3" t="str">
        <f>IFERROR(__xludf.DUMMYFUNCTION("""COMPUTED_VALUE"""),"")</f>
        <v/>
      </c>
    </row>
    <row r="3664" ht="48.0" customHeight="1">
      <c r="A3664" s="3"/>
      <c r="B3664" s="4"/>
      <c r="C3664" s="4"/>
      <c r="D3664" s="4"/>
      <c r="E3664" s="4"/>
      <c r="F3664" s="4"/>
      <c r="G3664" s="5"/>
      <c r="H3664" s="6"/>
      <c r="I3664" s="7"/>
      <c r="J3664" s="6"/>
      <c r="K3664" s="6"/>
      <c r="L3664" s="3"/>
      <c r="M3664" s="3" t="str">
        <f>IFERROR(__xludf.DUMMYFUNCTION("""COMPUTED_VALUE"""),"")</f>
        <v/>
      </c>
    </row>
    <row r="3665" ht="48.0" customHeight="1">
      <c r="A3665" s="3"/>
      <c r="B3665" s="4"/>
      <c r="C3665" s="4"/>
      <c r="D3665" s="4"/>
      <c r="E3665" s="4"/>
      <c r="F3665" s="4"/>
      <c r="G3665" s="5"/>
      <c r="H3665" s="6"/>
      <c r="I3665" s="7"/>
      <c r="J3665" s="6"/>
      <c r="K3665" s="6"/>
      <c r="L3665" s="3"/>
      <c r="M3665" s="3" t="str">
        <f>IFERROR(__xludf.DUMMYFUNCTION("""COMPUTED_VALUE"""),"")</f>
        <v/>
      </c>
    </row>
    <row r="3666" ht="48.0" customHeight="1">
      <c r="A3666" s="3"/>
      <c r="B3666" s="4"/>
      <c r="C3666" s="4"/>
      <c r="D3666" s="4"/>
      <c r="E3666" s="4"/>
      <c r="F3666" s="4"/>
      <c r="G3666" s="5"/>
      <c r="H3666" s="6"/>
      <c r="I3666" s="7"/>
      <c r="J3666" s="6"/>
      <c r="K3666" s="6"/>
      <c r="L3666" s="3"/>
      <c r="M3666" s="3" t="str">
        <f>IFERROR(__xludf.DUMMYFUNCTION("""COMPUTED_VALUE"""),"")</f>
        <v/>
      </c>
    </row>
    <row r="3667" ht="48.0" customHeight="1">
      <c r="A3667" s="3"/>
      <c r="B3667" s="4"/>
      <c r="C3667" s="4"/>
      <c r="D3667" s="4"/>
      <c r="E3667" s="4"/>
      <c r="F3667" s="4"/>
      <c r="G3667" s="5"/>
      <c r="H3667" s="6"/>
      <c r="I3667" s="7"/>
      <c r="J3667" s="6"/>
      <c r="K3667" s="6"/>
      <c r="L3667" s="3"/>
      <c r="M3667" s="3" t="str">
        <f>IFERROR(__xludf.DUMMYFUNCTION("""COMPUTED_VALUE"""),"")</f>
        <v/>
      </c>
    </row>
    <row r="3668" ht="48.0" customHeight="1">
      <c r="A3668" s="3"/>
      <c r="B3668" s="4"/>
      <c r="C3668" s="4"/>
      <c r="D3668" s="4"/>
      <c r="E3668" s="4"/>
      <c r="F3668" s="4"/>
      <c r="G3668" s="5"/>
      <c r="H3668" s="6"/>
      <c r="I3668" s="7"/>
      <c r="J3668" s="6"/>
      <c r="K3668" s="6"/>
      <c r="L3668" s="3"/>
      <c r="M3668" s="3" t="str">
        <f>IFERROR(__xludf.DUMMYFUNCTION("""COMPUTED_VALUE"""),"")</f>
        <v/>
      </c>
    </row>
    <row r="3669" ht="48.0" customHeight="1">
      <c r="A3669" s="3"/>
      <c r="B3669" s="4"/>
      <c r="C3669" s="4"/>
      <c r="D3669" s="4"/>
      <c r="E3669" s="4"/>
      <c r="F3669" s="4"/>
      <c r="G3669" s="5"/>
      <c r="H3669" s="6"/>
      <c r="I3669" s="7"/>
      <c r="J3669" s="6"/>
      <c r="K3669" s="6"/>
      <c r="L3669" s="3"/>
      <c r="M3669" s="3" t="str">
        <f>IFERROR(__xludf.DUMMYFUNCTION("""COMPUTED_VALUE"""),"")</f>
        <v/>
      </c>
    </row>
    <row r="3670" ht="48.0" customHeight="1">
      <c r="A3670" s="3"/>
      <c r="B3670" s="4"/>
      <c r="C3670" s="4"/>
      <c r="D3670" s="4"/>
      <c r="E3670" s="4"/>
      <c r="F3670" s="4"/>
      <c r="G3670" s="5"/>
      <c r="H3670" s="6"/>
      <c r="I3670" s="7"/>
      <c r="J3670" s="6"/>
      <c r="K3670" s="6"/>
      <c r="L3670" s="3"/>
      <c r="M3670" s="3" t="str">
        <f>IFERROR(__xludf.DUMMYFUNCTION("""COMPUTED_VALUE"""),"")</f>
        <v/>
      </c>
    </row>
    <row r="3671" ht="48.0" customHeight="1">
      <c r="A3671" s="3"/>
      <c r="B3671" s="4"/>
      <c r="C3671" s="4"/>
      <c r="D3671" s="4"/>
      <c r="E3671" s="4"/>
      <c r="F3671" s="4"/>
      <c r="G3671" s="5"/>
      <c r="H3671" s="6"/>
      <c r="I3671" s="7"/>
      <c r="J3671" s="6"/>
      <c r="K3671" s="6"/>
      <c r="L3671" s="3"/>
      <c r="M3671" s="3" t="str">
        <f>IFERROR(__xludf.DUMMYFUNCTION("""COMPUTED_VALUE"""),"")</f>
        <v/>
      </c>
    </row>
    <row r="3672" ht="48.0" customHeight="1">
      <c r="A3672" s="3"/>
      <c r="B3672" s="4"/>
      <c r="C3672" s="4"/>
      <c r="D3672" s="4"/>
      <c r="E3672" s="4"/>
      <c r="F3672" s="4"/>
      <c r="G3672" s="5"/>
      <c r="H3672" s="6"/>
      <c r="I3672" s="7"/>
      <c r="J3672" s="6"/>
      <c r="K3672" s="6"/>
      <c r="L3672" s="3"/>
      <c r="M3672" s="3" t="str">
        <f>IFERROR(__xludf.DUMMYFUNCTION("""COMPUTED_VALUE"""),"")</f>
        <v/>
      </c>
    </row>
    <row r="3673" ht="48.0" customHeight="1">
      <c r="A3673" s="3"/>
      <c r="B3673" s="4"/>
      <c r="C3673" s="4"/>
      <c r="D3673" s="4"/>
      <c r="E3673" s="4"/>
      <c r="F3673" s="4"/>
      <c r="G3673" s="5"/>
      <c r="H3673" s="6"/>
      <c r="I3673" s="7"/>
      <c r="J3673" s="6"/>
      <c r="K3673" s="6"/>
      <c r="L3673" s="3"/>
      <c r="M3673" s="3" t="str">
        <f>IFERROR(__xludf.DUMMYFUNCTION("""COMPUTED_VALUE"""),"")</f>
        <v/>
      </c>
    </row>
    <row r="3674" ht="48.0" customHeight="1">
      <c r="A3674" s="3"/>
      <c r="B3674" s="4"/>
      <c r="C3674" s="4"/>
      <c r="D3674" s="4"/>
      <c r="E3674" s="4"/>
      <c r="F3674" s="4"/>
      <c r="G3674" s="5"/>
      <c r="H3674" s="6"/>
      <c r="I3674" s="7"/>
      <c r="J3674" s="6"/>
      <c r="K3674" s="6"/>
      <c r="L3674" s="3"/>
      <c r="M3674" s="3" t="str">
        <f>IFERROR(__xludf.DUMMYFUNCTION("""COMPUTED_VALUE"""),"")</f>
        <v/>
      </c>
    </row>
    <row r="3675" ht="48.0" customHeight="1">
      <c r="A3675" s="3"/>
      <c r="B3675" s="4"/>
      <c r="C3675" s="4"/>
      <c r="D3675" s="4"/>
      <c r="E3675" s="4"/>
      <c r="F3675" s="4"/>
      <c r="G3675" s="5"/>
      <c r="H3675" s="6"/>
      <c r="I3675" s="7"/>
      <c r="J3675" s="6"/>
      <c r="K3675" s="6"/>
      <c r="L3675" s="3"/>
      <c r="M3675" s="3" t="str">
        <f>IFERROR(__xludf.DUMMYFUNCTION("""COMPUTED_VALUE"""),"")</f>
        <v/>
      </c>
    </row>
    <row r="3676" ht="48.0" customHeight="1">
      <c r="A3676" s="3"/>
      <c r="B3676" s="4"/>
      <c r="C3676" s="4"/>
      <c r="D3676" s="4"/>
      <c r="E3676" s="4"/>
      <c r="F3676" s="4"/>
      <c r="G3676" s="5"/>
      <c r="H3676" s="6"/>
      <c r="I3676" s="7"/>
      <c r="J3676" s="6"/>
      <c r="K3676" s="6"/>
      <c r="L3676" s="3"/>
      <c r="M3676" s="3" t="str">
        <f>IFERROR(__xludf.DUMMYFUNCTION("""COMPUTED_VALUE"""),"")</f>
        <v/>
      </c>
    </row>
    <row r="3677" ht="48.0" customHeight="1">
      <c r="A3677" s="3"/>
      <c r="B3677" s="4"/>
      <c r="C3677" s="4"/>
      <c r="D3677" s="4"/>
      <c r="E3677" s="4"/>
      <c r="F3677" s="4"/>
      <c r="G3677" s="5"/>
      <c r="H3677" s="6"/>
      <c r="I3677" s="7"/>
      <c r="J3677" s="6"/>
      <c r="K3677" s="6"/>
      <c r="L3677" s="3"/>
      <c r="M3677" s="3" t="str">
        <f>IFERROR(__xludf.DUMMYFUNCTION("""COMPUTED_VALUE"""),"")</f>
        <v/>
      </c>
    </row>
    <row r="3678" ht="48.0" customHeight="1">
      <c r="A3678" s="3"/>
      <c r="B3678" s="4"/>
      <c r="C3678" s="4"/>
      <c r="D3678" s="4"/>
      <c r="E3678" s="4"/>
      <c r="F3678" s="4"/>
      <c r="G3678" s="5"/>
      <c r="H3678" s="6"/>
      <c r="I3678" s="7"/>
      <c r="J3678" s="6"/>
      <c r="K3678" s="6"/>
      <c r="L3678" s="3"/>
      <c r="M3678" s="3" t="str">
        <f>IFERROR(__xludf.DUMMYFUNCTION("""COMPUTED_VALUE"""),"")</f>
        <v/>
      </c>
    </row>
    <row r="3679" ht="48.0" customHeight="1">
      <c r="A3679" s="3"/>
      <c r="B3679" s="4"/>
      <c r="C3679" s="4"/>
      <c r="D3679" s="4"/>
      <c r="E3679" s="4"/>
      <c r="F3679" s="4"/>
      <c r="G3679" s="5"/>
      <c r="H3679" s="6"/>
      <c r="I3679" s="7"/>
      <c r="J3679" s="6"/>
      <c r="K3679" s="6"/>
      <c r="L3679" s="3"/>
      <c r="M3679" s="3" t="str">
        <f>IFERROR(__xludf.DUMMYFUNCTION("""COMPUTED_VALUE"""),"")</f>
        <v/>
      </c>
    </row>
    <row r="3680" ht="48.0" customHeight="1">
      <c r="A3680" s="3"/>
      <c r="B3680" s="4"/>
      <c r="C3680" s="4"/>
      <c r="D3680" s="4"/>
      <c r="E3680" s="4"/>
      <c r="F3680" s="4"/>
      <c r="G3680" s="5"/>
      <c r="H3680" s="6"/>
      <c r="I3680" s="7"/>
      <c r="J3680" s="6"/>
      <c r="K3680" s="6"/>
      <c r="L3680" s="3"/>
      <c r="M3680" s="3" t="str">
        <f>IFERROR(__xludf.DUMMYFUNCTION("""COMPUTED_VALUE"""),"")</f>
        <v/>
      </c>
    </row>
    <row r="3681" ht="48.0" customHeight="1">
      <c r="A3681" s="3"/>
      <c r="B3681" s="4"/>
      <c r="C3681" s="4"/>
      <c r="D3681" s="4"/>
      <c r="E3681" s="4"/>
      <c r="F3681" s="4"/>
      <c r="G3681" s="5"/>
      <c r="H3681" s="6"/>
      <c r="I3681" s="7"/>
      <c r="J3681" s="6"/>
      <c r="K3681" s="6"/>
      <c r="L3681" s="3"/>
      <c r="M3681" s="3" t="str">
        <f>IFERROR(__xludf.DUMMYFUNCTION("""COMPUTED_VALUE"""),"")</f>
        <v/>
      </c>
    </row>
    <row r="3682" ht="48.0" customHeight="1">
      <c r="A3682" s="3"/>
      <c r="B3682" s="4"/>
      <c r="C3682" s="4"/>
      <c r="D3682" s="4"/>
      <c r="E3682" s="4"/>
      <c r="F3682" s="4"/>
      <c r="G3682" s="5"/>
      <c r="H3682" s="6"/>
      <c r="I3682" s="7"/>
      <c r="J3682" s="6"/>
      <c r="K3682" s="6"/>
      <c r="L3682" s="3"/>
      <c r="M3682" s="3" t="str">
        <f>IFERROR(__xludf.DUMMYFUNCTION("""COMPUTED_VALUE"""),"")</f>
        <v/>
      </c>
    </row>
    <row r="3683" ht="48.0" customHeight="1">
      <c r="A3683" s="3"/>
      <c r="B3683" s="4"/>
      <c r="C3683" s="4"/>
      <c r="D3683" s="4"/>
      <c r="E3683" s="4"/>
      <c r="F3683" s="4"/>
      <c r="G3683" s="5"/>
      <c r="H3683" s="6"/>
      <c r="I3683" s="7"/>
      <c r="J3683" s="6"/>
      <c r="K3683" s="6"/>
      <c r="L3683" s="3"/>
      <c r="M3683" s="3" t="str">
        <f>IFERROR(__xludf.DUMMYFUNCTION("""COMPUTED_VALUE"""),"")</f>
        <v/>
      </c>
    </row>
    <row r="3684" ht="48.0" customHeight="1">
      <c r="A3684" s="3"/>
      <c r="B3684" s="4"/>
      <c r="C3684" s="4"/>
      <c r="D3684" s="4"/>
      <c r="E3684" s="4"/>
      <c r="F3684" s="4"/>
      <c r="G3684" s="5"/>
      <c r="H3684" s="6"/>
      <c r="I3684" s="7"/>
      <c r="J3684" s="6"/>
      <c r="K3684" s="6"/>
      <c r="L3684" s="3"/>
      <c r="M3684" s="3" t="str">
        <f>IFERROR(__xludf.DUMMYFUNCTION("""COMPUTED_VALUE"""),"")</f>
        <v/>
      </c>
    </row>
    <row r="3685" ht="48.0" customHeight="1">
      <c r="A3685" s="3"/>
      <c r="B3685" s="4"/>
      <c r="C3685" s="4"/>
      <c r="D3685" s="4"/>
      <c r="E3685" s="4"/>
      <c r="F3685" s="4"/>
      <c r="G3685" s="5"/>
      <c r="H3685" s="6"/>
      <c r="I3685" s="7"/>
      <c r="J3685" s="6"/>
      <c r="K3685" s="6"/>
      <c r="L3685" s="3"/>
      <c r="M3685" s="3" t="str">
        <f>IFERROR(__xludf.DUMMYFUNCTION("""COMPUTED_VALUE"""),"")</f>
        <v/>
      </c>
    </row>
    <row r="3686" ht="48.0" customHeight="1">
      <c r="A3686" s="3"/>
      <c r="B3686" s="4"/>
      <c r="C3686" s="4"/>
      <c r="D3686" s="4"/>
      <c r="E3686" s="4"/>
      <c r="F3686" s="4"/>
      <c r="G3686" s="5"/>
      <c r="H3686" s="6"/>
      <c r="I3686" s="7"/>
      <c r="J3686" s="6"/>
      <c r="K3686" s="6"/>
      <c r="L3686" s="3"/>
      <c r="M3686" s="3" t="str">
        <f>IFERROR(__xludf.DUMMYFUNCTION("""COMPUTED_VALUE"""),"")</f>
        <v/>
      </c>
    </row>
    <row r="3687" ht="48.0" customHeight="1">
      <c r="A3687" s="3"/>
      <c r="B3687" s="4"/>
      <c r="C3687" s="4"/>
      <c r="D3687" s="4"/>
      <c r="E3687" s="4"/>
      <c r="F3687" s="4"/>
      <c r="G3687" s="5"/>
      <c r="H3687" s="6"/>
      <c r="I3687" s="7"/>
      <c r="J3687" s="6"/>
      <c r="K3687" s="6"/>
      <c r="L3687" s="3"/>
      <c r="M3687" s="3" t="str">
        <f>IFERROR(__xludf.DUMMYFUNCTION("""COMPUTED_VALUE"""),"")</f>
        <v/>
      </c>
    </row>
    <row r="3688" ht="48.0" customHeight="1">
      <c r="A3688" s="3"/>
      <c r="B3688" s="4"/>
      <c r="C3688" s="4"/>
      <c r="D3688" s="4"/>
      <c r="E3688" s="4"/>
      <c r="F3688" s="4"/>
      <c r="G3688" s="5"/>
      <c r="H3688" s="6"/>
      <c r="I3688" s="7"/>
      <c r="J3688" s="6"/>
      <c r="K3688" s="6"/>
      <c r="L3688" s="3"/>
      <c r="M3688" s="3" t="str">
        <f>IFERROR(__xludf.DUMMYFUNCTION("""COMPUTED_VALUE"""),"")</f>
        <v/>
      </c>
    </row>
    <row r="3689" ht="48.0" customHeight="1">
      <c r="A3689" s="3"/>
      <c r="B3689" s="4"/>
      <c r="C3689" s="4"/>
      <c r="D3689" s="4"/>
      <c r="E3689" s="4"/>
      <c r="F3689" s="4"/>
      <c r="G3689" s="5"/>
      <c r="H3689" s="6"/>
      <c r="I3689" s="7"/>
      <c r="J3689" s="6"/>
      <c r="K3689" s="6"/>
      <c r="L3689" s="3"/>
      <c r="M3689" s="3" t="str">
        <f>IFERROR(__xludf.DUMMYFUNCTION("""COMPUTED_VALUE"""),"")</f>
        <v/>
      </c>
    </row>
    <row r="3690" ht="48.0" customHeight="1">
      <c r="A3690" s="3"/>
      <c r="B3690" s="4"/>
      <c r="C3690" s="4"/>
      <c r="D3690" s="4"/>
      <c r="E3690" s="4"/>
      <c r="F3690" s="4"/>
      <c r="G3690" s="5"/>
      <c r="H3690" s="6"/>
      <c r="I3690" s="7"/>
      <c r="J3690" s="6"/>
      <c r="K3690" s="6"/>
      <c r="L3690" s="3"/>
      <c r="M3690" s="3" t="str">
        <f>IFERROR(__xludf.DUMMYFUNCTION("""COMPUTED_VALUE"""),"")</f>
        <v/>
      </c>
    </row>
    <row r="3691" ht="48.0" customHeight="1">
      <c r="A3691" s="3"/>
      <c r="B3691" s="4"/>
      <c r="C3691" s="4"/>
      <c r="D3691" s="4"/>
      <c r="E3691" s="4"/>
      <c r="F3691" s="4"/>
      <c r="G3691" s="5"/>
      <c r="H3691" s="6"/>
      <c r="I3691" s="7"/>
      <c r="J3691" s="6"/>
      <c r="K3691" s="6"/>
      <c r="L3691" s="3"/>
      <c r="M3691" s="3" t="str">
        <f>IFERROR(__xludf.DUMMYFUNCTION("""COMPUTED_VALUE"""),"")</f>
        <v/>
      </c>
    </row>
    <row r="3692" ht="48.0" customHeight="1">
      <c r="A3692" s="3"/>
      <c r="B3692" s="4"/>
      <c r="C3692" s="4"/>
      <c r="D3692" s="4"/>
      <c r="E3692" s="4"/>
      <c r="F3692" s="4"/>
      <c r="G3692" s="5"/>
      <c r="H3692" s="6"/>
      <c r="I3692" s="7"/>
      <c r="J3692" s="6"/>
      <c r="K3692" s="6"/>
      <c r="L3692" s="3"/>
      <c r="M3692" s="3" t="str">
        <f>IFERROR(__xludf.DUMMYFUNCTION("""COMPUTED_VALUE"""),"")</f>
        <v/>
      </c>
    </row>
    <row r="3693" ht="48.0" customHeight="1">
      <c r="A3693" s="3"/>
      <c r="B3693" s="4"/>
      <c r="C3693" s="4"/>
      <c r="D3693" s="4"/>
      <c r="E3693" s="4"/>
      <c r="F3693" s="4"/>
      <c r="G3693" s="5"/>
      <c r="H3693" s="6"/>
      <c r="I3693" s="7"/>
      <c r="J3693" s="6"/>
      <c r="K3693" s="6"/>
      <c r="L3693" s="3"/>
      <c r="M3693" s="3" t="str">
        <f>IFERROR(__xludf.DUMMYFUNCTION("""COMPUTED_VALUE"""),"")</f>
        <v/>
      </c>
    </row>
    <row r="3694" ht="48.0" customHeight="1">
      <c r="A3694" s="3"/>
      <c r="B3694" s="4"/>
      <c r="C3694" s="4"/>
      <c r="D3694" s="4"/>
      <c r="E3694" s="4"/>
      <c r="F3694" s="4"/>
      <c r="G3694" s="5"/>
      <c r="H3694" s="6"/>
      <c r="I3694" s="7"/>
      <c r="J3694" s="6"/>
      <c r="K3694" s="6"/>
      <c r="L3694" s="3"/>
      <c r="M3694" s="3" t="str">
        <f>IFERROR(__xludf.DUMMYFUNCTION("""COMPUTED_VALUE"""),"")</f>
        <v/>
      </c>
    </row>
    <row r="3695" ht="48.0" customHeight="1">
      <c r="A3695" s="3"/>
      <c r="B3695" s="4"/>
      <c r="C3695" s="4"/>
      <c r="D3695" s="4"/>
      <c r="E3695" s="4"/>
      <c r="F3695" s="4"/>
      <c r="G3695" s="5"/>
      <c r="H3695" s="6"/>
      <c r="I3695" s="7"/>
      <c r="J3695" s="6"/>
      <c r="K3695" s="6"/>
      <c r="L3695" s="3"/>
      <c r="M3695" s="3" t="str">
        <f>IFERROR(__xludf.DUMMYFUNCTION("""COMPUTED_VALUE"""),"")</f>
        <v/>
      </c>
    </row>
    <row r="3696" ht="48.0" customHeight="1">
      <c r="A3696" s="3"/>
      <c r="B3696" s="4"/>
      <c r="C3696" s="4"/>
      <c r="D3696" s="4"/>
      <c r="E3696" s="4"/>
      <c r="F3696" s="4"/>
      <c r="G3696" s="5"/>
      <c r="H3696" s="6"/>
      <c r="I3696" s="7"/>
      <c r="J3696" s="6"/>
      <c r="K3696" s="6"/>
      <c r="L3696" s="3"/>
      <c r="M3696" s="3" t="str">
        <f>IFERROR(__xludf.DUMMYFUNCTION("""COMPUTED_VALUE"""),"")</f>
        <v/>
      </c>
    </row>
    <row r="3697" ht="48.0" customHeight="1">
      <c r="A3697" s="3"/>
      <c r="B3697" s="4"/>
      <c r="C3697" s="4"/>
      <c r="D3697" s="4"/>
      <c r="E3697" s="4"/>
      <c r="F3697" s="4"/>
      <c r="G3697" s="5"/>
      <c r="H3697" s="6"/>
      <c r="I3697" s="7"/>
      <c r="J3697" s="6"/>
      <c r="K3697" s="6"/>
      <c r="L3697" s="3"/>
      <c r="M3697" s="3" t="str">
        <f>IFERROR(__xludf.DUMMYFUNCTION("""COMPUTED_VALUE"""),"")</f>
        <v/>
      </c>
    </row>
    <row r="3698" ht="48.0" customHeight="1">
      <c r="A3698" s="3"/>
      <c r="B3698" s="4"/>
      <c r="C3698" s="4"/>
      <c r="D3698" s="4"/>
      <c r="E3698" s="4"/>
      <c r="F3698" s="4"/>
      <c r="G3698" s="5"/>
      <c r="H3698" s="6"/>
      <c r="I3698" s="7"/>
      <c r="J3698" s="6"/>
      <c r="K3698" s="6"/>
      <c r="L3698" s="3"/>
      <c r="M3698" s="3" t="str">
        <f>IFERROR(__xludf.DUMMYFUNCTION("""COMPUTED_VALUE"""),"")</f>
        <v/>
      </c>
    </row>
    <row r="3699" ht="48.0" customHeight="1">
      <c r="A3699" s="3"/>
      <c r="B3699" s="4"/>
      <c r="C3699" s="4"/>
      <c r="D3699" s="4"/>
      <c r="E3699" s="4"/>
      <c r="F3699" s="4"/>
      <c r="G3699" s="5"/>
      <c r="H3699" s="6"/>
      <c r="I3699" s="7"/>
      <c r="J3699" s="6"/>
      <c r="K3699" s="6"/>
      <c r="L3699" s="3"/>
      <c r="M3699" s="3" t="str">
        <f>IFERROR(__xludf.DUMMYFUNCTION("""COMPUTED_VALUE"""),"")</f>
        <v/>
      </c>
    </row>
    <row r="3700" ht="48.0" customHeight="1">
      <c r="A3700" s="3"/>
      <c r="B3700" s="4"/>
      <c r="C3700" s="4"/>
      <c r="D3700" s="4"/>
      <c r="E3700" s="4"/>
      <c r="F3700" s="4"/>
      <c r="G3700" s="5"/>
      <c r="H3700" s="6"/>
      <c r="I3700" s="7"/>
      <c r="J3700" s="6"/>
      <c r="K3700" s="6"/>
      <c r="L3700" s="3"/>
      <c r="M3700" s="3" t="str">
        <f>IFERROR(__xludf.DUMMYFUNCTION("""COMPUTED_VALUE"""),"")</f>
        <v/>
      </c>
    </row>
    <row r="3701" ht="48.0" customHeight="1">
      <c r="A3701" s="3"/>
      <c r="B3701" s="4"/>
      <c r="C3701" s="4"/>
      <c r="D3701" s="4"/>
      <c r="E3701" s="4"/>
      <c r="F3701" s="4"/>
      <c r="G3701" s="5"/>
      <c r="H3701" s="6"/>
      <c r="I3701" s="7"/>
      <c r="J3701" s="6"/>
      <c r="K3701" s="6"/>
      <c r="L3701" s="3"/>
      <c r="M3701" s="3" t="str">
        <f>IFERROR(__xludf.DUMMYFUNCTION("""COMPUTED_VALUE"""),"")</f>
        <v/>
      </c>
    </row>
    <row r="3702" ht="48.0" customHeight="1">
      <c r="A3702" s="3"/>
      <c r="B3702" s="4"/>
      <c r="C3702" s="4"/>
      <c r="D3702" s="4"/>
      <c r="E3702" s="4"/>
      <c r="F3702" s="4"/>
      <c r="G3702" s="5"/>
      <c r="H3702" s="6"/>
      <c r="I3702" s="7"/>
      <c r="J3702" s="6"/>
      <c r="K3702" s="6"/>
      <c r="L3702" s="3"/>
      <c r="M3702" s="3" t="str">
        <f>IFERROR(__xludf.DUMMYFUNCTION("""COMPUTED_VALUE"""),"")</f>
        <v/>
      </c>
    </row>
    <row r="3703" ht="48.0" customHeight="1">
      <c r="A3703" s="3"/>
      <c r="B3703" s="4"/>
      <c r="C3703" s="4"/>
      <c r="D3703" s="4"/>
      <c r="E3703" s="4"/>
      <c r="F3703" s="4"/>
      <c r="G3703" s="5"/>
      <c r="H3703" s="6"/>
      <c r="I3703" s="7"/>
      <c r="J3703" s="6"/>
      <c r="K3703" s="6"/>
      <c r="L3703" s="3"/>
      <c r="M3703" s="3" t="str">
        <f>IFERROR(__xludf.DUMMYFUNCTION("""COMPUTED_VALUE"""),"")</f>
        <v/>
      </c>
    </row>
    <row r="3704" ht="48.0" customHeight="1">
      <c r="A3704" s="3"/>
      <c r="B3704" s="4"/>
      <c r="C3704" s="4"/>
      <c r="D3704" s="4"/>
      <c r="E3704" s="4"/>
      <c r="F3704" s="4"/>
      <c r="G3704" s="5"/>
      <c r="H3704" s="6"/>
      <c r="I3704" s="7"/>
      <c r="J3704" s="6"/>
      <c r="K3704" s="6"/>
      <c r="L3704" s="3"/>
      <c r="M3704" s="3" t="str">
        <f>IFERROR(__xludf.DUMMYFUNCTION("""COMPUTED_VALUE"""),"")</f>
        <v/>
      </c>
    </row>
    <row r="3705" ht="48.0" customHeight="1">
      <c r="A3705" s="3"/>
      <c r="B3705" s="4"/>
      <c r="C3705" s="4"/>
      <c r="D3705" s="4"/>
      <c r="E3705" s="4"/>
      <c r="F3705" s="4"/>
      <c r="G3705" s="5"/>
      <c r="H3705" s="6"/>
      <c r="I3705" s="7"/>
      <c r="J3705" s="6"/>
      <c r="K3705" s="6"/>
      <c r="L3705" s="3"/>
      <c r="M3705" s="3" t="str">
        <f>IFERROR(__xludf.DUMMYFUNCTION("""COMPUTED_VALUE"""),"")</f>
        <v/>
      </c>
    </row>
    <row r="3706" ht="48.0" customHeight="1">
      <c r="A3706" s="3"/>
      <c r="B3706" s="4"/>
      <c r="C3706" s="4"/>
      <c r="D3706" s="4"/>
      <c r="E3706" s="4"/>
      <c r="F3706" s="4"/>
      <c r="G3706" s="5"/>
      <c r="H3706" s="6"/>
      <c r="I3706" s="7"/>
      <c r="J3706" s="6"/>
      <c r="K3706" s="6"/>
      <c r="L3706" s="3"/>
      <c r="M3706" s="3" t="str">
        <f>IFERROR(__xludf.DUMMYFUNCTION("""COMPUTED_VALUE"""),"")</f>
        <v/>
      </c>
    </row>
    <row r="3707" ht="48.0" customHeight="1">
      <c r="A3707" s="3"/>
      <c r="B3707" s="4"/>
      <c r="C3707" s="4"/>
      <c r="D3707" s="4"/>
      <c r="E3707" s="4"/>
      <c r="F3707" s="4"/>
      <c r="G3707" s="5"/>
      <c r="H3707" s="6"/>
      <c r="I3707" s="7"/>
      <c r="J3707" s="6"/>
      <c r="K3707" s="6"/>
      <c r="L3707" s="3"/>
      <c r="M3707" s="3" t="str">
        <f>IFERROR(__xludf.DUMMYFUNCTION("""COMPUTED_VALUE"""),"")</f>
        <v/>
      </c>
    </row>
    <row r="3708" ht="48.0" customHeight="1">
      <c r="A3708" s="3"/>
      <c r="B3708" s="4"/>
      <c r="C3708" s="4"/>
      <c r="D3708" s="4"/>
      <c r="E3708" s="4"/>
      <c r="F3708" s="4"/>
      <c r="G3708" s="5"/>
      <c r="H3708" s="6"/>
      <c r="I3708" s="7"/>
      <c r="J3708" s="6"/>
      <c r="K3708" s="6"/>
      <c r="L3708" s="3"/>
      <c r="M3708" s="3" t="str">
        <f>IFERROR(__xludf.DUMMYFUNCTION("""COMPUTED_VALUE"""),"")</f>
        <v/>
      </c>
    </row>
    <row r="3709" ht="48.0" customHeight="1">
      <c r="A3709" s="3"/>
      <c r="B3709" s="4"/>
      <c r="C3709" s="4"/>
      <c r="D3709" s="4"/>
      <c r="E3709" s="4"/>
      <c r="F3709" s="4"/>
      <c r="G3709" s="5"/>
      <c r="H3709" s="6"/>
      <c r="I3709" s="7"/>
      <c r="J3709" s="6"/>
      <c r="K3709" s="6"/>
      <c r="L3709" s="3"/>
      <c r="M3709" s="3" t="str">
        <f>IFERROR(__xludf.DUMMYFUNCTION("""COMPUTED_VALUE"""),"")</f>
        <v/>
      </c>
    </row>
    <row r="3710" ht="48.0" customHeight="1">
      <c r="A3710" s="3"/>
      <c r="B3710" s="4"/>
      <c r="C3710" s="4"/>
      <c r="D3710" s="4"/>
      <c r="E3710" s="4"/>
      <c r="F3710" s="4"/>
      <c r="G3710" s="5"/>
      <c r="H3710" s="6"/>
      <c r="I3710" s="7"/>
      <c r="J3710" s="6"/>
      <c r="K3710" s="6"/>
      <c r="L3710" s="3"/>
      <c r="M3710" s="3" t="str">
        <f>IFERROR(__xludf.DUMMYFUNCTION("""COMPUTED_VALUE"""),"")</f>
        <v/>
      </c>
    </row>
    <row r="3711" ht="48.0" customHeight="1">
      <c r="A3711" s="3"/>
      <c r="B3711" s="4"/>
      <c r="C3711" s="4"/>
      <c r="D3711" s="4"/>
      <c r="E3711" s="4"/>
      <c r="F3711" s="4"/>
      <c r="G3711" s="5"/>
      <c r="H3711" s="6"/>
      <c r="I3711" s="7"/>
      <c r="J3711" s="6"/>
      <c r="K3711" s="6"/>
      <c r="L3711" s="3"/>
      <c r="M3711" s="3" t="str">
        <f>IFERROR(__xludf.DUMMYFUNCTION("""COMPUTED_VALUE"""),"")</f>
        <v/>
      </c>
    </row>
    <row r="3712" ht="48.0" customHeight="1">
      <c r="A3712" s="3"/>
      <c r="B3712" s="4"/>
      <c r="C3712" s="4"/>
      <c r="D3712" s="4"/>
      <c r="E3712" s="4"/>
      <c r="F3712" s="4"/>
      <c r="G3712" s="5"/>
      <c r="H3712" s="6"/>
      <c r="I3712" s="7"/>
      <c r="J3712" s="6"/>
      <c r="K3712" s="6"/>
      <c r="L3712" s="3"/>
      <c r="M3712" s="3" t="str">
        <f>IFERROR(__xludf.DUMMYFUNCTION("""COMPUTED_VALUE"""),"")</f>
        <v/>
      </c>
    </row>
    <row r="3713" ht="48.0" customHeight="1">
      <c r="A3713" s="3"/>
      <c r="B3713" s="4"/>
      <c r="C3713" s="4"/>
      <c r="D3713" s="4"/>
      <c r="E3713" s="4"/>
      <c r="F3713" s="4"/>
      <c r="G3713" s="5"/>
      <c r="H3713" s="6"/>
      <c r="I3713" s="7"/>
      <c r="J3713" s="6"/>
      <c r="K3713" s="6"/>
      <c r="L3713" s="3"/>
      <c r="M3713" s="3" t="str">
        <f>IFERROR(__xludf.DUMMYFUNCTION("""COMPUTED_VALUE"""),"")</f>
        <v/>
      </c>
    </row>
    <row r="3714" ht="48.0" customHeight="1">
      <c r="A3714" s="3"/>
      <c r="B3714" s="4"/>
      <c r="C3714" s="4"/>
      <c r="D3714" s="4"/>
      <c r="E3714" s="4"/>
      <c r="F3714" s="4"/>
      <c r="G3714" s="5"/>
      <c r="H3714" s="6"/>
      <c r="I3714" s="7"/>
      <c r="J3714" s="6"/>
      <c r="K3714" s="6"/>
      <c r="L3714" s="3"/>
      <c r="M3714" s="3" t="str">
        <f>IFERROR(__xludf.DUMMYFUNCTION("""COMPUTED_VALUE"""),"")</f>
        <v/>
      </c>
    </row>
    <row r="3715" ht="48.0" customHeight="1">
      <c r="A3715" s="3"/>
      <c r="B3715" s="4"/>
      <c r="C3715" s="4"/>
      <c r="D3715" s="4"/>
      <c r="E3715" s="4"/>
      <c r="F3715" s="4"/>
      <c r="G3715" s="5"/>
      <c r="H3715" s="6"/>
      <c r="I3715" s="7"/>
      <c r="J3715" s="6"/>
      <c r="K3715" s="6"/>
      <c r="L3715" s="3"/>
      <c r="M3715" s="3" t="str">
        <f>IFERROR(__xludf.DUMMYFUNCTION("""COMPUTED_VALUE"""),"")</f>
        <v/>
      </c>
    </row>
    <row r="3716" ht="48.0" customHeight="1">
      <c r="A3716" s="3"/>
      <c r="B3716" s="4"/>
      <c r="C3716" s="4"/>
      <c r="D3716" s="4"/>
      <c r="E3716" s="4"/>
      <c r="F3716" s="4"/>
      <c r="G3716" s="5"/>
      <c r="H3716" s="6"/>
      <c r="I3716" s="7"/>
      <c r="J3716" s="6"/>
      <c r="K3716" s="6"/>
      <c r="L3716" s="3"/>
      <c r="M3716" s="3" t="str">
        <f>IFERROR(__xludf.DUMMYFUNCTION("""COMPUTED_VALUE"""),"")</f>
        <v/>
      </c>
    </row>
    <row r="3717" ht="48.0" customHeight="1">
      <c r="A3717" s="3"/>
      <c r="B3717" s="4"/>
      <c r="C3717" s="4"/>
      <c r="D3717" s="4"/>
      <c r="E3717" s="4"/>
      <c r="F3717" s="4"/>
      <c r="G3717" s="5"/>
      <c r="H3717" s="6"/>
      <c r="I3717" s="7"/>
      <c r="J3717" s="6"/>
      <c r="K3717" s="6"/>
      <c r="L3717" s="3"/>
      <c r="M3717" s="3" t="str">
        <f>IFERROR(__xludf.DUMMYFUNCTION("""COMPUTED_VALUE"""),"")</f>
        <v/>
      </c>
    </row>
    <row r="3718" ht="48.0" customHeight="1">
      <c r="A3718" s="3"/>
      <c r="B3718" s="4"/>
      <c r="C3718" s="4"/>
      <c r="D3718" s="4"/>
      <c r="E3718" s="4"/>
      <c r="F3718" s="4"/>
      <c r="G3718" s="5"/>
      <c r="H3718" s="6"/>
      <c r="I3718" s="7"/>
      <c r="J3718" s="6"/>
      <c r="K3718" s="6"/>
      <c r="L3718" s="3"/>
      <c r="M3718" s="3" t="str">
        <f>IFERROR(__xludf.DUMMYFUNCTION("""COMPUTED_VALUE"""),"")</f>
        <v/>
      </c>
    </row>
    <row r="3719" ht="48.0" customHeight="1">
      <c r="A3719" s="3"/>
      <c r="B3719" s="4"/>
      <c r="C3719" s="4"/>
      <c r="D3719" s="4"/>
      <c r="E3719" s="4"/>
      <c r="F3719" s="4"/>
      <c r="G3719" s="5"/>
      <c r="H3719" s="6"/>
      <c r="I3719" s="7"/>
      <c r="J3719" s="6"/>
      <c r="K3719" s="6"/>
      <c r="L3719" s="3"/>
      <c r="M3719" s="3" t="str">
        <f>IFERROR(__xludf.DUMMYFUNCTION("""COMPUTED_VALUE"""),"")</f>
        <v/>
      </c>
    </row>
    <row r="3720" ht="48.0" customHeight="1">
      <c r="A3720" s="3"/>
      <c r="B3720" s="4"/>
      <c r="C3720" s="4"/>
      <c r="D3720" s="4"/>
      <c r="E3720" s="4"/>
      <c r="F3720" s="4"/>
      <c r="G3720" s="5"/>
      <c r="H3720" s="6"/>
      <c r="I3720" s="7"/>
      <c r="J3720" s="6"/>
      <c r="K3720" s="6"/>
      <c r="L3720" s="3"/>
      <c r="M3720" s="3" t="str">
        <f>IFERROR(__xludf.DUMMYFUNCTION("""COMPUTED_VALUE"""),"")</f>
        <v/>
      </c>
    </row>
    <row r="3721" ht="48.0" customHeight="1">
      <c r="A3721" s="3"/>
      <c r="B3721" s="4"/>
      <c r="C3721" s="4"/>
      <c r="D3721" s="4"/>
      <c r="E3721" s="4"/>
      <c r="F3721" s="4"/>
      <c r="G3721" s="5"/>
      <c r="H3721" s="6"/>
      <c r="I3721" s="7"/>
      <c r="J3721" s="6"/>
      <c r="K3721" s="6"/>
      <c r="L3721" s="3"/>
      <c r="M3721" s="3" t="str">
        <f>IFERROR(__xludf.DUMMYFUNCTION("""COMPUTED_VALUE"""),"")</f>
        <v/>
      </c>
    </row>
    <row r="3722" ht="48.0" customHeight="1">
      <c r="A3722" s="3"/>
      <c r="B3722" s="4"/>
      <c r="C3722" s="4"/>
      <c r="D3722" s="4"/>
      <c r="E3722" s="4"/>
      <c r="F3722" s="4"/>
      <c r="G3722" s="5"/>
      <c r="H3722" s="6"/>
      <c r="I3722" s="7"/>
      <c r="J3722" s="6"/>
      <c r="K3722" s="6"/>
      <c r="L3722" s="3"/>
      <c r="M3722" s="3" t="str">
        <f>IFERROR(__xludf.DUMMYFUNCTION("""COMPUTED_VALUE"""),"")</f>
        <v/>
      </c>
    </row>
    <row r="3723" ht="48.0" customHeight="1">
      <c r="A3723" s="3"/>
      <c r="B3723" s="4"/>
      <c r="C3723" s="4"/>
      <c r="D3723" s="4"/>
      <c r="E3723" s="4"/>
      <c r="F3723" s="4"/>
      <c r="G3723" s="5"/>
      <c r="H3723" s="6"/>
      <c r="I3723" s="7"/>
      <c r="J3723" s="6"/>
      <c r="K3723" s="6"/>
      <c r="L3723" s="3"/>
      <c r="M3723" s="3" t="str">
        <f>IFERROR(__xludf.DUMMYFUNCTION("""COMPUTED_VALUE"""),"")</f>
        <v/>
      </c>
    </row>
    <row r="3724" ht="48.0" customHeight="1">
      <c r="A3724" s="3"/>
      <c r="B3724" s="4"/>
      <c r="C3724" s="4"/>
      <c r="D3724" s="4"/>
      <c r="E3724" s="4"/>
      <c r="F3724" s="4"/>
      <c r="G3724" s="5"/>
      <c r="H3724" s="6"/>
      <c r="I3724" s="7"/>
      <c r="J3724" s="6"/>
      <c r="K3724" s="6"/>
      <c r="L3724" s="3"/>
      <c r="M3724" s="3" t="str">
        <f>IFERROR(__xludf.DUMMYFUNCTION("""COMPUTED_VALUE"""),"")</f>
        <v/>
      </c>
    </row>
    <row r="3725" ht="48.0" customHeight="1">
      <c r="A3725" s="3"/>
      <c r="B3725" s="4"/>
      <c r="C3725" s="4"/>
      <c r="D3725" s="4"/>
      <c r="E3725" s="4"/>
      <c r="F3725" s="4"/>
      <c r="G3725" s="5"/>
      <c r="H3725" s="6"/>
      <c r="I3725" s="7"/>
      <c r="J3725" s="6"/>
      <c r="K3725" s="6"/>
      <c r="L3725" s="3"/>
      <c r="M3725" s="3" t="str">
        <f>IFERROR(__xludf.DUMMYFUNCTION("""COMPUTED_VALUE"""),"")</f>
        <v/>
      </c>
    </row>
    <row r="3726" ht="48.0" customHeight="1">
      <c r="A3726" s="3"/>
      <c r="B3726" s="4"/>
      <c r="C3726" s="4"/>
      <c r="D3726" s="4"/>
      <c r="E3726" s="4"/>
      <c r="F3726" s="4"/>
      <c r="G3726" s="5"/>
      <c r="H3726" s="6"/>
      <c r="I3726" s="7"/>
      <c r="J3726" s="6"/>
      <c r="K3726" s="6"/>
      <c r="L3726" s="3"/>
      <c r="M3726" s="3" t="str">
        <f>IFERROR(__xludf.DUMMYFUNCTION("""COMPUTED_VALUE"""),"")</f>
        <v/>
      </c>
    </row>
    <row r="3727" ht="48.0" customHeight="1">
      <c r="A3727" s="3"/>
      <c r="B3727" s="4"/>
      <c r="C3727" s="4"/>
      <c r="D3727" s="4"/>
      <c r="E3727" s="4"/>
      <c r="F3727" s="4"/>
      <c r="G3727" s="5"/>
      <c r="H3727" s="6"/>
      <c r="I3727" s="7"/>
      <c r="J3727" s="6"/>
      <c r="K3727" s="6"/>
      <c r="L3727" s="3"/>
      <c r="M3727" s="3" t="str">
        <f>IFERROR(__xludf.DUMMYFUNCTION("""COMPUTED_VALUE"""),"")</f>
        <v/>
      </c>
    </row>
    <row r="3728" ht="48.0" customHeight="1">
      <c r="A3728" s="3"/>
      <c r="B3728" s="4"/>
      <c r="C3728" s="4"/>
      <c r="D3728" s="4"/>
      <c r="E3728" s="4"/>
      <c r="F3728" s="4"/>
      <c r="G3728" s="5"/>
      <c r="H3728" s="6"/>
      <c r="I3728" s="7"/>
      <c r="J3728" s="6"/>
      <c r="K3728" s="6"/>
      <c r="L3728" s="3"/>
      <c r="M3728" s="3" t="str">
        <f>IFERROR(__xludf.DUMMYFUNCTION("""COMPUTED_VALUE"""),"")</f>
        <v/>
      </c>
    </row>
    <row r="3729" ht="48.0" customHeight="1">
      <c r="A3729" s="3"/>
      <c r="B3729" s="4"/>
      <c r="C3729" s="4"/>
      <c r="D3729" s="4"/>
      <c r="E3729" s="4"/>
      <c r="F3729" s="4"/>
      <c r="G3729" s="5"/>
      <c r="H3729" s="6"/>
      <c r="I3729" s="7"/>
      <c r="J3729" s="6"/>
      <c r="K3729" s="6"/>
      <c r="L3729" s="3"/>
      <c r="M3729" s="3" t="str">
        <f>IFERROR(__xludf.DUMMYFUNCTION("""COMPUTED_VALUE"""),"")</f>
        <v/>
      </c>
    </row>
    <row r="3730" ht="48.0" customHeight="1">
      <c r="A3730" s="3"/>
      <c r="B3730" s="4"/>
      <c r="C3730" s="4"/>
      <c r="D3730" s="4"/>
      <c r="E3730" s="4"/>
      <c r="F3730" s="4"/>
      <c r="G3730" s="5"/>
      <c r="H3730" s="6"/>
      <c r="I3730" s="7"/>
      <c r="J3730" s="6"/>
      <c r="K3730" s="6"/>
      <c r="L3730" s="3"/>
      <c r="M3730" s="3" t="str">
        <f>IFERROR(__xludf.DUMMYFUNCTION("""COMPUTED_VALUE"""),"")</f>
        <v/>
      </c>
    </row>
    <row r="3731" ht="48.0" customHeight="1">
      <c r="A3731" s="3"/>
      <c r="B3731" s="4"/>
      <c r="C3731" s="4"/>
      <c r="D3731" s="4"/>
      <c r="E3731" s="4"/>
      <c r="F3731" s="4"/>
      <c r="G3731" s="5"/>
      <c r="H3731" s="6"/>
      <c r="I3731" s="7"/>
      <c r="J3731" s="6"/>
      <c r="K3731" s="6"/>
      <c r="L3731" s="3"/>
      <c r="M3731" s="3" t="str">
        <f>IFERROR(__xludf.DUMMYFUNCTION("""COMPUTED_VALUE"""),"")</f>
        <v/>
      </c>
    </row>
    <row r="3732" ht="48.0" customHeight="1">
      <c r="A3732" s="3"/>
      <c r="B3732" s="4"/>
      <c r="C3732" s="4"/>
      <c r="D3732" s="4"/>
      <c r="E3732" s="4"/>
      <c r="F3732" s="4"/>
      <c r="G3732" s="5"/>
      <c r="H3732" s="6"/>
      <c r="I3732" s="7"/>
      <c r="J3732" s="6"/>
      <c r="K3732" s="6"/>
      <c r="L3732" s="3"/>
      <c r="M3732" s="3" t="str">
        <f>IFERROR(__xludf.DUMMYFUNCTION("""COMPUTED_VALUE"""),"")</f>
        <v/>
      </c>
    </row>
    <row r="3733" ht="48.0" customHeight="1">
      <c r="A3733" s="3"/>
      <c r="B3733" s="4"/>
      <c r="C3733" s="4"/>
      <c r="D3733" s="4"/>
      <c r="E3733" s="4"/>
      <c r="F3733" s="4"/>
      <c r="G3733" s="5"/>
      <c r="H3733" s="6"/>
      <c r="I3733" s="7"/>
      <c r="J3733" s="6"/>
      <c r="K3733" s="6"/>
      <c r="L3733" s="3"/>
      <c r="M3733" s="3" t="str">
        <f>IFERROR(__xludf.DUMMYFUNCTION("""COMPUTED_VALUE"""),"")</f>
        <v/>
      </c>
    </row>
    <row r="3734" ht="48.0" customHeight="1">
      <c r="A3734" s="3"/>
      <c r="B3734" s="4"/>
      <c r="C3734" s="4"/>
      <c r="D3734" s="4"/>
      <c r="E3734" s="4"/>
      <c r="F3734" s="4"/>
      <c r="G3734" s="5"/>
      <c r="H3734" s="6"/>
      <c r="I3734" s="7"/>
      <c r="J3734" s="6"/>
      <c r="K3734" s="6"/>
      <c r="L3734" s="3"/>
      <c r="M3734" s="3" t="str">
        <f>IFERROR(__xludf.DUMMYFUNCTION("""COMPUTED_VALUE"""),"")</f>
        <v/>
      </c>
    </row>
    <row r="3735" ht="48.0" customHeight="1">
      <c r="A3735" s="3"/>
      <c r="B3735" s="4"/>
      <c r="C3735" s="4"/>
      <c r="D3735" s="4"/>
      <c r="E3735" s="4"/>
      <c r="F3735" s="4"/>
      <c r="G3735" s="5"/>
      <c r="H3735" s="6"/>
      <c r="I3735" s="7"/>
      <c r="J3735" s="6"/>
      <c r="K3735" s="6"/>
      <c r="L3735" s="3"/>
      <c r="M3735" s="3" t="str">
        <f>IFERROR(__xludf.DUMMYFUNCTION("""COMPUTED_VALUE"""),"")</f>
        <v/>
      </c>
    </row>
    <row r="3736" ht="48.0" customHeight="1">
      <c r="A3736" s="3"/>
      <c r="B3736" s="4"/>
      <c r="C3736" s="4"/>
      <c r="D3736" s="4"/>
      <c r="E3736" s="4"/>
      <c r="F3736" s="4"/>
      <c r="G3736" s="5"/>
      <c r="H3736" s="6"/>
      <c r="I3736" s="7"/>
      <c r="J3736" s="6"/>
      <c r="K3736" s="6"/>
      <c r="L3736" s="3"/>
      <c r="M3736" s="3" t="str">
        <f>IFERROR(__xludf.DUMMYFUNCTION("""COMPUTED_VALUE"""),"")</f>
        <v/>
      </c>
    </row>
    <row r="3737" ht="48.0" customHeight="1">
      <c r="A3737" s="3"/>
      <c r="B3737" s="4"/>
      <c r="C3737" s="4"/>
      <c r="D3737" s="4"/>
      <c r="E3737" s="4"/>
      <c r="F3737" s="4"/>
      <c r="G3737" s="5"/>
      <c r="H3737" s="6"/>
      <c r="I3737" s="7"/>
      <c r="J3737" s="6"/>
      <c r="K3737" s="6"/>
      <c r="L3737" s="3"/>
      <c r="M3737" s="3" t="str">
        <f>IFERROR(__xludf.DUMMYFUNCTION("""COMPUTED_VALUE"""),"")</f>
        <v/>
      </c>
    </row>
    <row r="3738" ht="48.0" customHeight="1">
      <c r="A3738" s="3"/>
      <c r="B3738" s="4"/>
      <c r="C3738" s="4"/>
      <c r="D3738" s="4"/>
      <c r="E3738" s="4"/>
      <c r="F3738" s="4"/>
      <c r="G3738" s="5"/>
      <c r="H3738" s="6"/>
      <c r="I3738" s="7"/>
      <c r="J3738" s="6"/>
      <c r="K3738" s="6"/>
      <c r="L3738" s="3"/>
      <c r="M3738" s="3" t="str">
        <f>IFERROR(__xludf.DUMMYFUNCTION("""COMPUTED_VALUE"""),"")</f>
        <v/>
      </c>
    </row>
    <row r="3739" ht="48.0" customHeight="1">
      <c r="A3739" s="3"/>
      <c r="B3739" s="4"/>
      <c r="C3739" s="4"/>
      <c r="D3739" s="4"/>
      <c r="E3739" s="4"/>
      <c r="F3739" s="4"/>
      <c r="G3739" s="5"/>
      <c r="H3739" s="6"/>
      <c r="I3739" s="7"/>
      <c r="J3739" s="6"/>
      <c r="K3739" s="6"/>
      <c r="L3739" s="3"/>
      <c r="M3739" s="3" t="str">
        <f>IFERROR(__xludf.DUMMYFUNCTION("""COMPUTED_VALUE"""),"")</f>
        <v/>
      </c>
    </row>
    <row r="3740" ht="48.0" customHeight="1">
      <c r="A3740" s="3"/>
      <c r="B3740" s="4"/>
      <c r="C3740" s="4"/>
      <c r="D3740" s="4"/>
      <c r="E3740" s="4"/>
      <c r="F3740" s="4"/>
      <c r="G3740" s="5"/>
      <c r="H3740" s="6"/>
      <c r="I3740" s="7"/>
      <c r="J3740" s="6"/>
      <c r="K3740" s="6"/>
      <c r="L3740" s="3"/>
      <c r="M3740" s="3" t="str">
        <f>IFERROR(__xludf.DUMMYFUNCTION("""COMPUTED_VALUE"""),"")</f>
        <v/>
      </c>
    </row>
    <row r="3741" ht="48.0" customHeight="1">
      <c r="A3741" s="3"/>
      <c r="B3741" s="4"/>
      <c r="C3741" s="4"/>
      <c r="D3741" s="4"/>
      <c r="E3741" s="4"/>
      <c r="F3741" s="4"/>
      <c r="G3741" s="5"/>
      <c r="H3741" s="6"/>
      <c r="I3741" s="7"/>
      <c r="J3741" s="6"/>
      <c r="K3741" s="6"/>
      <c r="L3741" s="3"/>
      <c r="M3741" s="3" t="str">
        <f>IFERROR(__xludf.DUMMYFUNCTION("""COMPUTED_VALUE"""),"")</f>
        <v/>
      </c>
    </row>
    <row r="3742" ht="48.0" customHeight="1">
      <c r="A3742" s="3"/>
      <c r="B3742" s="4"/>
      <c r="C3742" s="4"/>
      <c r="D3742" s="4"/>
      <c r="E3742" s="4"/>
      <c r="F3742" s="4"/>
      <c r="G3742" s="5"/>
      <c r="H3742" s="6"/>
      <c r="I3742" s="7"/>
      <c r="J3742" s="6"/>
      <c r="K3742" s="6"/>
      <c r="L3742" s="3"/>
      <c r="M3742" s="3" t="str">
        <f>IFERROR(__xludf.DUMMYFUNCTION("""COMPUTED_VALUE"""),"")</f>
        <v/>
      </c>
    </row>
    <row r="3743" ht="48.0" customHeight="1">
      <c r="A3743" s="3"/>
      <c r="B3743" s="4"/>
      <c r="C3743" s="4"/>
      <c r="D3743" s="4"/>
      <c r="E3743" s="4"/>
      <c r="F3743" s="4"/>
      <c r="G3743" s="5"/>
      <c r="H3743" s="6"/>
      <c r="I3743" s="7"/>
      <c r="J3743" s="6"/>
      <c r="K3743" s="6"/>
      <c r="L3743" s="3"/>
      <c r="M3743" s="3" t="str">
        <f>IFERROR(__xludf.DUMMYFUNCTION("""COMPUTED_VALUE"""),"")</f>
        <v/>
      </c>
    </row>
    <row r="3744" ht="48.0" customHeight="1">
      <c r="A3744" s="3"/>
      <c r="B3744" s="4"/>
      <c r="C3744" s="4"/>
      <c r="D3744" s="4"/>
      <c r="E3744" s="4"/>
      <c r="F3744" s="4"/>
      <c r="G3744" s="5"/>
      <c r="H3744" s="6"/>
      <c r="I3744" s="7"/>
      <c r="J3744" s="6"/>
      <c r="K3744" s="6"/>
      <c r="L3744" s="3"/>
      <c r="M3744" s="3" t="str">
        <f>IFERROR(__xludf.DUMMYFUNCTION("""COMPUTED_VALUE"""),"")</f>
        <v/>
      </c>
    </row>
    <row r="3745" ht="48.0" customHeight="1">
      <c r="A3745" s="3"/>
      <c r="B3745" s="4"/>
      <c r="C3745" s="4"/>
      <c r="D3745" s="4"/>
      <c r="E3745" s="4"/>
      <c r="F3745" s="4"/>
      <c r="G3745" s="5"/>
      <c r="H3745" s="6"/>
      <c r="I3745" s="7"/>
      <c r="J3745" s="6"/>
      <c r="K3745" s="6"/>
      <c r="L3745" s="3"/>
      <c r="M3745" s="3" t="str">
        <f>IFERROR(__xludf.DUMMYFUNCTION("""COMPUTED_VALUE"""),"")</f>
        <v/>
      </c>
    </row>
    <row r="3746" ht="48.0" customHeight="1">
      <c r="A3746" s="3"/>
      <c r="B3746" s="4"/>
      <c r="C3746" s="4"/>
      <c r="D3746" s="4"/>
      <c r="E3746" s="4"/>
      <c r="F3746" s="4"/>
      <c r="G3746" s="5"/>
      <c r="H3746" s="6"/>
      <c r="I3746" s="7"/>
      <c r="J3746" s="6"/>
      <c r="K3746" s="6"/>
      <c r="L3746" s="3"/>
      <c r="M3746" s="3" t="str">
        <f>IFERROR(__xludf.DUMMYFUNCTION("""COMPUTED_VALUE"""),"")</f>
        <v/>
      </c>
    </row>
    <row r="3747" ht="48.0" customHeight="1">
      <c r="A3747" s="3"/>
      <c r="B3747" s="4"/>
      <c r="C3747" s="4"/>
      <c r="D3747" s="4"/>
      <c r="E3747" s="4"/>
      <c r="F3747" s="4"/>
      <c r="G3747" s="5"/>
      <c r="H3747" s="6"/>
      <c r="I3747" s="7"/>
      <c r="J3747" s="6"/>
      <c r="K3747" s="6"/>
      <c r="L3747" s="3"/>
      <c r="M3747" s="3" t="str">
        <f>IFERROR(__xludf.DUMMYFUNCTION("""COMPUTED_VALUE"""),"")</f>
        <v/>
      </c>
    </row>
    <row r="3748" ht="48.0" customHeight="1">
      <c r="A3748" s="3"/>
      <c r="B3748" s="4"/>
      <c r="C3748" s="4"/>
      <c r="D3748" s="4"/>
      <c r="E3748" s="4"/>
      <c r="F3748" s="4"/>
      <c r="G3748" s="5"/>
      <c r="H3748" s="6"/>
      <c r="I3748" s="7"/>
      <c r="J3748" s="6"/>
      <c r="K3748" s="6"/>
      <c r="L3748" s="3"/>
      <c r="M3748" s="3" t="str">
        <f>IFERROR(__xludf.DUMMYFUNCTION("""COMPUTED_VALUE"""),"")</f>
        <v/>
      </c>
    </row>
    <row r="3749" ht="48.0" customHeight="1">
      <c r="A3749" s="3"/>
      <c r="B3749" s="4"/>
      <c r="C3749" s="4"/>
      <c r="D3749" s="4"/>
      <c r="E3749" s="4"/>
      <c r="F3749" s="4"/>
      <c r="G3749" s="5"/>
      <c r="H3749" s="6"/>
      <c r="I3749" s="7"/>
      <c r="J3749" s="6"/>
      <c r="K3749" s="6"/>
      <c r="L3749" s="3"/>
      <c r="M3749" s="3" t="str">
        <f>IFERROR(__xludf.DUMMYFUNCTION("""COMPUTED_VALUE"""),"")</f>
        <v/>
      </c>
    </row>
    <row r="3750" ht="48.0" customHeight="1">
      <c r="A3750" s="3"/>
      <c r="B3750" s="4"/>
      <c r="C3750" s="4"/>
      <c r="D3750" s="4"/>
      <c r="E3750" s="4"/>
      <c r="F3750" s="4"/>
      <c r="G3750" s="5"/>
      <c r="H3750" s="6"/>
      <c r="I3750" s="7"/>
      <c r="J3750" s="6"/>
      <c r="K3750" s="6"/>
      <c r="L3750" s="3"/>
      <c r="M3750" s="3" t="str">
        <f>IFERROR(__xludf.DUMMYFUNCTION("""COMPUTED_VALUE"""),"")</f>
        <v/>
      </c>
    </row>
    <row r="3751" ht="48.0" customHeight="1">
      <c r="A3751" s="3"/>
      <c r="B3751" s="4"/>
      <c r="C3751" s="4"/>
      <c r="D3751" s="4"/>
      <c r="E3751" s="4"/>
      <c r="F3751" s="4"/>
      <c r="G3751" s="5"/>
      <c r="H3751" s="6"/>
      <c r="I3751" s="7"/>
      <c r="J3751" s="6"/>
      <c r="K3751" s="6"/>
      <c r="L3751" s="3"/>
      <c r="M3751" s="3" t="str">
        <f>IFERROR(__xludf.DUMMYFUNCTION("""COMPUTED_VALUE"""),"")</f>
        <v/>
      </c>
    </row>
    <row r="3752" ht="48.0" customHeight="1">
      <c r="A3752" s="3"/>
      <c r="B3752" s="4"/>
      <c r="C3752" s="4"/>
      <c r="D3752" s="4"/>
      <c r="E3752" s="4"/>
      <c r="F3752" s="4"/>
      <c r="G3752" s="5"/>
      <c r="H3752" s="6"/>
      <c r="I3752" s="7"/>
      <c r="J3752" s="6"/>
      <c r="K3752" s="6"/>
      <c r="L3752" s="3"/>
      <c r="M3752" s="3" t="str">
        <f>IFERROR(__xludf.DUMMYFUNCTION("""COMPUTED_VALUE"""),"")</f>
        <v/>
      </c>
    </row>
    <row r="3753" ht="48.0" customHeight="1">
      <c r="A3753" s="3"/>
      <c r="B3753" s="4"/>
      <c r="C3753" s="4"/>
      <c r="D3753" s="4"/>
      <c r="E3753" s="4"/>
      <c r="F3753" s="4"/>
      <c r="G3753" s="5"/>
      <c r="H3753" s="6"/>
      <c r="I3753" s="7"/>
      <c r="J3753" s="6"/>
      <c r="K3753" s="6"/>
      <c r="L3753" s="3"/>
      <c r="M3753" s="3" t="str">
        <f>IFERROR(__xludf.DUMMYFUNCTION("""COMPUTED_VALUE"""),"")</f>
        <v/>
      </c>
    </row>
    <row r="3754" ht="48.0" customHeight="1">
      <c r="A3754" s="3"/>
      <c r="B3754" s="4"/>
      <c r="C3754" s="4"/>
      <c r="D3754" s="4"/>
      <c r="E3754" s="4"/>
      <c r="F3754" s="4"/>
      <c r="G3754" s="5"/>
      <c r="H3754" s="6"/>
      <c r="I3754" s="7"/>
      <c r="J3754" s="6"/>
      <c r="K3754" s="6"/>
      <c r="L3754" s="3"/>
      <c r="M3754" s="3" t="str">
        <f>IFERROR(__xludf.DUMMYFUNCTION("""COMPUTED_VALUE"""),"")</f>
        <v/>
      </c>
    </row>
    <row r="3755" ht="48.0" customHeight="1">
      <c r="A3755" s="3"/>
      <c r="B3755" s="4"/>
      <c r="C3755" s="4"/>
      <c r="D3755" s="4"/>
      <c r="E3755" s="4"/>
      <c r="F3755" s="4"/>
      <c r="G3755" s="5"/>
      <c r="H3755" s="6"/>
      <c r="I3755" s="7"/>
      <c r="J3755" s="6"/>
      <c r="K3755" s="6"/>
      <c r="L3755" s="3"/>
      <c r="M3755" s="3" t="str">
        <f>IFERROR(__xludf.DUMMYFUNCTION("""COMPUTED_VALUE"""),"")</f>
        <v/>
      </c>
    </row>
    <row r="3756" ht="48.0" customHeight="1">
      <c r="A3756" s="3"/>
      <c r="B3756" s="4"/>
      <c r="C3756" s="4"/>
      <c r="D3756" s="4"/>
      <c r="E3756" s="4"/>
      <c r="F3756" s="4"/>
      <c r="G3756" s="5"/>
      <c r="H3756" s="6"/>
      <c r="I3756" s="7"/>
      <c r="J3756" s="6"/>
      <c r="K3756" s="6"/>
      <c r="L3756" s="3"/>
      <c r="M3756" s="3" t="str">
        <f>IFERROR(__xludf.DUMMYFUNCTION("""COMPUTED_VALUE"""),"")</f>
        <v/>
      </c>
    </row>
    <row r="3757" ht="48.0" customHeight="1">
      <c r="A3757" s="3"/>
      <c r="B3757" s="4"/>
      <c r="C3757" s="4"/>
      <c r="D3757" s="4"/>
      <c r="E3757" s="4"/>
      <c r="F3757" s="4"/>
      <c r="G3757" s="5"/>
      <c r="H3757" s="6"/>
      <c r="I3757" s="7"/>
      <c r="J3757" s="6"/>
      <c r="K3757" s="6"/>
      <c r="L3757" s="3"/>
      <c r="M3757" s="3" t="str">
        <f>IFERROR(__xludf.DUMMYFUNCTION("""COMPUTED_VALUE"""),"")</f>
        <v/>
      </c>
    </row>
    <row r="3758" ht="48.0" customHeight="1">
      <c r="A3758" s="3"/>
      <c r="B3758" s="4"/>
      <c r="C3758" s="4"/>
      <c r="D3758" s="4"/>
      <c r="E3758" s="4"/>
      <c r="F3758" s="4"/>
      <c r="G3758" s="5"/>
      <c r="H3758" s="6"/>
      <c r="I3758" s="7"/>
      <c r="J3758" s="6"/>
      <c r="K3758" s="6"/>
      <c r="L3758" s="3"/>
      <c r="M3758" s="3" t="str">
        <f>IFERROR(__xludf.DUMMYFUNCTION("""COMPUTED_VALUE"""),"")</f>
        <v/>
      </c>
    </row>
    <row r="3759" ht="48.0" customHeight="1">
      <c r="A3759" s="3"/>
      <c r="B3759" s="4"/>
      <c r="C3759" s="4"/>
      <c r="D3759" s="4"/>
      <c r="E3759" s="4"/>
      <c r="F3759" s="4"/>
      <c r="G3759" s="5"/>
      <c r="H3759" s="6"/>
      <c r="I3759" s="7"/>
      <c r="J3759" s="6"/>
      <c r="K3759" s="6"/>
      <c r="L3759" s="3"/>
      <c r="M3759" s="3" t="str">
        <f>IFERROR(__xludf.DUMMYFUNCTION("""COMPUTED_VALUE"""),"")</f>
        <v/>
      </c>
    </row>
    <row r="3760" ht="48.0" customHeight="1">
      <c r="A3760" s="3"/>
      <c r="B3760" s="4"/>
      <c r="C3760" s="4"/>
      <c r="D3760" s="4"/>
      <c r="E3760" s="4"/>
      <c r="F3760" s="4"/>
      <c r="G3760" s="5"/>
      <c r="H3760" s="6"/>
      <c r="I3760" s="7"/>
      <c r="J3760" s="6"/>
      <c r="K3760" s="6"/>
      <c r="L3760" s="3"/>
      <c r="M3760" s="3" t="str">
        <f>IFERROR(__xludf.DUMMYFUNCTION("""COMPUTED_VALUE"""),"")</f>
        <v/>
      </c>
    </row>
    <row r="3761" ht="48.0" customHeight="1">
      <c r="A3761" s="3"/>
      <c r="B3761" s="4"/>
      <c r="C3761" s="4"/>
      <c r="D3761" s="4"/>
      <c r="E3761" s="4"/>
      <c r="F3761" s="4"/>
      <c r="G3761" s="5"/>
      <c r="H3761" s="6"/>
      <c r="I3761" s="7"/>
      <c r="J3761" s="6"/>
      <c r="K3761" s="6"/>
      <c r="L3761" s="3"/>
      <c r="M3761" s="3" t="str">
        <f>IFERROR(__xludf.DUMMYFUNCTION("""COMPUTED_VALUE"""),"")</f>
        <v/>
      </c>
    </row>
    <row r="3762" ht="48.0" customHeight="1">
      <c r="A3762" s="3"/>
      <c r="B3762" s="4"/>
      <c r="C3762" s="4"/>
      <c r="D3762" s="4"/>
      <c r="E3762" s="4"/>
      <c r="F3762" s="4"/>
      <c r="G3762" s="5"/>
      <c r="H3762" s="6"/>
      <c r="I3762" s="7"/>
      <c r="J3762" s="6"/>
      <c r="K3762" s="6"/>
      <c r="L3762" s="3"/>
      <c r="M3762" s="3" t="str">
        <f>IFERROR(__xludf.DUMMYFUNCTION("""COMPUTED_VALUE"""),"")</f>
        <v/>
      </c>
    </row>
    <row r="3763" ht="48.0" customHeight="1">
      <c r="A3763" s="3"/>
      <c r="B3763" s="4"/>
      <c r="C3763" s="4"/>
      <c r="D3763" s="4"/>
      <c r="E3763" s="4"/>
      <c r="F3763" s="4"/>
      <c r="G3763" s="5"/>
      <c r="H3763" s="6"/>
      <c r="I3763" s="7"/>
      <c r="J3763" s="6"/>
      <c r="K3763" s="6"/>
      <c r="L3763" s="3"/>
      <c r="M3763" s="3" t="str">
        <f>IFERROR(__xludf.DUMMYFUNCTION("""COMPUTED_VALUE"""),"")</f>
        <v/>
      </c>
    </row>
    <row r="3764" ht="48.0" customHeight="1">
      <c r="A3764" s="3"/>
      <c r="B3764" s="4"/>
      <c r="C3764" s="4"/>
      <c r="D3764" s="4"/>
      <c r="E3764" s="4"/>
      <c r="F3764" s="4"/>
      <c r="G3764" s="5"/>
      <c r="H3764" s="6"/>
      <c r="I3764" s="7"/>
      <c r="J3764" s="6"/>
      <c r="K3764" s="6"/>
      <c r="L3764" s="3"/>
      <c r="M3764" s="3" t="str">
        <f>IFERROR(__xludf.DUMMYFUNCTION("""COMPUTED_VALUE"""),"")</f>
        <v/>
      </c>
    </row>
    <row r="3765" ht="48.0" customHeight="1">
      <c r="A3765" s="3"/>
      <c r="B3765" s="4"/>
      <c r="C3765" s="4"/>
      <c r="D3765" s="4"/>
      <c r="E3765" s="4"/>
      <c r="F3765" s="4"/>
      <c r="G3765" s="5"/>
      <c r="H3765" s="6"/>
      <c r="I3765" s="7"/>
      <c r="J3765" s="6"/>
      <c r="K3765" s="6"/>
      <c r="L3765" s="3"/>
      <c r="M3765" s="3" t="str">
        <f>IFERROR(__xludf.DUMMYFUNCTION("""COMPUTED_VALUE"""),"")</f>
        <v/>
      </c>
    </row>
    <row r="3766" ht="48.0" customHeight="1">
      <c r="A3766" s="3"/>
      <c r="B3766" s="4"/>
      <c r="C3766" s="4"/>
      <c r="D3766" s="4"/>
      <c r="E3766" s="4"/>
      <c r="F3766" s="4"/>
      <c r="G3766" s="5"/>
      <c r="H3766" s="6"/>
      <c r="I3766" s="7"/>
      <c r="J3766" s="6"/>
      <c r="K3766" s="6"/>
      <c r="L3766" s="3"/>
      <c r="M3766" s="3" t="str">
        <f>IFERROR(__xludf.DUMMYFUNCTION("""COMPUTED_VALUE"""),"")</f>
        <v/>
      </c>
    </row>
    <row r="3767" ht="48.0" customHeight="1">
      <c r="A3767" s="3"/>
      <c r="B3767" s="4"/>
      <c r="C3767" s="4"/>
      <c r="D3767" s="4"/>
      <c r="E3767" s="4"/>
      <c r="F3767" s="4"/>
      <c r="G3767" s="5"/>
      <c r="H3767" s="6"/>
      <c r="I3767" s="7"/>
      <c r="J3767" s="6"/>
      <c r="K3767" s="6"/>
      <c r="L3767" s="3"/>
      <c r="M3767" s="3" t="str">
        <f>IFERROR(__xludf.DUMMYFUNCTION("""COMPUTED_VALUE"""),"")</f>
        <v/>
      </c>
    </row>
    <row r="3768" ht="48.0" customHeight="1">
      <c r="A3768" s="3"/>
      <c r="B3768" s="4"/>
      <c r="C3768" s="4"/>
      <c r="D3768" s="4"/>
      <c r="E3768" s="4"/>
      <c r="F3768" s="4"/>
      <c r="G3768" s="5"/>
      <c r="H3768" s="6"/>
      <c r="I3768" s="7"/>
      <c r="J3768" s="6"/>
      <c r="K3768" s="6"/>
      <c r="L3768" s="3"/>
      <c r="M3768" s="3" t="str">
        <f>IFERROR(__xludf.DUMMYFUNCTION("""COMPUTED_VALUE"""),"")</f>
        <v/>
      </c>
    </row>
    <row r="3769" ht="48.0" customHeight="1">
      <c r="A3769" s="3"/>
      <c r="B3769" s="4"/>
      <c r="C3769" s="4"/>
      <c r="D3769" s="4"/>
      <c r="E3769" s="4"/>
      <c r="F3769" s="4"/>
      <c r="G3769" s="5"/>
      <c r="H3769" s="6"/>
      <c r="I3769" s="7"/>
      <c r="J3769" s="6"/>
      <c r="K3769" s="6"/>
      <c r="L3769" s="3"/>
      <c r="M3769" s="3" t="str">
        <f>IFERROR(__xludf.DUMMYFUNCTION("""COMPUTED_VALUE"""),"")</f>
        <v/>
      </c>
    </row>
    <row r="3770" ht="48.0" customHeight="1">
      <c r="A3770" s="3"/>
      <c r="B3770" s="4"/>
      <c r="C3770" s="4"/>
      <c r="D3770" s="4"/>
      <c r="E3770" s="4"/>
      <c r="F3770" s="4"/>
      <c r="G3770" s="5"/>
      <c r="H3770" s="6"/>
      <c r="I3770" s="7"/>
      <c r="J3770" s="6"/>
      <c r="K3770" s="6"/>
      <c r="L3770" s="3"/>
      <c r="M3770" s="3" t="str">
        <f>IFERROR(__xludf.DUMMYFUNCTION("""COMPUTED_VALUE"""),"")</f>
        <v/>
      </c>
    </row>
    <row r="3771" ht="48.0" customHeight="1">
      <c r="A3771" s="3"/>
      <c r="B3771" s="4"/>
      <c r="C3771" s="4"/>
      <c r="D3771" s="4"/>
      <c r="E3771" s="4"/>
      <c r="F3771" s="4"/>
      <c r="G3771" s="5"/>
      <c r="H3771" s="6"/>
      <c r="I3771" s="7"/>
      <c r="J3771" s="6"/>
      <c r="K3771" s="6"/>
      <c r="L3771" s="3"/>
      <c r="M3771" s="3" t="str">
        <f>IFERROR(__xludf.DUMMYFUNCTION("""COMPUTED_VALUE"""),"")</f>
        <v/>
      </c>
    </row>
    <row r="3772" ht="48.0" customHeight="1">
      <c r="A3772" s="3"/>
      <c r="B3772" s="4"/>
      <c r="C3772" s="4"/>
      <c r="D3772" s="4"/>
      <c r="E3772" s="4"/>
      <c r="F3772" s="4"/>
      <c r="G3772" s="5"/>
      <c r="H3772" s="6"/>
      <c r="I3772" s="7"/>
      <c r="J3772" s="6"/>
      <c r="K3772" s="6"/>
      <c r="L3772" s="3"/>
      <c r="M3772" s="3" t="str">
        <f>IFERROR(__xludf.DUMMYFUNCTION("""COMPUTED_VALUE"""),"")</f>
        <v/>
      </c>
    </row>
    <row r="3773" ht="48.0" customHeight="1">
      <c r="A3773" s="3"/>
      <c r="B3773" s="4"/>
      <c r="C3773" s="4"/>
      <c r="D3773" s="4"/>
      <c r="E3773" s="4"/>
      <c r="F3773" s="4"/>
      <c r="G3773" s="5"/>
      <c r="H3773" s="6"/>
      <c r="I3773" s="7"/>
      <c r="J3773" s="6"/>
      <c r="K3773" s="6"/>
      <c r="L3773" s="3"/>
      <c r="M3773" s="3" t="str">
        <f>IFERROR(__xludf.DUMMYFUNCTION("""COMPUTED_VALUE"""),"")</f>
        <v/>
      </c>
    </row>
    <row r="3774" ht="48.0" customHeight="1">
      <c r="A3774" s="3"/>
      <c r="B3774" s="4"/>
      <c r="C3774" s="4"/>
      <c r="D3774" s="4"/>
      <c r="E3774" s="4"/>
      <c r="F3774" s="4"/>
      <c r="G3774" s="5"/>
      <c r="H3774" s="6"/>
      <c r="I3774" s="7"/>
      <c r="J3774" s="6"/>
      <c r="K3774" s="6"/>
      <c r="L3774" s="3"/>
      <c r="M3774" s="3" t="str">
        <f>IFERROR(__xludf.DUMMYFUNCTION("""COMPUTED_VALUE"""),"")</f>
        <v/>
      </c>
    </row>
    <row r="3775" ht="48.0" customHeight="1">
      <c r="A3775" s="3"/>
      <c r="B3775" s="4"/>
      <c r="C3775" s="4"/>
      <c r="D3775" s="4"/>
      <c r="E3775" s="4"/>
      <c r="F3775" s="4"/>
      <c r="G3775" s="5"/>
      <c r="H3775" s="6"/>
      <c r="I3775" s="7"/>
      <c r="J3775" s="6"/>
      <c r="K3775" s="6"/>
      <c r="L3775" s="3"/>
      <c r="M3775" s="3" t="str">
        <f>IFERROR(__xludf.DUMMYFUNCTION("""COMPUTED_VALUE"""),"")</f>
        <v/>
      </c>
    </row>
    <row r="3776" ht="48.0" customHeight="1">
      <c r="A3776" s="3"/>
      <c r="B3776" s="4"/>
      <c r="C3776" s="4"/>
      <c r="D3776" s="4"/>
      <c r="E3776" s="4"/>
      <c r="F3776" s="4"/>
      <c r="G3776" s="5"/>
      <c r="H3776" s="6"/>
      <c r="I3776" s="7"/>
      <c r="J3776" s="6"/>
      <c r="K3776" s="6"/>
      <c r="L3776" s="3"/>
      <c r="M3776" s="3" t="str">
        <f>IFERROR(__xludf.DUMMYFUNCTION("""COMPUTED_VALUE"""),"")</f>
        <v/>
      </c>
    </row>
    <row r="3777" ht="48.0" customHeight="1">
      <c r="A3777" s="3"/>
      <c r="B3777" s="4"/>
      <c r="C3777" s="4"/>
      <c r="D3777" s="4"/>
      <c r="E3777" s="4"/>
      <c r="F3777" s="4"/>
      <c r="G3777" s="5"/>
      <c r="H3777" s="6"/>
      <c r="I3777" s="7"/>
      <c r="J3777" s="6"/>
      <c r="K3777" s="6"/>
      <c r="L3777" s="3"/>
      <c r="M3777" s="3" t="str">
        <f>IFERROR(__xludf.DUMMYFUNCTION("""COMPUTED_VALUE"""),"")</f>
        <v/>
      </c>
    </row>
    <row r="3778" ht="48.0" customHeight="1">
      <c r="A3778" s="3"/>
      <c r="B3778" s="4"/>
      <c r="C3778" s="4"/>
      <c r="D3778" s="4"/>
      <c r="E3778" s="4"/>
      <c r="F3778" s="4"/>
      <c r="G3778" s="5"/>
      <c r="H3778" s="6"/>
      <c r="I3778" s="7"/>
      <c r="J3778" s="6"/>
      <c r="K3778" s="6"/>
      <c r="L3778" s="3"/>
      <c r="M3778" s="3" t="str">
        <f>IFERROR(__xludf.DUMMYFUNCTION("""COMPUTED_VALUE"""),"")</f>
        <v/>
      </c>
    </row>
    <row r="3779" ht="48.0" customHeight="1">
      <c r="A3779" s="3"/>
      <c r="B3779" s="4"/>
      <c r="C3779" s="4"/>
      <c r="D3779" s="4"/>
      <c r="E3779" s="4"/>
      <c r="F3779" s="4"/>
      <c r="G3779" s="5"/>
      <c r="H3779" s="6"/>
      <c r="I3779" s="7"/>
      <c r="J3779" s="6"/>
      <c r="K3779" s="6"/>
      <c r="L3779" s="3"/>
      <c r="M3779" s="3" t="str">
        <f>IFERROR(__xludf.DUMMYFUNCTION("""COMPUTED_VALUE"""),"")</f>
        <v/>
      </c>
    </row>
    <row r="3780" ht="48.0" customHeight="1">
      <c r="A3780" s="3"/>
      <c r="B3780" s="4"/>
      <c r="C3780" s="4"/>
      <c r="D3780" s="4"/>
      <c r="E3780" s="4"/>
      <c r="F3780" s="4"/>
      <c r="G3780" s="5"/>
      <c r="H3780" s="6"/>
      <c r="I3780" s="7"/>
      <c r="J3780" s="6"/>
      <c r="K3780" s="6"/>
      <c r="L3780" s="3"/>
      <c r="M3780" s="3" t="str">
        <f>IFERROR(__xludf.DUMMYFUNCTION("""COMPUTED_VALUE"""),"")</f>
        <v/>
      </c>
    </row>
    <row r="3781" ht="48.0" customHeight="1">
      <c r="A3781" s="3"/>
      <c r="B3781" s="4"/>
      <c r="C3781" s="4"/>
      <c r="D3781" s="4"/>
      <c r="E3781" s="4"/>
      <c r="F3781" s="4"/>
      <c r="G3781" s="5"/>
      <c r="H3781" s="6"/>
      <c r="I3781" s="7"/>
      <c r="J3781" s="6"/>
      <c r="K3781" s="6"/>
      <c r="L3781" s="3"/>
      <c r="M3781" s="3" t="str">
        <f>IFERROR(__xludf.DUMMYFUNCTION("""COMPUTED_VALUE"""),"")</f>
        <v/>
      </c>
    </row>
    <row r="3782" ht="48.0" customHeight="1">
      <c r="A3782" s="3"/>
      <c r="B3782" s="4"/>
      <c r="C3782" s="4"/>
      <c r="D3782" s="4"/>
      <c r="E3782" s="4"/>
      <c r="F3782" s="4"/>
      <c r="G3782" s="5"/>
      <c r="H3782" s="6"/>
      <c r="I3782" s="7"/>
      <c r="J3782" s="6"/>
      <c r="K3782" s="6"/>
      <c r="L3782" s="3"/>
      <c r="M3782" s="3" t="str">
        <f>IFERROR(__xludf.DUMMYFUNCTION("""COMPUTED_VALUE"""),"")</f>
        <v/>
      </c>
    </row>
    <row r="3783" ht="48.0" customHeight="1">
      <c r="A3783" s="3"/>
      <c r="B3783" s="4"/>
      <c r="C3783" s="4"/>
      <c r="D3783" s="4"/>
      <c r="E3783" s="4"/>
      <c r="F3783" s="4"/>
      <c r="G3783" s="5"/>
      <c r="H3783" s="6"/>
      <c r="I3783" s="7"/>
      <c r="J3783" s="6"/>
      <c r="K3783" s="6"/>
      <c r="L3783" s="3"/>
      <c r="M3783" s="3" t="str">
        <f>IFERROR(__xludf.DUMMYFUNCTION("""COMPUTED_VALUE"""),"")</f>
        <v/>
      </c>
    </row>
    <row r="3784" ht="48.0" customHeight="1">
      <c r="A3784" s="3"/>
      <c r="B3784" s="4"/>
      <c r="C3784" s="4"/>
      <c r="D3784" s="4"/>
      <c r="E3784" s="4"/>
      <c r="F3784" s="4"/>
      <c r="G3784" s="5"/>
      <c r="H3784" s="6"/>
      <c r="I3784" s="7"/>
      <c r="J3784" s="6"/>
      <c r="K3784" s="6"/>
      <c r="L3784" s="3"/>
      <c r="M3784" s="3" t="str">
        <f>IFERROR(__xludf.DUMMYFUNCTION("""COMPUTED_VALUE"""),"")</f>
        <v/>
      </c>
    </row>
    <row r="3785" ht="48.0" customHeight="1">
      <c r="A3785" s="3"/>
      <c r="B3785" s="4"/>
      <c r="C3785" s="4"/>
      <c r="D3785" s="4"/>
      <c r="E3785" s="4"/>
      <c r="F3785" s="4"/>
      <c r="G3785" s="5"/>
      <c r="H3785" s="6"/>
      <c r="I3785" s="7"/>
      <c r="J3785" s="6"/>
      <c r="K3785" s="6"/>
      <c r="L3785" s="3"/>
      <c r="M3785" s="3" t="str">
        <f>IFERROR(__xludf.DUMMYFUNCTION("""COMPUTED_VALUE"""),"")</f>
        <v/>
      </c>
    </row>
    <row r="3786" ht="48.0" customHeight="1">
      <c r="A3786" s="3"/>
      <c r="B3786" s="4"/>
      <c r="C3786" s="4"/>
      <c r="D3786" s="4"/>
      <c r="E3786" s="4"/>
      <c r="F3786" s="4"/>
      <c r="G3786" s="5"/>
      <c r="H3786" s="6"/>
      <c r="I3786" s="7"/>
      <c r="J3786" s="6"/>
      <c r="K3786" s="6"/>
      <c r="L3786" s="3"/>
      <c r="M3786" s="3" t="str">
        <f>IFERROR(__xludf.DUMMYFUNCTION("""COMPUTED_VALUE"""),"")</f>
        <v/>
      </c>
    </row>
    <row r="3787" ht="48.0" customHeight="1">
      <c r="A3787" s="3"/>
      <c r="B3787" s="4"/>
      <c r="C3787" s="4"/>
      <c r="D3787" s="4"/>
      <c r="E3787" s="4"/>
      <c r="F3787" s="4"/>
      <c r="G3787" s="5"/>
      <c r="H3787" s="6"/>
      <c r="I3787" s="7"/>
      <c r="J3787" s="6"/>
      <c r="K3787" s="6"/>
      <c r="L3787" s="3"/>
      <c r="M3787" s="3" t="str">
        <f>IFERROR(__xludf.DUMMYFUNCTION("""COMPUTED_VALUE"""),"")</f>
        <v/>
      </c>
    </row>
    <row r="3788" ht="48.0" customHeight="1">
      <c r="A3788" s="3"/>
      <c r="B3788" s="4"/>
      <c r="C3788" s="4"/>
      <c r="D3788" s="4"/>
      <c r="E3788" s="4"/>
      <c r="F3788" s="4"/>
      <c r="G3788" s="5"/>
      <c r="H3788" s="6"/>
      <c r="I3788" s="7"/>
      <c r="J3788" s="6"/>
      <c r="K3788" s="6"/>
      <c r="L3788" s="3"/>
      <c r="M3788" s="3" t="str">
        <f>IFERROR(__xludf.DUMMYFUNCTION("""COMPUTED_VALUE"""),"")</f>
        <v/>
      </c>
    </row>
    <row r="3789" ht="48.0" customHeight="1">
      <c r="A3789" s="3"/>
      <c r="B3789" s="4"/>
      <c r="C3789" s="4"/>
      <c r="D3789" s="4"/>
      <c r="E3789" s="4"/>
      <c r="F3789" s="4"/>
      <c r="G3789" s="5"/>
      <c r="H3789" s="6"/>
      <c r="I3789" s="7"/>
      <c r="J3789" s="6"/>
      <c r="K3789" s="6"/>
      <c r="L3789" s="3"/>
      <c r="M3789" s="3" t="str">
        <f>IFERROR(__xludf.DUMMYFUNCTION("""COMPUTED_VALUE"""),"")</f>
        <v/>
      </c>
    </row>
    <row r="3790" ht="48.0" customHeight="1">
      <c r="A3790" s="3"/>
      <c r="B3790" s="4"/>
      <c r="C3790" s="4"/>
      <c r="D3790" s="4"/>
      <c r="E3790" s="4"/>
      <c r="F3790" s="4"/>
      <c r="G3790" s="5"/>
      <c r="H3790" s="6"/>
      <c r="I3790" s="7"/>
      <c r="J3790" s="6"/>
      <c r="K3790" s="6"/>
      <c r="L3790" s="3"/>
      <c r="M3790" s="3" t="str">
        <f>IFERROR(__xludf.DUMMYFUNCTION("""COMPUTED_VALUE"""),"")</f>
        <v/>
      </c>
    </row>
    <row r="3791" ht="48.0" customHeight="1">
      <c r="A3791" s="3"/>
      <c r="B3791" s="4"/>
      <c r="C3791" s="4"/>
      <c r="D3791" s="4"/>
      <c r="E3791" s="4"/>
      <c r="F3791" s="4"/>
      <c r="G3791" s="5"/>
      <c r="H3791" s="6"/>
      <c r="I3791" s="7"/>
      <c r="J3791" s="6"/>
      <c r="K3791" s="6"/>
      <c r="L3791" s="3"/>
      <c r="M3791" s="3" t="str">
        <f>IFERROR(__xludf.DUMMYFUNCTION("""COMPUTED_VALUE"""),"")</f>
        <v/>
      </c>
    </row>
    <row r="3792" ht="48.0" customHeight="1">
      <c r="A3792" s="3"/>
      <c r="B3792" s="4"/>
      <c r="C3792" s="4"/>
      <c r="D3792" s="4"/>
      <c r="E3792" s="4"/>
      <c r="F3792" s="4"/>
      <c r="G3792" s="5"/>
      <c r="H3792" s="6"/>
      <c r="I3792" s="7"/>
      <c r="J3792" s="6"/>
      <c r="K3792" s="6"/>
      <c r="L3792" s="3"/>
      <c r="M3792" s="3" t="str">
        <f>IFERROR(__xludf.DUMMYFUNCTION("""COMPUTED_VALUE"""),"")</f>
        <v/>
      </c>
    </row>
    <row r="3793" ht="48.0" customHeight="1">
      <c r="A3793" s="3"/>
      <c r="B3793" s="4"/>
      <c r="C3793" s="4"/>
      <c r="D3793" s="4"/>
      <c r="E3793" s="4"/>
      <c r="F3793" s="4"/>
      <c r="G3793" s="5"/>
      <c r="H3793" s="6"/>
      <c r="I3793" s="7"/>
      <c r="J3793" s="6"/>
      <c r="K3793" s="6"/>
      <c r="L3793" s="3"/>
      <c r="M3793" s="3" t="str">
        <f>IFERROR(__xludf.DUMMYFUNCTION("""COMPUTED_VALUE"""),"")</f>
        <v/>
      </c>
    </row>
    <row r="3794" ht="48.0" customHeight="1">
      <c r="A3794" s="3"/>
      <c r="B3794" s="4"/>
      <c r="C3794" s="4"/>
      <c r="D3794" s="4"/>
      <c r="E3794" s="4"/>
      <c r="F3794" s="4"/>
      <c r="G3794" s="5"/>
      <c r="H3794" s="6"/>
      <c r="I3794" s="7"/>
      <c r="J3794" s="6"/>
      <c r="K3794" s="6"/>
      <c r="L3794" s="3"/>
      <c r="M3794" s="3" t="str">
        <f>IFERROR(__xludf.DUMMYFUNCTION("""COMPUTED_VALUE"""),"")</f>
        <v/>
      </c>
    </row>
    <row r="3795" ht="48.0" customHeight="1">
      <c r="A3795" s="3"/>
      <c r="B3795" s="4"/>
      <c r="C3795" s="4"/>
      <c r="D3795" s="4"/>
      <c r="E3795" s="4"/>
      <c r="F3795" s="4"/>
      <c r="G3795" s="5"/>
      <c r="H3795" s="6"/>
      <c r="I3795" s="7"/>
      <c r="J3795" s="6"/>
      <c r="K3795" s="6"/>
      <c r="L3795" s="3"/>
      <c r="M3795" s="3" t="str">
        <f>IFERROR(__xludf.DUMMYFUNCTION("""COMPUTED_VALUE"""),"")</f>
        <v/>
      </c>
    </row>
    <row r="3796" ht="48.0" customHeight="1">
      <c r="A3796" s="3"/>
      <c r="B3796" s="4"/>
      <c r="C3796" s="4"/>
      <c r="D3796" s="4"/>
      <c r="E3796" s="4"/>
      <c r="F3796" s="4"/>
      <c r="G3796" s="5"/>
      <c r="H3796" s="6"/>
      <c r="I3796" s="7"/>
      <c r="J3796" s="6"/>
      <c r="K3796" s="6"/>
      <c r="L3796" s="3"/>
      <c r="M3796" s="3" t="str">
        <f>IFERROR(__xludf.DUMMYFUNCTION("""COMPUTED_VALUE"""),"")</f>
        <v/>
      </c>
    </row>
    <row r="3797" ht="48.0" customHeight="1">
      <c r="A3797" s="3"/>
      <c r="B3797" s="4"/>
      <c r="C3797" s="4"/>
      <c r="D3797" s="4"/>
      <c r="E3797" s="4"/>
      <c r="F3797" s="4"/>
      <c r="G3797" s="5"/>
      <c r="H3797" s="6"/>
      <c r="I3797" s="7"/>
      <c r="J3797" s="6"/>
      <c r="K3797" s="6"/>
      <c r="L3797" s="3"/>
      <c r="M3797" s="3" t="str">
        <f>IFERROR(__xludf.DUMMYFUNCTION("""COMPUTED_VALUE"""),"")</f>
        <v/>
      </c>
    </row>
    <row r="3798" ht="48.0" customHeight="1">
      <c r="A3798" s="3"/>
      <c r="B3798" s="4"/>
      <c r="C3798" s="4"/>
      <c r="D3798" s="4"/>
      <c r="E3798" s="4"/>
      <c r="F3798" s="4"/>
      <c r="G3798" s="5"/>
      <c r="H3798" s="6"/>
      <c r="I3798" s="7"/>
      <c r="J3798" s="6"/>
      <c r="K3798" s="6"/>
      <c r="L3798" s="3"/>
      <c r="M3798" s="3" t="str">
        <f>IFERROR(__xludf.DUMMYFUNCTION("""COMPUTED_VALUE"""),"")</f>
        <v/>
      </c>
    </row>
    <row r="3799" ht="48.0" customHeight="1">
      <c r="A3799" s="3"/>
      <c r="B3799" s="4"/>
      <c r="C3799" s="4"/>
      <c r="D3799" s="4"/>
      <c r="E3799" s="4"/>
      <c r="F3799" s="4"/>
      <c r="G3799" s="5"/>
      <c r="H3799" s="6"/>
      <c r="I3799" s="7"/>
      <c r="J3799" s="6"/>
      <c r="K3799" s="6"/>
      <c r="L3799" s="3"/>
      <c r="M3799" s="3" t="str">
        <f>IFERROR(__xludf.DUMMYFUNCTION("""COMPUTED_VALUE"""),"")</f>
        <v/>
      </c>
    </row>
    <row r="3800" ht="48.0" customHeight="1">
      <c r="A3800" s="3"/>
      <c r="B3800" s="4"/>
      <c r="C3800" s="4"/>
      <c r="D3800" s="4"/>
      <c r="E3800" s="4"/>
      <c r="F3800" s="4"/>
      <c r="G3800" s="5"/>
      <c r="H3800" s="6"/>
      <c r="I3800" s="7"/>
      <c r="J3800" s="6"/>
      <c r="K3800" s="6"/>
      <c r="L3800" s="3"/>
      <c r="M3800" s="3" t="str">
        <f>IFERROR(__xludf.DUMMYFUNCTION("""COMPUTED_VALUE"""),"")</f>
        <v/>
      </c>
    </row>
    <row r="3801" ht="48.0" customHeight="1">
      <c r="A3801" s="3"/>
      <c r="B3801" s="4"/>
      <c r="C3801" s="4"/>
      <c r="D3801" s="4"/>
      <c r="E3801" s="4"/>
      <c r="F3801" s="4"/>
      <c r="G3801" s="5"/>
      <c r="H3801" s="6"/>
      <c r="I3801" s="7"/>
      <c r="J3801" s="6"/>
      <c r="K3801" s="6"/>
      <c r="L3801" s="3"/>
      <c r="M3801" s="3" t="str">
        <f>IFERROR(__xludf.DUMMYFUNCTION("""COMPUTED_VALUE"""),"")</f>
        <v/>
      </c>
    </row>
    <row r="3802" ht="48.0" customHeight="1">
      <c r="A3802" s="3"/>
      <c r="B3802" s="4"/>
      <c r="C3802" s="4"/>
      <c r="D3802" s="4"/>
      <c r="E3802" s="4"/>
      <c r="F3802" s="4"/>
      <c r="G3802" s="5"/>
      <c r="H3802" s="6"/>
      <c r="I3802" s="7"/>
      <c r="J3802" s="6"/>
      <c r="K3802" s="6"/>
      <c r="L3802" s="3"/>
      <c r="M3802" s="3" t="str">
        <f>IFERROR(__xludf.DUMMYFUNCTION("""COMPUTED_VALUE"""),"")</f>
        <v/>
      </c>
    </row>
    <row r="3803" ht="48.0" customHeight="1">
      <c r="A3803" s="3"/>
      <c r="B3803" s="4"/>
      <c r="C3803" s="4"/>
      <c r="D3803" s="4"/>
      <c r="E3803" s="4"/>
      <c r="F3803" s="4"/>
      <c r="G3803" s="5"/>
      <c r="H3803" s="6"/>
      <c r="I3803" s="7"/>
      <c r="J3803" s="6"/>
      <c r="K3803" s="6"/>
      <c r="L3803" s="3"/>
      <c r="M3803" s="3" t="str">
        <f>IFERROR(__xludf.DUMMYFUNCTION("""COMPUTED_VALUE"""),"")</f>
        <v/>
      </c>
    </row>
    <row r="3804" ht="48.0" customHeight="1">
      <c r="A3804" s="3"/>
      <c r="B3804" s="4"/>
      <c r="C3804" s="4"/>
      <c r="D3804" s="4"/>
      <c r="E3804" s="4"/>
      <c r="F3804" s="4"/>
      <c r="G3804" s="5"/>
      <c r="H3804" s="6"/>
      <c r="I3804" s="7"/>
      <c r="J3804" s="6"/>
      <c r="K3804" s="6"/>
      <c r="L3804" s="3"/>
      <c r="M3804" s="3" t="str">
        <f>IFERROR(__xludf.DUMMYFUNCTION("""COMPUTED_VALUE"""),"")</f>
        <v/>
      </c>
    </row>
    <row r="3805" ht="48.0" customHeight="1">
      <c r="A3805" s="3"/>
      <c r="B3805" s="4"/>
      <c r="C3805" s="4"/>
      <c r="D3805" s="4"/>
      <c r="E3805" s="4"/>
      <c r="F3805" s="4"/>
      <c r="G3805" s="5"/>
      <c r="H3805" s="6"/>
      <c r="I3805" s="7"/>
      <c r="J3805" s="6"/>
      <c r="K3805" s="6"/>
      <c r="L3805" s="3"/>
      <c r="M3805" s="3" t="str">
        <f>IFERROR(__xludf.DUMMYFUNCTION("""COMPUTED_VALUE"""),"")</f>
        <v/>
      </c>
    </row>
    <row r="3806" ht="48.0" customHeight="1">
      <c r="A3806" s="3"/>
      <c r="B3806" s="4"/>
      <c r="C3806" s="4"/>
      <c r="D3806" s="4"/>
      <c r="E3806" s="4"/>
      <c r="F3806" s="4"/>
      <c r="G3806" s="5"/>
      <c r="H3806" s="6"/>
      <c r="I3806" s="7"/>
      <c r="J3806" s="6"/>
      <c r="K3806" s="6"/>
      <c r="L3806" s="3"/>
      <c r="M3806" s="3" t="str">
        <f>IFERROR(__xludf.DUMMYFUNCTION("""COMPUTED_VALUE"""),"")</f>
        <v/>
      </c>
    </row>
    <row r="3807" ht="48.0" customHeight="1">
      <c r="A3807" s="3"/>
      <c r="B3807" s="4"/>
      <c r="C3807" s="4"/>
      <c r="D3807" s="4"/>
      <c r="E3807" s="4"/>
      <c r="F3807" s="4"/>
      <c r="G3807" s="5"/>
      <c r="H3807" s="6"/>
      <c r="I3807" s="7"/>
      <c r="J3807" s="6"/>
      <c r="K3807" s="6"/>
      <c r="L3807" s="3"/>
      <c r="M3807" s="3" t="str">
        <f>IFERROR(__xludf.DUMMYFUNCTION("""COMPUTED_VALUE"""),"")</f>
        <v/>
      </c>
    </row>
    <row r="3808" ht="48.0" customHeight="1">
      <c r="A3808" s="3"/>
      <c r="B3808" s="4"/>
      <c r="C3808" s="4"/>
      <c r="D3808" s="4"/>
      <c r="E3808" s="4"/>
      <c r="F3808" s="4"/>
      <c r="G3808" s="5"/>
      <c r="H3808" s="6"/>
      <c r="I3808" s="7"/>
      <c r="J3808" s="6"/>
      <c r="K3808" s="6"/>
      <c r="L3808" s="3"/>
      <c r="M3808" s="3" t="str">
        <f>IFERROR(__xludf.DUMMYFUNCTION("""COMPUTED_VALUE"""),"")</f>
        <v/>
      </c>
    </row>
    <row r="3809" ht="48.0" customHeight="1">
      <c r="A3809" s="3"/>
      <c r="B3809" s="4"/>
      <c r="C3809" s="4"/>
      <c r="D3809" s="4"/>
      <c r="E3809" s="4"/>
      <c r="F3809" s="4"/>
      <c r="G3809" s="5"/>
      <c r="H3809" s="6"/>
      <c r="I3809" s="7"/>
      <c r="J3809" s="6"/>
      <c r="K3809" s="6"/>
      <c r="L3809" s="3"/>
      <c r="M3809" s="3" t="str">
        <f>IFERROR(__xludf.DUMMYFUNCTION("""COMPUTED_VALUE"""),"")</f>
        <v/>
      </c>
    </row>
    <row r="3810" ht="48.0" customHeight="1">
      <c r="A3810" s="3"/>
      <c r="B3810" s="4"/>
      <c r="C3810" s="4"/>
      <c r="D3810" s="4"/>
      <c r="E3810" s="4"/>
      <c r="F3810" s="4"/>
      <c r="G3810" s="5"/>
      <c r="H3810" s="6"/>
      <c r="I3810" s="7"/>
      <c r="J3810" s="6"/>
      <c r="K3810" s="6"/>
      <c r="L3810" s="3"/>
      <c r="M3810" s="3" t="str">
        <f>IFERROR(__xludf.DUMMYFUNCTION("""COMPUTED_VALUE"""),"")</f>
        <v/>
      </c>
    </row>
    <row r="3811" ht="48.0" customHeight="1">
      <c r="A3811" s="3"/>
      <c r="B3811" s="4"/>
      <c r="C3811" s="4"/>
      <c r="D3811" s="4"/>
      <c r="E3811" s="4"/>
      <c r="F3811" s="4"/>
      <c r="G3811" s="5"/>
      <c r="H3811" s="6"/>
      <c r="I3811" s="7"/>
      <c r="J3811" s="6"/>
      <c r="K3811" s="6"/>
      <c r="L3811" s="3"/>
      <c r="M3811" s="3" t="str">
        <f>IFERROR(__xludf.DUMMYFUNCTION("""COMPUTED_VALUE"""),"")</f>
        <v/>
      </c>
    </row>
    <row r="3812" ht="48.0" customHeight="1">
      <c r="A3812" s="3"/>
      <c r="B3812" s="4"/>
      <c r="C3812" s="4"/>
      <c r="D3812" s="4"/>
      <c r="E3812" s="4"/>
      <c r="F3812" s="4"/>
      <c r="G3812" s="5"/>
      <c r="H3812" s="6"/>
      <c r="I3812" s="7"/>
      <c r="J3812" s="6"/>
      <c r="K3812" s="6"/>
      <c r="L3812" s="3"/>
      <c r="M3812" s="3" t="str">
        <f>IFERROR(__xludf.DUMMYFUNCTION("""COMPUTED_VALUE"""),"")</f>
        <v/>
      </c>
    </row>
    <row r="3813" ht="48.0" customHeight="1">
      <c r="A3813" s="3"/>
      <c r="B3813" s="4"/>
      <c r="C3813" s="4"/>
      <c r="D3813" s="4"/>
      <c r="E3813" s="4"/>
      <c r="F3813" s="4"/>
      <c r="G3813" s="5"/>
      <c r="H3813" s="6"/>
      <c r="I3813" s="7"/>
      <c r="J3813" s="6"/>
      <c r="K3813" s="6"/>
      <c r="L3813" s="3"/>
      <c r="M3813" s="3" t="str">
        <f>IFERROR(__xludf.DUMMYFUNCTION("""COMPUTED_VALUE"""),"")</f>
        <v/>
      </c>
    </row>
    <row r="3814" ht="48.0" customHeight="1">
      <c r="A3814" s="3"/>
      <c r="B3814" s="4"/>
      <c r="C3814" s="4"/>
      <c r="D3814" s="4"/>
      <c r="E3814" s="4"/>
      <c r="F3814" s="4"/>
      <c r="G3814" s="5"/>
      <c r="H3814" s="6"/>
      <c r="I3814" s="7"/>
      <c r="J3814" s="6"/>
      <c r="K3814" s="6"/>
      <c r="L3814" s="3"/>
      <c r="M3814" s="3" t="str">
        <f>IFERROR(__xludf.DUMMYFUNCTION("""COMPUTED_VALUE"""),"")</f>
        <v/>
      </c>
    </row>
    <row r="3815" ht="48.0" customHeight="1">
      <c r="A3815" s="3"/>
      <c r="B3815" s="4"/>
      <c r="C3815" s="4"/>
      <c r="D3815" s="4"/>
      <c r="E3815" s="4"/>
      <c r="F3815" s="4"/>
      <c r="G3815" s="5"/>
      <c r="H3815" s="6"/>
      <c r="I3815" s="7"/>
      <c r="J3815" s="6"/>
      <c r="K3815" s="6"/>
      <c r="L3815" s="3"/>
      <c r="M3815" s="3" t="str">
        <f>IFERROR(__xludf.DUMMYFUNCTION("""COMPUTED_VALUE"""),"")</f>
        <v/>
      </c>
    </row>
    <row r="3816" ht="48.0" customHeight="1">
      <c r="A3816" s="3"/>
      <c r="B3816" s="4"/>
      <c r="C3816" s="4"/>
      <c r="D3816" s="4"/>
      <c r="E3816" s="4"/>
      <c r="F3816" s="4"/>
      <c r="G3816" s="5"/>
      <c r="H3816" s="6"/>
      <c r="I3816" s="7"/>
      <c r="J3816" s="6"/>
      <c r="K3816" s="6"/>
      <c r="L3816" s="3"/>
      <c r="M3816" s="3" t="str">
        <f>IFERROR(__xludf.DUMMYFUNCTION("""COMPUTED_VALUE"""),"")</f>
        <v/>
      </c>
    </row>
    <row r="3817" ht="48.0" customHeight="1">
      <c r="A3817" s="3"/>
      <c r="B3817" s="4"/>
      <c r="C3817" s="4"/>
      <c r="D3817" s="4"/>
      <c r="E3817" s="4"/>
      <c r="F3817" s="4"/>
      <c r="G3817" s="5"/>
      <c r="H3817" s="6"/>
      <c r="I3817" s="7"/>
      <c r="J3817" s="6"/>
      <c r="K3817" s="6"/>
      <c r="L3817" s="3"/>
      <c r="M3817" s="3" t="str">
        <f>IFERROR(__xludf.DUMMYFUNCTION("""COMPUTED_VALUE"""),"")</f>
        <v/>
      </c>
    </row>
    <row r="3818" ht="48.0" customHeight="1">
      <c r="A3818" s="3"/>
      <c r="B3818" s="4"/>
      <c r="C3818" s="4"/>
      <c r="D3818" s="4"/>
      <c r="E3818" s="4"/>
      <c r="F3818" s="4"/>
      <c r="G3818" s="5"/>
      <c r="H3818" s="6"/>
      <c r="I3818" s="7"/>
      <c r="J3818" s="6"/>
      <c r="K3818" s="6"/>
      <c r="L3818" s="3"/>
      <c r="M3818" s="3" t="str">
        <f>IFERROR(__xludf.DUMMYFUNCTION("""COMPUTED_VALUE"""),"")</f>
        <v/>
      </c>
    </row>
    <row r="3819" ht="48.0" customHeight="1">
      <c r="A3819" s="3"/>
      <c r="B3819" s="4"/>
      <c r="C3819" s="4"/>
      <c r="D3819" s="4"/>
      <c r="E3819" s="4"/>
      <c r="F3819" s="4"/>
      <c r="G3819" s="5"/>
      <c r="H3819" s="6"/>
      <c r="I3819" s="7"/>
      <c r="J3819" s="6"/>
      <c r="K3819" s="6"/>
      <c r="L3819" s="3"/>
      <c r="M3819" s="3" t="str">
        <f>IFERROR(__xludf.DUMMYFUNCTION("""COMPUTED_VALUE"""),"")</f>
        <v/>
      </c>
    </row>
    <row r="3820" ht="48.0" customHeight="1">
      <c r="A3820" s="3"/>
      <c r="B3820" s="4"/>
      <c r="C3820" s="4"/>
      <c r="D3820" s="4"/>
      <c r="E3820" s="4"/>
      <c r="F3820" s="4"/>
      <c r="G3820" s="5"/>
      <c r="H3820" s="6"/>
      <c r="I3820" s="7"/>
      <c r="J3820" s="6"/>
      <c r="K3820" s="6"/>
      <c r="L3820" s="3"/>
      <c r="M3820" s="3" t="str">
        <f>IFERROR(__xludf.DUMMYFUNCTION("""COMPUTED_VALUE"""),"")</f>
        <v/>
      </c>
    </row>
    <row r="3821" ht="48.0" customHeight="1">
      <c r="A3821" s="3"/>
      <c r="B3821" s="4"/>
      <c r="C3821" s="4"/>
      <c r="D3821" s="4"/>
      <c r="E3821" s="4"/>
      <c r="F3821" s="4"/>
      <c r="G3821" s="5"/>
      <c r="H3821" s="6"/>
      <c r="I3821" s="7"/>
      <c r="J3821" s="6"/>
      <c r="K3821" s="6"/>
      <c r="L3821" s="3"/>
      <c r="M3821" s="3" t="str">
        <f>IFERROR(__xludf.DUMMYFUNCTION("""COMPUTED_VALUE"""),"")</f>
        <v/>
      </c>
    </row>
    <row r="3822" ht="48.0" customHeight="1">
      <c r="A3822" s="3"/>
      <c r="B3822" s="4"/>
      <c r="C3822" s="4"/>
      <c r="D3822" s="4"/>
      <c r="E3822" s="4"/>
      <c r="F3822" s="4"/>
      <c r="G3822" s="5"/>
      <c r="H3822" s="6"/>
      <c r="I3822" s="7"/>
      <c r="J3822" s="6"/>
      <c r="K3822" s="6"/>
      <c r="L3822" s="3"/>
      <c r="M3822" s="3" t="str">
        <f>IFERROR(__xludf.DUMMYFUNCTION("""COMPUTED_VALUE"""),"")</f>
        <v/>
      </c>
    </row>
    <row r="3823" ht="48.0" customHeight="1">
      <c r="A3823" s="3"/>
      <c r="B3823" s="4"/>
      <c r="C3823" s="4"/>
      <c r="D3823" s="4"/>
      <c r="E3823" s="4"/>
      <c r="F3823" s="4"/>
      <c r="G3823" s="5"/>
      <c r="H3823" s="6"/>
      <c r="I3823" s="7"/>
      <c r="J3823" s="6"/>
      <c r="K3823" s="6"/>
      <c r="L3823" s="3"/>
      <c r="M3823" s="3" t="str">
        <f>IFERROR(__xludf.DUMMYFUNCTION("""COMPUTED_VALUE"""),"")</f>
        <v/>
      </c>
    </row>
    <row r="3824" ht="48.0" customHeight="1">
      <c r="A3824" s="3"/>
      <c r="B3824" s="4"/>
      <c r="C3824" s="4"/>
      <c r="D3824" s="4"/>
      <c r="E3824" s="4"/>
      <c r="F3824" s="4"/>
      <c r="G3824" s="5"/>
      <c r="H3824" s="6"/>
      <c r="I3824" s="7"/>
      <c r="J3824" s="6"/>
      <c r="K3824" s="6"/>
      <c r="L3824" s="3"/>
      <c r="M3824" s="3" t="str">
        <f>IFERROR(__xludf.DUMMYFUNCTION("""COMPUTED_VALUE"""),"")</f>
        <v/>
      </c>
    </row>
    <row r="3825" ht="48.0" customHeight="1">
      <c r="A3825" s="3"/>
      <c r="B3825" s="4"/>
      <c r="C3825" s="4"/>
      <c r="D3825" s="4"/>
      <c r="E3825" s="4"/>
      <c r="F3825" s="4"/>
      <c r="G3825" s="5"/>
      <c r="H3825" s="6"/>
      <c r="I3825" s="7"/>
      <c r="J3825" s="6"/>
      <c r="K3825" s="6"/>
      <c r="L3825" s="3"/>
      <c r="M3825" s="3" t="str">
        <f>IFERROR(__xludf.DUMMYFUNCTION("""COMPUTED_VALUE"""),"")</f>
        <v/>
      </c>
    </row>
    <row r="3826" ht="48.0" customHeight="1">
      <c r="A3826" s="3"/>
      <c r="B3826" s="4"/>
      <c r="C3826" s="4"/>
      <c r="D3826" s="4"/>
      <c r="E3826" s="4"/>
      <c r="F3826" s="4"/>
      <c r="G3826" s="5"/>
      <c r="H3826" s="6"/>
      <c r="I3826" s="7"/>
      <c r="J3826" s="6"/>
      <c r="K3826" s="6"/>
      <c r="L3826" s="3"/>
      <c r="M3826" s="3" t="str">
        <f>IFERROR(__xludf.DUMMYFUNCTION("""COMPUTED_VALUE"""),"")</f>
        <v/>
      </c>
    </row>
    <row r="3827" ht="48.0" customHeight="1">
      <c r="A3827" s="3"/>
      <c r="B3827" s="4"/>
      <c r="C3827" s="4"/>
      <c r="D3827" s="4"/>
      <c r="E3827" s="4"/>
      <c r="F3827" s="4"/>
      <c r="G3827" s="5"/>
      <c r="H3827" s="6"/>
      <c r="I3827" s="7"/>
      <c r="J3827" s="6"/>
      <c r="K3827" s="6"/>
      <c r="L3827" s="3"/>
      <c r="M3827" s="3" t="str">
        <f>IFERROR(__xludf.DUMMYFUNCTION("""COMPUTED_VALUE"""),"")</f>
        <v/>
      </c>
    </row>
    <row r="3828" ht="48.0" customHeight="1">
      <c r="A3828" s="3"/>
      <c r="B3828" s="4"/>
      <c r="C3828" s="4"/>
      <c r="D3828" s="4"/>
      <c r="E3828" s="4"/>
      <c r="F3828" s="4"/>
      <c r="G3828" s="5"/>
      <c r="H3828" s="6"/>
      <c r="I3828" s="7"/>
      <c r="J3828" s="6"/>
      <c r="K3828" s="6"/>
      <c r="L3828" s="3"/>
      <c r="M3828" s="3" t="str">
        <f>IFERROR(__xludf.DUMMYFUNCTION("""COMPUTED_VALUE"""),"")</f>
        <v/>
      </c>
    </row>
    <row r="3829" ht="48.0" customHeight="1">
      <c r="A3829" s="3"/>
      <c r="B3829" s="4"/>
      <c r="C3829" s="4"/>
      <c r="D3829" s="4"/>
      <c r="E3829" s="4"/>
      <c r="F3829" s="4"/>
      <c r="G3829" s="5"/>
      <c r="H3829" s="6"/>
      <c r="I3829" s="7"/>
      <c r="J3829" s="6"/>
      <c r="K3829" s="6"/>
      <c r="L3829" s="3"/>
      <c r="M3829" s="3" t="str">
        <f>IFERROR(__xludf.DUMMYFUNCTION("""COMPUTED_VALUE"""),"")</f>
        <v/>
      </c>
    </row>
    <row r="3830" ht="48.0" customHeight="1">
      <c r="A3830" s="3"/>
      <c r="B3830" s="4"/>
      <c r="C3830" s="4"/>
      <c r="D3830" s="4"/>
      <c r="E3830" s="4"/>
      <c r="F3830" s="4"/>
      <c r="G3830" s="5"/>
      <c r="H3830" s="6"/>
      <c r="I3830" s="7"/>
      <c r="J3830" s="6"/>
      <c r="K3830" s="6"/>
      <c r="L3830" s="3"/>
      <c r="M3830" s="3" t="str">
        <f>IFERROR(__xludf.DUMMYFUNCTION("""COMPUTED_VALUE"""),"")</f>
        <v/>
      </c>
    </row>
    <row r="3831" ht="48.0" customHeight="1">
      <c r="A3831" s="3"/>
      <c r="B3831" s="4"/>
      <c r="C3831" s="4"/>
      <c r="D3831" s="4"/>
      <c r="E3831" s="4"/>
      <c r="F3831" s="4"/>
      <c r="G3831" s="5"/>
      <c r="H3831" s="6"/>
      <c r="I3831" s="7"/>
      <c r="J3831" s="6"/>
      <c r="K3831" s="6"/>
      <c r="L3831" s="3"/>
      <c r="M3831" s="3" t="str">
        <f>IFERROR(__xludf.DUMMYFUNCTION("""COMPUTED_VALUE"""),"")</f>
        <v/>
      </c>
    </row>
    <row r="3832" ht="48.0" customHeight="1">
      <c r="A3832" s="3"/>
      <c r="B3832" s="4"/>
      <c r="C3832" s="4"/>
      <c r="D3832" s="4"/>
      <c r="E3832" s="4"/>
      <c r="F3832" s="4"/>
      <c r="G3832" s="5"/>
      <c r="H3832" s="6"/>
      <c r="I3832" s="7"/>
      <c r="J3832" s="6"/>
      <c r="K3832" s="6"/>
      <c r="L3832" s="3"/>
      <c r="M3832" s="3" t="str">
        <f>IFERROR(__xludf.DUMMYFUNCTION("""COMPUTED_VALUE"""),"")</f>
        <v/>
      </c>
    </row>
    <row r="3833" ht="48.0" customHeight="1">
      <c r="A3833" s="3"/>
      <c r="B3833" s="4"/>
      <c r="C3833" s="4"/>
      <c r="D3833" s="4"/>
      <c r="E3833" s="4"/>
      <c r="F3833" s="4"/>
      <c r="G3833" s="5"/>
      <c r="H3833" s="6"/>
      <c r="I3833" s="7"/>
      <c r="J3833" s="6"/>
      <c r="K3833" s="6"/>
      <c r="L3833" s="3"/>
      <c r="M3833" s="3" t="str">
        <f>IFERROR(__xludf.DUMMYFUNCTION("""COMPUTED_VALUE"""),"")</f>
        <v/>
      </c>
    </row>
    <row r="3834" ht="48.0" customHeight="1">
      <c r="A3834" s="3"/>
      <c r="B3834" s="4"/>
      <c r="C3834" s="4"/>
      <c r="D3834" s="4"/>
      <c r="E3834" s="4"/>
      <c r="F3834" s="4"/>
      <c r="G3834" s="5"/>
      <c r="H3834" s="6"/>
      <c r="I3834" s="7"/>
      <c r="J3834" s="6"/>
      <c r="K3834" s="6"/>
      <c r="L3834" s="3"/>
      <c r="M3834" s="3" t="str">
        <f>IFERROR(__xludf.DUMMYFUNCTION("""COMPUTED_VALUE"""),"")</f>
        <v/>
      </c>
    </row>
    <row r="3835" ht="48.0" customHeight="1">
      <c r="A3835" s="3"/>
      <c r="B3835" s="4"/>
      <c r="C3835" s="4"/>
      <c r="D3835" s="4"/>
      <c r="E3835" s="4"/>
      <c r="F3835" s="4"/>
      <c r="G3835" s="5"/>
      <c r="H3835" s="6"/>
      <c r="I3835" s="7"/>
      <c r="J3835" s="6"/>
      <c r="K3835" s="6"/>
      <c r="L3835" s="3"/>
      <c r="M3835" s="3" t="str">
        <f>IFERROR(__xludf.DUMMYFUNCTION("""COMPUTED_VALUE"""),"")</f>
        <v/>
      </c>
    </row>
    <row r="3836" ht="48.0" customHeight="1">
      <c r="A3836" s="3"/>
      <c r="B3836" s="4"/>
      <c r="C3836" s="4"/>
      <c r="D3836" s="4"/>
      <c r="E3836" s="4"/>
      <c r="F3836" s="4"/>
      <c r="G3836" s="5"/>
      <c r="H3836" s="6"/>
      <c r="I3836" s="7"/>
      <c r="J3836" s="6"/>
      <c r="K3836" s="6"/>
      <c r="L3836" s="3"/>
      <c r="M3836" s="3" t="str">
        <f>IFERROR(__xludf.DUMMYFUNCTION("""COMPUTED_VALUE"""),"")</f>
        <v/>
      </c>
    </row>
    <row r="3837" ht="48.0" customHeight="1">
      <c r="A3837" s="3"/>
      <c r="B3837" s="4"/>
      <c r="C3837" s="4"/>
      <c r="D3837" s="4"/>
      <c r="E3837" s="4"/>
      <c r="F3837" s="4"/>
      <c r="G3837" s="5"/>
      <c r="H3837" s="6"/>
      <c r="I3837" s="7"/>
      <c r="J3837" s="6"/>
      <c r="K3837" s="6"/>
      <c r="L3837" s="3"/>
      <c r="M3837" s="3" t="str">
        <f>IFERROR(__xludf.DUMMYFUNCTION("""COMPUTED_VALUE"""),"")</f>
        <v/>
      </c>
    </row>
    <row r="3838" ht="48.0" customHeight="1">
      <c r="A3838" s="3"/>
      <c r="B3838" s="4"/>
      <c r="C3838" s="4"/>
      <c r="D3838" s="4"/>
      <c r="E3838" s="4"/>
      <c r="F3838" s="4"/>
      <c r="G3838" s="5"/>
      <c r="H3838" s="6"/>
      <c r="I3838" s="7"/>
      <c r="J3838" s="6"/>
      <c r="K3838" s="6"/>
      <c r="L3838" s="3"/>
      <c r="M3838" s="3" t="str">
        <f>IFERROR(__xludf.DUMMYFUNCTION("""COMPUTED_VALUE"""),"")</f>
        <v/>
      </c>
    </row>
    <row r="3839" ht="48.0" customHeight="1">
      <c r="A3839" s="3"/>
      <c r="B3839" s="4"/>
      <c r="C3839" s="4"/>
      <c r="D3839" s="4"/>
      <c r="E3839" s="4"/>
      <c r="F3839" s="4"/>
      <c r="G3839" s="5"/>
      <c r="H3839" s="6"/>
      <c r="I3839" s="7"/>
      <c r="J3839" s="6"/>
      <c r="K3839" s="6"/>
      <c r="L3839" s="3"/>
      <c r="M3839" s="3" t="str">
        <f>IFERROR(__xludf.DUMMYFUNCTION("""COMPUTED_VALUE"""),"")</f>
        <v/>
      </c>
    </row>
    <row r="3840" ht="48.0" customHeight="1">
      <c r="A3840" s="3"/>
      <c r="B3840" s="4"/>
      <c r="C3840" s="4"/>
      <c r="D3840" s="4"/>
      <c r="E3840" s="4"/>
      <c r="F3840" s="4"/>
      <c r="G3840" s="5"/>
      <c r="H3840" s="6"/>
      <c r="I3840" s="7"/>
      <c r="J3840" s="6"/>
      <c r="K3840" s="6"/>
      <c r="L3840" s="3"/>
      <c r="M3840" s="3" t="str">
        <f>IFERROR(__xludf.DUMMYFUNCTION("""COMPUTED_VALUE"""),"")</f>
        <v/>
      </c>
    </row>
    <row r="3841" ht="48.0" customHeight="1">
      <c r="A3841" s="3"/>
      <c r="B3841" s="4"/>
      <c r="C3841" s="4"/>
      <c r="D3841" s="4"/>
      <c r="E3841" s="4"/>
      <c r="F3841" s="4"/>
      <c r="G3841" s="5"/>
      <c r="H3841" s="6"/>
      <c r="I3841" s="7"/>
      <c r="J3841" s="6"/>
      <c r="K3841" s="6"/>
      <c r="L3841" s="3"/>
      <c r="M3841" s="3" t="str">
        <f>IFERROR(__xludf.DUMMYFUNCTION("""COMPUTED_VALUE"""),"")</f>
        <v/>
      </c>
    </row>
    <row r="3842" ht="48.0" customHeight="1">
      <c r="A3842" s="3"/>
      <c r="B3842" s="4"/>
      <c r="C3842" s="4"/>
      <c r="D3842" s="4"/>
      <c r="E3842" s="4"/>
      <c r="F3842" s="4"/>
      <c r="G3842" s="5"/>
      <c r="H3842" s="6"/>
      <c r="I3842" s="7"/>
      <c r="J3842" s="6"/>
      <c r="K3842" s="6"/>
      <c r="L3842" s="3"/>
      <c r="M3842" s="3" t="str">
        <f>IFERROR(__xludf.DUMMYFUNCTION("""COMPUTED_VALUE"""),"")</f>
        <v/>
      </c>
    </row>
    <row r="3843" ht="48.0" customHeight="1">
      <c r="A3843" s="3"/>
      <c r="B3843" s="4"/>
      <c r="C3843" s="4"/>
      <c r="D3843" s="4"/>
      <c r="E3843" s="4"/>
      <c r="F3843" s="4"/>
      <c r="G3843" s="5"/>
      <c r="H3843" s="6"/>
      <c r="I3843" s="7"/>
      <c r="J3843" s="6"/>
      <c r="K3843" s="6"/>
      <c r="L3843" s="3"/>
      <c r="M3843" s="3" t="str">
        <f>IFERROR(__xludf.DUMMYFUNCTION("""COMPUTED_VALUE"""),"")</f>
        <v/>
      </c>
    </row>
    <row r="3844" ht="48.0" customHeight="1">
      <c r="A3844" s="3"/>
      <c r="B3844" s="4"/>
      <c r="C3844" s="4"/>
      <c r="D3844" s="4"/>
      <c r="E3844" s="4"/>
      <c r="F3844" s="4"/>
      <c r="G3844" s="5"/>
      <c r="H3844" s="6"/>
      <c r="I3844" s="7"/>
      <c r="J3844" s="6"/>
      <c r="K3844" s="6"/>
      <c r="L3844" s="3"/>
      <c r="M3844" s="3" t="str">
        <f>IFERROR(__xludf.DUMMYFUNCTION("""COMPUTED_VALUE"""),"")</f>
        <v/>
      </c>
    </row>
    <row r="3845" ht="48.0" customHeight="1">
      <c r="A3845" s="3"/>
      <c r="B3845" s="4"/>
      <c r="C3845" s="4"/>
      <c r="D3845" s="4"/>
      <c r="E3845" s="4"/>
      <c r="F3845" s="4"/>
      <c r="G3845" s="5"/>
      <c r="H3845" s="6"/>
      <c r="I3845" s="7"/>
      <c r="J3845" s="6"/>
      <c r="K3845" s="6"/>
      <c r="L3845" s="3"/>
      <c r="M3845" s="3" t="str">
        <f>IFERROR(__xludf.DUMMYFUNCTION("""COMPUTED_VALUE"""),"")</f>
        <v/>
      </c>
    </row>
    <row r="3846" ht="48.0" customHeight="1">
      <c r="A3846" s="3"/>
      <c r="B3846" s="4"/>
      <c r="C3846" s="4"/>
      <c r="D3846" s="4"/>
      <c r="E3846" s="4"/>
      <c r="F3846" s="4"/>
      <c r="G3846" s="5"/>
      <c r="H3846" s="6"/>
      <c r="I3846" s="7"/>
      <c r="J3846" s="6"/>
      <c r="K3846" s="6"/>
      <c r="L3846" s="3"/>
      <c r="M3846" s="3" t="str">
        <f>IFERROR(__xludf.DUMMYFUNCTION("""COMPUTED_VALUE"""),"")</f>
        <v/>
      </c>
    </row>
    <row r="3847" ht="48.0" customHeight="1">
      <c r="A3847" s="3"/>
      <c r="B3847" s="4"/>
      <c r="C3847" s="4"/>
      <c r="D3847" s="4"/>
      <c r="E3847" s="4"/>
      <c r="F3847" s="4"/>
      <c r="G3847" s="5"/>
      <c r="H3847" s="6"/>
      <c r="I3847" s="7"/>
      <c r="J3847" s="6"/>
      <c r="K3847" s="6"/>
      <c r="L3847" s="3"/>
      <c r="M3847" s="3" t="str">
        <f>IFERROR(__xludf.DUMMYFUNCTION("""COMPUTED_VALUE"""),"")</f>
        <v/>
      </c>
    </row>
    <row r="3848" ht="48.0" customHeight="1">
      <c r="A3848" s="3"/>
      <c r="B3848" s="4"/>
      <c r="C3848" s="4"/>
      <c r="D3848" s="4"/>
      <c r="E3848" s="4"/>
      <c r="F3848" s="4"/>
      <c r="G3848" s="5"/>
      <c r="H3848" s="6"/>
      <c r="I3848" s="7"/>
      <c r="J3848" s="6"/>
      <c r="K3848" s="6"/>
      <c r="L3848" s="3"/>
      <c r="M3848" s="3" t="str">
        <f>IFERROR(__xludf.DUMMYFUNCTION("""COMPUTED_VALUE"""),"")</f>
        <v/>
      </c>
    </row>
    <row r="3849" ht="48.0" customHeight="1">
      <c r="A3849" s="3"/>
      <c r="B3849" s="4"/>
      <c r="C3849" s="4"/>
      <c r="D3849" s="4"/>
      <c r="E3849" s="4"/>
      <c r="F3849" s="4"/>
      <c r="G3849" s="5"/>
      <c r="H3849" s="6"/>
      <c r="I3849" s="7"/>
      <c r="J3849" s="6"/>
      <c r="K3849" s="6"/>
      <c r="L3849" s="3"/>
      <c r="M3849" s="3" t="str">
        <f>IFERROR(__xludf.DUMMYFUNCTION("""COMPUTED_VALUE"""),"")</f>
        <v/>
      </c>
    </row>
    <row r="3850" ht="48.0" customHeight="1">
      <c r="A3850" s="3"/>
      <c r="B3850" s="4"/>
      <c r="C3850" s="4"/>
      <c r="D3850" s="4"/>
      <c r="E3850" s="4"/>
      <c r="F3850" s="4"/>
      <c r="G3850" s="5"/>
      <c r="H3850" s="6"/>
      <c r="I3850" s="7"/>
      <c r="J3850" s="6"/>
      <c r="K3850" s="6"/>
      <c r="L3850" s="3"/>
      <c r="M3850" s="3" t="str">
        <f>IFERROR(__xludf.DUMMYFUNCTION("""COMPUTED_VALUE"""),"")</f>
        <v/>
      </c>
    </row>
    <row r="3851" ht="48.0" customHeight="1">
      <c r="A3851" s="3"/>
      <c r="B3851" s="4"/>
      <c r="C3851" s="4"/>
      <c r="D3851" s="4"/>
      <c r="E3851" s="4"/>
      <c r="F3851" s="4"/>
      <c r="G3851" s="5"/>
      <c r="H3851" s="6"/>
      <c r="I3851" s="7"/>
      <c r="J3851" s="6"/>
      <c r="K3851" s="6"/>
      <c r="L3851" s="3"/>
      <c r="M3851" s="3" t="str">
        <f>IFERROR(__xludf.DUMMYFUNCTION("""COMPUTED_VALUE"""),"")</f>
        <v/>
      </c>
    </row>
    <row r="3852" ht="48.0" customHeight="1">
      <c r="A3852" s="3"/>
      <c r="B3852" s="4"/>
      <c r="C3852" s="4"/>
      <c r="D3852" s="4"/>
      <c r="E3852" s="4"/>
      <c r="F3852" s="4"/>
      <c r="G3852" s="5"/>
      <c r="H3852" s="6"/>
      <c r="I3852" s="7"/>
      <c r="J3852" s="6"/>
      <c r="K3852" s="6"/>
      <c r="L3852" s="3"/>
      <c r="M3852" s="3" t="str">
        <f>IFERROR(__xludf.DUMMYFUNCTION("""COMPUTED_VALUE"""),"")</f>
        <v/>
      </c>
    </row>
    <row r="3853" ht="48.0" customHeight="1">
      <c r="A3853" s="3"/>
      <c r="B3853" s="4"/>
      <c r="C3853" s="4"/>
      <c r="D3853" s="4"/>
      <c r="E3853" s="4"/>
      <c r="F3853" s="4"/>
      <c r="G3853" s="5"/>
      <c r="H3853" s="6"/>
      <c r="I3853" s="7"/>
      <c r="J3853" s="6"/>
      <c r="K3853" s="6"/>
      <c r="L3853" s="3"/>
      <c r="M3853" s="3" t="str">
        <f>IFERROR(__xludf.DUMMYFUNCTION("""COMPUTED_VALUE"""),"")</f>
        <v/>
      </c>
    </row>
    <row r="3854" ht="48.0" customHeight="1">
      <c r="A3854" s="3"/>
      <c r="B3854" s="4"/>
      <c r="C3854" s="4"/>
      <c r="D3854" s="4"/>
      <c r="E3854" s="4"/>
      <c r="F3854" s="4"/>
      <c r="G3854" s="5"/>
      <c r="H3854" s="6"/>
      <c r="I3854" s="7"/>
      <c r="J3854" s="6"/>
      <c r="K3854" s="6"/>
      <c r="L3854" s="3"/>
      <c r="M3854" s="3" t="str">
        <f>IFERROR(__xludf.DUMMYFUNCTION("""COMPUTED_VALUE"""),"")</f>
        <v/>
      </c>
    </row>
    <row r="3855" ht="48.0" customHeight="1">
      <c r="A3855" s="3"/>
      <c r="B3855" s="4"/>
      <c r="C3855" s="4"/>
      <c r="D3855" s="4"/>
      <c r="E3855" s="4"/>
      <c r="F3855" s="4"/>
      <c r="G3855" s="5"/>
      <c r="H3855" s="6"/>
      <c r="I3855" s="7"/>
      <c r="J3855" s="6"/>
      <c r="K3855" s="6"/>
      <c r="L3855" s="3"/>
      <c r="M3855" s="3" t="str">
        <f>IFERROR(__xludf.DUMMYFUNCTION("""COMPUTED_VALUE"""),"")</f>
        <v/>
      </c>
    </row>
    <row r="3856" ht="48.0" customHeight="1">
      <c r="A3856" s="3"/>
      <c r="B3856" s="4"/>
      <c r="C3856" s="4"/>
      <c r="D3856" s="4"/>
      <c r="E3856" s="4"/>
      <c r="F3856" s="4"/>
      <c r="G3856" s="5"/>
      <c r="H3856" s="6"/>
      <c r="I3856" s="7"/>
      <c r="J3856" s="6"/>
      <c r="K3856" s="6"/>
      <c r="L3856" s="3"/>
      <c r="M3856" s="3" t="str">
        <f>IFERROR(__xludf.DUMMYFUNCTION("""COMPUTED_VALUE"""),"")</f>
        <v/>
      </c>
    </row>
    <row r="3857" ht="48.0" customHeight="1">
      <c r="A3857" s="3"/>
      <c r="B3857" s="4"/>
      <c r="C3857" s="4"/>
      <c r="D3857" s="4"/>
      <c r="E3857" s="4"/>
      <c r="F3857" s="4"/>
      <c r="G3857" s="5"/>
      <c r="H3857" s="6"/>
      <c r="I3857" s="7"/>
      <c r="J3857" s="6"/>
      <c r="K3857" s="6"/>
      <c r="L3857" s="3"/>
      <c r="M3857" s="3" t="str">
        <f>IFERROR(__xludf.DUMMYFUNCTION("""COMPUTED_VALUE"""),"")</f>
        <v/>
      </c>
    </row>
    <row r="3858" ht="48.0" customHeight="1">
      <c r="A3858" s="3"/>
      <c r="B3858" s="4"/>
      <c r="C3858" s="4"/>
      <c r="D3858" s="4"/>
      <c r="E3858" s="4"/>
      <c r="F3858" s="4"/>
      <c r="G3858" s="5"/>
      <c r="H3858" s="6"/>
      <c r="I3858" s="7"/>
      <c r="J3858" s="6"/>
      <c r="K3858" s="6"/>
      <c r="L3858" s="3"/>
      <c r="M3858" s="3" t="str">
        <f>IFERROR(__xludf.DUMMYFUNCTION("""COMPUTED_VALUE"""),"")</f>
        <v/>
      </c>
    </row>
    <row r="3859" ht="48.0" customHeight="1">
      <c r="A3859" s="3"/>
      <c r="B3859" s="4"/>
      <c r="C3859" s="4"/>
      <c r="D3859" s="4"/>
      <c r="E3859" s="4"/>
      <c r="F3859" s="4"/>
      <c r="G3859" s="5"/>
      <c r="H3859" s="6"/>
      <c r="I3859" s="7"/>
      <c r="J3859" s="6"/>
      <c r="K3859" s="6"/>
      <c r="L3859" s="3"/>
      <c r="M3859" s="3" t="str">
        <f>IFERROR(__xludf.DUMMYFUNCTION("""COMPUTED_VALUE"""),"")</f>
        <v/>
      </c>
    </row>
    <row r="3860" ht="48.0" customHeight="1">
      <c r="A3860" s="3"/>
      <c r="B3860" s="4"/>
      <c r="C3860" s="4"/>
      <c r="D3860" s="4"/>
      <c r="E3860" s="4"/>
      <c r="F3860" s="4"/>
      <c r="G3860" s="5"/>
      <c r="H3860" s="6"/>
      <c r="I3860" s="7"/>
      <c r="J3860" s="6"/>
      <c r="K3860" s="6"/>
      <c r="L3860" s="3"/>
      <c r="M3860" s="3" t="str">
        <f>IFERROR(__xludf.DUMMYFUNCTION("""COMPUTED_VALUE"""),"")</f>
        <v/>
      </c>
    </row>
    <row r="3861" ht="48.0" customHeight="1">
      <c r="A3861" s="3"/>
      <c r="B3861" s="4"/>
      <c r="C3861" s="4"/>
      <c r="D3861" s="4"/>
      <c r="E3861" s="4"/>
      <c r="F3861" s="4"/>
      <c r="G3861" s="5"/>
      <c r="H3861" s="6"/>
      <c r="I3861" s="7"/>
      <c r="J3861" s="6"/>
      <c r="K3861" s="6"/>
      <c r="L3861" s="3"/>
      <c r="M3861" s="3" t="str">
        <f>IFERROR(__xludf.DUMMYFUNCTION("""COMPUTED_VALUE"""),"")</f>
        <v/>
      </c>
    </row>
    <row r="3862" ht="48.0" customHeight="1">
      <c r="A3862" s="3"/>
      <c r="B3862" s="4"/>
      <c r="C3862" s="4"/>
      <c r="D3862" s="4"/>
      <c r="E3862" s="4"/>
      <c r="F3862" s="4"/>
      <c r="G3862" s="5"/>
      <c r="H3862" s="6"/>
      <c r="I3862" s="7"/>
      <c r="J3862" s="6"/>
      <c r="K3862" s="6"/>
      <c r="L3862" s="3"/>
      <c r="M3862" s="3" t="str">
        <f>IFERROR(__xludf.DUMMYFUNCTION("""COMPUTED_VALUE"""),"")</f>
        <v/>
      </c>
    </row>
    <row r="3863" ht="48.0" customHeight="1">
      <c r="A3863" s="3"/>
      <c r="B3863" s="4"/>
      <c r="C3863" s="4"/>
      <c r="D3863" s="4"/>
      <c r="E3863" s="4"/>
      <c r="F3863" s="4"/>
      <c r="G3863" s="5"/>
      <c r="H3863" s="6"/>
      <c r="I3863" s="7"/>
      <c r="J3863" s="6"/>
      <c r="K3863" s="6"/>
      <c r="L3863" s="3"/>
      <c r="M3863" s="3" t="str">
        <f>IFERROR(__xludf.DUMMYFUNCTION("""COMPUTED_VALUE"""),"")</f>
        <v/>
      </c>
    </row>
    <row r="3864" ht="48.0" customHeight="1">
      <c r="A3864" s="3"/>
      <c r="B3864" s="4"/>
      <c r="C3864" s="4"/>
      <c r="D3864" s="4"/>
      <c r="E3864" s="4"/>
      <c r="F3864" s="4"/>
      <c r="G3864" s="5"/>
      <c r="H3864" s="6"/>
      <c r="I3864" s="7"/>
      <c r="J3864" s="6"/>
      <c r="K3864" s="6"/>
      <c r="L3864" s="3"/>
      <c r="M3864" s="3" t="str">
        <f>IFERROR(__xludf.DUMMYFUNCTION("""COMPUTED_VALUE"""),"")</f>
        <v/>
      </c>
    </row>
    <row r="3865" ht="48.0" customHeight="1">
      <c r="A3865" s="3"/>
      <c r="B3865" s="4"/>
      <c r="C3865" s="4"/>
      <c r="D3865" s="4"/>
      <c r="E3865" s="4"/>
      <c r="F3865" s="4"/>
      <c r="G3865" s="5"/>
      <c r="H3865" s="6"/>
      <c r="I3865" s="7"/>
      <c r="J3865" s="6"/>
      <c r="K3865" s="6"/>
      <c r="L3865" s="3"/>
      <c r="M3865" s="3" t="str">
        <f>IFERROR(__xludf.DUMMYFUNCTION("""COMPUTED_VALUE"""),"")</f>
        <v/>
      </c>
    </row>
    <row r="3866" ht="48.0" customHeight="1">
      <c r="A3866" s="3"/>
      <c r="B3866" s="4"/>
      <c r="C3866" s="4"/>
      <c r="D3866" s="4"/>
      <c r="E3866" s="4"/>
      <c r="F3866" s="4"/>
      <c r="G3866" s="5"/>
      <c r="H3866" s="6"/>
      <c r="I3866" s="7"/>
      <c r="J3866" s="6"/>
      <c r="K3866" s="6"/>
      <c r="L3866" s="3"/>
      <c r="M3866" s="3" t="str">
        <f>IFERROR(__xludf.DUMMYFUNCTION("""COMPUTED_VALUE"""),"")</f>
        <v/>
      </c>
    </row>
    <row r="3867" ht="48.0" customHeight="1">
      <c r="A3867" s="3"/>
      <c r="B3867" s="4"/>
      <c r="C3867" s="4"/>
      <c r="D3867" s="4"/>
      <c r="E3867" s="4"/>
      <c r="F3867" s="4"/>
      <c r="G3867" s="5"/>
      <c r="H3867" s="6"/>
      <c r="I3867" s="7"/>
      <c r="J3867" s="6"/>
      <c r="K3867" s="6"/>
      <c r="L3867" s="3"/>
      <c r="M3867" s="3" t="str">
        <f>IFERROR(__xludf.DUMMYFUNCTION("""COMPUTED_VALUE"""),"")</f>
        <v/>
      </c>
    </row>
    <row r="3868" ht="48.0" customHeight="1">
      <c r="A3868" s="3"/>
      <c r="B3868" s="4"/>
      <c r="C3868" s="4"/>
      <c r="D3868" s="4"/>
      <c r="E3868" s="4"/>
      <c r="F3868" s="4"/>
      <c r="G3868" s="5"/>
      <c r="H3868" s="6"/>
      <c r="I3868" s="7"/>
      <c r="J3868" s="6"/>
      <c r="K3868" s="6"/>
      <c r="L3868" s="3"/>
      <c r="M3868" s="3" t="str">
        <f>IFERROR(__xludf.DUMMYFUNCTION("""COMPUTED_VALUE"""),"")</f>
        <v/>
      </c>
    </row>
    <row r="3869" ht="48.0" customHeight="1">
      <c r="A3869" s="3"/>
      <c r="B3869" s="4"/>
      <c r="C3869" s="4"/>
      <c r="D3869" s="4"/>
      <c r="E3869" s="4"/>
      <c r="F3869" s="4"/>
      <c r="G3869" s="5"/>
      <c r="H3869" s="6"/>
      <c r="I3869" s="7"/>
      <c r="J3869" s="6"/>
      <c r="K3869" s="6"/>
      <c r="L3869" s="3"/>
      <c r="M3869" s="3" t="str">
        <f>IFERROR(__xludf.DUMMYFUNCTION("""COMPUTED_VALUE"""),"")</f>
        <v/>
      </c>
    </row>
    <row r="3870" ht="48.0" customHeight="1">
      <c r="A3870" s="3"/>
      <c r="B3870" s="4"/>
      <c r="C3870" s="4"/>
      <c r="D3870" s="4"/>
      <c r="E3870" s="4"/>
      <c r="F3870" s="4"/>
      <c r="G3870" s="5"/>
      <c r="H3870" s="6"/>
      <c r="I3870" s="7"/>
      <c r="J3870" s="6"/>
      <c r="K3870" s="6"/>
      <c r="L3870" s="3"/>
      <c r="M3870" s="3" t="str">
        <f>IFERROR(__xludf.DUMMYFUNCTION("""COMPUTED_VALUE"""),"")</f>
        <v/>
      </c>
    </row>
    <row r="3871" ht="48.0" customHeight="1">
      <c r="A3871" s="3"/>
      <c r="B3871" s="4"/>
      <c r="C3871" s="4"/>
      <c r="D3871" s="4"/>
      <c r="E3871" s="4"/>
      <c r="F3871" s="4"/>
      <c r="G3871" s="5"/>
      <c r="H3871" s="6"/>
      <c r="I3871" s="7"/>
      <c r="J3871" s="6"/>
      <c r="K3871" s="6"/>
      <c r="L3871" s="3"/>
      <c r="M3871" s="3" t="str">
        <f>IFERROR(__xludf.DUMMYFUNCTION("""COMPUTED_VALUE"""),"")</f>
        <v/>
      </c>
    </row>
    <row r="3872" ht="48.0" customHeight="1">
      <c r="A3872" s="3"/>
      <c r="B3872" s="4"/>
      <c r="C3872" s="4"/>
      <c r="D3872" s="4"/>
      <c r="E3872" s="4"/>
      <c r="F3872" s="4"/>
      <c r="G3872" s="5"/>
      <c r="H3872" s="6"/>
      <c r="I3872" s="7"/>
      <c r="J3872" s="6"/>
      <c r="K3872" s="6"/>
      <c r="L3872" s="3"/>
      <c r="M3872" s="3" t="str">
        <f>IFERROR(__xludf.DUMMYFUNCTION("""COMPUTED_VALUE"""),"")</f>
        <v/>
      </c>
    </row>
    <row r="3873" ht="48.0" customHeight="1">
      <c r="A3873" s="3"/>
      <c r="B3873" s="4"/>
      <c r="C3873" s="4"/>
      <c r="D3873" s="4"/>
      <c r="E3873" s="4"/>
      <c r="F3873" s="4"/>
      <c r="G3873" s="5"/>
      <c r="H3873" s="6"/>
      <c r="I3873" s="7"/>
      <c r="J3873" s="6"/>
      <c r="K3873" s="6"/>
      <c r="L3873" s="3"/>
      <c r="M3873" s="3" t="str">
        <f>IFERROR(__xludf.DUMMYFUNCTION("""COMPUTED_VALUE"""),"")</f>
        <v/>
      </c>
    </row>
    <row r="3874" ht="48.0" customHeight="1">
      <c r="A3874" s="3"/>
      <c r="B3874" s="4"/>
      <c r="C3874" s="4"/>
      <c r="D3874" s="4"/>
      <c r="E3874" s="4"/>
      <c r="F3874" s="4"/>
      <c r="G3874" s="5"/>
      <c r="H3874" s="6"/>
      <c r="I3874" s="7"/>
      <c r="J3874" s="6"/>
      <c r="K3874" s="6"/>
      <c r="L3874" s="3"/>
      <c r="M3874" s="3" t="str">
        <f>IFERROR(__xludf.DUMMYFUNCTION("""COMPUTED_VALUE"""),"")</f>
        <v/>
      </c>
    </row>
    <row r="3875" ht="48.0" customHeight="1">
      <c r="A3875" s="3"/>
      <c r="B3875" s="4"/>
      <c r="C3875" s="4"/>
      <c r="D3875" s="4"/>
      <c r="E3875" s="4"/>
      <c r="F3875" s="4"/>
      <c r="G3875" s="5"/>
      <c r="H3875" s="6"/>
      <c r="I3875" s="7"/>
      <c r="J3875" s="6"/>
      <c r="K3875" s="6"/>
      <c r="L3875" s="3"/>
      <c r="M3875" s="3" t="str">
        <f>IFERROR(__xludf.DUMMYFUNCTION("""COMPUTED_VALUE"""),"")</f>
        <v/>
      </c>
    </row>
    <row r="3876" ht="48.0" customHeight="1">
      <c r="A3876" s="3"/>
      <c r="B3876" s="4"/>
      <c r="C3876" s="4"/>
      <c r="D3876" s="4"/>
      <c r="E3876" s="4"/>
      <c r="F3876" s="4"/>
      <c r="G3876" s="5"/>
      <c r="H3876" s="6"/>
      <c r="I3876" s="7"/>
      <c r="J3876" s="6"/>
      <c r="K3876" s="6"/>
      <c r="L3876" s="3"/>
      <c r="M3876" s="3" t="str">
        <f>IFERROR(__xludf.DUMMYFUNCTION("""COMPUTED_VALUE"""),"")</f>
        <v/>
      </c>
    </row>
    <row r="3877" ht="48.0" customHeight="1">
      <c r="A3877" s="3"/>
      <c r="B3877" s="4"/>
      <c r="C3877" s="4"/>
      <c r="D3877" s="4"/>
      <c r="E3877" s="4"/>
      <c r="F3877" s="4"/>
      <c r="G3877" s="5"/>
      <c r="H3877" s="6"/>
      <c r="I3877" s="7"/>
      <c r="J3877" s="6"/>
      <c r="K3877" s="6"/>
      <c r="L3877" s="3"/>
      <c r="M3877" s="3" t="str">
        <f>IFERROR(__xludf.DUMMYFUNCTION("""COMPUTED_VALUE"""),"")</f>
        <v/>
      </c>
    </row>
    <row r="3878" ht="48.0" customHeight="1">
      <c r="A3878" s="3"/>
      <c r="B3878" s="4"/>
      <c r="C3878" s="4"/>
      <c r="D3878" s="4"/>
      <c r="E3878" s="4"/>
      <c r="F3878" s="4"/>
      <c r="G3878" s="5"/>
      <c r="H3878" s="6"/>
      <c r="I3878" s="7"/>
      <c r="J3878" s="6"/>
      <c r="K3878" s="6"/>
      <c r="L3878" s="3"/>
      <c r="M3878" s="3" t="str">
        <f>IFERROR(__xludf.DUMMYFUNCTION("""COMPUTED_VALUE"""),"")</f>
        <v/>
      </c>
    </row>
    <row r="3879" ht="48.0" customHeight="1">
      <c r="A3879" s="3"/>
      <c r="B3879" s="4"/>
      <c r="C3879" s="4"/>
      <c r="D3879" s="4"/>
      <c r="E3879" s="4"/>
      <c r="F3879" s="4"/>
      <c r="G3879" s="5"/>
      <c r="H3879" s="6"/>
      <c r="I3879" s="7"/>
      <c r="J3879" s="6"/>
      <c r="K3879" s="6"/>
      <c r="L3879" s="3"/>
      <c r="M3879" s="3" t="str">
        <f>IFERROR(__xludf.DUMMYFUNCTION("""COMPUTED_VALUE"""),"")</f>
        <v/>
      </c>
    </row>
    <row r="3880" ht="48.0" customHeight="1">
      <c r="A3880" s="3"/>
      <c r="B3880" s="4"/>
      <c r="C3880" s="4"/>
      <c r="D3880" s="4"/>
      <c r="E3880" s="4"/>
      <c r="F3880" s="4"/>
      <c r="G3880" s="5"/>
      <c r="H3880" s="6"/>
      <c r="I3880" s="7"/>
      <c r="J3880" s="6"/>
      <c r="K3880" s="6"/>
      <c r="L3880" s="3"/>
      <c r="M3880" s="3" t="str">
        <f>IFERROR(__xludf.DUMMYFUNCTION("""COMPUTED_VALUE"""),"")</f>
        <v/>
      </c>
    </row>
    <row r="3881" ht="48.0" customHeight="1">
      <c r="A3881" s="3"/>
      <c r="B3881" s="4"/>
      <c r="C3881" s="4"/>
      <c r="D3881" s="4"/>
      <c r="E3881" s="4"/>
      <c r="F3881" s="4"/>
      <c r="G3881" s="5"/>
      <c r="H3881" s="6"/>
      <c r="I3881" s="7"/>
      <c r="J3881" s="6"/>
      <c r="K3881" s="6"/>
      <c r="L3881" s="3"/>
      <c r="M3881" s="3" t="str">
        <f>IFERROR(__xludf.DUMMYFUNCTION("""COMPUTED_VALUE"""),"")</f>
        <v/>
      </c>
    </row>
    <row r="3882" ht="48.0" customHeight="1">
      <c r="A3882" s="3"/>
      <c r="B3882" s="4"/>
      <c r="C3882" s="4"/>
      <c r="D3882" s="4"/>
      <c r="E3882" s="4"/>
      <c r="F3882" s="4"/>
      <c r="G3882" s="5"/>
      <c r="H3882" s="6"/>
      <c r="I3882" s="7"/>
      <c r="J3882" s="6"/>
      <c r="K3882" s="6"/>
      <c r="L3882" s="3"/>
      <c r="M3882" s="3" t="str">
        <f>IFERROR(__xludf.DUMMYFUNCTION("""COMPUTED_VALUE"""),"")</f>
        <v/>
      </c>
    </row>
    <row r="3883" ht="48.0" customHeight="1">
      <c r="A3883" s="3"/>
      <c r="B3883" s="4"/>
      <c r="C3883" s="4"/>
      <c r="D3883" s="4"/>
      <c r="E3883" s="4"/>
      <c r="F3883" s="4"/>
      <c r="G3883" s="5"/>
      <c r="H3883" s="6"/>
      <c r="I3883" s="7"/>
      <c r="J3883" s="6"/>
      <c r="K3883" s="6"/>
      <c r="L3883" s="3"/>
      <c r="M3883" s="3" t="str">
        <f>IFERROR(__xludf.DUMMYFUNCTION("""COMPUTED_VALUE"""),"")</f>
        <v/>
      </c>
    </row>
    <row r="3884" ht="48.0" customHeight="1">
      <c r="A3884" s="3"/>
      <c r="B3884" s="4"/>
      <c r="C3884" s="4"/>
      <c r="D3884" s="4"/>
      <c r="E3884" s="4"/>
      <c r="F3884" s="4"/>
      <c r="G3884" s="5"/>
      <c r="H3884" s="6"/>
      <c r="I3884" s="7"/>
      <c r="J3884" s="6"/>
      <c r="K3884" s="6"/>
      <c r="L3884" s="3"/>
      <c r="M3884" s="3" t="str">
        <f>IFERROR(__xludf.DUMMYFUNCTION("""COMPUTED_VALUE"""),"")</f>
        <v/>
      </c>
    </row>
    <row r="3885" ht="48.0" customHeight="1">
      <c r="A3885" s="3"/>
      <c r="B3885" s="4"/>
      <c r="C3885" s="4"/>
      <c r="D3885" s="4"/>
      <c r="E3885" s="4"/>
      <c r="F3885" s="4"/>
      <c r="G3885" s="5"/>
      <c r="H3885" s="6"/>
      <c r="I3885" s="7"/>
      <c r="J3885" s="6"/>
      <c r="K3885" s="6"/>
      <c r="L3885" s="3"/>
      <c r="M3885" s="3" t="str">
        <f>IFERROR(__xludf.DUMMYFUNCTION("""COMPUTED_VALUE"""),"")</f>
        <v/>
      </c>
    </row>
    <row r="3886" ht="48.0" customHeight="1">
      <c r="A3886" s="3"/>
      <c r="B3886" s="4"/>
      <c r="C3886" s="4"/>
      <c r="D3886" s="4"/>
      <c r="E3886" s="4"/>
      <c r="F3886" s="4"/>
      <c r="G3886" s="5"/>
      <c r="H3886" s="6"/>
      <c r="I3886" s="7"/>
      <c r="J3886" s="6"/>
      <c r="K3886" s="6"/>
      <c r="L3886" s="3"/>
      <c r="M3886" s="3" t="str">
        <f>IFERROR(__xludf.DUMMYFUNCTION("""COMPUTED_VALUE"""),"")</f>
        <v/>
      </c>
    </row>
    <row r="3887" ht="48.0" customHeight="1">
      <c r="A3887" s="3"/>
      <c r="B3887" s="4"/>
      <c r="C3887" s="4"/>
      <c r="D3887" s="4"/>
      <c r="E3887" s="4"/>
      <c r="F3887" s="4"/>
      <c r="G3887" s="5"/>
      <c r="H3887" s="6"/>
      <c r="I3887" s="7"/>
      <c r="J3887" s="6"/>
      <c r="K3887" s="6"/>
      <c r="L3887" s="3"/>
      <c r="M3887" s="3" t="str">
        <f>IFERROR(__xludf.DUMMYFUNCTION("""COMPUTED_VALUE"""),"")</f>
        <v/>
      </c>
    </row>
    <row r="3888" ht="48.0" customHeight="1">
      <c r="A3888" s="3"/>
      <c r="B3888" s="4"/>
      <c r="C3888" s="4"/>
      <c r="D3888" s="4"/>
      <c r="E3888" s="4"/>
      <c r="F3888" s="4"/>
      <c r="G3888" s="5"/>
      <c r="H3888" s="6"/>
      <c r="I3888" s="7"/>
      <c r="J3888" s="6"/>
      <c r="K3888" s="6"/>
      <c r="L3888" s="3"/>
      <c r="M3888" s="3" t="str">
        <f>IFERROR(__xludf.DUMMYFUNCTION("""COMPUTED_VALUE"""),"")</f>
        <v/>
      </c>
    </row>
    <row r="3889" ht="48.0" customHeight="1">
      <c r="A3889" s="3"/>
      <c r="B3889" s="4"/>
      <c r="C3889" s="4"/>
      <c r="D3889" s="4"/>
      <c r="E3889" s="4"/>
      <c r="F3889" s="4"/>
      <c r="G3889" s="5"/>
      <c r="H3889" s="6"/>
      <c r="I3889" s="7"/>
      <c r="J3889" s="6"/>
      <c r="K3889" s="6"/>
      <c r="L3889" s="3"/>
      <c r="M3889" s="3" t="str">
        <f>IFERROR(__xludf.DUMMYFUNCTION("""COMPUTED_VALUE"""),"")</f>
        <v/>
      </c>
    </row>
    <row r="3890" ht="48.0" customHeight="1">
      <c r="A3890" s="3"/>
      <c r="B3890" s="4"/>
      <c r="C3890" s="4"/>
      <c r="D3890" s="4"/>
      <c r="E3890" s="4"/>
      <c r="F3890" s="4"/>
      <c r="G3890" s="5"/>
      <c r="H3890" s="6"/>
      <c r="I3890" s="7"/>
      <c r="J3890" s="6"/>
      <c r="K3890" s="6"/>
      <c r="L3890" s="3"/>
      <c r="M3890" s="3" t="str">
        <f>IFERROR(__xludf.DUMMYFUNCTION("""COMPUTED_VALUE"""),"")</f>
        <v/>
      </c>
    </row>
    <row r="3891" ht="48.0" customHeight="1">
      <c r="A3891" s="3"/>
      <c r="B3891" s="4"/>
      <c r="C3891" s="4"/>
      <c r="D3891" s="4"/>
      <c r="E3891" s="4"/>
      <c r="F3891" s="4"/>
      <c r="G3891" s="5"/>
      <c r="H3891" s="6"/>
      <c r="I3891" s="7"/>
      <c r="J3891" s="6"/>
      <c r="K3891" s="6"/>
      <c r="L3891" s="3"/>
      <c r="M3891" s="3" t="str">
        <f>IFERROR(__xludf.DUMMYFUNCTION("""COMPUTED_VALUE"""),"")</f>
        <v/>
      </c>
    </row>
    <row r="3892" ht="48.0" customHeight="1">
      <c r="A3892" s="3"/>
      <c r="B3892" s="4"/>
      <c r="C3892" s="4"/>
      <c r="D3892" s="4"/>
      <c r="E3892" s="4"/>
      <c r="F3892" s="4"/>
      <c r="G3892" s="5"/>
      <c r="H3892" s="6"/>
      <c r="I3892" s="7"/>
      <c r="J3892" s="6"/>
      <c r="K3892" s="6"/>
      <c r="L3892" s="3"/>
      <c r="M3892" s="3" t="str">
        <f>IFERROR(__xludf.DUMMYFUNCTION("""COMPUTED_VALUE"""),"")</f>
        <v/>
      </c>
    </row>
    <row r="3893" ht="48.0" customHeight="1">
      <c r="A3893" s="3"/>
      <c r="B3893" s="4"/>
      <c r="C3893" s="4"/>
      <c r="D3893" s="4"/>
      <c r="E3893" s="4"/>
      <c r="F3893" s="4"/>
      <c r="G3893" s="5"/>
      <c r="H3893" s="6"/>
      <c r="I3893" s="7"/>
      <c r="J3893" s="6"/>
      <c r="K3893" s="6"/>
      <c r="L3893" s="3"/>
      <c r="M3893" s="3" t="str">
        <f>IFERROR(__xludf.DUMMYFUNCTION("""COMPUTED_VALUE"""),"")</f>
        <v/>
      </c>
    </row>
    <row r="3894" ht="48.0" customHeight="1">
      <c r="A3894" s="3"/>
      <c r="B3894" s="4"/>
      <c r="C3894" s="4"/>
      <c r="D3894" s="4"/>
      <c r="E3894" s="4"/>
      <c r="F3894" s="4"/>
      <c r="G3894" s="5"/>
      <c r="H3894" s="6"/>
      <c r="I3894" s="7"/>
      <c r="J3894" s="6"/>
      <c r="K3894" s="6"/>
      <c r="L3894" s="3"/>
      <c r="M3894" s="3" t="str">
        <f>IFERROR(__xludf.DUMMYFUNCTION("""COMPUTED_VALUE"""),"")</f>
        <v/>
      </c>
    </row>
    <row r="3895" ht="48.0" customHeight="1">
      <c r="A3895" s="3"/>
      <c r="B3895" s="4"/>
      <c r="C3895" s="4"/>
      <c r="D3895" s="4"/>
      <c r="E3895" s="4"/>
      <c r="F3895" s="4"/>
      <c r="G3895" s="5"/>
      <c r="H3895" s="6"/>
      <c r="I3895" s="7"/>
      <c r="J3895" s="6"/>
      <c r="K3895" s="6"/>
      <c r="L3895" s="3"/>
      <c r="M3895" s="3" t="str">
        <f>IFERROR(__xludf.DUMMYFUNCTION("""COMPUTED_VALUE"""),"")</f>
        <v/>
      </c>
    </row>
    <row r="3896" ht="48.0" customHeight="1">
      <c r="A3896" s="3"/>
      <c r="B3896" s="4"/>
      <c r="C3896" s="4"/>
      <c r="D3896" s="4"/>
      <c r="E3896" s="4"/>
      <c r="F3896" s="4"/>
      <c r="G3896" s="5"/>
      <c r="H3896" s="6"/>
      <c r="I3896" s="7"/>
      <c r="J3896" s="6"/>
      <c r="K3896" s="6"/>
      <c r="L3896" s="3"/>
      <c r="M3896" s="3" t="str">
        <f>IFERROR(__xludf.DUMMYFUNCTION("""COMPUTED_VALUE"""),"")</f>
        <v/>
      </c>
    </row>
    <row r="3897" ht="48.0" customHeight="1">
      <c r="A3897" s="3"/>
      <c r="B3897" s="4"/>
      <c r="C3897" s="4"/>
      <c r="D3897" s="4"/>
      <c r="E3897" s="4"/>
      <c r="F3897" s="4"/>
      <c r="G3897" s="5"/>
      <c r="H3897" s="6"/>
      <c r="I3897" s="7"/>
      <c r="J3897" s="6"/>
      <c r="K3897" s="6"/>
      <c r="L3897" s="3"/>
      <c r="M3897" s="3" t="str">
        <f>IFERROR(__xludf.DUMMYFUNCTION("""COMPUTED_VALUE"""),"")</f>
        <v/>
      </c>
    </row>
    <row r="3898" ht="48.0" customHeight="1">
      <c r="A3898" s="3"/>
      <c r="B3898" s="4"/>
      <c r="C3898" s="4"/>
      <c r="D3898" s="4"/>
      <c r="E3898" s="4"/>
      <c r="F3898" s="4"/>
      <c r="G3898" s="5"/>
      <c r="H3898" s="6"/>
      <c r="I3898" s="7"/>
      <c r="J3898" s="6"/>
      <c r="K3898" s="6"/>
      <c r="L3898" s="3"/>
      <c r="M3898" s="3" t="str">
        <f>IFERROR(__xludf.DUMMYFUNCTION("""COMPUTED_VALUE"""),"")</f>
        <v/>
      </c>
    </row>
    <row r="3899" ht="48.0" customHeight="1">
      <c r="A3899" s="3"/>
      <c r="B3899" s="4"/>
      <c r="C3899" s="4"/>
      <c r="D3899" s="4"/>
      <c r="E3899" s="4"/>
      <c r="F3899" s="4"/>
      <c r="G3899" s="5"/>
      <c r="H3899" s="6"/>
      <c r="I3899" s="7"/>
      <c r="J3899" s="6"/>
      <c r="K3899" s="6"/>
      <c r="L3899" s="3"/>
      <c r="M3899" s="3" t="str">
        <f>IFERROR(__xludf.DUMMYFUNCTION("""COMPUTED_VALUE"""),"")</f>
        <v/>
      </c>
    </row>
    <row r="3900" ht="48.0" customHeight="1">
      <c r="A3900" s="3"/>
      <c r="B3900" s="4"/>
      <c r="C3900" s="4"/>
      <c r="D3900" s="4"/>
      <c r="E3900" s="4"/>
      <c r="F3900" s="4"/>
      <c r="G3900" s="5"/>
      <c r="H3900" s="6"/>
      <c r="I3900" s="7"/>
      <c r="J3900" s="6"/>
      <c r="K3900" s="6"/>
      <c r="L3900" s="3"/>
      <c r="M3900" s="3" t="str">
        <f>IFERROR(__xludf.DUMMYFUNCTION("""COMPUTED_VALUE"""),"")</f>
        <v/>
      </c>
    </row>
    <row r="3901" ht="48.0" customHeight="1">
      <c r="A3901" s="3"/>
      <c r="B3901" s="4"/>
      <c r="C3901" s="4"/>
      <c r="D3901" s="4"/>
      <c r="E3901" s="4"/>
      <c r="F3901" s="4"/>
      <c r="G3901" s="5"/>
      <c r="H3901" s="6"/>
      <c r="I3901" s="7"/>
      <c r="J3901" s="6"/>
      <c r="K3901" s="6"/>
      <c r="L3901" s="3"/>
      <c r="M3901" s="3" t="str">
        <f>IFERROR(__xludf.DUMMYFUNCTION("""COMPUTED_VALUE"""),"")</f>
        <v/>
      </c>
    </row>
    <row r="3902" ht="48.0" customHeight="1">
      <c r="A3902" s="3"/>
      <c r="B3902" s="4"/>
      <c r="C3902" s="4"/>
      <c r="D3902" s="4"/>
      <c r="E3902" s="4"/>
      <c r="F3902" s="4"/>
      <c r="G3902" s="5"/>
      <c r="H3902" s="6"/>
      <c r="I3902" s="7"/>
      <c r="J3902" s="6"/>
      <c r="K3902" s="6"/>
      <c r="L3902" s="3"/>
      <c r="M3902" s="3" t="str">
        <f>IFERROR(__xludf.DUMMYFUNCTION("""COMPUTED_VALUE"""),"")</f>
        <v/>
      </c>
    </row>
    <row r="3903" ht="48.0" customHeight="1">
      <c r="A3903" s="3"/>
      <c r="B3903" s="4"/>
      <c r="C3903" s="4"/>
      <c r="D3903" s="4"/>
      <c r="E3903" s="4"/>
      <c r="F3903" s="4"/>
      <c r="G3903" s="5"/>
      <c r="H3903" s="6"/>
      <c r="I3903" s="7"/>
      <c r="J3903" s="6"/>
      <c r="K3903" s="6"/>
      <c r="L3903" s="3"/>
      <c r="M3903" s="3" t="str">
        <f>IFERROR(__xludf.DUMMYFUNCTION("""COMPUTED_VALUE"""),"")</f>
        <v/>
      </c>
    </row>
    <row r="3904" ht="48.0" customHeight="1">
      <c r="A3904" s="3"/>
      <c r="B3904" s="4"/>
      <c r="C3904" s="4"/>
      <c r="D3904" s="4"/>
      <c r="E3904" s="4"/>
      <c r="F3904" s="4"/>
      <c r="G3904" s="5"/>
      <c r="H3904" s="6"/>
      <c r="I3904" s="7"/>
      <c r="J3904" s="6"/>
      <c r="K3904" s="6"/>
      <c r="L3904" s="3"/>
      <c r="M3904" s="3" t="str">
        <f>IFERROR(__xludf.DUMMYFUNCTION("""COMPUTED_VALUE"""),"")</f>
        <v/>
      </c>
    </row>
    <row r="3905" ht="48.0" customHeight="1">
      <c r="A3905" s="3"/>
      <c r="B3905" s="4"/>
      <c r="C3905" s="4"/>
      <c r="D3905" s="4"/>
      <c r="E3905" s="4"/>
      <c r="F3905" s="4"/>
      <c r="G3905" s="5"/>
      <c r="H3905" s="6"/>
      <c r="I3905" s="7"/>
      <c r="J3905" s="6"/>
      <c r="K3905" s="6"/>
      <c r="L3905" s="3"/>
      <c r="M3905" s="3" t="str">
        <f>IFERROR(__xludf.DUMMYFUNCTION("""COMPUTED_VALUE"""),"")</f>
        <v/>
      </c>
    </row>
    <row r="3906" ht="48.0" customHeight="1">
      <c r="A3906" s="3"/>
      <c r="B3906" s="4"/>
      <c r="C3906" s="4"/>
      <c r="D3906" s="4"/>
      <c r="E3906" s="4"/>
      <c r="F3906" s="4"/>
      <c r="G3906" s="5"/>
      <c r="H3906" s="6"/>
      <c r="I3906" s="7"/>
      <c r="J3906" s="6"/>
      <c r="K3906" s="6"/>
      <c r="L3906" s="3"/>
      <c r="M3906" s="3" t="str">
        <f>IFERROR(__xludf.DUMMYFUNCTION("""COMPUTED_VALUE"""),"")</f>
        <v/>
      </c>
    </row>
    <row r="3907" ht="48.0" customHeight="1">
      <c r="A3907" s="3"/>
      <c r="B3907" s="4"/>
      <c r="C3907" s="4"/>
      <c r="D3907" s="4"/>
      <c r="E3907" s="4"/>
      <c r="F3907" s="4"/>
      <c r="G3907" s="5"/>
      <c r="H3907" s="6"/>
      <c r="I3907" s="7"/>
      <c r="J3907" s="6"/>
      <c r="K3907" s="6"/>
      <c r="L3907" s="3"/>
      <c r="M3907" s="3" t="str">
        <f>IFERROR(__xludf.DUMMYFUNCTION("""COMPUTED_VALUE"""),"")</f>
        <v/>
      </c>
    </row>
    <row r="3908" ht="48.0" customHeight="1">
      <c r="A3908" s="3"/>
      <c r="B3908" s="4"/>
      <c r="C3908" s="4"/>
      <c r="D3908" s="4"/>
      <c r="E3908" s="4"/>
      <c r="F3908" s="4"/>
      <c r="G3908" s="5"/>
      <c r="H3908" s="6"/>
      <c r="I3908" s="7"/>
      <c r="J3908" s="6"/>
      <c r="K3908" s="6"/>
      <c r="L3908" s="3"/>
      <c r="M3908" s="3" t="str">
        <f>IFERROR(__xludf.DUMMYFUNCTION("""COMPUTED_VALUE"""),"")</f>
        <v/>
      </c>
    </row>
    <row r="3909" ht="48.0" customHeight="1">
      <c r="A3909" s="3"/>
      <c r="B3909" s="4"/>
      <c r="C3909" s="4"/>
      <c r="D3909" s="4"/>
      <c r="E3909" s="4"/>
      <c r="F3909" s="4"/>
      <c r="G3909" s="5"/>
      <c r="H3909" s="6"/>
      <c r="I3909" s="7"/>
      <c r="J3909" s="6"/>
      <c r="K3909" s="6"/>
      <c r="L3909" s="3"/>
      <c r="M3909" s="3" t="str">
        <f>IFERROR(__xludf.DUMMYFUNCTION("""COMPUTED_VALUE"""),"")</f>
        <v/>
      </c>
    </row>
    <row r="3910" ht="48.0" customHeight="1">
      <c r="A3910" s="3"/>
      <c r="B3910" s="4"/>
      <c r="C3910" s="4"/>
      <c r="D3910" s="4"/>
      <c r="E3910" s="4"/>
      <c r="F3910" s="4"/>
      <c r="G3910" s="5"/>
      <c r="H3910" s="6"/>
      <c r="I3910" s="7"/>
      <c r="J3910" s="6"/>
      <c r="K3910" s="6"/>
      <c r="L3910" s="3"/>
      <c r="M3910" s="3" t="str">
        <f>IFERROR(__xludf.DUMMYFUNCTION("""COMPUTED_VALUE"""),"")</f>
        <v/>
      </c>
    </row>
    <row r="3911" ht="48.0" customHeight="1">
      <c r="A3911" s="3"/>
      <c r="B3911" s="4"/>
      <c r="C3911" s="4"/>
      <c r="D3911" s="4"/>
      <c r="E3911" s="4"/>
      <c r="F3911" s="4"/>
      <c r="G3911" s="5"/>
      <c r="H3911" s="6"/>
      <c r="I3911" s="7"/>
      <c r="J3911" s="6"/>
      <c r="K3911" s="6"/>
      <c r="L3911" s="3"/>
      <c r="M3911" s="3" t="str">
        <f>IFERROR(__xludf.DUMMYFUNCTION("""COMPUTED_VALUE"""),"")</f>
        <v/>
      </c>
    </row>
    <row r="3912" ht="48.0" customHeight="1">
      <c r="A3912" s="3"/>
      <c r="B3912" s="4"/>
      <c r="C3912" s="4"/>
      <c r="D3912" s="4"/>
      <c r="E3912" s="4"/>
      <c r="F3912" s="4"/>
      <c r="G3912" s="5"/>
      <c r="H3912" s="6"/>
      <c r="I3912" s="7"/>
      <c r="J3912" s="6"/>
      <c r="K3912" s="6"/>
      <c r="L3912" s="3"/>
      <c r="M3912" s="3" t="str">
        <f>IFERROR(__xludf.DUMMYFUNCTION("""COMPUTED_VALUE"""),"")</f>
        <v/>
      </c>
    </row>
    <row r="3913" ht="48.0" customHeight="1">
      <c r="A3913" s="3"/>
      <c r="B3913" s="4"/>
      <c r="C3913" s="4"/>
      <c r="D3913" s="4"/>
      <c r="E3913" s="4"/>
      <c r="F3913" s="4"/>
      <c r="G3913" s="5"/>
      <c r="H3913" s="6"/>
      <c r="I3913" s="7"/>
      <c r="J3913" s="6"/>
      <c r="K3913" s="6"/>
      <c r="L3913" s="3"/>
      <c r="M3913" s="3" t="str">
        <f>IFERROR(__xludf.DUMMYFUNCTION("""COMPUTED_VALUE"""),"")</f>
        <v/>
      </c>
    </row>
    <row r="3914" ht="48.0" customHeight="1">
      <c r="A3914" s="3"/>
      <c r="B3914" s="4"/>
      <c r="C3914" s="4"/>
      <c r="D3914" s="4"/>
      <c r="E3914" s="4"/>
      <c r="F3914" s="4"/>
      <c r="G3914" s="5"/>
      <c r="H3914" s="6"/>
      <c r="I3914" s="7"/>
      <c r="J3914" s="6"/>
      <c r="K3914" s="6"/>
      <c r="L3914" s="3"/>
      <c r="M3914" s="3" t="str">
        <f>IFERROR(__xludf.DUMMYFUNCTION("""COMPUTED_VALUE"""),"")</f>
        <v/>
      </c>
    </row>
    <row r="3915" ht="48.0" customHeight="1">
      <c r="A3915" s="3"/>
      <c r="B3915" s="4"/>
      <c r="C3915" s="4"/>
      <c r="D3915" s="4"/>
      <c r="E3915" s="4"/>
      <c r="F3915" s="4"/>
      <c r="G3915" s="5"/>
      <c r="H3915" s="6"/>
      <c r="I3915" s="7"/>
      <c r="J3915" s="6"/>
      <c r="K3915" s="6"/>
      <c r="L3915" s="3"/>
      <c r="M3915" s="3" t="str">
        <f>IFERROR(__xludf.DUMMYFUNCTION("""COMPUTED_VALUE"""),"")</f>
        <v/>
      </c>
    </row>
    <row r="3916" ht="48.0" customHeight="1">
      <c r="A3916" s="3"/>
      <c r="B3916" s="4"/>
      <c r="C3916" s="4"/>
      <c r="D3916" s="4"/>
      <c r="E3916" s="4"/>
      <c r="F3916" s="4"/>
      <c r="G3916" s="5"/>
      <c r="H3916" s="6"/>
      <c r="I3916" s="7"/>
      <c r="J3916" s="6"/>
      <c r="K3916" s="6"/>
      <c r="L3916" s="3"/>
      <c r="M3916" s="3" t="str">
        <f>IFERROR(__xludf.DUMMYFUNCTION("""COMPUTED_VALUE"""),"")</f>
        <v/>
      </c>
    </row>
    <row r="3917" ht="48.0" customHeight="1">
      <c r="A3917" s="3"/>
      <c r="B3917" s="4"/>
      <c r="C3917" s="4"/>
      <c r="D3917" s="4"/>
      <c r="E3917" s="4"/>
      <c r="F3917" s="4"/>
      <c r="G3917" s="5"/>
      <c r="H3917" s="6"/>
      <c r="I3917" s="7"/>
      <c r="J3917" s="6"/>
      <c r="K3917" s="6"/>
      <c r="L3917" s="3"/>
      <c r="M3917" s="3" t="str">
        <f>IFERROR(__xludf.DUMMYFUNCTION("""COMPUTED_VALUE"""),"")</f>
        <v/>
      </c>
    </row>
    <row r="3918" ht="48.0" customHeight="1">
      <c r="A3918" s="3"/>
      <c r="B3918" s="4"/>
      <c r="C3918" s="4"/>
      <c r="D3918" s="4"/>
      <c r="E3918" s="4"/>
      <c r="F3918" s="4"/>
      <c r="G3918" s="5"/>
      <c r="H3918" s="6"/>
      <c r="I3918" s="7"/>
      <c r="J3918" s="6"/>
      <c r="K3918" s="6"/>
      <c r="L3918" s="3"/>
      <c r="M3918" s="3" t="str">
        <f>IFERROR(__xludf.DUMMYFUNCTION("""COMPUTED_VALUE"""),"")</f>
        <v/>
      </c>
    </row>
    <row r="3919" ht="48.0" customHeight="1">
      <c r="A3919" s="3"/>
      <c r="B3919" s="4"/>
      <c r="C3919" s="4"/>
      <c r="D3919" s="4"/>
      <c r="E3919" s="4"/>
      <c r="F3919" s="4"/>
      <c r="G3919" s="5"/>
      <c r="H3919" s="6"/>
      <c r="I3919" s="7"/>
      <c r="J3919" s="6"/>
      <c r="K3919" s="6"/>
      <c r="L3919" s="3"/>
      <c r="M3919" s="3" t="str">
        <f>IFERROR(__xludf.DUMMYFUNCTION("""COMPUTED_VALUE"""),"")</f>
        <v/>
      </c>
    </row>
    <row r="3920" ht="48.0" customHeight="1">
      <c r="A3920" s="3"/>
      <c r="B3920" s="4"/>
      <c r="C3920" s="4"/>
      <c r="D3920" s="4"/>
      <c r="E3920" s="4"/>
      <c r="F3920" s="4"/>
      <c r="G3920" s="5"/>
      <c r="H3920" s="6"/>
      <c r="I3920" s="7"/>
      <c r="J3920" s="6"/>
      <c r="K3920" s="6"/>
      <c r="L3920" s="3"/>
      <c r="M3920" s="3" t="str">
        <f>IFERROR(__xludf.DUMMYFUNCTION("""COMPUTED_VALUE"""),"")</f>
        <v/>
      </c>
    </row>
    <row r="3921" ht="48.0" customHeight="1">
      <c r="A3921" s="3"/>
      <c r="B3921" s="4"/>
      <c r="C3921" s="4"/>
      <c r="D3921" s="4"/>
      <c r="E3921" s="4"/>
      <c r="F3921" s="4"/>
      <c r="G3921" s="5"/>
      <c r="H3921" s="6"/>
      <c r="I3921" s="7"/>
      <c r="J3921" s="6"/>
      <c r="K3921" s="6"/>
      <c r="L3921" s="3"/>
      <c r="M3921" s="3" t="str">
        <f>IFERROR(__xludf.DUMMYFUNCTION("""COMPUTED_VALUE"""),"")</f>
        <v/>
      </c>
    </row>
    <row r="3922" ht="48.0" customHeight="1">
      <c r="A3922" s="3"/>
      <c r="B3922" s="4"/>
      <c r="C3922" s="4"/>
      <c r="D3922" s="4"/>
      <c r="E3922" s="4"/>
      <c r="F3922" s="4"/>
      <c r="G3922" s="5"/>
      <c r="H3922" s="6"/>
      <c r="I3922" s="7"/>
      <c r="J3922" s="6"/>
      <c r="K3922" s="6"/>
      <c r="L3922" s="3"/>
      <c r="M3922" s="3" t="str">
        <f>IFERROR(__xludf.DUMMYFUNCTION("""COMPUTED_VALUE"""),"")</f>
        <v/>
      </c>
    </row>
    <row r="3923" ht="48.0" customHeight="1">
      <c r="A3923" s="3"/>
      <c r="B3923" s="4"/>
      <c r="C3923" s="4"/>
      <c r="D3923" s="4"/>
      <c r="E3923" s="4"/>
      <c r="F3923" s="4"/>
      <c r="G3923" s="5"/>
      <c r="H3923" s="6"/>
      <c r="I3923" s="7"/>
      <c r="J3923" s="6"/>
      <c r="K3923" s="6"/>
      <c r="L3923" s="3"/>
      <c r="M3923" s="3" t="str">
        <f>IFERROR(__xludf.DUMMYFUNCTION("""COMPUTED_VALUE"""),"")</f>
        <v/>
      </c>
    </row>
    <row r="3924" ht="48.0" customHeight="1">
      <c r="A3924" s="3"/>
      <c r="B3924" s="4"/>
      <c r="C3924" s="4"/>
      <c r="D3924" s="4"/>
      <c r="E3924" s="4"/>
      <c r="F3924" s="4"/>
      <c r="G3924" s="5"/>
      <c r="H3924" s="6"/>
      <c r="I3924" s="7"/>
      <c r="J3924" s="6"/>
      <c r="K3924" s="6"/>
      <c r="L3924" s="3"/>
      <c r="M3924" s="3" t="str">
        <f>IFERROR(__xludf.DUMMYFUNCTION("""COMPUTED_VALUE"""),"")</f>
        <v/>
      </c>
    </row>
    <row r="3925" ht="48.0" customHeight="1">
      <c r="A3925" s="3"/>
      <c r="B3925" s="4"/>
      <c r="C3925" s="4"/>
      <c r="D3925" s="4"/>
      <c r="E3925" s="4"/>
      <c r="F3925" s="4"/>
      <c r="G3925" s="5"/>
      <c r="H3925" s="6"/>
      <c r="I3925" s="7"/>
      <c r="J3925" s="6"/>
      <c r="K3925" s="6"/>
      <c r="L3925" s="3"/>
      <c r="M3925" s="3" t="str">
        <f>IFERROR(__xludf.DUMMYFUNCTION("""COMPUTED_VALUE"""),"")</f>
        <v/>
      </c>
    </row>
    <row r="3926" ht="48.0" customHeight="1">
      <c r="A3926" s="3"/>
      <c r="B3926" s="4"/>
      <c r="C3926" s="4"/>
      <c r="D3926" s="4"/>
      <c r="E3926" s="4"/>
      <c r="F3926" s="4"/>
      <c r="G3926" s="5"/>
      <c r="H3926" s="6"/>
      <c r="I3926" s="7"/>
      <c r="J3926" s="6"/>
      <c r="K3926" s="6"/>
      <c r="L3926" s="3"/>
      <c r="M3926" s="3" t="str">
        <f>IFERROR(__xludf.DUMMYFUNCTION("""COMPUTED_VALUE"""),"")</f>
        <v/>
      </c>
    </row>
    <row r="3927" ht="48.0" customHeight="1">
      <c r="A3927" s="3"/>
      <c r="B3927" s="4"/>
      <c r="C3927" s="4"/>
      <c r="D3927" s="4"/>
      <c r="E3927" s="4"/>
      <c r="F3927" s="4"/>
      <c r="G3927" s="5"/>
      <c r="H3927" s="6"/>
      <c r="I3927" s="7"/>
      <c r="J3927" s="6"/>
      <c r="K3927" s="6"/>
      <c r="L3927" s="3"/>
      <c r="M3927" s="3" t="str">
        <f>IFERROR(__xludf.DUMMYFUNCTION("""COMPUTED_VALUE"""),"")</f>
        <v/>
      </c>
    </row>
    <row r="3928" ht="48.0" customHeight="1">
      <c r="A3928" s="3"/>
      <c r="B3928" s="4"/>
      <c r="C3928" s="4"/>
      <c r="D3928" s="4"/>
      <c r="E3928" s="4"/>
      <c r="F3928" s="4"/>
      <c r="G3928" s="5"/>
      <c r="H3928" s="6"/>
      <c r="I3928" s="7"/>
      <c r="J3928" s="6"/>
      <c r="K3928" s="6"/>
      <c r="L3928" s="3"/>
      <c r="M3928" s="3" t="str">
        <f>IFERROR(__xludf.DUMMYFUNCTION("""COMPUTED_VALUE"""),"")</f>
        <v/>
      </c>
    </row>
    <row r="3929" ht="48.0" customHeight="1">
      <c r="A3929" s="3"/>
      <c r="B3929" s="4"/>
      <c r="C3929" s="4"/>
      <c r="D3929" s="4"/>
      <c r="E3929" s="4"/>
      <c r="F3929" s="4"/>
      <c r="G3929" s="5"/>
      <c r="H3929" s="6"/>
      <c r="I3929" s="7"/>
      <c r="J3929" s="6"/>
      <c r="K3929" s="6"/>
      <c r="L3929" s="3"/>
      <c r="M3929" s="3" t="str">
        <f>IFERROR(__xludf.DUMMYFUNCTION("""COMPUTED_VALUE"""),"")</f>
        <v/>
      </c>
    </row>
    <row r="3930" ht="48.0" customHeight="1">
      <c r="A3930" s="3"/>
      <c r="B3930" s="4"/>
      <c r="C3930" s="4"/>
      <c r="D3930" s="4"/>
      <c r="E3930" s="4"/>
      <c r="F3930" s="4"/>
      <c r="G3930" s="5"/>
      <c r="H3930" s="6"/>
      <c r="I3930" s="7"/>
      <c r="J3930" s="6"/>
      <c r="K3930" s="6"/>
      <c r="L3930" s="3"/>
      <c r="M3930" s="3" t="str">
        <f>IFERROR(__xludf.DUMMYFUNCTION("""COMPUTED_VALUE"""),"")</f>
        <v/>
      </c>
    </row>
    <row r="3931" ht="48.0" customHeight="1">
      <c r="A3931" s="3"/>
      <c r="B3931" s="4"/>
      <c r="C3931" s="4"/>
      <c r="D3931" s="4"/>
      <c r="E3931" s="4"/>
      <c r="F3931" s="4"/>
      <c r="G3931" s="5"/>
      <c r="H3931" s="6"/>
      <c r="I3931" s="7"/>
      <c r="J3931" s="6"/>
      <c r="K3931" s="6"/>
      <c r="L3931" s="3"/>
      <c r="M3931" s="3" t="str">
        <f>IFERROR(__xludf.DUMMYFUNCTION("""COMPUTED_VALUE"""),"")</f>
        <v/>
      </c>
    </row>
    <row r="3932" ht="48.0" customHeight="1">
      <c r="A3932" s="3"/>
      <c r="B3932" s="4"/>
      <c r="C3932" s="4"/>
      <c r="D3932" s="4"/>
      <c r="E3932" s="4"/>
      <c r="F3932" s="4"/>
      <c r="G3932" s="5"/>
      <c r="H3932" s="6"/>
      <c r="I3932" s="7"/>
      <c r="J3932" s="6"/>
      <c r="K3932" s="6"/>
      <c r="L3932" s="3"/>
      <c r="M3932" s="3" t="str">
        <f>IFERROR(__xludf.DUMMYFUNCTION("""COMPUTED_VALUE"""),"")</f>
        <v/>
      </c>
    </row>
    <row r="3933" ht="48.0" customHeight="1">
      <c r="A3933" s="3"/>
      <c r="B3933" s="4"/>
      <c r="C3933" s="4"/>
      <c r="D3933" s="4"/>
      <c r="E3933" s="4"/>
      <c r="F3933" s="4"/>
      <c r="G3933" s="5"/>
      <c r="H3933" s="6"/>
      <c r="I3933" s="7"/>
      <c r="J3933" s="6"/>
      <c r="K3933" s="6"/>
      <c r="L3933" s="3"/>
      <c r="M3933" s="3" t="str">
        <f>IFERROR(__xludf.DUMMYFUNCTION("""COMPUTED_VALUE"""),"")</f>
        <v/>
      </c>
    </row>
    <row r="3934" ht="48.0" customHeight="1">
      <c r="A3934" s="3"/>
      <c r="B3934" s="4"/>
      <c r="C3934" s="4"/>
      <c r="D3934" s="4"/>
      <c r="E3934" s="4"/>
      <c r="F3934" s="4"/>
      <c r="G3934" s="5"/>
      <c r="H3934" s="6"/>
      <c r="I3934" s="7"/>
      <c r="J3934" s="6"/>
      <c r="K3934" s="6"/>
      <c r="L3934" s="3"/>
      <c r="M3934" s="3" t="str">
        <f>IFERROR(__xludf.DUMMYFUNCTION("""COMPUTED_VALUE"""),"")</f>
        <v/>
      </c>
    </row>
    <row r="3935" ht="48.0" customHeight="1">
      <c r="A3935" s="3"/>
      <c r="B3935" s="4"/>
      <c r="C3935" s="4"/>
      <c r="D3935" s="4"/>
      <c r="E3935" s="4"/>
      <c r="F3935" s="4"/>
      <c r="G3935" s="5"/>
      <c r="H3935" s="6"/>
      <c r="I3935" s="7"/>
      <c r="J3935" s="6"/>
      <c r="K3935" s="6"/>
      <c r="L3935" s="3"/>
      <c r="M3935" s="3" t="str">
        <f>IFERROR(__xludf.DUMMYFUNCTION("""COMPUTED_VALUE"""),"")</f>
        <v/>
      </c>
    </row>
    <row r="3936" ht="48.0" customHeight="1">
      <c r="A3936" s="3"/>
      <c r="B3936" s="4"/>
      <c r="C3936" s="4"/>
      <c r="D3936" s="4"/>
      <c r="E3936" s="4"/>
      <c r="F3936" s="4"/>
      <c r="G3936" s="5"/>
      <c r="H3936" s="6"/>
      <c r="I3936" s="7"/>
      <c r="J3936" s="6"/>
      <c r="K3936" s="6"/>
      <c r="L3936" s="3"/>
      <c r="M3936" s="3" t="str">
        <f>IFERROR(__xludf.DUMMYFUNCTION("""COMPUTED_VALUE"""),"")</f>
        <v/>
      </c>
    </row>
    <row r="3937" ht="48.0" customHeight="1">
      <c r="A3937" s="3"/>
      <c r="B3937" s="4"/>
      <c r="C3937" s="4"/>
      <c r="D3937" s="4"/>
      <c r="E3937" s="4"/>
      <c r="F3937" s="4"/>
      <c r="G3937" s="5"/>
      <c r="H3937" s="6"/>
      <c r="I3937" s="7"/>
      <c r="J3937" s="6"/>
      <c r="K3937" s="6"/>
      <c r="L3937" s="3"/>
      <c r="M3937" s="3" t="str">
        <f>IFERROR(__xludf.DUMMYFUNCTION("""COMPUTED_VALUE"""),"")</f>
        <v/>
      </c>
    </row>
    <row r="3938" ht="48.0" customHeight="1">
      <c r="A3938" s="3"/>
      <c r="B3938" s="4"/>
      <c r="C3938" s="4"/>
      <c r="D3938" s="4"/>
      <c r="E3938" s="4"/>
      <c r="F3938" s="4"/>
      <c r="G3938" s="5"/>
      <c r="H3938" s="6"/>
      <c r="I3938" s="7"/>
      <c r="J3938" s="6"/>
      <c r="K3938" s="6"/>
      <c r="L3938" s="3"/>
      <c r="M3938" s="3" t="str">
        <f>IFERROR(__xludf.DUMMYFUNCTION("""COMPUTED_VALUE"""),"")</f>
        <v/>
      </c>
    </row>
    <row r="3939" ht="48.0" customHeight="1">
      <c r="A3939" s="3"/>
      <c r="B3939" s="4"/>
      <c r="C3939" s="4"/>
      <c r="D3939" s="4"/>
      <c r="E3939" s="4"/>
      <c r="F3939" s="4"/>
      <c r="G3939" s="5"/>
      <c r="H3939" s="6"/>
      <c r="I3939" s="7"/>
      <c r="J3939" s="6"/>
      <c r="K3939" s="6"/>
      <c r="L3939" s="3"/>
      <c r="M3939" s="3" t="str">
        <f>IFERROR(__xludf.DUMMYFUNCTION("""COMPUTED_VALUE"""),"")</f>
        <v/>
      </c>
    </row>
    <row r="3940" ht="48.0" customHeight="1">
      <c r="A3940" s="3"/>
      <c r="B3940" s="4"/>
      <c r="C3940" s="4"/>
      <c r="D3940" s="4"/>
      <c r="E3940" s="4"/>
      <c r="F3940" s="4"/>
      <c r="G3940" s="5"/>
      <c r="H3940" s="6"/>
      <c r="I3940" s="7"/>
      <c r="J3940" s="6"/>
      <c r="K3940" s="6"/>
      <c r="L3940" s="3"/>
      <c r="M3940" s="3" t="str">
        <f>IFERROR(__xludf.DUMMYFUNCTION("""COMPUTED_VALUE"""),"")</f>
        <v/>
      </c>
    </row>
    <row r="3941" ht="48.0" customHeight="1">
      <c r="A3941" s="3"/>
      <c r="B3941" s="4"/>
      <c r="C3941" s="4"/>
      <c r="D3941" s="4"/>
      <c r="E3941" s="4"/>
      <c r="F3941" s="4"/>
      <c r="G3941" s="5"/>
      <c r="H3941" s="6"/>
      <c r="I3941" s="7"/>
      <c r="J3941" s="6"/>
      <c r="K3941" s="6"/>
      <c r="L3941" s="3"/>
      <c r="M3941" s="3" t="str">
        <f>IFERROR(__xludf.DUMMYFUNCTION("""COMPUTED_VALUE"""),"")</f>
        <v/>
      </c>
    </row>
    <row r="3942" ht="48.0" customHeight="1">
      <c r="A3942" s="3"/>
      <c r="B3942" s="4"/>
      <c r="C3942" s="4"/>
      <c r="D3942" s="4"/>
      <c r="E3942" s="4"/>
      <c r="F3942" s="4"/>
      <c r="G3942" s="5"/>
      <c r="H3942" s="6"/>
      <c r="I3942" s="7"/>
      <c r="J3942" s="6"/>
      <c r="K3942" s="6"/>
      <c r="L3942" s="3"/>
      <c r="M3942" s="3" t="str">
        <f>IFERROR(__xludf.DUMMYFUNCTION("""COMPUTED_VALUE"""),"")</f>
        <v/>
      </c>
    </row>
    <row r="3943" ht="48.0" customHeight="1">
      <c r="A3943" s="3"/>
      <c r="B3943" s="4"/>
      <c r="C3943" s="4"/>
      <c r="D3943" s="4"/>
      <c r="E3943" s="4"/>
      <c r="F3943" s="4"/>
      <c r="G3943" s="5"/>
      <c r="H3943" s="6"/>
      <c r="I3943" s="7"/>
      <c r="J3943" s="6"/>
      <c r="K3943" s="6"/>
      <c r="L3943" s="3"/>
      <c r="M3943" s="3" t="str">
        <f>IFERROR(__xludf.DUMMYFUNCTION("""COMPUTED_VALUE"""),"")</f>
        <v/>
      </c>
    </row>
    <row r="3944" ht="48.0" customHeight="1">
      <c r="A3944" s="3"/>
      <c r="B3944" s="4"/>
      <c r="C3944" s="4"/>
      <c r="D3944" s="4"/>
      <c r="E3944" s="4"/>
      <c r="F3944" s="4"/>
      <c r="G3944" s="5"/>
      <c r="H3944" s="6"/>
      <c r="I3944" s="7"/>
      <c r="J3944" s="6"/>
      <c r="K3944" s="6"/>
      <c r="L3944" s="3"/>
      <c r="M3944" s="3" t="str">
        <f>IFERROR(__xludf.DUMMYFUNCTION("""COMPUTED_VALUE"""),"")</f>
        <v/>
      </c>
    </row>
    <row r="3945" ht="48.0" customHeight="1">
      <c r="A3945" s="3"/>
      <c r="B3945" s="4"/>
      <c r="C3945" s="4"/>
      <c r="D3945" s="4"/>
      <c r="E3945" s="4"/>
      <c r="F3945" s="4"/>
      <c r="G3945" s="5"/>
      <c r="H3945" s="6"/>
      <c r="I3945" s="7"/>
      <c r="J3945" s="6"/>
      <c r="K3945" s="6"/>
      <c r="L3945" s="3"/>
      <c r="M3945" s="3" t="str">
        <f>IFERROR(__xludf.DUMMYFUNCTION("""COMPUTED_VALUE"""),"")</f>
        <v/>
      </c>
    </row>
    <row r="3946" ht="48.0" customHeight="1">
      <c r="A3946" s="3"/>
      <c r="B3946" s="4"/>
      <c r="C3946" s="4"/>
      <c r="D3946" s="4"/>
      <c r="E3946" s="4"/>
      <c r="F3946" s="4"/>
      <c r="G3946" s="5"/>
      <c r="H3946" s="6"/>
      <c r="I3946" s="7"/>
      <c r="J3946" s="6"/>
      <c r="K3946" s="6"/>
      <c r="L3946" s="3"/>
      <c r="M3946" s="3" t="str">
        <f>IFERROR(__xludf.DUMMYFUNCTION("""COMPUTED_VALUE"""),"")</f>
        <v/>
      </c>
    </row>
    <row r="3947" ht="48.0" customHeight="1">
      <c r="A3947" s="3"/>
      <c r="B3947" s="4"/>
      <c r="C3947" s="4"/>
      <c r="D3947" s="4"/>
      <c r="E3947" s="4"/>
      <c r="F3947" s="4"/>
      <c r="G3947" s="5"/>
      <c r="H3947" s="6"/>
      <c r="I3947" s="7"/>
      <c r="J3947" s="6"/>
      <c r="K3947" s="6"/>
      <c r="L3947" s="3"/>
      <c r="M3947" s="3" t="str">
        <f>IFERROR(__xludf.DUMMYFUNCTION("""COMPUTED_VALUE"""),"")</f>
        <v/>
      </c>
    </row>
    <row r="3948" ht="48.0" customHeight="1">
      <c r="A3948" s="3"/>
      <c r="B3948" s="4"/>
      <c r="C3948" s="4"/>
      <c r="D3948" s="4"/>
      <c r="E3948" s="4"/>
      <c r="F3948" s="4"/>
      <c r="G3948" s="5"/>
      <c r="H3948" s="6"/>
      <c r="I3948" s="7"/>
      <c r="J3948" s="6"/>
      <c r="K3948" s="6"/>
      <c r="L3948" s="3"/>
      <c r="M3948" s="3" t="str">
        <f>IFERROR(__xludf.DUMMYFUNCTION("""COMPUTED_VALUE"""),"")</f>
        <v/>
      </c>
    </row>
    <row r="3949" ht="48.0" customHeight="1">
      <c r="A3949" s="3"/>
      <c r="B3949" s="4"/>
      <c r="C3949" s="4"/>
      <c r="D3949" s="4"/>
      <c r="E3949" s="4"/>
      <c r="F3949" s="4"/>
      <c r="G3949" s="5"/>
      <c r="H3949" s="6"/>
      <c r="I3949" s="7"/>
      <c r="J3949" s="6"/>
      <c r="K3949" s="6"/>
      <c r="L3949" s="3"/>
      <c r="M3949" s="3" t="str">
        <f>IFERROR(__xludf.DUMMYFUNCTION("""COMPUTED_VALUE"""),"")</f>
        <v/>
      </c>
    </row>
    <row r="3950" ht="48.0" customHeight="1">
      <c r="A3950" s="3"/>
      <c r="B3950" s="4"/>
      <c r="C3950" s="4"/>
      <c r="D3950" s="4"/>
      <c r="E3950" s="4"/>
      <c r="F3950" s="4"/>
      <c r="G3950" s="5"/>
      <c r="H3950" s="6"/>
      <c r="I3950" s="7"/>
      <c r="J3950" s="6"/>
      <c r="K3950" s="6"/>
      <c r="L3950" s="3"/>
      <c r="M3950" s="3" t="str">
        <f>IFERROR(__xludf.DUMMYFUNCTION("""COMPUTED_VALUE"""),"")</f>
        <v/>
      </c>
    </row>
    <row r="3951" ht="48.0" customHeight="1">
      <c r="A3951" s="3"/>
      <c r="B3951" s="4"/>
      <c r="C3951" s="4"/>
      <c r="D3951" s="4"/>
      <c r="E3951" s="4"/>
      <c r="F3951" s="4"/>
      <c r="G3951" s="5"/>
      <c r="H3951" s="6"/>
      <c r="I3951" s="7"/>
      <c r="J3951" s="6"/>
      <c r="K3951" s="6"/>
      <c r="L3951" s="3"/>
      <c r="M3951" s="3" t="str">
        <f>IFERROR(__xludf.DUMMYFUNCTION("""COMPUTED_VALUE"""),"")</f>
        <v/>
      </c>
    </row>
    <row r="3952" ht="48.0" customHeight="1">
      <c r="A3952" s="3"/>
      <c r="B3952" s="4"/>
      <c r="C3952" s="4"/>
      <c r="D3952" s="4"/>
      <c r="E3952" s="4"/>
      <c r="F3952" s="4"/>
      <c r="G3952" s="5"/>
      <c r="H3952" s="6"/>
      <c r="I3952" s="7"/>
      <c r="J3952" s="6"/>
      <c r="K3952" s="6"/>
      <c r="L3952" s="3"/>
      <c r="M3952" s="3" t="str">
        <f>IFERROR(__xludf.DUMMYFUNCTION("""COMPUTED_VALUE"""),"")</f>
        <v/>
      </c>
    </row>
    <row r="3953" ht="48.0" customHeight="1">
      <c r="A3953" s="3"/>
      <c r="B3953" s="4"/>
      <c r="C3953" s="4"/>
      <c r="D3953" s="4"/>
      <c r="E3953" s="4"/>
      <c r="F3953" s="4"/>
      <c r="G3953" s="5"/>
      <c r="H3953" s="6"/>
      <c r="I3953" s="7"/>
      <c r="J3953" s="6"/>
      <c r="K3953" s="6"/>
      <c r="L3953" s="3"/>
      <c r="M3953" s="3" t="str">
        <f>IFERROR(__xludf.DUMMYFUNCTION("""COMPUTED_VALUE"""),"")</f>
        <v/>
      </c>
    </row>
    <row r="3954" ht="48.0" customHeight="1">
      <c r="A3954" s="3"/>
      <c r="B3954" s="4"/>
      <c r="C3954" s="4"/>
      <c r="D3954" s="4"/>
      <c r="E3954" s="4"/>
      <c r="F3954" s="4"/>
      <c r="G3954" s="5"/>
      <c r="H3954" s="6"/>
      <c r="I3954" s="7"/>
      <c r="J3954" s="6"/>
      <c r="K3954" s="6"/>
      <c r="L3954" s="3"/>
      <c r="M3954" s="3" t="str">
        <f>IFERROR(__xludf.DUMMYFUNCTION("""COMPUTED_VALUE"""),"")</f>
        <v/>
      </c>
    </row>
    <row r="3955" ht="48.0" customHeight="1">
      <c r="A3955" s="3"/>
      <c r="B3955" s="4"/>
      <c r="C3955" s="4"/>
      <c r="D3955" s="4"/>
      <c r="E3955" s="4"/>
      <c r="F3955" s="4"/>
      <c r="G3955" s="5"/>
      <c r="H3955" s="6"/>
      <c r="I3955" s="7"/>
      <c r="J3955" s="6"/>
      <c r="K3955" s="6"/>
      <c r="L3955" s="3"/>
      <c r="M3955" s="3" t="str">
        <f>IFERROR(__xludf.DUMMYFUNCTION("""COMPUTED_VALUE"""),"")</f>
        <v/>
      </c>
    </row>
    <row r="3956" ht="48.0" customHeight="1">
      <c r="A3956" s="3"/>
      <c r="B3956" s="4"/>
      <c r="C3956" s="4"/>
      <c r="D3956" s="4"/>
      <c r="E3956" s="4"/>
      <c r="F3956" s="4"/>
      <c r="G3956" s="5"/>
      <c r="H3956" s="6"/>
      <c r="I3956" s="7"/>
      <c r="J3956" s="6"/>
      <c r="K3956" s="6"/>
      <c r="L3956" s="3"/>
      <c r="M3956" s="3" t="str">
        <f>IFERROR(__xludf.DUMMYFUNCTION("""COMPUTED_VALUE"""),"")</f>
        <v/>
      </c>
    </row>
    <row r="3957" ht="48.0" customHeight="1">
      <c r="A3957" s="3"/>
      <c r="B3957" s="4"/>
      <c r="C3957" s="4"/>
      <c r="D3957" s="4"/>
      <c r="E3957" s="4"/>
      <c r="F3957" s="4"/>
      <c r="G3957" s="5"/>
      <c r="H3957" s="6"/>
      <c r="I3957" s="7"/>
      <c r="J3957" s="6"/>
      <c r="K3957" s="6"/>
      <c r="L3957" s="3"/>
      <c r="M3957" s="3" t="str">
        <f>IFERROR(__xludf.DUMMYFUNCTION("""COMPUTED_VALUE"""),"")</f>
        <v/>
      </c>
    </row>
    <row r="3958" ht="48.0" customHeight="1">
      <c r="A3958" s="3"/>
      <c r="B3958" s="4"/>
      <c r="C3958" s="4"/>
      <c r="D3958" s="4"/>
      <c r="E3958" s="4"/>
      <c r="F3958" s="4"/>
      <c r="G3958" s="5"/>
      <c r="H3958" s="6"/>
      <c r="I3958" s="7"/>
      <c r="J3958" s="6"/>
      <c r="K3958" s="6"/>
      <c r="L3958" s="3"/>
      <c r="M3958" s="3" t="str">
        <f>IFERROR(__xludf.DUMMYFUNCTION("""COMPUTED_VALUE"""),"")</f>
        <v/>
      </c>
    </row>
    <row r="3959" ht="48.0" customHeight="1">
      <c r="A3959" s="3"/>
      <c r="B3959" s="4"/>
      <c r="C3959" s="4"/>
      <c r="D3959" s="4"/>
      <c r="E3959" s="4"/>
      <c r="F3959" s="4"/>
      <c r="G3959" s="5"/>
      <c r="H3959" s="6"/>
      <c r="I3959" s="7"/>
      <c r="J3959" s="6"/>
      <c r="K3959" s="6"/>
      <c r="L3959" s="3"/>
      <c r="M3959" s="3" t="str">
        <f>IFERROR(__xludf.DUMMYFUNCTION("""COMPUTED_VALUE"""),"")</f>
        <v/>
      </c>
    </row>
    <row r="3960" ht="48.0" customHeight="1">
      <c r="A3960" s="3"/>
      <c r="B3960" s="4"/>
      <c r="C3960" s="4"/>
      <c r="D3960" s="4"/>
      <c r="E3960" s="4"/>
      <c r="F3960" s="4"/>
      <c r="G3960" s="5"/>
      <c r="H3960" s="6"/>
      <c r="I3960" s="7"/>
      <c r="J3960" s="6"/>
      <c r="K3960" s="6"/>
      <c r="L3960" s="3"/>
      <c r="M3960" s="3" t="str">
        <f>IFERROR(__xludf.DUMMYFUNCTION("""COMPUTED_VALUE"""),"")</f>
        <v/>
      </c>
    </row>
    <row r="3961" ht="48.0" customHeight="1">
      <c r="A3961" s="3"/>
      <c r="B3961" s="4"/>
      <c r="C3961" s="4"/>
      <c r="D3961" s="4"/>
      <c r="E3961" s="4"/>
      <c r="F3961" s="4"/>
      <c r="G3961" s="5"/>
      <c r="H3961" s="6"/>
      <c r="I3961" s="7"/>
      <c r="J3961" s="6"/>
      <c r="K3961" s="6"/>
      <c r="L3961" s="3"/>
      <c r="M3961" s="3" t="str">
        <f>IFERROR(__xludf.DUMMYFUNCTION("""COMPUTED_VALUE"""),"")</f>
        <v/>
      </c>
    </row>
    <row r="3962" ht="48.0" customHeight="1">
      <c r="A3962" s="3"/>
      <c r="B3962" s="4"/>
      <c r="C3962" s="4"/>
      <c r="D3962" s="4"/>
      <c r="E3962" s="4"/>
      <c r="F3962" s="4"/>
      <c r="G3962" s="5"/>
      <c r="H3962" s="6"/>
      <c r="I3962" s="7"/>
      <c r="J3962" s="6"/>
      <c r="K3962" s="6"/>
      <c r="L3962" s="3"/>
      <c r="M3962" s="3" t="str">
        <f>IFERROR(__xludf.DUMMYFUNCTION("""COMPUTED_VALUE"""),"")</f>
        <v/>
      </c>
    </row>
    <row r="3963" ht="48.0" customHeight="1">
      <c r="A3963" s="3"/>
      <c r="B3963" s="4"/>
      <c r="C3963" s="4"/>
      <c r="D3963" s="4"/>
      <c r="E3963" s="4"/>
      <c r="F3963" s="4"/>
      <c r="G3963" s="5"/>
      <c r="H3963" s="6"/>
      <c r="I3963" s="7"/>
      <c r="J3963" s="6"/>
      <c r="K3963" s="6"/>
      <c r="L3963" s="3"/>
      <c r="M3963" s="3" t="str">
        <f>IFERROR(__xludf.DUMMYFUNCTION("""COMPUTED_VALUE"""),"")</f>
        <v/>
      </c>
    </row>
    <row r="3964" ht="48.0" customHeight="1">
      <c r="A3964" s="3"/>
      <c r="B3964" s="4"/>
      <c r="C3964" s="4"/>
      <c r="D3964" s="4"/>
      <c r="E3964" s="4"/>
      <c r="F3964" s="4"/>
      <c r="G3964" s="5"/>
      <c r="H3964" s="6"/>
      <c r="I3964" s="7"/>
      <c r="J3964" s="6"/>
      <c r="K3964" s="6"/>
      <c r="L3964" s="3"/>
      <c r="M3964" s="3" t="str">
        <f>IFERROR(__xludf.DUMMYFUNCTION("""COMPUTED_VALUE"""),"")</f>
        <v/>
      </c>
    </row>
    <row r="3965" ht="48.0" customHeight="1">
      <c r="A3965" s="3"/>
      <c r="B3965" s="4"/>
      <c r="C3965" s="4"/>
      <c r="D3965" s="4"/>
      <c r="E3965" s="4"/>
      <c r="F3965" s="4"/>
      <c r="G3965" s="5"/>
      <c r="H3965" s="6"/>
      <c r="I3965" s="7"/>
      <c r="J3965" s="6"/>
      <c r="K3965" s="6"/>
      <c r="L3965" s="3"/>
      <c r="M3965" s="3" t="str">
        <f>IFERROR(__xludf.DUMMYFUNCTION("""COMPUTED_VALUE"""),"")</f>
        <v/>
      </c>
    </row>
    <row r="3966" ht="48.0" customHeight="1">
      <c r="A3966" s="3"/>
      <c r="B3966" s="4"/>
      <c r="C3966" s="4"/>
      <c r="D3966" s="4"/>
      <c r="E3966" s="4"/>
      <c r="F3966" s="4"/>
      <c r="G3966" s="5"/>
      <c r="H3966" s="6"/>
      <c r="I3966" s="7"/>
      <c r="J3966" s="6"/>
      <c r="K3966" s="6"/>
      <c r="L3966" s="3"/>
      <c r="M3966" s="3" t="str">
        <f>IFERROR(__xludf.DUMMYFUNCTION("""COMPUTED_VALUE"""),"")</f>
        <v/>
      </c>
    </row>
    <row r="3967" ht="48.0" customHeight="1">
      <c r="A3967" s="3"/>
      <c r="B3967" s="4"/>
      <c r="C3967" s="4"/>
      <c r="D3967" s="4"/>
      <c r="E3967" s="4"/>
      <c r="F3967" s="4"/>
      <c r="G3967" s="5"/>
      <c r="H3967" s="6"/>
      <c r="I3967" s="7"/>
      <c r="J3967" s="6"/>
      <c r="K3967" s="6"/>
      <c r="L3967" s="3"/>
      <c r="M3967" s="3" t="str">
        <f>IFERROR(__xludf.DUMMYFUNCTION("""COMPUTED_VALUE"""),"")</f>
        <v/>
      </c>
    </row>
    <row r="3968" ht="48.0" customHeight="1">
      <c r="A3968" s="3"/>
      <c r="B3968" s="4"/>
      <c r="C3968" s="4"/>
      <c r="D3968" s="4"/>
      <c r="E3968" s="4"/>
      <c r="F3968" s="4"/>
      <c r="G3968" s="5"/>
      <c r="H3968" s="6"/>
      <c r="I3968" s="7"/>
      <c r="J3968" s="6"/>
      <c r="K3968" s="6"/>
      <c r="L3968" s="3"/>
      <c r="M3968" s="3" t="str">
        <f>IFERROR(__xludf.DUMMYFUNCTION("""COMPUTED_VALUE"""),"")</f>
        <v/>
      </c>
    </row>
    <row r="3969" ht="48.0" customHeight="1">
      <c r="A3969" s="3"/>
      <c r="B3969" s="4"/>
      <c r="C3969" s="4"/>
      <c r="D3969" s="4"/>
      <c r="E3969" s="4"/>
      <c r="F3969" s="4"/>
      <c r="G3969" s="5"/>
      <c r="H3969" s="6"/>
      <c r="I3969" s="7"/>
      <c r="J3969" s="6"/>
      <c r="K3969" s="6"/>
      <c r="L3969" s="3"/>
      <c r="M3969" s="3" t="str">
        <f>IFERROR(__xludf.DUMMYFUNCTION("""COMPUTED_VALUE"""),"")</f>
        <v/>
      </c>
    </row>
    <row r="3970" ht="48.0" customHeight="1">
      <c r="A3970" s="3"/>
      <c r="B3970" s="4"/>
      <c r="C3970" s="4"/>
      <c r="D3970" s="4"/>
      <c r="E3970" s="4"/>
      <c r="F3970" s="4"/>
      <c r="G3970" s="5"/>
      <c r="H3970" s="6"/>
      <c r="I3970" s="7"/>
      <c r="J3970" s="6"/>
      <c r="K3970" s="6"/>
      <c r="L3970" s="3"/>
      <c r="M3970" s="3" t="str">
        <f>IFERROR(__xludf.DUMMYFUNCTION("""COMPUTED_VALUE"""),"")</f>
        <v/>
      </c>
    </row>
    <row r="3971" ht="48.0" customHeight="1">
      <c r="A3971" s="3"/>
      <c r="B3971" s="4"/>
      <c r="C3971" s="4"/>
      <c r="D3971" s="4"/>
      <c r="E3971" s="4"/>
      <c r="F3971" s="4"/>
      <c r="G3971" s="5"/>
      <c r="H3971" s="6"/>
      <c r="I3971" s="7"/>
      <c r="J3971" s="6"/>
      <c r="K3971" s="6"/>
      <c r="L3971" s="3"/>
      <c r="M3971" s="3" t="str">
        <f>IFERROR(__xludf.DUMMYFUNCTION("""COMPUTED_VALUE"""),"")</f>
        <v/>
      </c>
    </row>
    <row r="3972" ht="48.0" customHeight="1">
      <c r="A3972" s="3"/>
      <c r="B3972" s="4"/>
      <c r="C3972" s="4"/>
      <c r="D3972" s="4"/>
      <c r="E3972" s="4"/>
      <c r="F3972" s="4"/>
      <c r="G3972" s="5"/>
      <c r="H3972" s="6"/>
      <c r="I3972" s="7"/>
      <c r="J3972" s="6"/>
      <c r="K3972" s="6"/>
      <c r="L3972" s="3"/>
      <c r="M3972" s="3" t="str">
        <f>IFERROR(__xludf.DUMMYFUNCTION("""COMPUTED_VALUE"""),"")</f>
        <v/>
      </c>
    </row>
    <row r="3973" ht="48.0" customHeight="1">
      <c r="A3973" s="3"/>
      <c r="B3973" s="4"/>
      <c r="C3973" s="4"/>
      <c r="D3973" s="4"/>
      <c r="E3973" s="4"/>
      <c r="F3973" s="4"/>
      <c r="G3973" s="5"/>
      <c r="H3973" s="6"/>
      <c r="I3973" s="7"/>
      <c r="J3973" s="6"/>
      <c r="K3973" s="6"/>
      <c r="L3973" s="3"/>
      <c r="M3973" s="3" t="str">
        <f>IFERROR(__xludf.DUMMYFUNCTION("""COMPUTED_VALUE"""),"")</f>
        <v/>
      </c>
    </row>
    <row r="3974" ht="48.0" customHeight="1">
      <c r="A3974" s="3"/>
      <c r="B3974" s="4"/>
      <c r="C3974" s="4"/>
      <c r="D3974" s="4"/>
      <c r="E3974" s="4"/>
      <c r="F3974" s="4"/>
      <c r="G3974" s="5"/>
      <c r="H3974" s="6"/>
      <c r="I3974" s="7"/>
      <c r="J3974" s="6"/>
      <c r="K3974" s="6"/>
      <c r="L3974" s="3"/>
      <c r="M3974" s="3" t="str">
        <f>IFERROR(__xludf.DUMMYFUNCTION("""COMPUTED_VALUE"""),"")</f>
        <v/>
      </c>
    </row>
    <row r="3975" ht="48.0" customHeight="1">
      <c r="A3975" s="3"/>
      <c r="B3975" s="4"/>
      <c r="C3975" s="4"/>
      <c r="D3975" s="4"/>
      <c r="E3975" s="4"/>
      <c r="F3975" s="4"/>
      <c r="G3975" s="5"/>
      <c r="H3975" s="6"/>
      <c r="I3975" s="7"/>
      <c r="J3975" s="6"/>
      <c r="K3975" s="6"/>
      <c r="L3975" s="3"/>
      <c r="M3975" s="3" t="str">
        <f>IFERROR(__xludf.DUMMYFUNCTION("""COMPUTED_VALUE"""),"")</f>
        <v/>
      </c>
    </row>
    <row r="3976" ht="48.0" customHeight="1">
      <c r="A3976" s="3"/>
      <c r="B3976" s="4"/>
      <c r="C3976" s="4"/>
      <c r="D3976" s="4"/>
      <c r="E3976" s="4"/>
      <c r="F3976" s="4"/>
      <c r="G3976" s="5"/>
      <c r="H3976" s="6"/>
      <c r="I3976" s="7"/>
      <c r="J3976" s="6"/>
      <c r="K3976" s="6"/>
      <c r="L3976" s="3"/>
      <c r="M3976" s="3" t="str">
        <f>IFERROR(__xludf.DUMMYFUNCTION("""COMPUTED_VALUE"""),"")</f>
        <v/>
      </c>
    </row>
    <row r="3977" ht="48.0" customHeight="1">
      <c r="A3977" s="3"/>
      <c r="B3977" s="4"/>
      <c r="C3977" s="4"/>
      <c r="D3977" s="4"/>
      <c r="E3977" s="4"/>
      <c r="F3977" s="4"/>
      <c r="G3977" s="5"/>
      <c r="H3977" s="6"/>
      <c r="I3977" s="7"/>
      <c r="J3977" s="6"/>
      <c r="K3977" s="6"/>
      <c r="L3977" s="3"/>
      <c r="M3977" s="3" t="str">
        <f>IFERROR(__xludf.DUMMYFUNCTION("""COMPUTED_VALUE"""),"")</f>
        <v/>
      </c>
    </row>
    <row r="3978" ht="48.0" customHeight="1">
      <c r="A3978" s="3"/>
      <c r="B3978" s="4"/>
      <c r="C3978" s="4"/>
      <c r="D3978" s="4"/>
      <c r="E3978" s="4"/>
      <c r="F3978" s="4"/>
      <c r="G3978" s="5"/>
      <c r="H3978" s="6"/>
      <c r="I3978" s="7"/>
      <c r="J3978" s="6"/>
      <c r="K3978" s="6"/>
      <c r="L3978" s="3"/>
      <c r="M3978" s="3" t="str">
        <f>IFERROR(__xludf.DUMMYFUNCTION("""COMPUTED_VALUE"""),"")</f>
        <v/>
      </c>
    </row>
    <row r="3979" ht="48.0" customHeight="1">
      <c r="A3979" s="3"/>
      <c r="B3979" s="4"/>
      <c r="C3979" s="4"/>
      <c r="D3979" s="4"/>
      <c r="E3979" s="4"/>
      <c r="F3979" s="4"/>
      <c r="G3979" s="5"/>
      <c r="H3979" s="6"/>
      <c r="I3979" s="7"/>
      <c r="J3979" s="6"/>
      <c r="K3979" s="6"/>
      <c r="L3979" s="3"/>
      <c r="M3979" s="3" t="str">
        <f>IFERROR(__xludf.DUMMYFUNCTION("""COMPUTED_VALUE"""),"")</f>
        <v/>
      </c>
    </row>
    <row r="3980" ht="48.0" customHeight="1">
      <c r="A3980" s="3"/>
      <c r="B3980" s="4"/>
      <c r="C3980" s="4"/>
      <c r="D3980" s="4"/>
      <c r="E3980" s="4"/>
      <c r="F3980" s="4"/>
      <c r="G3980" s="5"/>
      <c r="H3980" s="6"/>
      <c r="I3980" s="7"/>
      <c r="J3980" s="6"/>
      <c r="K3980" s="6"/>
      <c r="L3980" s="3"/>
      <c r="M3980" s="3" t="str">
        <f>IFERROR(__xludf.DUMMYFUNCTION("""COMPUTED_VALUE"""),"")</f>
        <v/>
      </c>
    </row>
    <row r="3981" ht="48.0" customHeight="1">
      <c r="A3981" s="3"/>
      <c r="B3981" s="4"/>
      <c r="C3981" s="4"/>
      <c r="D3981" s="4"/>
      <c r="E3981" s="4"/>
      <c r="F3981" s="4"/>
      <c r="G3981" s="5"/>
      <c r="H3981" s="6"/>
      <c r="I3981" s="7"/>
      <c r="J3981" s="6"/>
      <c r="K3981" s="6"/>
      <c r="L3981" s="3"/>
      <c r="M3981" s="3" t="str">
        <f>IFERROR(__xludf.DUMMYFUNCTION("""COMPUTED_VALUE"""),"")</f>
        <v/>
      </c>
    </row>
    <row r="3982" ht="48.0" customHeight="1">
      <c r="A3982" s="3"/>
      <c r="B3982" s="4"/>
      <c r="C3982" s="4"/>
      <c r="D3982" s="4"/>
      <c r="E3982" s="4"/>
      <c r="F3982" s="4"/>
      <c r="G3982" s="5"/>
      <c r="H3982" s="6"/>
      <c r="I3982" s="7"/>
      <c r="J3982" s="6"/>
      <c r="K3982" s="6"/>
      <c r="L3982" s="3"/>
      <c r="M3982" s="3" t="str">
        <f>IFERROR(__xludf.DUMMYFUNCTION("""COMPUTED_VALUE"""),"")</f>
        <v/>
      </c>
    </row>
    <row r="3983" ht="48.0" customHeight="1">
      <c r="A3983" s="3"/>
      <c r="B3983" s="4"/>
      <c r="C3983" s="4"/>
      <c r="D3983" s="4"/>
      <c r="E3983" s="4"/>
      <c r="F3983" s="4"/>
      <c r="G3983" s="5"/>
      <c r="H3983" s="6"/>
      <c r="I3983" s="7"/>
      <c r="J3983" s="6"/>
      <c r="K3983" s="6"/>
      <c r="L3983" s="3"/>
      <c r="M3983" s="3" t="str">
        <f>IFERROR(__xludf.DUMMYFUNCTION("""COMPUTED_VALUE"""),"")</f>
        <v/>
      </c>
    </row>
    <row r="3984" ht="48.0" customHeight="1">
      <c r="A3984" s="3"/>
      <c r="B3984" s="4"/>
      <c r="C3984" s="4"/>
      <c r="D3984" s="4"/>
      <c r="E3984" s="4"/>
      <c r="F3984" s="4"/>
      <c r="G3984" s="5"/>
      <c r="H3984" s="6"/>
      <c r="I3984" s="7"/>
      <c r="J3984" s="6"/>
      <c r="K3984" s="6"/>
      <c r="L3984" s="3"/>
      <c r="M3984" s="3" t="str">
        <f>IFERROR(__xludf.DUMMYFUNCTION("""COMPUTED_VALUE"""),"")</f>
        <v/>
      </c>
    </row>
    <row r="3985" ht="48.0" customHeight="1">
      <c r="A3985" s="3"/>
      <c r="B3985" s="4"/>
      <c r="C3985" s="4"/>
      <c r="D3985" s="4"/>
      <c r="E3985" s="4"/>
      <c r="F3985" s="4"/>
      <c r="G3985" s="5"/>
      <c r="H3985" s="6"/>
      <c r="I3985" s="7"/>
      <c r="J3985" s="6"/>
      <c r="K3985" s="6"/>
      <c r="L3985" s="3"/>
      <c r="M3985" s="3" t="str">
        <f>IFERROR(__xludf.DUMMYFUNCTION("""COMPUTED_VALUE"""),"")</f>
        <v/>
      </c>
    </row>
    <row r="3986" ht="48.0" customHeight="1">
      <c r="A3986" s="3"/>
      <c r="B3986" s="4"/>
      <c r="C3986" s="4"/>
      <c r="D3986" s="4"/>
      <c r="E3986" s="4"/>
      <c r="F3986" s="4"/>
      <c r="G3986" s="5"/>
      <c r="H3986" s="6"/>
      <c r="I3986" s="7"/>
      <c r="J3986" s="6"/>
      <c r="K3986" s="6"/>
      <c r="L3986" s="3"/>
      <c r="M3986" s="3" t="str">
        <f>IFERROR(__xludf.DUMMYFUNCTION("""COMPUTED_VALUE"""),"")</f>
        <v/>
      </c>
    </row>
    <row r="3987" ht="48.0" customHeight="1">
      <c r="A3987" s="3"/>
      <c r="B3987" s="4"/>
      <c r="C3987" s="4"/>
      <c r="D3987" s="4"/>
      <c r="E3987" s="4"/>
      <c r="F3987" s="4"/>
      <c r="G3987" s="5"/>
      <c r="H3987" s="6"/>
      <c r="I3987" s="7"/>
      <c r="J3987" s="6"/>
      <c r="K3987" s="6"/>
      <c r="L3987" s="3"/>
      <c r="M3987" s="3" t="str">
        <f>IFERROR(__xludf.DUMMYFUNCTION("""COMPUTED_VALUE"""),"")</f>
        <v/>
      </c>
    </row>
    <row r="3988" ht="48.0" customHeight="1">
      <c r="A3988" s="3"/>
      <c r="B3988" s="4"/>
      <c r="C3988" s="4"/>
      <c r="D3988" s="4"/>
      <c r="E3988" s="4"/>
      <c r="F3988" s="4"/>
      <c r="G3988" s="5"/>
      <c r="H3988" s="6"/>
      <c r="I3988" s="7"/>
      <c r="J3988" s="6"/>
      <c r="K3988" s="6"/>
      <c r="L3988" s="3"/>
      <c r="M3988" s="3" t="str">
        <f>IFERROR(__xludf.DUMMYFUNCTION("""COMPUTED_VALUE"""),"")</f>
        <v/>
      </c>
    </row>
    <row r="3989" ht="48.0" customHeight="1">
      <c r="A3989" s="3"/>
      <c r="B3989" s="4"/>
      <c r="C3989" s="4"/>
      <c r="D3989" s="4"/>
      <c r="E3989" s="4"/>
      <c r="F3989" s="4"/>
      <c r="G3989" s="5"/>
      <c r="H3989" s="6"/>
      <c r="I3989" s="7"/>
      <c r="J3989" s="6"/>
      <c r="K3989" s="6"/>
      <c r="L3989" s="3"/>
      <c r="M3989" s="3" t="str">
        <f>IFERROR(__xludf.DUMMYFUNCTION("""COMPUTED_VALUE"""),"")</f>
        <v/>
      </c>
    </row>
    <row r="3990" ht="48.0" customHeight="1">
      <c r="A3990" s="3"/>
      <c r="B3990" s="4"/>
      <c r="C3990" s="4"/>
      <c r="D3990" s="4"/>
      <c r="E3990" s="4"/>
      <c r="F3990" s="4"/>
      <c r="G3990" s="5"/>
      <c r="H3990" s="6"/>
      <c r="I3990" s="7"/>
      <c r="J3990" s="6"/>
      <c r="K3990" s="6"/>
      <c r="L3990" s="3"/>
      <c r="M3990" s="3" t="str">
        <f>IFERROR(__xludf.DUMMYFUNCTION("""COMPUTED_VALUE"""),"")</f>
        <v/>
      </c>
    </row>
    <row r="3991" ht="48.0" customHeight="1">
      <c r="A3991" s="3"/>
      <c r="B3991" s="4"/>
      <c r="C3991" s="4"/>
      <c r="D3991" s="4"/>
      <c r="E3991" s="4"/>
      <c r="F3991" s="4"/>
      <c r="G3991" s="5"/>
      <c r="H3991" s="6"/>
      <c r="I3991" s="7"/>
      <c r="J3991" s="6"/>
      <c r="K3991" s="6"/>
      <c r="L3991" s="3"/>
      <c r="M3991" s="3" t="str">
        <f>IFERROR(__xludf.DUMMYFUNCTION("""COMPUTED_VALUE"""),"")</f>
        <v/>
      </c>
    </row>
    <row r="3992" ht="48.0" customHeight="1">
      <c r="A3992" s="3"/>
      <c r="B3992" s="4"/>
      <c r="C3992" s="4"/>
      <c r="D3992" s="4"/>
      <c r="E3992" s="4"/>
      <c r="F3992" s="4"/>
      <c r="G3992" s="5"/>
      <c r="H3992" s="6"/>
      <c r="I3992" s="7"/>
      <c r="J3992" s="6"/>
      <c r="K3992" s="6"/>
      <c r="L3992" s="3"/>
      <c r="M3992" s="3" t="str">
        <f>IFERROR(__xludf.DUMMYFUNCTION("""COMPUTED_VALUE"""),"")</f>
        <v/>
      </c>
    </row>
    <row r="3993" ht="48.0" customHeight="1">
      <c r="A3993" s="3"/>
      <c r="B3993" s="4"/>
      <c r="C3993" s="4"/>
      <c r="D3993" s="4"/>
      <c r="E3993" s="4"/>
      <c r="F3993" s="4"/>
      <c r="G3993" s="5"/>
      <c r="H3993" s="6"/>
      <c r="I3993" s="7"/>
      <c r="J3993" s="6"/>
      <c r="K3993" s="6"/>
      <c r="L3993" s="3"/>
      <c r="M3993" s="3" t="str">
        <f>IFERROR(__xludf.DUMMYFUNCTION("""COMPUTED_VALUE"""),"")</f>
        <v/>
      </c>
    </row>
    <row r="3994" ht="48.0" customHeight="1">
      <c r="A3994" s="3"/>
      <c r="B3994" s="4"/>
      <c r="C3994" s="4"/>
      <c r="D3994" s="4"/>
      <c r="E3994" s="4"/>
      <c r="F3994" s="4"/>
      <c r="G3994" s="5"/>
      <c r="H3994" s="6"/>
      <c r="I3994" s="7"/>
      <c r="J3994" s="6"/>
      <c r="K3994" s="6"/>
      <c r="L3994" s="3"/>
      <c r="M3994" s="3" t="str">
        <f>IFERROR(__xludf.DUMMYFUNCTION("""COMPUTED_VALUE"""),"")</f>
        <v/>
      </c>
    </row>
    <row r="3995" ht="48.0" customHeight="1">
      <c r="A3995" s="3"/>
      <c r="B3995" s="4"/>
      <c r="C3995" s="4"/>
      <c r="D3995" s="4"/>
      <c r="E3995" s="4"/>
      <c r="F3995" s="4"/>
      <c r="G3995" s="5"/>
      <c r="H3995" s="6"/>
      <c r="I3995" s="7"/>
      <c r="J3995" s="6"/>
      <c r="K3995" s="6"/>
      <c r="L3995" s="3"/>
      <c r="M3995" s="3" t="str">
        <f>IFERROR(__xludf.DUMMYFUNCTION("""COMPUTED_VALUE"""),"")</f>
        <v/>
      </c>
    </row>
    <row r="3996" ht="48.0" customHeight="1">
      <c r="A3996" s="3"/>
      <c r="B3996" s="4"/>
      <c r="C3996" s="4"/>
      <c r="D3996" s="4"/>
      <c r="E3996" s="4"/>
      <c r="F3996" s="4"/>
      <c r="G3996" s="5"/>
      <c r="H3996" s="6"/>
      <c r="I3996" s="7"/>
      <c r="J3996" s="6"/>
      <c r="K3996" s="6"/>
      <c r="L3996" s="3"/>
      <c r="M3996" s="3" t="str">
        <f>IFERROR(__xludf.DUMMYFUNCTION("""COMPUTED_VALUE"""),"")</f>
        <v/>
      </c>
    </row>
    <row r="3997" ht="48.0" customHeight="1">
      <c r="A3997" s="3"/>
      <c r="B3997" s="4"/>
      <c r="C3997" s="4"/>
      <c r="D3997" s="4"/>
      <c r="E3997" s="4"/>
      <c r="F3997" s="4"/>
      <c r="G3997" s="5"/>
      <c r="H3997" s="6"/>
      <c r="I3997" s="7"/>
      <c r="J3997" s="6"/>
      <c r="K3997" s="6"/>
      <c r="L3997" s="3"/>
      <c r="M3997" s="3" t="str">
        <f>IFERROR(__xludf.DUMMYFUNCTION("""COMPUTED_VALUE"""),"")</f>
        <v/>
      </c>
    </row>
    <row r="3998" ht="48.0" customHeight="1">
      <c r="A3998" s="3"/>
      <c r="B3998" s="4"/>
      <c r="C3998" s="4"/>
      <c r="D3998" s="4"/>
      <c r="E3998" s="4"/>
      <c r="F3998" s="4"/>
      <c r="G3998" s="5"/>
      <c r="H3998" s="6"/>
      <c r="I3998" s="7"/>
      <c r="J3998" s="6"/>
      <c r="K3998" s="6"/>
      <c r="L3998" s="3"/>
      <c r="M3998" s="3" t="str">
        <f>IFERROR(__xludf.DUMMYFUNCTION("""COMPUTED_VALUE"""),"")</f>
        <v/>
      </c>
    </row>
    <row r="3999" ht="48.0" customHeight="1">
      <c r="A3999" s="3"/>
      <c r="B3999" s="4"/>
      <c r="C3999" s="4"/>
      <c r="D3999" s="4"/>
      <c r="E3999" s="4"/>
      <c r="F3999" s="4"/>
      <c r="G3999" s="5"/>
      <c r="H3999" s="6"/>
      <c r="I3999" s="7"/>
      <c r="J3999" s="6"/>
      <c r="K3999" s="6"/>
      <c r="L3999" s="3"/>
      <c r="M3999" s="3" t="str">
        <f>IFERROR(__xludf.DUMMYFUNCTION("""COMPUTED_VALUE"""),"")</f>
        <v/>
      </c>
    </row>
    <row r="4000" ht="48.0" customHeight="1">
      <c r="A4000" s="3"/>
      <c r="B4000" s="4"/>
      <c r="C4000" s="4"/>
      <c r="D4000" s="4"/>
      <c r="E4000" s="4"/>
      <c r="F4000" s="4"/>
      <c r="G4000" s="5"/>
      <c r="H4000" s="6"/>
      <c r="I4000" s="7"/>
      <c r="J4000" s="6"/>
      <c r="K4000" s="6"/>
      <c r="L4000" s="3"/>
      <c r="M4000" s="3" t="str">
        <f>IFERROR(__xludf.DUMMYFUNCTION("""COMPUTED_VALUE"""),"")</f>
        <v/>
      </c>
    </row>
    <row r="4001" ht="48.0" customHeight="1">
      <c r="A4001" s="3"/>
      <c r="B4001" s="4"/>
      <c r="C4001" s="4"/>
      <c r="D4001" s="4"/>
      <c r="E4001" s="4"/>
      <c r="F4001" s="4"/>
      <c r="G4001" s="5"/>
      <c r="H4001" s="6"/>
      <c r="I4001" s="7"/>
      <c r="J4001" s="6"/>
      <c r="K4001" s="6"/>
      <c r="L4001" s="3"/>
      <c r="M4001" s="3" t="str">
        <f>IFERROR(__xludf.DUMMYFUNCTION("""COMPUTED_VALUE"""),"")</f>
        <v/>
      </c>
    </row>
    <row r="4002" ht="48.0" customHeight="1">
      <c r="A4002" s="3"/>
      <c r="B4002" s="4"/>
      <c r="C4002" s="4"/>
      <c r="D4002" s="4"/>
      <c r="E4002" s="4"/>
      <c r="F4002" s="4"/>
      <c r="G4002" s="5"/>
      <c r="H4002" s="6"/>
      <c r="I4002" s="7"/>
      <c r="J4002" s="6"/>
      <c r="K4002" s="6"/>
      <c r="L4002" s="3"/>
      <c r="M4002" s="3" t="str">
        <f>IFERROR(__xludf.DUMMYFUNCTION("""COMPUTED_VALUE"""),"")</f>
        <v/>
      </c>
    </row>
    <row r="4003" ht="48.0" customHeight="1">
      <c r="A4003" s="3"/>
      <c r="B4003" s="4"/>
      <c r="C4003" s="4"/>
      <c r="D4003" s="4"/>
      <c r="E4003" s="4"/>
      <c r="F4003" s="4"/>
      <c r="G4003" s="5"/>
      <c r="H4003" s="6"/>
      <c r="I4003" s="7"/>
      <c r="J4003" s="6"/>
      <c r="K4003" s="6"/>
      <c r="L4003" s="3"/>
      <c r="M4003" s="3" t="str">
        <f>IFERROR(__xludf.DUMMYFUNCTION("""COMPUTED_VALUE"""),"")</f>
        <v/>
      </c>
    </row>
    <row r="4004" ht="48.0" customHeight="1">
      <c r="A4004" s="3"/>
      <c r="B4004" s="4"/>
      <c r="C4004" s="4"/>
      <c r="D4004" s="4"/>
      <c r="E4004" s="4"/>
      <c r="F4004" s="4"/>
      <c r="G4004" s="5"/>
      <c r="H4004" s="6"/>
      <c r="I4004" s="7"/>
      <c r="J4004" s="6"/>
      <c r="K4004" s="6"/>
      <c r="L4004" s="3"/>
      <c r="M4004" s="3" t="str">
        <f>IFERROR(__xludf.DUMMYFUNCTION("""COMPUTED_VALUE"""),"")</f>
        <v/>
      </c>
    </row>
    <row r="4005" ht="48.0" customHeight="1">
      <c r="A4005" s="3"/>
      <c r="B4005" s="4"/>
      <c r="C4005" s="4"/>
      <c r="D4005" s="4"/>
      <c r="E4005" s="4"/>
      <c r="F4005" s="4"/>
      <c r="G4005" s="5"/>
      <c r="H4005" s="6"/>
      <c r="I4005" s="7"/>
      <c r="J4005" s="6"/>
      <c r="K4005" s="6"/>
      <c r="L4005" s="3"/>
      <c r="M4005" s="3" t="str">
        <f>IFERROR(__xludf.DUMMYFUNCTION("""COMPUTED_VALUE"""),"")</f>
        <v/>
      </c>
    </row>
    <row r="4006" ht="48.0" customHeight="1">
      <c r="A4006" s="3"/>
      <c r="B4006" s="4"/>
      <c r="C4006" s="4"/>
      <c r="D4006" s="4"/>
      <c r="E4006" s="4"/>
      <c r="F4006" s="4"/>
      <c r="G4006" s="5"/>
      <c r="H4006" s="6"/>
      <c r="I4006" s="7"/>
      <c r="J4006" s="6"/>
      <c r="K4006" s="6"/>
      <c r="L4006" s="3"/>
      <c r="M4006" s="3" t="str">
        <f>IFERROR(__xludf.DUMMYFUNCTION("""COMPUTED_VALUE"""),"")</f>
        <v/>
      </c>
    </row>
    <row r="4007" ht="48.0" customHeight="1">
      <c r="A4007" s="3"/>
      <c r="B4007" s="4"/>
      <c r="C4007" s="4"/>
      <c r="D4007" s="4"/>
      <c r="E4007" s="4"/>
      <c r="F4007" s="4"/>
      <c r="G4007" s="5"/>
      <c r="H4007" s="6"/>
      <c r="I4007" s="7"/>
      <c r="J4007" s="6"/>
      <c r="K4007" s="6"/>
      <c r="L4007" s="3"/>
      <c r="M4007" s="3" t="str">
        <f>IFERROR(__xludf.DUMMYFUNCTION("""COMPUTED_VALUE"""),"")</f>
        <v/>
      </c>
    </row>
    <row r="4008" ht="48.0" customHeight="1">
      <c r="A4008" s="3"/>
      <c r="B4008" s="4"/>
      <c r="C4008" s="4"/>
      <c r="D4008" s="4"/>
      <c r="E4008" s="4"/>
      <c r="F4008" s="4"/>
      <c r="G4008" s="5"/>
      <c r="H4008" s="6"/>
      <c r="I4008" s="7"/>
      <c r="J4008" s="6"/>
      <c r="K4008" s="6"/>
      <c r="L4008" s="3"/>
      <c r="M4008" s="3" t="str">
        <f>IFERROR(__xludf.DUMMYFUNCTION("""COMPUTED_VALUE"""),"")</f>
        <v/>
      </c>
    </row>
    <row r="4009" ht="48.0" customHeight="1">
      <c r="A4009" s="3"/>
      <c r="B4009" s="4"/>
      <c r="C4009" s="4"/>
      <c r="D4009" s="4"/>
      <c r="E4009" s="4"/>
      <c r="F4009" s="4"/>
      <c r="G4009" s="5"/>
      <c r="H4009" s="6"/>
      <c r="I4009" s="7"/>
      <c r="J4009" s="6"/>
      <c r="K4009" s="6"/>
      <c r="L4009" s="3"/>
      <c r="M4009" s="3" t="str">
        <f>IFERROR(__xludf.DUMMYFUNCTION("""COMPUTED_VALUE"""),"")</f>
        <v/>
      </c>
    </row>
    <row r="4010" ht="48.0" customHeight="1">
      <c r="A4010" s="3"/>
      <c r="B4010" s="4"/>
      <c r="C4010" s="4"/>
      <c r="D4010" s="4"/>
      <c r="E4010" s="4"/>
      <c r="F4010" s="4"/>
      <c r="G4010" s="5"/>
      <c r="H4010" s="6"/>
      <c r="I4010" s="7"/>
      <c r="J4010" s="6"/>
      <c r="K4010" s="6"/>
      <c r="L4010" s="3"/>
      <c r="M4010" s="3" t="str">
        <f>IFERROR(__xludf.DUMMYFUNCTION("""COMPUTED_VALUE"""),"")</f>
        <v/>
      </c>
    </row>
    <row r="4011" ht="48.0" customHeight="1">
      <c r="A4011" s="3"/>
      <c r="B4011" s="4"/>
      <c r="C4011" s="4"/>
      <c r="D4011" s="4"/>
      <c r="E4011" s="4"/>
      <c r="F4011" s="4"/>
      <c r="G4011" s="5"/>
      <c r="H4011" s="6"/>
      <c r="I4011" s="7"/>
      <c r="J4011" s="6"/>
      <c r="K4011" s="6"/>
      <c r="L4011" s="3"/>
      <c r="M4011" s="3" t="str">
        <f>IFERROR(__xludf.DUMMYFUNCTION("""COMPUTED_VALUE"""),"")</f>
        <v/>
      </c>
    </row>
    <row r="4012" ht="48.0" customHeight="1">
      <c r="A4012" s="3"/>
      <c r="B4012" s="4"/>
      <c r="C4012" s="4"/>
      <c r="D4012" s="4"/>
      <c r="E4012" s="4"/>
      <c r="F4012" s="4"/>
      <c r="G4012" s="5"/>
      <c r="H4012" s="6"/>
      <c r="I4012" s="7"/>
      <c r="J4012" s="6"/>
      <c r="K4012" s="6"/>
      <c r="L4012" s="3"/>
      <c r="M4012" s="3" t="str">
        <f>IFERROR(__xludf.DUMMYFUNCTION("""COMPUTED_VALUE"""),"")</f>
        <v/>
      </c>
    </row>
    <row r="4013" ht="48.0" customHeight="1">
      <c r="A4013" s="3"/>
      <c r="B4013" s="4"/>
      <c r="C4013" s="4"/>
      <c r="D4013" s="4"/>
      <c r="E4013" s="4"/>
      <c r="F4013" s="4"/>
      <c r="G4013" s="5"/>
      <c r="H4013" s="6"/>
      <c r="I4013" s="7"/>
      <c r="J4013" s="6"/>
      <c r="K4013" s="6"/>
      <c r="L4013" s="3"/>
      <c r="M4013" s="3" t="str">
        <f>IFERROR(__xludf.DUMMYFUNCTION("""COMPUTED_VALUE"""),"")</f>
        <v/>
      </c>
    </row>
    <row r="4014" ht="48.0" customHeight="1">
      <c r="A4014" s="3"/>
      <c r="B4014" s="4"/>
      <c r="C4014" s="4"/>
      <c r="D4014" s="4"/>
      <c r="E4014" s="4"/>
      <c r="F4014" s="4"/>
      <c r="G4014" s="5"/>
      <c r="H4014" s="6"/>
      <c r="I4014" s="7"/>
      <c r="J4014" s="6"/>
      <c r="K4014" s="6"/>
      <c r="L4014" s="3"/>
      <c r="M4014" s="3" t="str">
        <f>IFERROR(__xludf.DUMMYFUNCTION("""COMPUTED_VALUE"""),"")</f>
        <v/>
      </c>
    </row>
    <row r="4015" ht="48.0" customHeight="1">
      <c r="A4015" s="3"/>
      <c r="B4015" s="4"/>
      <c r="C4015" s="4"/>
      <c r="D4015" s="4"/>
      <c r="E4015" s="4"/>
      <c r="F4015" s="4"/>
      <c r="G4015" s="5"/>
      <c r="H4015" s="6"/>
      <c r="I4015" s="7"/>
      <c r="J4015" s="6"/>
      <c r="K4015" s="6"/>
      <c r="L4015" s="3"/>
      <c r="M4015" s="3" t="str">
        <f>IFERROR(__xludf.DUMMYFUNCTION("""COMPUTED_VALUE"""),"")</f>
        <v/>
      </c>
    </row>
    <row r="4016" ht="48.0" customHeight="1">
      <c r="A4016" s="3"/>
      <c r="B4016" s="4"/>
      <c r="C4016" s="4"/>
      <c r="D4016" s="4"/>
      <c r="E4016" s="4"/>
      <c r="F4016" s="4"/>
      <c r="G4016" s="5"/>
      <c r="H4016" s="6"/>
      <c r="I4016" s="7"/>
      <c r="J4016" s="6"/>
      <c r="K4016" s="6"/>
      <c r="L4016" s="3"/>
      <c r="M4016" s="3" t="str">
        <f>IFERROR(__xludf.DUMMYFUNCTION("""COMPUTED_VALUE"""),"")</f>
        <v/>
      </c>
    </row>
    <row r="4017" ht="48.0" customHeight="1">
      <c r="A4017" s="3"/>
      <c r="B4017" s="4"/>
      <c r="C4017" s="4"/>
      <c r="D4017" s="4"/>
      <c r="E4017" s="4"/>
      <c r="F4017" s="4"/>
      <c r="G4017" s="5"/>
      <c r="H4017" s="6"/>
      <c r="I4017" s="7"/>
      <c r="J4017" s="6"/>
      <c r="K4017" s="6"/>
      <c r="L4017" s="3"/>
      <c r="M4017" s="3" t="str">
        <f>IFERROR(__xludf.DUMMYFUNCTION("""COMPUTED_VALUE"""),"")</f>
        <v/>
      </c>
    </row>
    <row r="4018" ht="48.0" customHeight="1">
      <c r="A4018" s="3"/>
      <c r="B4018" s="4"/>
      <c r="C4018" s="4"/>
      <c r="D4018" s="4"/>
      <c r="E4018" s="4"/>
      <c r="F4018" s="4"/>
      <c r="G4018" s="5"/>
      <c r="H4018" s="6"/>
      <c r="I4018" s="7"/>
      <c r="J4018" s="6"/>
      <c r="K4018" s="6"/>
      <c r="L4018" s="3"/>
      <c r="M4018" s="3" t="str">
        <f>IFERROR(__xludf.DUMMYFUNCTION("""COMPUTED_VALUE"""),"")</f>
        <v/>
      </c>
    </row>
    <row r="4019" ht="48.0" customHeight="1">
      <c r="A4019" s="3"/>
      <c r="B4019" s="4"/>
      <c r="C4019" s="4"/>
      <c r="D4019" s="4"/>
      <c r="E4019" s="4"/>
      <c r="F4019" s="4"/>
      <c r="G4019" s="5"/>
      <c r="H4019" s="6"/>
      <c r="I4019" s="7"/>
      <c r="J4019" s="6"/>
      <c r="K4019" s="6"/>
      <c r="L4019" s="3"/>
      <c r="M4019" s="3" t="str">
        <f>IFERROR(__xludf.DUMMYFUNCTION("""COMPUTED_VALUE"""),"")</f>
        <v/>
      </c>
    </row>
    <row r="4020" ht="48.0" customHeight="1">
      <c r="A4020" s="3"/>
      <c r="B4020" s="4"/>
      <c r="C4020" s="4"/>
      <c r="D4020" s="4"/>
      <c r="E4020" s="4"/>
      <c r="F4020" s="4"/>
      <c r="G4020" s="5"/>
      <c r="H4020" s="6"/>
      <c r="I4020" s="7"/>
      <c r="J4020" s="6"/>
      <c r="K4020" s="6"/>
      <c r="L4020" s="3"/>
      <c r="M4020" s="3" t="str">
        <f>IFERROR(__xludf.DUMMYFUNCTION("""COMPUTED_VALUE"""),"")</f>
        <v/>
      </c>
    </row>
    <row r="4021" ht="48.0" customHeight="1">
      <c r="A4021" s="3"/>
      <c r="B4021" s="4"/>
      <c r="C4021" s="4"/>
      <c r="D4021" s="4"/>
      <c r="E4021" s="4"/>
      <c r="F4021" s="4"/>
      <c r="G4021" s="5"/>
      <c r="H4021" s="6"/>
      <c r="I4021" s="7"/>
      <c r="J4021" s="6"/>
      <c r="K4021" s="6"/>
      <c r="L4021" s="3"/>
      <c r="M4021" s="3" t="str">
        <f>IFERROR(__xludf.DUMMYFUNCTION("""COMPUTED_VALUE"""),"")</f>
        <v/>
      </c>
    </row>
    <row r="4022" ht="48.0" customHeight="1">
      <c r="A4022" s="3"/>
      <c r="B4022" s="4"/>
      <c r="C4022" s="4"/>
      <c r="D4022" s="4"/>
      <c r="E4022" s="4"/>
      <c r="F4022" s="4"/>
      <c r="G4022" s="5"/>
      <c r="H4022" s="6"/>
      <c r="I4022" s="7"/>
      <c r="J4022" s="6"/>
      <c r="K4022" s="6"/>
      <c r="L4022" s="3"/>
      <c r="M4022" s="3" t="str">
        <f>IFERROR(__xludf.DUMMYFUNCTION("""COMPUTED_VALUE"""),"")</f>
        <v/>
      </c>
    </row>
    <row r="4023" ht="48.0" customHeight="1">
      <c r="A4023" s="3"/>
      <c r="B4023" s="4"/>
      <c r="C4023" s="4"/>
      <c r="D4023" s="4"/>
      <c r="E4023" s="4"/>
      <c r="F4023" s="4"/>
      <c r="G4023" s="5"/>
      <c r="H4023" s="6"/>
      <c r="I4023" s="7"/>
      <c r="J4023" s="6"/>
      <c r="K4023" s="6"/>
      <c r="L4023" s="3"/>
      <c r="M4023" s="3" t="str">
        <f>IFERROR(__xludf.DUMMYFUNCTION("""COMPUTED_VALUE"""),"")</f>
        <v/>
      </c>
    </row>
    <row r="4024" ht="48.0" customHeight="1">
      <c r="A4024" s="3"/>
      <c r="B4024" s="4"/>
      <c r="C4024" s="4"/>
      <c r="D4024" s="4"/>
      <c r="E4024" s="4"/>
      <c r="F4024" s="4"/>
      <c r="G4024" s="5"/>
      <c r="H4024" s="6"/>
      <c r="I4024" s="7"/>
      <c r="J4024" s="6"/>
      <c r="K4024" s="6"/>
      <c r="L4024" s="3"/>
      <c r="M4024" s="3" t="str">
        <f>IFERROR(__xludf.DUMMYFUNCTION("""COMPUTED_VALUE"""),"")</f>
        <v/>
      </c>
    </row>
    <row r="4025" ht="48.0" customHeight="1">
      <c r="A4025" s="3"/>
      <c r="B4025" s="4"/>
      <c r="C4025" s="4"/>
      <c r="D4025" s="4"/>
      <c r="E4025" s="4"/>
      <c r="F4025" s="4"/>
      <c r="G4025" s="5"/>
      <c r="H4025" s="6"/>
      <c r="I4025" s="7"/>
      <c r="J4025" s="6"/>
      <c r="K4025" s="6"/>
      <c r="L4025" s="3"/>
      <c r="M4025" s="3" t="str">
        <f>IFERROR(__xludf.DUMMYFUNCTION("""COMPUTED_VALUE"""),"")</f>
        <v/>
      </c>
    </row>
    <row r="4026" ht="48.0" customHeight="1">
      <c r="A4026" s="3"/>
      <c r="B4026" s="4"/>
      <c r="C4026" s="4"/>
      <c r="D4026" s="4"/>
      <c r="E4026" s="4"/>
      <c r="F4026" s="4"/>
      <c r="G4026" s="5"/>
      <c r="H4026" s="6"/>
      <c r="I4026" s="7"/>
      <c r="J4026" s="6"/>
      <c r="K4026" s="6"/>
      <c r="L4026" s="3"/>
      <c r="M4026" s="3" t="str">
        <f>IFERROR(__xludf.DUMMYFUNCTION("""COMPUTED_VALUE"""),"")</f>
        <v/>
      </c>
    </row>
    <row r="4027" ht="48.0" customHeight="1">
      <c r="A4027" s="3"/>
      <c r="B4027" s="4"/>
      <c r="C4027" s="4"/>
      <c r="D4027" s="4"/>
      <c r="E4027" s="4"/>
      <c r="F4027" s="4"/>
      <c r="G4027" s="5"/>
      <c r="H4027" s="6"/>
      <c r="I4027" s="7"/>
      <c r="J4027" s="6"/>
      <c r="K4027" s="6"/>
      <c r="L4027" s="3"/>
      <c r="M4027" s="3" t="str">
        <f>IFERROR(__xludf.DUMMYFUNCTION("""COMPUTED_VALUE"""),"")</f>
        <v/>
      </c>
    </row>
    <row r="4028" ht="48.0" customHeight="1">
      <c r="A4028" s="3"/>
      <c r="B4028" s="4"/>
      <c r="C4028" s="4"/>
      <c r="D4028" s="4"/>
      <c r="E4028" s="4"/>
      <c r="F4028" s="4"/>
      <c r="G4028" s="5"/>
      <c r="H4028" s="6"/>
      <c r="I4028" s="7"/>
      <c r="J4028" s="6"/>
      <c r="K4028" s="6"/>
      <c r="L4028" s="3"/>
      <c r="M4028" s="3" t="str">
        <f>IFERROR(__xludf.DUMMYFUNCTION("""COMPUTED_VALUE"""),"")</f>
        <v/>
      </c>
    </row>
    <row r="4029" ht="48.0" customHeight="1">
      <c r="A4029" s="3"/>
      <c r="B4029" s="4"/>
      <c r="C4029" s="4"/>
      <c r="D4029" s="4"/>
      <c r="E4029" s="4"/>
      <c r="F4029" s="4"/>
      <c r="G4029" s="5"/>
      <c r="H4029" s="6"/>
      <c r="I4029" s="7"/>
      <c r="J4029" s="6"/>
      <c r="K4029" s="6"/>
      <c r="L4029" s="3"/>
      <c r="M4029" s="3" t="str">
        <f>IFERROR(__xludf.DUMMYFUNCTION("""COMPUTED_VALUE"""),"")</f>
        <v/>
      </c>
    </row>
    <row r="4030" ht="48.0" customHeight="1">
      <c r="A4030" s="3"/>
      <c r="B4030" s="4"/>
      <c r="C4030" s="4"/>
      <c r="D4030" s="4"/>
      <c r="E4030" s="4"/>
      <c r="F4030" s="4"/>
      <c r="G4030" s="5"/>
      <c r="H4030" s="6"/>
      <c r="I4030" s="7"/>
      <c r="J4030" s="6"/>
      <c r="K4030" s="6"/>
      <c r="L4030" s="3"/>
      <c r="M4030" s="3" t="str">
        <f>IFERROR(__xludf.DUMMYFUNCTION("""COMPUTED_VALUE"""),"")</f>
        <v/>
      </c>
    </row>
    <row r="4031" ht="48.0" customHeight="1">
      <c r="A4031" s="3"/>
      <c r="B4031" s="4"/>
      <c r="C4031" s="4"/>
      <c r="D4031" s="4"/>
      <c r="E4031" s="4"/>
      <c r="F4031" s="4"/>
      <c r="G4031" s="5"/>
      <c r="H4031" s="6"/>
      <c r="I4031" s="7"/>
      <c r="J4031" s="6"/>
      <c r="K4031" s="6"/>
      <c r="L4031" s="3"/>
      <c r="M4031" s="3" t="str">
        <f>IFERROR(__xludf.DUMMYFUNCTION("""COMPUTED_VALUE"""),"")</f>
        <v/>
      </c>
    </row>
    <row r="4032" ht="48.0" customHeight="1">
      <c r="A4032" s="3"/>
      <c r="B4032" s="4"/>
      <c r="C4032" s="4"/>
      <c r="D4032" s="4"/>
      <c r="E4032" s="4"/>
      <c r="F4032" s="4"/>
      <c r="G4032" s="5"/>
      <c r="H4032" s="6"/>
      <c r="I4032" s="7"/>
      <c r="J4032" s="6"/>
      <c r="K4032" s="6"/>
      <c r="L4032" s="3"/>
      <c r="M4032" s="3" t="str">
        <f>IFERROR(__xludf.DUMMYFUNCTION("""COMPUTED_VALUE"""),"")</f>
        <v/>
      </c>
    </row>
    <row r="4033" ht="48.0" customHeight="1">
      <c r="A4033" s="3"/>
      <c r="B4033" s="4"/>
      <c r="C4033" s="4"/>
      <c r="D4033" s="4"/>
      <c r="E4033" s="4"/>
      <c r="F4033" s="4"/>
      <c r="G4033" s="5"/>
      <c r="H4033" s="6"/>
      <c r="I4033" s="7"/>
      <c r="J4033" s="6"/>
      <c r="K4033" s="6"/>
      <c r="L4033" s="3"/>
      <c r="M4033" s="3" t="str">
        <f>IFERROR(__xludf.DUMMYFUNCTION("""COMPUTED_VALUE"""),"")</f>
        <v/>
      </c>
    </row>
    <row r="4034" ht="48.0" customHeight="1">
      <c r="A4034" s="3"/>
      <c r="B4034" s="4"/>
      <c r="C4034" s="4"/>
      <c r="D4034" s="4"/>
      <c r="E4034" s="4"/>
      <c r="F4034" s="4"/>
      <c r="G4034" s="5"/>
      <c r="H4034" s="6"/>
      <c r="I4034" s="7"/>
      <c r="J4034" s="6"/>
      <c r="K4034" s="6"/>
      <c r="L4034" s="3"/>
      <c r="M4034" s="3" t="str">
        <f>IFERROR(__xludf.DUMMYFUNCTION("""COMPUTED_VALUE"""),"")</f>
        <v/>
      </c>
    </row>
    <row r="4035" ht="48.0" customHeight="1">
      <c r="A4035" s="3"/>
      <c r="B4035" s="4"/>
      <c r="C4035" s="4"/>
      <c r="D4035" s="4"/>
      <c r="E4035" s="4"/>
      <c r="F4035" s="4"/>
      <c r="G4035" s="5"/>
      <c r="H4035" s="6"/>
      <c r="I4035" s="7"/>
      <c r="J4035" s="6"/>
      <c r="K4035" s="6"/>
      <c r="L4035" s="3"/>
      <c r="M4035" s="3" t="str">
        <f>IFERROR(__xludf.DUMMYFUNCTION("""COMPUTED_VALUE"""),"")</f>
        <v/>
      </c>
    </row>
    <row r="4036" ht="48.0" customHeight="1">
      <c r="A4036" s="3"/>
      <c r="B4036" s="4"/>
      <c r="C4036" s="4"/>
      <c r="D4036" s="4"/>
      <c r="E4036" s="4"/>
      <c r="F4036" s="4"/>
      <c r="G4036" s="5"/>
      <c r="H4036" s="6"/>
      <c r="I4036" s="7"/>
      <c r="J4036" s="6"/>
      <c r="K4036" s="6"/>
      <c r="L4036" s="3"/>
      <c r="M4036" s="3" t="str">
        <f>IFERROR(__xludf.DUMMYFUNCTION("""COMPUTED_VALUE"""),"")</f>
        <v/>
      </c>
    </row>
    <row r="4037" ht="48.0" customHeight="1">
      <c r="A4037" s="3"/>
      <c r="B4037" s="4"/>
      <c r="C4037" s="4"/>
      <c r="D4037" s="4"/>
      <c r="E4037" s="4"/>
      <c r="F4037" s="4"/>
      <c r="G4037" s="5"/>
      <c r="H4037" s="6"/>
      <c r="I4037" s="7"/>
      <c r="J4037" s="6"/>
      <c r="K4037" s="6"/>
      <c r="L4037" s="3"/>
      <c r="M4037" s="3" t="str">
        <f>IFERROR(__xludf.DUMMYFUNCTION("""COMPUTED_VALUE"""),"")</f>
        <v/>
      </c>
    </row>
    <row r="4038" ht="48.0" customHeight="1">
      <c r="A4038" s="3"/>
      <c r="B4038" s="4"/>
      <c r="C4038" s="4"/>
      <c r="D4038" s="4"/>
      <c r="E4038" s="4"/>
      <c r="F4038" s="4"/>
      <c r="G4038" s="5"/>
      <c r="H4038" s="6"/>
      <c r="I4038" s="7"/>
      <c r="J4038" s="6"/>
      <c r="K4038" s="6"/>
      <c r="L4038" s="3"/>
      <c r="M4038" s="3" t="str">
        <f>IFERROR(__xludf.DUMMYFUNCTION("""COMPUTED_VALUE"""),"")</f>
        <v/>
      </c>
    </row>
    <row r="4039" ht="48.0" customHeight="1">
      <c r="A4039" s="3"/>
      <c r="B4039" s="4"/>
      <c r="C4039" s="4"/>
      <c r="D4039" s="4"/>
      <c r="E4039" s="4"/>
      <c r="F4039" s="4"/>
      <c r="G4039" s="5"/>
      <c r="H4039" s="6"/>
      <c r="I4039" s="7"/>
      <c r="J4039" s="6"/>
      <c r="K4039" s="6"/>
      <c r="L4039" s="3"/>
      <c r="M4039" s="3" t="str">
        <f>IFERROR(__xludf.DUMMYFUNCTION("""COMPUTED_VALUE"""),"")</f>
        <v/>
      </c>
    </row>
    <row r="4040" ht="48.0" customHeight="1">
      <c r="A4040" s="3"/>
      <c r="B4040" s="4"/>
      <c r="C4040" s="4"/>
      <c r="D4040" s="4"/>
      <c r="E4040" s="4"/>
      <c r="F4040" s="4"/>
      <c r="G4040" s="5"/>
      <c r="H4040" s="6"/>
      <c r="I4040" s="7"/>
      <c r="J4040" s="6"/>
      <c r="K4040" s="6"/>
      <c r="L4040" s="3"/>
      <c r="M4040" s="3" t="str">
        <f>IFERROR(__xludf.DUMMYFUNCTION("""COMPUTED_VALUE"""),"")</f>
        <v/>
      </c>
    </row>
    <row r="4041" ht="48.0" customHeight="1">
      <c r="A4041" s="3"/>
      <c r="B4041" s="4"/>
      <c r="C4041" s="4"/>
      <c r="D4041" s="4"/>
      <c r="E4041" s="4"/>
      <c r="F4041" s="4"/>
      <c r="G4041" s="5"/>
      <c r="H4041" s="6"/>
      <c r="I4041" s="7"/>
      <c r="J4041" s="6"/>
      <c r="K4041" s="6"/>
      <c r="L4041" s="3"/>
      <c r="M4041" s="3" t="str">
        <f>IFERROR(__xludf.DUMMYFUNCTION("""COMPUTED_VALUE"""),"")</f>
        <v/>
      </c>
    </row>
    <row r="4042" ht="48.0" customHeight="1">
      <c r="A4042" s="3"/>
      <c r="B4042" s="4"/>
      <c r="C4042" s="4"/>
      <c r="D4042" s="4"/>
      <c r="E4042" s="4"/>
      <c r="F4042" s="4"/>
      <c r="G4042" s="5"/>
      <c r="H4042" s="6"/>
      <c r="I4042" s="7"/>
      <c r="J4042" s="6"/>
      <c r="K4042" s="6"/>
      <c r="L4042" s="3"/>
      <c r="M4042" s="3" t="str">
        <f>IFERROR(__xludf.DUMMYFUNCTION("""COMPUTED_VALUE"""),"")</f>
        <v/>
      </c>
    </row>
    <row r="4043" ht="48.0" customHeight="1">
      <c r="A4043" s="3"/>
      <c r="B4043" s="4"/>
      <c r="C4043" s="4"/>
      <c r="D4043" s="4"/>
      <c r="E4043" s="4"/>
      <c r="F4043" s="4"/>
      <c r="G4043" s="5"/>
      <c r="H4043" s="6"/>
      <c r="I4043" s="7"/>
      <c r="J4043" s="6"/>
      <c r="K4043" s="6"/>
      <c r="L4043" s="3"/>
      <c r="M4043" s="3" t="str">
        <f>IFERROR(__xludf.DUMMYFUNCTION("""COMPUTED_VALUE"""),"")</f>
        <v/>
      </c>
    </row>
    <row r="4044" ht="48.0" customHeight="1">
      <c r="A4044" s="3"/>
      <c r="B4044" s="4"/>
      <c r="C4044" s="4"/>
      <c r="D4044" s="4"/>
      <c r="E4044" s="4"/>
      <c r="F4044" s="4"/>
      <c r="G4044" s="5"/>
      <c r="H4044" s="6"/>
      <c r="I4044" s="7"/>
      <c r="J4044" s="6"/>
      <c r="K4044" s="6"/>
      <c r="L4044" s="3"/>
      <c r="M4044" s="3" t="str">
        <f>IFERROR(__xludf.DUMMYFUNCTION("""COMPUTED_VALUE"""),"")</f>
        <v/>
      </c>
    </row>
    <row r="4045" ht="48.0" customHeight="1">
      <c r="A4045" s="3"/>
      <c r="B4045" s="4"/>
      <c r="C4045" s="4"/>
      <c r="D4045" s="4"/>
      <c r="E4045" s="4"/>
      <c r="F4045" s="4"/>
      <c r="G4045" s="5"/>
      <c r="H4045" s="6"/>
      <c r="I4045" s="7"/>
      <c r="J4045" s="6"/>
      <c r="K4045" s="6"/>
      <c r="L4045" s="3"/>
      <c r="M4045" s="3" t="str">
        <f>IFERROR(__xludf.DUMMYFUNCTION("""COMPUTED_VALUE"""),"")</f>
        <v/>
      </c>
    </row>
    <row r="4046" ht="48.0" customHeight="1">
      <c r="A4046" s="3"/>
      <c r="B4046" s="4"/>
      <c r="C4046" s="4"/>
      <c r="D4046" s="4"/>
      <c r="E4046" s="4"/>
      <c r="F4046" s="4"/>
      <c r="G4046" s="5"/>
      <c r="H4046" s="6"/>
      <c r="I4046" s="7"/>
      <c r="J4046" s="6"/>
      <c r="K4046" s="6"/>
      <c r="L4046" s="3"/>
      <c r="M4046" s="3" t="str">
        <f>IFERROR(__xludf.DUMMYFUNCTION("""COMPUTED_VALUE"""),"")</f>
        <v/>
      </c>
    </row>
    <row r="4047" ht="48.0" customHeight="1">
      <c r="A4047" s="3"/>
      <c r="B4047" s="4"/>
      <c r="C4047" s="4"/>
      <c r="D4047" s="4"/>
      <c r="E4047" s="4"/>
      <c r="F4047" s="4"/>
      <c r="G4047" s="5"/>
      <c r="H4047" s="6"/>
      <c r="I4047" s="7"/>
      <c r="J4047" s="6"/>
      <c r="K4047" s="6"/>
      <c r="L4047" s="3"/>
      <c r="M4047" s="3" t="str">
        <f>IFERROR(__xludf.DUMMYFUNCTION("""COMPUTED_VALUE"""),"")</f>
        <v/>
      </c>
    </row>
    <row r="4048" ht="48.0" customHeight="1">
      <c r="A4048" s="3"/>
      <c r="B4048" s="4"/>
      <c r="C4048" s="4"/>
      <c r="D4048" s="4"/>
      <c r="E4048" s="4"/>
      <c r="F4048" s="4"/>
      <c r="G4048" s="5"/>
      <c r="H4048" s="6"/>
      <c r="I4048" s="7"/>
      <c r="J4048" s="6"/>
      <c r="K4048" s="6"/>
      <c r="L4048" s="3"/>
      <c r="M4048" s="3" t="str">
        <f>IFERROR(__xludf.DUMMYFUNCTION("""COMPUTED_VALUE"""),"")</f>
        <v/>
      </c>
    </row>
    <row r="4049" ht="48.0" customHeight="1">
      <c r="A4049" s="3"/>
      <c r="B4049" s="4"/>
      <c r="C4049" s="4"/>
      <c r="D4049" s="4"/>
      <c r="E4049" s="4"/>
      <c r="F4049" s="4"/>
      <c r="G4049" s="5"/>
      <c r="H4049" s="6"/>
      <c r="I4049" s="7"/>
      <c r="J4049" s="6"/>
      <c r="K4049" s="6"/>
      <c r="L4049" s="3"/>
      <c r="M4049" s="3" t="str">
        <f>IFERROR(__xludf.DUMMYFUNCTION("""COMPUTED_VALUE"""),"")</f>
        <v/>
      </c>
    </row>
    <row r="4050" ht="48.0" customHeight="1">
      <c r="A4050" s="3"/>
      <c r="B4050" s="4"/>
      <c r="C4050" s="4"/>
      <c r="D4050" s="4"/>
      <c r="E4050" s="4"/>
      <c r="F4050" s="4"/>
      <c r="G4050" s="5"/>
      <c r="H4050" s="6"/>
      <c r="I4050" s="7"/>
      <c r="J4050" s="6"/>
      <c r="K4050" s="6"/>
      <c r="L4050" s="3"/>
      <c r="M4050" s="3" t="str">
        <f>IFERROR(__xludf.DUMMYFUNCTION("""COMPUTED_VALUE"""),"")</f>
        <v/>
      </c>
    </row>
    <row r="4051" ht="48.0" customHeight="1">
      <c r="A4051" s="3"/>
      <c r="B4051" s="4"/>
      <c r="C4051" s="4"/>
      <c r="D4051" s="4"/>
      <c r="E4051" s="4"/>
      <c r="F4051" s="4"/>
      <c r="G4051" s="5"/>
      <c r="H4051" s="6"/>
      <c r="I4051" s="7"/>
      <c r="J4051" s="6"/>
      <c r="K4051" s="6"/>
      <c r="L4051" s="3"/>
      <c r="M4051" s="3" t="str">
        <f>IFERROR(__xludf.DUMMYFUNCTION("""COMPUTED_VALUE"""),"")</f>
        <v/>
      </c>
    </row>
    <row r="4052" ht="48.0" customHeight="1">
      <c r="A4052" s="3"/>
      <c r="B4052" s="4"/>
      <c r="C4052" s="4"/>
      <c r="D4052" s="4"/>
      <c r="E4052" s="4"/>
      <c r="F4052" s="4"/>
      <c r="G4052" s="5"/>
      <c r="H4052" s="6"/>
      <c r="I4052" s="7"/>
      <c r="J4052" s="6"/>
      <c r="K4052" s="6"/>
      <c r="L4052" s="3"/>
      <c r="M4052" s="3" t="str">
        <f>IFERROR(__xludf.DUMMYFUNCTION("""COMPUTED_VALUE"""),"")</f>
        <v/>
      </c>
    </row>
    <row r="4053" ht="48.0" customHeight="1">
      <c r="A4053" s="3"/>
      <c r="B4053" s="4"/>
      <c r="C4053" s="4"/>
      <c r="D4053" s="4"/>
      <c r="E4053" s="4"/>
      <c r="F4053" s="4"/>
      <c r="G4053" s="5"/>
      <c r="H4053" s="6"/>
      <c r="I4053" s="7"/>
      <c r="J4053" s="6"/>
      <c r="K4053" s="6"/>
      <c r="L4053" s="3"/>
      <c r="M4053" s="3" t="str">
        <f>IFERROR(__xludf.DUMMYFUNCTION("""COMPUTED_VALUE"""),"")</f>
        <v/>
      </c>
    </row>
    <row r="4054" ht="48.0" customHeight="1">
      <c r="A4054" s="3"/>
      <c r="B4054" s="4"/>
      <c r="C4054" s="4"/>
      <c r="D4054" s="4"/>
      <c r="E4054" s="4"/>
      <c r="F4054" s="4"/>
      <c r="G4054" s="5"/>
      <c r="H4054" s="6"/>
      <c r="I4054" s="7"/>
      <c r="J4054" s="6"/>
      <c r="K4054" s="6"/>
      <c r="L4054" s="3"/>
      <c r="M4054" s="3" t="str">
        <f>IFERROR(__xludf.DUMMYFUNCTION("""COMPUTED_VALUE"""),"")</f>
        <v/>
      </c>
    </row>
    <row r="4055" ht="48.0" customHeight="1">
      <c r="A4055" s="3"/>
      <c r="B4055" s="4"/>
      <c r="C4055" s="4"/>
      <c r="D4055" s="4"/>
      <c r="E4055" s="4"/>
      <c r="F4055" s="4"/>
      <c r="G4055" s="5"/>
      <c r="H4055" s="6"/>
      <c r="I4055" s="7"/>
      <c r="J4055" s="6"/>
      <c r="K4055" s="6"/>
      <c r="L4055" s="3"/>
      <c r="M4055" s="3" t="str">
        <f>IFERROR(__xludf.DUMMYFUNCTION("""COMPUTED_VALUE"""),"")</f>
        <v/>
      </c>
    </row>
    <row r="4056" ht="48.0" customHeight="1">
      <c r="A4056" s="3"/>
      <c r="B4056" s="4"/>
      <c r="C4056" s="4"/>
      <c r="D4056" s="4"/>
      <c r="E4056" s="4"/>
      <c r="F4056" s="4"/>
      <c r="G4056" s="5"/>
      <c r="H4056" s="6"/>
      <c r="I4056" s="7"/>
      <c r="J4056" s="6"/>
      <c r="K4056" s="6"/>
      <c r="L4056" s="3"/>
      <c r="M4056" s="3" t="str">
        <f>IFERROR(__xludf.DUMMYFUNCTION("""COMPUTED_VALUE"""),"")</f>
        <v/>
      </c>
    </row>
    <row r="4057" ht="48.0" customHeight="1">
      <c r="A4057" s="3"/>
      <c r="B4057" s="4"/>
      <c r="C4057" s="4"/>
      <c r="D4057" s="4"/>
      <c r="E4057" s="4"/>
      <c r="F4057" s="4"/>
      <c r="G4057" s="5"/>
      <c r="H4057" s="6"/>
      <c r="I4057" s="7"/>
      <c r="J4057" s="6"/>
      <c r="K4057" s="6"/>
      <c r="L4057" s="3"/>
      <c r="M4057" s="3" t="str">
        <f>IFERROR(__xludf.DUMMYFUNCTION("""COMPUTED_VALUE"""),"")</f>
        <v/>
      </c>
    </row>
    <row r="4058" ht="48.0" customHeight="1">
      <c r="A4058" s="3"/>
      <c r="B4058" s="4"/>
      <c r="C4058" s="4"/>
      <c r="D4058" s="4"/>
      <c r="E4058" s="4"/>
      <c r="F4058" s="4"/>
      <c r="G4058" s="5"/>
      <c r="H4058" s="6"/>
      <c r="I4058" s="7"/>
      <c r="J4058" s="6"/>
      <c r="K4058" s="6"/>
      <c r="L4058" s="3"/>
      <c r="M4058" s="3" t="str">
        <f>IFERROR(__xludf.DUMMYFUNCTION("""COMPUTED_VALUE"""),"")</f>
        <v/>
      </c>
    </row>
    <row r="4059" ht="48.0" customHeight="1">
      <c r="A4059" s="3"/>
      <c r="B4059" s="4"/>
      <c r="C4059" s="4"/>
      <c r="D4059" s="4"/>
      <c r="E4059" s="4"/>
      <c r="F4059" s="4"/>
      <c r="G4059" s="5"/>
      <c r="H4059" s="6"/>
      <c r="I4059" s="7"/>
      <c r="J4059" s="6"/>
      <c r="K4059" s="6"/>
      <c r="L4059" s="3"/>
      <c r="M4059" s="3" t="str">
        <f>IFERROR(__xludf.DUMMYFUNCTION("""COMPUTED_VALUE"""),"")</f>
        <v/>
      </c>
    </row>
    <row r="4060" ht="48.0" customHeight="1">
      <c r="A4060" s="3"/>
      <c r="B4060" s="4"/>
      <c r="C4060" s="4"/>
      <c r="D4060" s="4"/>
      <c r="E4060" s="4"/>
      <c r="F4060" s="4"/>
      <c r="G4060" s="5"/>
      <c r="H4060" s="6"/>
      <c r="I4060" s="7"/>
      <c r="J4060" s="6"/>
      <c r="K4060" s="6"/>
      <c r="L4060" s="3"/>
      <c r="M4060" s="3" t="str">
        <f>IFERROR(__xludf.DUMMYFUNCTION("""COMPUTED_VALUE"""),"")</f>
        <v/>
      </c>
    </row>
    <row r="4061" ht="48.0" customHeight="1">
      <c r="A4061" s="3"/>
      <c r="B4061" s="4"/>
      <c r="C4061" s="4"/>
      <c r="D4061" s="4"/>
      <c r="E4061" s="4"/>
      <c r="F4061" s="4"/>
      <c r="G4061" s="5"/>
      <c r="H4061" s="6"/>
      <c r="I4061" s="7"/>
      <c r="J4061" s="6"/>
      <c r="K4061" s="6"/>
      <c r="L4061" s="3"/>
      <c r="M4061" s="3" t="str">
        <f>IFERROR(__xludf.DUMMYFUNCTION("""COMPUTED_VALUE"""),"")</f>
        <v/>
      </c>
    </row>
    <row r="4062" ht="48.0" customHeight="1">
      <c r="A4062" s="3"/>
      <c r="B4062" s="4"/>
      <c r="C4062" s="4"/>
      <c r="D4062" s="4"/>
      <c r="E4062" s="4"/>
      <c r="F4062" s="4"/>
      <c r="G4062" s="5"/>
      <c r="H4062" s="6"/>
      <c r="I4062" s="7"/>
      <c r="J4062" s="6"/>
      <c r="K4062" s="6"/>
      <c r="L4062" s="3"/>
      <c r="M4062" s="3" t="str">
        <f>IFERROR(__xludf.DUMMYFUNCTION("""COMPUTED_VALUE"""),"")</f>
        <v/>
      </c>
    </row>
    <row r="4063" ht="48.0" customHeight="1">
      <c r="A4063" s="3"/>
      <c r="B4063" s="4"/>
      <c r="C4063" s="4"/>
      <c r="D4063" s="4"/>
      <c r="E4063" s="4"/>
      <c r="F4063" s="4"/>
      <c r="G4063" s="5"/>
      <c r="H4063" s="6"/>
      <c r="I4063" s="7"/>
      <c r="J4063" s="6"/>
      <c r="K4063" s="6"/>
      <c r="L4063" s="3"/>
      <c r="M4063" s="3" t="str">
        <f>IFERROR(__xludf.DUMMYFUNCTION("""COMPUTED_VALUE"""),"")</f>
        <v/>
      </c>
    </row>
    <row r="4064" ht="48.0" customHeight="1">
      <c r="A4064" s="3"/>
      <c r="B4064" s="4"/>
      <c r="C4064" s="4"/>
      <c r="D4064" s="4"/>
      <c r="E4064" s="4"/>
      <c r="F4064" s="4"/>
      <c r="G4064" s="5"/>
      <c r="H4064" s="6"/>
      <c r="I4064" s="7"/>
      <c r="J4064" s="6"/>
      <c r="K4064" s="6"/>
      <c r="L4064" s="3"/>
      <c r="M4064" s="3" t="str">
        <f>IFERROR(__xludf.DUMMYFUNCTION("""COMPUTED_VALUE"""),"")</f>
        <v/>
      </c>
    </row>
    <row r="4065" ht="48.0" customHeight="1">
      <c r="A4065" s="3"/>
      <c r="B4065" s="4"/>
      <c r="C4065" s="4"/>
      <c r="D4065" s="4"/>
      <c r="E4065" s="4"/>
      <c r="F4065" s="4"/>
      <c r="G4065" s="5"/>
      <c r="H4065" s="6"/>
      <c r="I4065" s="7"/>
      <c r="J4065" s="6"/>
      <c r="K4065" s="6"/>
      <c r="L4065" s="3"/>
      <c r="M4065" s="3" t="str">
        <f>IFERROR(__xludf.DUMMYFUNCTION("""COMPUTED_VALUE"""),"")</f>
        <v/>
      </c>
    </row>
    <row r="4066" ht="48.0" customHeight="1">
      <c r="A4066" s="3"/>
      <c r="B4066" s="4"/>
      <c r="C4066" s="4"/>
      <c r="D4066" s="4"/>
      <c r="E4066" s="4"/>
      <c r="F4066" s="4"/>
      <c r="G4066" s="5"/>
      <c r="H4066" s="6"/>
      <c r="I4066" s="7"/>
      <c r="J4066" s="6"/>
      <c r="K4066" s="6"/>
      <c r="L4066" s="3"/>
      <c r="M4066" s="3" t="str">
        <f>IFERROR(__xludf.DUMMYFUNCTION("""COMPUTED_VALUE"""),"")</f>
        <v/>
      </c>
    </row>
    <row r="4067" ht="48.0" customHeight="1">
      <c r="A4067" s="3"/>
      <c r="B4067" s="4"/>
      <c r="C4067" s="4"/>
      <c r="D4067" s="4"/>
      <c r="E4067" s="4"/>
      <c r="F4067" s="4"/>
      <c r="G4067" s="5"/>
      <c r="H4067" s="6"/>
      <c r="I4067" s="7"/>
      <c r="J4067" s="6"/>
      <c r="K4067" s="6"/>
      <c r="L4067" s="3"/>
      <c r="M4067" s="3" t="str">
        <f>IFERROR(__xludf.DUMMYFUNCTION("""COMPUTED_VALUE"""),"")</f>
        <v/>
      </c>
    </row>
    <row r="4068" ht="48.0" customHeight="1">
      <c r="A4068" s="3"/>
      <c r="B4068" s="4"/>
      <c r="C4068" s="4"/>
      <c r="D4068" s="4"/>
      <c r="E4068" s="4"/>
      <c r="F4068" s="4"/>
      <c r="G4068" s="5"/>
      <c r="H4068" s="6"/>
      <c r="I4068" s="7"/>
      <c r="J4068" s="6"/>
      <c r="K4068" s="6"/>
      <c r="L4068" s="3"/>
      <c r="M4068" s="3" t="str">
        <f>IFERROR(__xludf.DUMMYFUNCTION("""COMPUTED_VALUE"""),"")</f>
        <v/>
      </c>
    </row>
    <row r="4069" ht="48.0" customHeight="1">
      <c r="A4069" s="3"/>
      <c r="B4069" s="4"/>
      <c r="C4069" s="4"/>
      <c r="D4069" s="4"/>
      <c r="E4069" s="4"/>
      <c r="F4069" s="4"/>
      <c r="G4069" s="5"/>
      <c r="H4069" s="6"/>
      <c r="I4069" s="7"/>
      <c r="J4069" s="6"/>
      <c r="K4069" s="6"/>
      <c r="L4069" s="3"/>
      <c r="M4069" s="3" t="str">
        <f>IFERROR(__xludf.DUMMYFUNCTION("""COMPUTED_VALUE"""),"")</f>
        <v/>
      </c>
    </row>
    <row r="4070" ht="48.0" customHeight="1">
      <c r="A4070" s="3"/>
      <c r="B4070" s="4"/>
      <c r="C4070" s="4"/>
      <c r="D4070" s="4"/>
      <c r="E4070" s="4"/>
      <c r="F4070" s="4"/>
      <c r="G4070" s="5"/>
      <c r="H4070" s="6"/>
      <c r="I4070" s="7"/>
      <c r="J4070" s="6"/>
      <c r="K4070" s="6"/>
      <c r="L4070" s="3"/>
      <c r="M4070" s="3" t="str">
        <f>IFERROR(__xludf.DUMMYFUNCTION("""COMPUTED_VALUE"""),"")</f>
        <v/>
      </c>
    </row>
    <row r="4071" ht="48.0" customHeight="1">
      <c r="A4071" s="3"/>
      <c r="B4071" s="4"/>
      <c r="C4071" s="4"/>
      <c r="D4071" s="4"/>
      <c r="E4071" s="4"/>
      <c r="F4071" s="4"/>
      <c r="G4071" s="5"/>
      <c r="H4071" s="6"/>
      <c r="I4071" s="7"/>
      <c r="J4071" s="6"/>
      <c r="K4071" s="6"/>
      <c r="L4071" s="3"/>
      <c r="M4071" s="3" t="str">
        <f>IFERROR(__xludf.DUMMYFUNCTION("""COMPUTED_VALUE"""),"")</f>
        <v/>
      </c>
    </row>
    <row r="4072" ht="48.0" customHeight="1">
      <c r="A4072" s="3"/>
      <c r="B4072" s="4"/>
      <c r="C4072" s="4"/>
      <c r="D4072" s="4"/>
      <c r="E4072" s="4"/>
      <c r="F4072" s="4"/>
      <c r="G4072" s="5"/>
      <c r="H4072" s="6"/>
      <c r="I4072" s="7"/>
      <c r="J4072" s="6"/>
      <c r="K4072" s="6"/>
      <c r="L4072" s="3"/>
      <c r="M4072" s="3" t="str">
        <f>IFERROR(__xludf.DUMMYFUNCTION("""COMPUTED_VALUE"""),"")</f>
        <v/>
      </c>
    </row>
    <row r="4073" ht="48.0" customHeight="1">
      <c r="A4073" s="3"/>
      <c r="B4073" s="4"/>
      <c r="C4073" s="4"/>
      <c r="D4073" s="4"/>
      <c r="E4073" s="4"/>
      <c r="F4073" s="4"/>
      <c r="G4073" s="5"/>
      <c r="H4073" s="6"/>
      <c r="I4073" s="7"/>
      <c r="J4073" s="6"/>
      <c r="K4073" s="6"/>
      <c r="L4073" s="3"/>
      <c r="M4073" s="3" t="str">
        <f>IFERROR(__xludf.DUMMYFUNCTION("""COMPUTED_VALUE"""),"")</f>
        <v/>
      </c>
    </row>
    <row r="4074" ht="48.0" customHeight="1">
      <c r="A4074" s="3"/>
      <c r="B4074" s="4"/>
      <c r="C4074" s="4"/>
      <c r="D4074" s="4"/>
      <c r="E4074" s="4"/>
      <c r="F4074" s="4"/>
      <c r="G4074" s="5"/>
      <c r="H4074" s="6"/>
      <c r="I4074" s="7"/>
      <c r="J4074" s="6"/>
      <c r="K4074" s="6"/>
      <c r="L4074" s="3"/>
      <c r="M4074" s="3" t="str">
        <f>IFERROR(__xludf.DUMMYFUNCTION("""COMPUTED_VALUE"""),"")</f>
        <v/>
      </c>
    </row>
    <row r="4075" ht="48.0" customHeight="1">
      <c r="A4075" s="3"/>
      <c r="B4075" s="4"/>
      <c r="C4075" s="4"/>
      <c r="D4075" s="4"/>
      <c r="E4075" s="4"/>
      <c r="F4075" s="4"/>
      <c r="G4075" s="5"/>
      <c r="H4075" s="6"/>
      <c r="I4075" s="7"/>
      <c r="J4075" s="6"/>
      <c r="K4075" s="6"/>
      <c r="L4075" s="3"/>
      <c r="M4075" s="3" t="str">
        <f>IFERROR(__xludf.DUMMYFUNCTION("""COMPUTED_VALUE"""),"")</f>
        <v/>
      </c>
    </row>
    <row r="4076" ht="48.0" customHeight="1">
      <c r="A4076" s="3"/>
      <c r="B4076" s="4"/>
      <c r="C4076" s="4"/>
      <c r="D4076" s="4"/>
      <c r="E4076" s="4"/>
      <c r="F4076" s="4"/>
      <c r="G4076" s="5"/>
      <c r="H4076" s="6"/>
      <c r="I4076" s="7"/>
      <c r="J4076" s="6"/>
      <c r="K4076" s="6"/>
      <c r="L4076" s="3"/>
      <c r="M4076" s="3" t="str">
        <f>IFERROR(__xludf.DUMMYFUNCTION("""COMPUTED_VALUE"""),"")</f>
        <v/>
      </c>
    </row>
    <row r="4077" ht="48.0" customHeight="1">
      <c r="A4077" s="3"/>
      <c r="B4077" s="4"/>
      <c r="C4077" s="4"/>
      <c r="D4077" s="4"/>
      <c r="E4077" s="4"/>
      <c r="F4077" s="4"/>
      <c r="G4077" s="5"/>
      <c r="H4077" s="6"/>
      <c r="I4077" s="7"/>
      <c r="J4077" s="6"/>
      <c r="K4077" s="6"/>
      <c r="L4077" s="3"/>
      <c r="M4077" s="3" t="str">
        <f>IFERROR(__xludf.DUMMYFUNCTION("""COMPUTED_VALUE"""),"")</f>
        <v/>
      </c>
    </row>
    <row r="4078" ht="48.0" customHeight="1">
      <c r="A4078" s="3"/>
      <c r="B4078" s="4"/>
      <c r="C4078" s="4"/>
      <c r="D4078" s="4"/>
      <c r="E4078" s="4"/>
      <c r="F4078" s="4"/>
      <c r="G4078" s="5"/>
      <c r="H4078" s="6"/>
      <c r="I4078" s="7"/>
      <c r="J4078" s="6"/>
      <c r="K4078" s="6"/>
      <c r="L4078" s="3"/>
      <c r="M4078" s="3" t="str">
        <f>IFERROR(__xludf.DUMMYFUNCTION("""COMPUTED_VALUE"""),"")</f>
        <v/>
      </c>
    </row>
    <row r="4079" ht="48.0" customHeight="1">
      <c r="A4079" s="3"/>
      <c r="B4079" s="4"/>
      <c r="C4079" s="4"/>
      <c r="D4079" s="4"/>
      <c r="E4079" s="4"/>
      <c r="F4079" s="4"/>
      <c r="G4079" s="5"/>
      <c r="H4079" s="6"/>
      <c r="I4079" s="7"/>
      <c r="J4079" s="6"/>
      <c r="K4079" s="6"/>
      <c r="L4079" s="3"/>
      <c r="M4079" s="3" t="str">
        <f>IFERROR(__xludf.DUMMYFUNCTION("""COMPUTED_VALUE"""),"")</f>
        <v/>
      </c>
    </row>
    <row r="4080" ht="48.0" customHeight="1">
      <c r="A4080" s="3"/>
      <c r="B4080" s="4"/>
      <c r="C4080" s="4"/>
      <c r="D4080" s="4"/>
      <c r="E4080" s="4"/>
      <c r="F4080" s="4"/>
      <c r="G4080" s="5"/>
      <c r="H4080" s="6"/>
      <c r="I4080" s="7"/>
      <c r="J4080" s="6"/>
      <c r="K4080" s="6"/>
      <c r="L4080" s="3"/>
      <c r="M4080" s="3" t="str">
        <f>IFERROR(__xludf.DUMMYFUNCTION("""COMPUTED_VALUE"""),"")</f>
        <v/>
      </c>
    </row>
    <row r="4081" ht="48.0" customHeight="1">
      <c r="A4081" s="3"/>
      <c r="B4081" s="4"/>
      <c r="C4081" s="4"/>
      <c r="D4081" s="4"/>
      <c r="E4081" s="4"/>
      <c r="F4081" s="4"/>
      <c r="G4081" s="5"/>
      <c r="H4081" s="6"/>
      <c r="I4081" s="7"/>
      <c r="J4081" s="6"/>
      <c r="K4081" s="6"/>
      <c r="L4081" s="3"/>
      <c r="M4081" s="3" t="str">
        <f>IFERROR(__xludf.DUMMYFUNCTION("""COMPUTED_VALUE"""),"")</f>
        <v/>
      </c>
    </row>
    <row r="4082" ht="48.0" customHeight="1">
      <c r="A4082" s="3"/>
      <c r="B4082" s="4"/>
      <c r="C4082" s="4"/>
      <c r="D4082" s="4"/>
      <c r="E4082" s="4"/>
      <c r="F4082" s="4"/>
      <c r="G4082" s="5"/>
      <c r="H4082" s="6"/>
      <c r="I4082" s="7"/>
      <c r="J4082" s="6"/>
      <c r="K4082" s="6"/>
      <c r="L4082" s="3"/>
      <c r="M4082" s="3" t="str">
        <f>IFERROR(__xludf.DUMMYFUNCTION("""COMPUTED_VALUE"""),"")</f>
        <v/>
      </c>
    </row>
    <row r="4083" ht="48.0" customHeight="1">
      <c r="A4083" s="3"/>
      <c r="B4083" s="4"/>
      <c r="C4083" s="4"/>
      <c r="D4083" s="4"/>
      <c r="E4083" s="4"/>
      <c r="F4083" s="4"/>
      <c r="G4083" s="5"/>
      <c r="H4083" s="6"/>
      <c r="I4083" s="7"/>
      <c r="J4083" s="6"/>
      <c r="K4083" s="6"/>
      <c r="L4083" s="3"/>
      <c r="M4083" s="3" t="str">
        <f>IFERROR(__xludf.DUMMYFUNCTION("""COMPUTED_VALUE"""),"")</f>
        <v/>
      </c>
    </row>
    <row r="4084" ht="48.0" customHeight="1">
      <c r="A4084" s="3"/>
      <c r="B4084" s="4"/>
      <c r="C4084" s="4"/>
      <c r="D4084" s="4"/>
      <c r="E4084" s="4"/>
      <c r="F4084" s="4"/>
      <c r="G4084" s="5"/>
      <c r="H4084" s="6"/>
      <c r="I4084" s="7"/>
      <c r="J4084" s="6"/>
      <c r="K4084" s="6"/>
      <c r="L4084" s="3"/>
      <c r="M4084" s="3" t="str">
        <f>IFERROR(__xludf.DUMMYFUNCTION("""COMPUTED_VALUE"""),"")</f>
        <v/>
      </c>
    </row>
    <row r="4085" ht="48.0" customHeight="1">
      <c r="A4085" s="3"/>
      <c r="B4085" s="4"/>
      <c r="C4085" s="4"/>
      <c r="D4085" s="4"/>
      <c r="E4085" s="4"/>
      <c r="F4085" s="4"/>
      <c r="G4085" s="5"/>
      <c r="H4085" s="6"/>
      <c r="I4085" s="7"/>
      <c r="J4085" s="6"/>
      <c r="K4085" s="6"/>
      <c r="L4085" s="3"/>
      <c r="M4085" s="3" t="str">
        <f>IFERROR(__xludf.DUMMYFUNCTION("""COMPUTED_VALUE"""),"")</f>
        <v/>
      </c>
    </row>
    <row r="4086" ht="48.0" customHeight="1">
      <c r="A4086" s="3"/>
      <c r="B4086" s="4"/>
      <c r="C4086" s="4"/>
      <c r="D4086" s="4"/>
      <c r="E4086" s="4"/>
      <c r="F4086" s="4"/>
      <c r="G4086" s="5"/>
      <c r="H4086" s="6"/>
      <c r="I4086" s="7"/>
      <c r="J4086" s="6"/>
      <c r="K4086" s="6"/>
      <c r="L4086" s="3"/>
      <c r="M4086" s="3" t="str">
        <f>IFERROR(__xludf.DUMMYFUNCTION("""COMPUTED_VALUE"""),"")</f>
        <v/>
      </c>
    </row>
    <row r="4087" ht="48.0" customHeight="1">
      <c r="A4087" s="3"/>
      <c r="B4087" s="4"/>
      <c r="C4087" s="4"/>
      <c r="D4087" s="4"/>
      <c r="E4087" s="4"/>
      <c r="F4087" s="4"/>
      <c r="G4087" s="5"/>
      <c r="H4087" s="6"/>
      <c r="I4087" s="7"/>
      <c r="J4087" s="6"/>
      <c r="K4087" s="6"/>
      <c r="L4087" s="3"/>
      <c r="M4087" s="3" t="str">
        <f>IFERROR(__xludf.DUMMYFUNCTION("""COMPUTED_VALUE"""),"")</f>
        <v/>
      </c>
    </row>
    <row r="4088" ht="48.0" customHeight="1">
      <c r="A4088" s="3"/>
      <c r="B4088" s="4"/>
      <c r="C4088" s="4"/>
      <c r="D4088" s="4"/>
      <c r="E4088" s="4"/>
      <c r="F4088" s="4"/>
      <c r="G4088" s="5"/>
      <c r="H4088" s="6"/>
      <c r="I4088" s="7"/>
      <c r="J4088" s="6"/>
      <c r="K4088" s="6"/>
      <c r="L4088" s="3"/>
      <c r="M4088" s="3" t="str">
        <f>IFERROR(__xludf.DUMMYFUNCTION("""COMPUTED_VALUE"""),"")</f>
        <v/>
      </c>
    </row>
    <row r="4089" ht="48.0" customHeight="1">
      <c r="A4089" s="3"/>
      <c r="B4089" s="4"/>
      <c r="C4089" s="4"/>
      <c r="D4089" s="4"/>
      <c r="E4089" s="4"/>
      <c r="F4089" s="4"/>
      <c r="G4089" s="5"/>
      <c r="H4089" s="6"/>
      <c r="I4089" s="7"/>
      <c r="J4089" s="6"/>
      <c r="K4089" s="6"/>
      <c r="L4089" s="3"/>
      <c r="M4089" s="3" t="str">
        <f>IFERROR(__xludf.DUMMYFUNCTION("""COMPUTED_VALUE"""),"")</f>
        <v/>
      </c>
    </row>
    <row r="4090" ht="48.0" customHeight="1">
      <c r="A4090" s="3"/>
      <c r="B4090" s="4"/>
      <c r="C4090" s="4"/>
      <c r="D4090" s="4"/>
      <c r="E4090" s="4"/>
      <c r="F4090" s="4"/>
      <c r="G4090" s="5"/>
      <c r="H4090" s="6"/>
      <c r="I4090" s="7"/>
      <c r="J4090" s="6"/>
      <c r="K4090" s="6"/>
      <c r="L4090" s="3"/>
      <c r="M4090" s="3" t="str">
        <f>IFERROR(__xludf.DUMMYFUNCTION("""COMPUTED_VALUE"""),"")</f>
        <v/>
      </c>
    </row>
    <row r="4091" ht="48.0" customHeight="1">
      <c r="A4091" s="3"/>
      <c r="B4091" s="4"/>
      <c r="C4091" s="4"/>
      <c r="D4091" s="4"/>
      <c r="E4091" s="4"/>
      <c r="F4091" s="4"/>
      <c r="G4091" s="5"/>
      <c r="H4091" s="6"/>
      <c r="I4091" s="7"/>
      <c r="J4091" s="6"/>
      <c r="K4091" s="6"/>
      <c r="L4091" s="3"/>
      <c r="M4091" s="3" t="str">
        <f>IFERROR(__xludf.DUMMYFUNCTION("""COMPUTED_VALUE"""),"")</f>
        <v/>
      </c>
    </row>
    <row r="4092" ht="48.0" customHeight="1">
      <c r="A4092" s="3"/>
      <c r="B4092" s="4"/>
      <c r="C4092" s="4"/>
      <c r="D4092" s="4"/>
      <c r="E4092" s="4"/>
      <c r="F4092" s="4"/>
      <c r="G4092" s="5"/>
      <c r="H4092" s="6"/>
      <c r="I4092" s="7"/>
      <c r="J4092" s="6"/>
      <c r="K4092" s="6"/>
      <c r="L4092" s="3"/>
      <c r="M4092" s="3" t="str">
        <f>IFERROR(__xludf.DUMMYFUNCTION("""COMPUTED_VALUE"""),"")</f>
        <v/>
      </c>
    </row>
    <row r="4093" ht="48.0" customHeight="1">
      <c r="A4093" s="3"/>
      <c r="B4093" s="4"/>
      <c r="C4093" s="4"/>
      <c r="D4093" s="4"/>
      <c r="E4093" s="4"/>
      <c r="F4093" s="4"/>
      <c r="G4093" s="5"/>
      <c r="H4093" s="6"/>
      <c r="I4093" s="7"/>
      <c r="J4093" s="6"/>
      <c r="K4093" s="6"/>
      <c r="L4093" s="3"/>
      <c r="M4093" s="3" t="str">
        <f>IFERROR(__xludf.DUMMYFUNCTION("""COMPUTED_VALUE"""),"")</f>
        <v/>
      </c>
    </row>
    <row r="4094" ht="48.0" customHeight="1">
      <c r="A4094" s="3"/>
      <c r="B4094" s="4"/>
      <c r="C4094" s="4"/>
      <c r="D4094" s="4"/>
      <c r="E4094" s="4"/>
      <c r="F4094" s="4"/>
      <c r="G4094" s="5"/>
      <c r="H4094" s="6"/>
      <c r="I4094" s="7"/>
      <c r="J4094" s="6"/>
      <c r="K4094" s="6"/>
      <c r="L4094" s="3"/>
      <c r="M4094" s="3" t="str">
        <f>IFERROR(__xludf.DUMMYFUNCTION("""COMPUTED_VALUE"""),"")</f>
        <v/>
      </c>
    </row>
    <row r="4095" ht="48.0" customHeight="1">
      <c r="A4095" s="3"/>
      <c r="B4095" s="4"/>
      <c r="C4095" s="4"/>
      <c r="D4095" s="4"/>
      <c r="E4095" s="4"/>
      <c r="F4095" s="4"/>
      <c r="G4095" s="5"/>
      <c r="H4095" s="6"/>
      <c r="I4095" s="7"/>
      <c r="J4095" s="6"/>
      <c r="K4095" s="6"/>
      <c r="L4095" s="3"/>
      <c r="M4095" s="3" t="str">
        <f>IFERROR(__xludf.DUMMYFUNCTION("""COMPUTED_VALUE"""),"")</f>
        <v/>
      </c>
    </row>
    <row r="4096" ht="48.0" customHeight="1">
      <c r="A4096" s="3"/>
      <c r="B4096" s="4"/>
      <c r="C4096" s="4"/>
      <c r="D4096" s="4"/>
      <c r="E4096" s="4"/>
      <c r="F4096" s="4"/>
      <c r="G4096" s="5"/>
      <c r="H4096" s="6"/>
      <c r="I4096" s="7"/>
      <c r="J4096" s="6"/>
      <c r="K4096" s="6"/>
      <c r="L4096" s="3"/>
      <c r="M4096" s="3" t="str">
        <f>IFERROR(__xludf.DUMMYFUNCTION("""COMPUTED_VALUE"""),"")</f>
        <v/>
      </c>
    </row>
    <row r="4097" ht="48.0" customHeight="1">
      <c r="A4097" s="3"/>
      <c r="B4097" s="4"/>
      <c r="C4097" s="4"/>
      <c r="D4097" s="4"/>
      <c r="E4097" s="4"/>
      <c r="F4097" s="4"/>
      <c r="G4097" s="5"/>
      <c r="H4097" s="6"/>
      <c r="I4097" s="7"/>
      <c r="J4097" s="6"/>
      <c r="K4097" s="6"/>
      <c r="L4097" s="3"/>
      <c r="M4097" s="3" t="str">
        <f>IFERROR(__xludf.DUMMYFUNCTION("""COMPUTED_VALUE"""),"")</f>
        <v/>
      </c>
    </row>
    <row r="4098" ht="48.0" customHeight="1">
      <c r="A4098" s="3"/>
      <c r="B4098" s="4"/>
      <c r="C4098" s="4"/>
      <c r="D4098" s="4"/>
      <c r="E4098" s="4"/>
      <c r="F4098" s="4"/>
      <c r="G4098" s="5"/>
      <c r="H4098" s="6"/>
      <c r="I4098" s="7"/>
      <c r="J4098" s="6"/>
      <c r="K4098" s="6"/>
      <c r="L4098" s="3"/>
      <c r="M4098" s="3" t="str">
        <f>IFERROR(__xludf.DUMMYFUNCTION("""COMPUTED_VALUE"""),"")</f>
        <v/>
      </c>
    </row>
    <row r="4099" ht="48.0" customHeight="1">
      <c r="A4099" s="3"/>
      <c r="B4099" s="4"/>
      <c r="C4099" s="4"/>
      <c r="D4099" s="4"/>
      <c r="E4099" s="4"/>
      <c r="F4099" s="4"/>
      <c r="G4099" s="5"/>
      <c r="H4099" s="6"/>
      <c r="I4099" s="7"/>
      <c r="J4099" s="6"/>
      <c r="K4099" s="6"/>
      <c r="L4099" s="3"/>
      <c r="M4099" s="3" t="str">
        <f>IFERROR(__xludf.DUMMYFUNCTION("""COMPUTED_VALUE"""),"")</f>
        <v/>
      </c>
    </row>
    <row r="4100" ht="48.0" customHeight="1">
      <c r="A4100" s="3"/>
      <c r="B4100" s="4"/>
      <c r="C4100" s="4"/>
      <c r="D4100" s="4"/>
      <c r="E4100" s="4"/>
      <c r="F4100" s="4"/>
      <c r="G4100" s="5"/>
      <c r="H4100" s="6"/>
      <c r="I4100" s="7"/>
      <c r="J4100" s="6"/>
      <c r="K4100" s="6"/>
      <c r="L4100" s="3"/>
      <c r="M4100" s="3" t="str">
        <f>IFERROR(__xludf.DUMMYFUNCTION("""COMPUTED_VALUE"""),"")</f>
        <v/>
      </c>
    </row>
    <row r="4101" ht="48.0" customHeight="1">
      <c r="A4101" s="3"/>
      <c r="B4101" s="4"/>
      <c r="C4101" s="4"/>
      <c r="D4101" s="4"/>
      <c r="E4101" s="4"/>
      <c r="F4101" s="4"/>
      <c r="G4101" s="5"/>
      <c r="H4101" s="6"/>
      <c r="I4101" s="7"/>
      <c r="J4101" s="6"/>
      <c r="K4101" s="6"/>
      <c r="L4101" s="3"/>
      <c r="M4101" s="3" t="str">
        <f>IFERROR(__xludf.DUMMYFUNCTION("""COMPUTED_VALUE"""),"")</f>
        <v/>
      </c>
    </row>
    <row r="4102" ht="48.0" customHeight="1">
      <c r="A4102" s="3"/>
      <c r="B4102" s="4"/>
      <c r="C4102" s="4"/>
      <c r="D4102" s="4"/>
      <c r="E4102" s="4"/>
      <c r="F4102" s="4"/>
      <c r="G4102" s="5"/>
      <c r="H4102" s="6"/>
      <c r="I4102" s="7"/>
      <c r="J4102" s="6"/>
      <c r="K4102" s="6"/>
      <c r="L4102" s="3"/>
      <c r="M4102" s="3" t="str">
        <f>IFERROR(__xludf.DUMMYFUNCTION("""COMPUTED_VALUE"""),"")</f>
        <v/>
      </c>
    </row>
    <row r="4103" ht="48.0" customHeight="1">
      <c r="A4103" s="3"/>
      <c r="B4103" s="4"/>
      <c r="C4103" s="4"/>
      <c r="D4103" s="4"/>
      <c r="E4103" s="4"/>
      <c r="F4103" s="4"/>
      <c r="G4103" s="5"/>
      <c r="H4103" s="6"/>
      <c r="I4103" s="7"/>
      <c r="J4103" s="6"/>
      <c r="K4103" s="6"/>
      <c r="L4103" s="3"/>
      <c r="M4103" s="3" t="str">
        <f>IFERROR(__xludf.DUMMYFUNCTION("""COMPUTED_VALUE"""),"")</f>
        <v/>
      </c>
    </row>
    <row r="4104" ht="48.0" customHeight="1">
      <c r="A4104" s="3"/>
      <c r="B4104" s="4"/>
      <c r="C4104" s="4"/>
      <c r="D4104" s="4"/>
      <c r="E4104" s="4"/>
      <c r="F4104" s="4"/>
      <c r="G4104" s="5"/>
      <c r="H4104" s="6"/>
      <c r="I4104" s="7"/>
      <c r="J4104" s="6"/>
      <c r="K4104" s="6"/>
      <c r="L4104" s="3"/>
      <c r="M4104" s="3" t="str">
        <f>IFERROR(__xludf.DUMMYFUNCTION("""COMPUTED_VALUE"""),"")</f>
        <v/>
      </c>
    </row>
    <row r="4105" ht="48.0" customHeight="1">
      <c r="A4105" s="3"/>
      <c r="B4105" s="4"/>
      <c r="C4105" s="4"/>
      <c r="D4105" s="4"/>
      <c r="E4105" s="4"/>
      <c r="F4105" s="4"/>
      <c r="G4105" s="5"/>
      <c r="H4105" s="6"/>
      <c r="I4105" s="7"/>
      <c r="J4105" s="6"/>
      <c r="K4105" s="6"/>
      <c r="L4105" s="3"/>
      <c r="M4105" s="3" t="str">
        <f>IFERROR(__xludf.DUMMYFUNCTION("""COMPUTED_VALUE"""),"")</f>
        <v/>
      </c>
    </row>
    <row r="4106" ht="48.0" customHeight="1">
      <c r="A4106" s="3"/>
      <c r="B4106" s="4"/>
      <c r="C4106" s="4"/>
      <c r="D4106" s="4"/>
      <c r="E4106" s="4"/>
      <c r="F4106" s="4"/>
      <c r="G4106" s="5"/>
      <c r="H4106" s="6"/>
      <c r="I4106" s="7"/>
      <c r="J4106" s="6"/>
      <c r="K4106" s="6"/>
      <c r="L4106" s="3"/>
      <c r="M4106" s="3" t="str">
        <f>IFERROR(__xludf.DUMMYFUNCTION("""COMPUTED_VALUE"""),"")</f>
        <v/>
      </c>
    </row>
    <row r="4107" ht="48.0" customHeight="1">
      <c r="A4107" s="3"/>
      <c r="B4107" s="4"/>
      <c r="C4107" s="4"/>
      <c r="D4107" s="4"/>
      <c r="E4107" s="4"/>
      <c r="F4107" s="4"/>
      <c r="G4107" s="5"/>
      <c r="H4107" s="6"/>
      <c r="I4107" s="7"/>
      <c r="J4107" s="6"/>
      <c r="K4107" s="6"/>
      <c r="L4107" s="3"/>
      <c r="M4107" s="3" t="str">
        <f>IFERROR(__xludf.DUMMYFUNCTION("""COMPUTED_VALUE"""),"")</f>
        <v/>
      </c>
    </row>
    <row r="4108" ht="48.0" customHeight="1">
      <c r="A4108" s="3"/>
      <c r="B4108" s="4"/>
      <c r="C4108" s="4"/>
      <c r="D4108" s="4"/>
      <c r="E4108" s="4"/>
      <c r="F4108" s="4"/>
      <c r="G4108" s="5"/>
      <c r="H4108" s="6"/>
      <c r="I4108" s="7"/>
      <c r="J4108" s="6"/>
      <c r="K4108" s="6"/>
      <c r="L4108" s="3"/>
      <c r="M4108" s="3" t="str">
        <f>IFERROR(__xludf.DUMMYFUNCTION("""COMPUTED_VALUE"""),"")</f>
        <v/>
      </c>
    </row>
    <row r="4109" ht="48.0" customHeight="1">
      <c r="A4109" s="3"/>
      <c r="B4109" s="4"/>
      <c r="C4109" s="4"/>
      <c r="D4109" s="4"/>
      <c r="E4109" s="4"/>
      <c r="F4109" s="4"/>
      <c r="G4109" s="5"/>
      <c r="H4109" s="6"/>
      <c r="I4109" s="7"/>
      <c r="J4109" s="6"/>
      <c r="K4109" s="6"/>
      <c r="L4109" s="3"/>
      <c r="M4109" s="3" t="str">
        <f>IFERROR(__xludf.DUMMYFUNCTION("""COMPUTED_VALUE"""),"")</f>
        <v/>
      </c>
    </row>
    <row r="4110" ht="48.0" customHeight="1">
      <c r="A4110" s="3"/>
      <c r="B4110" s="4"/>
      <c r="C4110" s="4"/>
      <c r="D4110" s="4"/>
      <c r="E4110" s="4"/>
      <c r="F4110" s="4"/>
      <c r="G4110" s="5"/>
      <c r="H4110" s="6"/>
      <c r="I4110" s="7"/>
      <c r="J4110" s="6"/>
      <c r="K4110" s="6"/>
      <c r="L4110" s="3"/>
      <c r="M4110" s="3" t="str">
        <f>IFERROR(__xludf.DUMMYFUNCTION("""COMPUTED_VALUE"""),"")</f>
        <v/>
      </c>
    </row>
    <row r="4111" ht="48.0" customHeight="1">
      <c r="A4111" s="3"/>
      <c r="B4111" s="4"/>
      <c r="C4111" s="4"/>
      <c r="D4111" s="4"/>
      <c r="E4111" s="4"/>
      <c r="F4111" s="4"/>
      <c r="G4111" s="5"/>
      <c r="H4111" s="6"/>
      <c r="I4111" s="7"/>
      <c r="J4111" s="6"/>
      <c r="K4111" s="6"/>
      <c r="L4111" s="3"/>
      <c r="M4111" s="3" t="str">
        <f>IFERROR(__xludf.DUMMYFUNCTION("""COMPUTED_VALUE"""),"")</f>
        <v/>
      </c>
    </row>
    <row r="4112" ht="48.0" customHeight="1">
      <c r="A4112" s="3"/>
      <c r="B4112" s="4"/>
      <c r="C4112" s="4"/>
      <c r="D4112" s="4"/>
      <c r="E4112" s="4"/>
      <c r="F4112" s="4"/>
      <c r="G4112" s="5"/>
      <c r="H4112" s="6"/>
      <c r="I4112" s="7"/>
      <c r="J4112" s="6"/>
      <c r="K4112" s="6"/>
      <c r="L4112" s="3"/>
      <c r="M4112" s="3" t="str">
        <f>IFERROR(__xludf.DUMMYFUNCTION("""COMPUTED_VALUE"""),"")</f>
        <v/>
      </c>
    </row>
    <row r="4113" ht="48.0" customHeight="1">
      <c r="A4113" s="3"/>
      <c r="B4113" s="4"/>
      <c r="C4113" s="4"/>
      <c r="D4113" s="4"/>
      <c r="E4113" s="4"/>
      <c r="F4113" s="4"/>
      <c r="G4113" s="5"/>
      <c r="H4113" s="6"/>
      <c r="I4113" s="7"/>
      <c r="J4113" s="6"/>
      <c r="K4113" s="6"/>
      <c r="L4113" s="3"/>
      <c r="M4113" s="3" t="str">
        <f>IFERROR(__xludf.DUMMYFUNCTION("""COMPUTED_VALUE"""),"")</f>
        <v/>
      </c>
    </row>
    <row r="4114" ht="48.0" customHeight="1">
      <c r="A4114" s="3"/>
      <c r="B4114" s="4"/>
      <c r="C4114" s="4"/>
      <c r="D4114" s="4"/>
      <c r="E4114" s="4"/>
      <c r="F4114" s="4"/>
      <c r="G4114" s="5"/>
      <c r="H4114" s="6"/>
      <c r="I4114" s="7"/>
      <c r="J4114" s="6"/>
      <c r="K4114" s="6"/>
      <c r="L4114" s="3"/>
      <c r="M4114" s="3" t="str">
        <f>IFERROR(__xludf.DUMMYFUNCTION("""COMPUTED_VALUE"""),"")</f>
        <v/>
      </c>
    </row>
    <row r="4115" ht="48.0" customHeight="1">
      <c r="A4115" s="3"/>
      <c r="B4115" s="4"/>
      <c r="C4115" s="4"/>
      <c r="D4115" s="4"/>
      <c r="E4115" s="4"/>
      <c r="F4115" s="4"/>
      <c r="G4115" s="5"/>
      <c r="H4115" s="6"/>
      <c r="I4115" s="7"/>
      <c r="J4115" s="6"/>
      <c r="K4115" s="6"/>
      <c r="L4115" s="3"/>
      <c r="M4115" s="3" t="str">
        <f>IFERROR(__xludf.DUMMYFUNCTION("""COMPUTED_VALUE"""),"")</f>
        <v/>
      </c>
    </row>
    <row r="4116" ht="48.0" customHeight="1">
      <c r="A4116" s="3"/>
      <c r="B4116" s="4"/>
      <c r="C4116" s="4"/>
      <c r="D4116" s="4"/>
      <c r="E4116" s="4"/>
      <c r="F4116" s="4"/>
      <c r="G4116" s="5"/>
      <c r="H4116" s="6"/>
      <c r="I4116" s="7"/>
      <c r="J4116" s="6"/>
      <c r="K4116" s="6"/>
      <c r="L4116" s="3"/>
      <c r="M4116" s="3" t="str">
        <f>IFERROR(__xludf.DUMMYFUNCTION("""COMPUTED_VALUE"""),"")</f>
        <v/>
      </c>
    </row>
    <row r="4117" ht="48.0" customHeight="1">
      <c r="A4117" s="3"/>
      <c r="B4117" s="4"/>
      <c r="C4117" s="4"/>
      <c r="D4117" s="4"/>
      <c r="E4117" s="4"/>
      <c r="F4117" s="4"/>
      <c r="G4117" s="5"/>
      <c r="H4117" s="6"/>
      <c r="I4117" s="7"/>
      <c r="J4117" s="6"/>
      <c r="K4117" s="6"/>
      <c r="L4117" s="3"/>
      <c r="M4117" s="3" t="str">
        <f>IFERROR(__xludf.DUMMYFUNCTION("""COMPUTED_VALUE"""),"")</f>
        <v/>
      </c>
    </row>
    <row r="4118" ht="48.0" customHeight="1">
      <c r="A4118" s="3"/>
      <c r="B4118" s="4"/>
      <c r="C4118" s="4"/>
      <c r="D4118" s="4"/>
      <c r="E4118" s="4"/>
      <c r="F4118" s="4"/>
      <c r="G4118" s="5"/>
      <c r="H4118" s="6"/>
      <c r="I4118" s="7"/>
      <c r="J4118" s="6"/>
      <c r="K4118" s="6"/>
      <c r="L4118" s="3"/>
      <c r="M4118" s="3" t="str">
        <f>IFERROR(__xludf.DUMMYFUNCTION("""COMPUTED_VALUE"""),"")</f>
        <v/>
      </c>
    </row>
    <row r="4119" ht="48.0" customHeight="1">
      <c r="A4119" s="3"/>
      <c r="B4119" s="4"/>
      <c r="C4119" s="4"/>
      <c r="D4119" s="4"/>
      <c r="E4119" s="4"/>
      <c r="F4119" s="4"/>
      <c r="G4119" s="5"/>
      <c r="H4119" s="6"/>
      <c r="I4119" s="7"/>
      <c r="J4119" s="6"/>
      <c r="K4119" s="6"/>
      <c r="L4119" s="3"/>
      <c r="M4119" s="3" t="str">
        <f>IFERROR(__xludf.DUMMYFUNCTION("""COMPUTED_VALUE"""),"")</f>
        <v/>
      </c>
    </row>
    <row r="4120" ht="48.0" customHeight="1">
      <c r="A4120" s="3"/>
      <c r="B4120" s="4"/>
      <c r="C4120" s="4"/>
      <c r="D4120" s="4"/>
      <c r="E4120" s="4"/>
      <c r="F4120" s="4"/>
      <c r="G4120" s="5"/>
      <c r="H4120" s="6"/>
      <c r="I4120" s="7"/>
      <c r="J4120" s="6"/>
      <c r="K4120" s="6"/>
      <c r="L4120" s="3"/>
      <c r="M4120" s="3" t="str">
        <f>IFERROR(__xludf.DUMMYFUNCTION("""COMPUTED_VALUE"""),"")</f>
        <v/>
      </c>
    </row>
    <row r="4121" ht="48.0" customHeight="1">
      <c r="A4121" s="3"/>
      <c r="B4121" s="4"/>
      <c r="C4121" s="4"/>
      <c r="D4121" s="4"/>
      <c r="E4121" s="4"/>
      <c r="F4121" s="4"/>
      <c r="G4121" s="5"/>
      <c r="H4121" s="6"/>
      <c r="I4121" s="7"/>
      <c r="J4121" s="6"/>
      <c r="K4121" s="6"/>
      <c r="L4121" s="3"/>
      <c r="M4121" s="3" t="str">
        <f>IFERROR(__xludf.DUMMYFUNCTION("""COMPUTED_VALUE"""),"")</f>
        <v/>
      </c>
    </row>
    <row r="4122" ht="48.0" customHeight="1">
      <c r="A4122" s="3"/>
      <c r="B4122" s="4"/>
      <c r="C4122" s="4"/>
      <c r="D4122" s="4"/>
      <c r="E4122" s="4"/>
      <c r="F4122" s="4"/>
      <c r="G4122" s="5"/>
      <c r="H4122" s="6"/>
      <c r="I4122" s="7"/>
      <c r="J4122" s="6"/>
      <c r="K4122" s="6"/>
      <c r="L4122" s="3"/>
      <c r="M4122" s="3" t="str">
        <f>IFERROR(__xludf.DUMMYFUNCTION("""COMPUTED_VALUE"""),"")</f>
        <v/>
      </c>
    </row>
    <row r="4123" ht="48.0" customHeight="1">
      <c r="A4123" s="3"/>
      <c r="B4123" s="4"/>
      <c r="C4123" s="4"/>
      <c r="D4123" s="4"/>
      <c r="E4123" s="4"/>
      <c r="F4123" s="4"/>
      <c r="G4123" s="5"/>
      <c r="H4123" s="6"/>
      <c r="I4123" s="7"/>
      <c r="J4123" s="6"/>
      <c r="K4123" s="6"/>
      <c r="L4123" s="3"/>
      <c r="M4123" s="3" t="str">
        <f>IFERROR(__xludf.DUMMYFUNCTION("""COMPUTED_VALUE"""),"")</f>
        <v/>
      </c>
    </row>
    <row r="4124" ht="48.0" customHeight="1">
      <c r="A4124" s="3"/>
      <c r="B4124" s="4"/>
      <c r="C4124" s="4"/>
      <c r="D4124" s="4"/>
      <c r="E4124" s="4"/>
      <c r="F4124" s="4"/>
      <c r="G4124" s="5"/>
      <c r="H4124" s="6"/>
      <c r="I4124" s="7"/>
      <c r="J4124" s="6"/>
      <c r="K4124" s="6"/>
      <c r="L4124" s="3"/>
      <c r="M4124" s="3" t="str">
        <f>IFERROR(__xludf.DUMMYFUNCTION("""COMPUTED_VALUE"""),"")</f>
        <v/>
      </c>
    </row>
    <row r="4125" ht="48.0" customHeight="1">
      <c r="A4125" s="3"/>
      <c r="B4125" s="4"/>
      <c r="C4125" s="4"/>
      <c r="D4125" s="4"/>
      <c r="E4125" s="4"/>
      <c r="F4125" s="4"/>
      <c r="G4125" s="5"/>
      <c r="H4125" s="6"/>
      <c r="I4125" s="7"/>
      <c r="J4125" s="6"/>
      <c r="K4125" s="6"/>
      <c r="L4125" s="3"/>
      <c r="M4125" s="3" t="str">
        <f>IFERROR(__xludf.DUMMYFUNCTION("""COMPUTED_VALUE"""),"")</f>
        <v/>
      </c>
    </row>
    <row r="4126" ht="48.0" customHeight="1">
      <c r="A4126" s="3"/>
      <c r="B4126" s="4"/>
      <c r="C4126" s="4"/>
      <c r="D4126" s="4"/>
      <c r="E4126" s="4"/>
      <c r="F4126" s="4"/>
      <c r="G4126" s="5"/>
      <c r="H4126" s="6"/>
      <c r="I4126" s="7"/>
      <c r="J4126" s="6"/>
      <c r="K4126" s="6"/>
      <c r="L4126" s="3"/>
      <c r="M4126" s="3" t="str">
        <f>IFERROR(__xludf.DUMMYFUNCTION("""COMPUTED_VALUE"""),"")</f>
        <v/>
      </c>
    </row>
    <row r="4127" ht="48.0" customHeight="1">
      <c r="A4127" s="3"/>
      <c r="B4127" s="4"/>
      <c r="C4127" s="4"/>
      <c r="D4127" s="4"/>
      <c r="E4127" s="4"/>
      <c r="F4127" s="4"/>
      <c r="G4127" s="5"/>
      <c r="H4127" s="6"/>
      <c r="I4127" s="7"/>
      <c r="J4127" s="6"/>
      <c r="K4127" s="6"/>
      <c r="L4127" s="3"/>
      <c r="M4127" s="3" t="str">
        <f>IFERROR(__xludf.DUMMYFUNCTION("""COMPUTED_VALUE"""),"")</f>
        <v/>
      </c>
    </row>
    <row r="4128" ht="48.0" customHeight="1">
      <c r="A4128" s="3"/>
      <c r="B4128" s="4"/>
      <c r="C4128" s="4"/>
      <c r="D4128" s="4"/>
      <c r="E4128" s="4"/>
      <c r="F4128" s="4"/>
      <c r="G4128" s="5"/>
      <c r="H4128" s="6"/>
      <c r="I4128" s="7"/>
      <c r="J4128" s="6"/>
      <c r="K4128" s="6"/>
      <c r="L4128" s="3"/>
      <c r="M4128" s="3" t="str">
        <f>IFERROR(__xludf.DUMMYFUNCTION("""COMPUTED_VALUE"""),"")</f>
        <v/>
      </c>
    </row>
    <row r="4129" ht="48.0" customHeight="1">
      <c r="A4129" s="3"/>
      <c r="B4129" s="4"/>
      <c r="C4129" s="4"/>
      <c r="D4129" s="4"/>
      <c r="E4129" s="4"/>
      <c r="F4129" s="4"/>
      <c r="G4129" s="5"/>
      <c r="H4129" s="6"/>
      <c r="I4129" s="7"/>
      <c r="J4129" s="6"/>
      <c r="K4129" s="6"/>
      <c r="L4129" s="3"/>
      <c r="M4129" s="3" t="str">
        <f>IFERROR(__xludf.DUMMYFUNCTION("""COMPUTED_VALUE"""),"")</f>
        <v/>
      </c>
    </row>
    <row r="4130" ht="48.0" customHeight="1">
      <c r="A4130" s="3"/>
      <c r="B4130" s="4"/>
      <c r="C4130" s="4"/>
      <c r="D4130" s="4"/>
      <c r="E4130" s="4"/>
      <c r="F4130" s="4"/>
      <c r="G4130" s="5"/>
      <c r="H4130" s="6"/>
      <c r="I4130" s="7"/>
      <c r="J4130" s="6"/>
      <c r="K4130" s="6"/>
      <c r="L4130" s="3"/>
      <c r="M4130" s="3" t="str">
        <f>IFERROR(__xludf.DUMMYFUNCTION("""COMPUTED_VALUE"""),"")</f>
        <v/>
      </c>
    </row>
    <row r="4131" ht="48.0" customHeight="1">
      <c r="A4131" s="3"/>
      <c r="B4131" s="4"/>
      <c r="C4131" s="4"/>
      <c r="D4131" s="4"/>
      <c r="E4131" s="4"/>
      <c r="F4131" s="4"/>
      <c r="G4131" s="5"/>
      <c r="H4131" s="6"/>
      <c r="I4131" s="7"/>
      <c r="J4131" s="6"/>
      <c r="K4131" s="6"/>
      <c r="L4131" s="3"/>
      <c r="M4131" s="3" t="str">
        <f>IFERROR(__xludf.DUMMYFUNCTION("""COMPUTED_VALUE"""),"")</f>
        <v/>
      </c>
    </row>
    <row r="4132" ht="48.0" customHeight="1">
      <c r="A4132" s="3"/>
      <c r="B4132" s="4"/>
      <c r="C4132" s="4"/>
      <c r="D4132" s="4"/>
      <c r="E4132" s="4"/>
      <c r="F4132" s="4"/>
      <c r="G4132" s="5"/>
      <c r="H4132" s="6"/>
      <c r="I4132" s="7"/>
      <c r="J4132" s="6"/>
      <c r="K4132" s="6"/>
      <c r="L4132" s="3"/>
      <c r="M4132" s="3" t="str">
        <f>IFERROR(__xludf.DUMMYFUNCTION("""COMPUTED_VALUE"""),"")</f>
        <v/>
      </c>
    </row>
    <row r="4133" ht="48.0" customHeight="1">
      <c r="A4133" s="3"/>
      <c r="B4133" s="4"/>
      <c r="C4133" s="4"/>
      <c r="D4133" s="4"/>
      <c r="E4133" s="4"/>
      <c r="F4133" s="4"/>
      <c r="G4133" s="5"/>
      <c r="H4133" s="6"/>
      <c r="I4133" s="7"/>
      <c r="J4133" s="6"/>
      <c r="K4133" s="6"/>
      <c r="L4133" s="3"/>
      <c r="M4133" s="3" t="str">
        <f>IFERROR(__xludf.DUMMYFUNCTION("""COMPUTED_VALUE"""),"")</f>
        <v/>
      </c>
    </row>
    <row r="4134" ht="48.0" customHeight="1">
      <c r="A4134" s="3"/>
      <c r="B4134" s="4"/>
      <c r="C4134" s="4"/>
      <c r="D4134" s="4"/>
      <c r="E4134" s="4"/>
      <c r="F4134" s="4"/>
      <c r="G4134" s="5"/>
      <c r="H4134" s="6"/>
      <c r="I4134" s="7"/>
      <c r="J4134" s="6"/>
      <c r="K4134" s="6"/>
      <c r="L4134" s="3"/>
      <c r="M4134" s="3" t="str">
        <f>IFERROR(__xludf.DUMMYFUNCTION("""COMPUTED_VALUE"""),"")</f>
        <v/>
      </c>
    </row>
    <row r="4135" ht="48.0" customHeight="1">
      <c r="A4135" s="3"/>
      <c r="B4135" s="4"/>
      <c r="C4135" s="4"/>
      <c r="D4135" s="4"/>
      <c r="E4135" s="4"/>
      <c r="F4135" s="4"/>
      <c r="G4135" s="5"/>
      <c r="H4135" s="6"/>
      <c r="I4135" s="7"/>
      <c r="J4135" s="6"/>
      <c r="K4135" s="6"/>
      <c r="L4135" s="3"/>
      <c r="M4135" s="3" t="str">
        <f>IFERROR(__xludf.DUMMYFUNCTION("""COMPUTED_VALUE"""),"")</f>
        <v/>
      </c>
    </row>
    <row r="4136" ht="48.0" customHeight="1">
      <c r="A4136" s="3"/>
      <c r="B4136" s="4"/>
      <c r="C4136" s="4"/>
      <c r="D4136" s="4"/>
      <c r="E4136" s="4"/>
      <c r="F4136" s="4"/>
      <c r="G4136" s="5"/>
      <c r="H4136" s="6"/>
      <c r="I4136" s="7"/>
      <c r="J4136" s="6"/>
      <c r="K4136" s="6"/>
      <c r="L4136" s="3"/>
      <c r="M4136" s="3" t="str">
        <f>IFERROR(__xludf.DUMMYFUNCTION("""COMPUTED_VALUE"""),"")</f>
        <v/>
      </c>
    </row>
    <row r="4137" ht="48.0" customHeight="1">
      <c r="A4137" s="3"/>
      <c r="B4137" s="4"/>
      <c r="C4137" s="4"/>
      <c r="D4137" s="4"/>
      <c r="E4137" s="4"/>
      <c r="F4137" s="4"/>
      <c r="G4137" s="5"/>
      <c r="H4137" s="6"/>
      <c r="I4137" s="7"/>
      <c r="J4137" s="6"/>
      <c r="K4137" s="6"/>
      <c r="L4137" s="3"/>
      <c r="M4137" s="3" t="str">
        <f>IFERROR(__xludf.DUMMYFUNCTION("""COMPUTED_VALUE"""),"")</f>
        <v/>
      </c>
    </row>
    <row r="4138" ht="48.0" customHeight="1">
      <c r="A4138" s="3"/>
      <c r="B4138" s="4"/>
      <c r="C4138" s="4"/>
      <c r="D4138" s="4"/>
      <c r="E4138" s="4"/>
      <c r="F4138" s="4"/>
      <c r="G4138" s="5"/>
      <c r="H4138" s="6"/>
      <c r="I4138" s="7"/>
      <c r="J4138" s="6"/>
      <c r="K4138" s="6"/>
      <c r="L4138" s="3"/>
      <c r="M4138" s="3" t="str">
        <f>IFERROR(__xludf.DUMMYFUNCTION("""COMPUTED_VALUE"""),"")</f>
        <v/>
      </c>
    </row>
    <row r="4139" ht="48.0" customHeight="1">
      <c r="A4139" s="3"/>
      <c r="B4139" s="4"/>
      <c r="C4139" s="4"/>
      <c r="D4139" s="4"/>
      <c r="E4139" s="4"/>
      <c r="F4139" s="4"/>
      <c r="G4139" s="5"/>
      <c r="H4139" s="6"/>
      <c r="I4139" s="7"/>
      <c r="J4139" s="6"/>
      <c r="K4139" s="6"/>
      <c r="L4139" s="3"/>
      <c r="M4139" s="3" t="str">
        <f>IFERROR(__xludf.DUMMYFUNCTION("""COMPUTED_VALUE"""),"")</f>
        <v/>
      </c>
    </row>
    <row r="4140" ht="48.0" customHeight="1">
      <c r="A4140" s="3"/>
      <c r="B4140" s="4"/>
      <c r="C4140" s="4"/>
      <c r="D4140" s="4"/>
      <c r="E4140" s="4"/>
      <c r="F4140" s="4"/>
      <c r="G4140" s="5"/>
      <c r="H4140" s="6"/>
      <c r="I4140" s="7"/>
      <c r="J4140" s="6"/>
      <c r="K4140" s="6"/>
      <c r="L4140" s="3"/>
      <c r="M4140" s="3" t="str">
        <f>IFERROR(__xludf.DUMMYFUNCTION("""COMPUTED_VALUE"""),"")</f>
        <v/>
      </c>
    </row>
    <row r="4141" ht="48.0" customHeight="1">
      <c r="A4141" s="3"/>
      <c r="B4141" s="4"/>
      <c r="C4141" s="4"/>
      <c r="D4141" s="4"/>
      <c r="E4141" s="4"/>
      <c r="F4141" s="4"/>
      <c r="G4141" s="5"/>
      <c r="H4141" s="6"/>
      <c r="I4141" s="7"/>
      <c r="J4141" s="6"/>
      <c r="K4141" s="6"/>
      <c r="L4141" s="3"/>
      <c r="M4141" s="3" t="str">
        <f>IFERROR(__xludf.DUMMYFUNCTION("""COMPUTED_VALUE"""),"")</f>
        <v/>
      </c>
    </row>
    <row r="4142" ht="48.0" customHeight="1">
      <c r="A4142" s="3"/>
      <c r="B4142" s="4"/>
      <c r="C4142" s="4"/>
      <c r="D4142" s="4"/>
      <c r="E4142" s="4"/>
      <c r="F4142" s="4"/>
      <c r="G4142" s="5"/>
      <c r="H4142" s="6"/>
      <c r="I4142" s="7"/>
      <c r="J4142" s="6"/>
      <c r="K4142" s="6"/>
      <c r="L4142" s="3"/>
      <c r="M4142" s="3" t="str">
        <f>IFERROR(__xludf.DUMMYFUNCTION("""COMPUTED_VALUE"""),"")</f>
        <v/>
      </c>
    </row>
    <row r="4143" ht="48.0" customHeight="1">
      <c r="A4143" s="3"/>
      <c r="B4143" s="4"/>
      <c r="C4143" s="4"/>
      <c r="D4143" s="4"/>
      <c r="E4143" s="4"/>
      <c r="F4143" s="4"/>
      <c r="G4143" s="5"/>
      <c r="H4143" s="6"/>
      <c r="I4143" s="7"/>
      <c r="J4143" s="6"/>
      <c r="K4143" s="6"/>
      <c r="L4143" s="3"/>
      <c r="M4143" s="3" t="str">
        <f>IFERROR(__xludf.DUMMYFUNCTION("""COMPUTED_VALUE"""),"")</f>
        <v/>
      </c>
    </row>
    <row r="4144" ht="48.0" customHeight="1">
      <c r="A4144" s="3"/>
      <c r="B4144" s="4"/>
      <c r="C4144" s="4"/>
      <c r="D4144" s="4"/>
      <c r="E4144" s="4"/>
      <c r="F4144" s="4"/>
      <c r="G4144" s="5"/>
      <c r="H4144" s="6"/>
      <c r="I4144" s="7"/>
      <c r="J4144" s="6"/>
      <c r="K4144" s="6"/>
      <c r="L4144" s="3"/>
      <c r="M4144" s="3" t="str">
        <f>IFERROR(__xludf.DUMMYFUNCTION("""COMPUTED_VALUE"""),"")</f>
        <v/>
      </c>
    </row>
    <row r="4145" ht="48.0" customHeight="1">
      <c r="A4145" s="3"/>
      <c r="B4145" s="4"/>
      <c r="C4145" s="4"/>
      <c r="D4145" s="4"/>
      <c r="E4145" s="4"/>
      <c r="F4145" s="4"/>
      <c r="G4145" s="5"/>
      <c r="H4145" s="6"/>
      <c r="I4145" s="7"/>
      <c r="J4145" s="6"/>
      <c r="K4145" s="6"/>
      <c r="L4145" s="3"/>
      <c r="M4145" s="3" t="str">
        <f>IFERROR(__xludf.DUMMYFUNCTION("""COMPUTED_VALUE"""),"")</f>
        <v/>
      </c>
    </row>
    <row r="4146" ht="48.0" customHeight="1">
      <c r="A4146" s="3"/>
      <c r="B4146" s="4"/>
      <c r="C4146" s="4"/>
      <c r="D4146" s="4"/>
      <c r="E4146" s="4"/>
      <c r="F4146" s="4"/>
      <c r="G4146" s="5"/>
      <c r="H4146" s="6"/>
      <c r="I4146" s="7"/>
      <c r="J4146" s="6"/>
      <c r="K4146" s="6"/>
      <c r="L4146" s="3"/>
      <c r="M4146" s="3" t="str">
        <f>IFERROR(__xludf.DUMMYFUNCTION("""COMPUTED_VALUE"""),"")</f>
        <v/>
      </c>
    </row>
    <row r="4147" ht="48.0" customHeight="1">
      <c r="A4147" s="3"/>
      <c r="B4147" s="4"/>
      <c r="C4147" s="4"/>
      <c r="D4147" s="4"/>
      <c r="E4147" s="4"/>
      <c r="F4147" s="4"/>
      <c r="G4147" s="5"/>
      <c r="H4147" s="6"/>
      <c r="I4147" s="7"/>
      <c r="J4147" s="6"/>
      <c r="K4147" s="6"/>
      <c r="L4147" s="3"/>
      <c r="M4147" s="3" t="str">
        <f>IFERROR(__xludf.DUMMYFUNCTION("""COMPUTED_VALUE"""),"")</f>
        <v/>
      </c>
    </row>
    <row r="4148" ht="48.0" customHeight="1">
      <c r="A4148" s="3"/>
      <c r="B4148" s="4"/>
      <c r="C4148" s="4"/>
      <c r="D4148" s="4"/>
      <c r="E4148" s="4"/>
      <c r="F4148" s="4"/>
      <c r="G4148" s="5"/>
      <c r="H4148" s="6"/>
      <c r="I4148" s="7"/>
      <c r="J4148" s="6"/>
      <c r="K4148" s="6"/>
      <c r="L4148" s="3"/>
      <c r="M4148" s="3" t="str">
        <f>IFERROR(__xludf.DUMMYFUNCTION("""COMPUTED_VALUE"""),"")</f>
        <v/>
      </c>
    </row>
    <row r="4149" ht="48.0" customHeight="1">
      <c r="A4149" s="3"/>
      <c r="B4149" s="4"/>
      <c r="C4149" s="4"/>
      <c r="D4149" s="4"/>
      <c r="E4149" s="4"/>
      <c r="F4149" s="4"/>
      <c r="G4149" s="5"/>
      <c r="H4149" s="6"/>
      <c r="I4149" s="7"/>
      <c r="J4149" s="6"/>
      <c r="K4149" s="6"/>
      <c r="L4149" s="3"/>
      <c r="M4149" s="3" t="str">
        <f>IFERROR(__xludf.DUMMYFUNCTION("""COMPUTED_VALUE"""),"")</f>
        <v/>
      </c>
    </row>
    <row r="4150" ht="48.0" customHeight="1">
      <c r="A4150" s="3"/>
      <c r="B4150" s="4"/>
      <c r="C4150" s="4"/>
      <c r="D4150" s="4"/>
      <c r="E4150" s="4"/>
      <c r="F4150" s="4"/>
      <c r="G4150" s="5"/>
      <c r="H4150" s="6"/>
      <c r="I4150" s="7"/>
      <c r="J4150" s="6"/>
      <c r="K4150" s="6"/>
      <c r="L4150" s="3"/>
      <c r="M4150" s="3" t="str">
        <f>IFERROR(__xludf.DUMMYFUNCTION("""COMPUTED_VALUE"""),"")</f>
        <v/>
      </c>
    </row>
    <row r="4151" ht="48.0" customHeight="1">
      <c r="A4151" s="3"/>
      <c r="B4151" s="4"/>
      <c r="C4151" s="4"/>
      <c r="D4151" s="4"/>
      <c r="E4151" s="4"/>
      <c r="F4151" s="4"/>
      <c r="G4151" s="5"/>
      <c r="H4151" s="6"/>
      <c r="I4151" s="7"/>
      <c r="J4151" s="6"/>
      <c r="K4151" s="6"/>
      <c r="L4151" s="3"/>
      <c r="M4151" s="3" t="str">
        <f>IFERROR(__xludf.DUMMYFUNCTION("""COMPUTED_VALUE"""),"")</f>
        <v/>
      </c>
    </row>
    <row r="4152" ht="48.0" customHeight="1">
      <c r="A4152" s="3"/>
      <c r="B4152" s="4"/>
      <c r="C4152" s="4"/>
      <c r="D4152" s="4"/>
      <c r="E4152" s="4"/>
      <c r="F4152" s="4"/>
      <c r="G4152" s="5"/>
      <c r="H4152" s="6"/>
      <c r="I4152" s="7"/>
      <c r="J4152" s="6"/>
      <c r="K4152" s="6"/>
      <c r="L4152" s="3"/>
      <c r="M4152" s="3" t="str">
        <f>IFERROR(__xludf.DUMMYFUNCTION("""COMPUTED_VALUE"""),"")</f>
        <v/>
      </c>
    </row>
    <row r="4153" ht="48.0" customHeight="1">
      <c r="A4153" s="3"/>
      <c r="B4153" s="4"/>
      <c r="C4153" s="4"/>
      <c r="D4153" s="4"/>
      <c r="E4153" s="4"/>
      <c r="F4153" s="4"/>
      <c r="G4153" s="5"/>
      <c r="H4153" s="6"/>
      <c r="I4153" s="7"/>
      <c r="J4153" s="6"/>
      <c r="K4153" s="6"/>
      <c r="L4153" s="3"/>
      <c r="M4153" s="3" t="str">
        <f>IFERROR(__xludf.DUMMYFUNCTION("""COMPUTED_VALUE"""),"")</f>
        <v/>
      </c>
    </row>
    <row r="4154" ht="48.0" customHeight="1">
      <c r="A4154" s="3"/>
      <c r="B4154" s="4"/>
      <c r="C4154" s="4"/>
      <c r="D4154" s="4"/>
      <c r="E4154" s="4"/>
      <c r="F4154" s="4"/>
      <c r="G4154" s="5"/>
      <c r="H4154" s="6"/>
      <c r="I4154" s="7"/>
      <c r="J4154" s="6"/>
      <c r="K4154" s="6"/>
      <c r="L4154" s="3"/>
      <c r="M4154" s="3" t="str">
        <f>IFERROR(__xludf.DUMMYFUNCTION("""COMPUTED_VALUE"""),"")</f>
        <v/>
      </c>
    </row>
    <row r="4155" ht="48.0" customHeight="1">
      <c r="A4155" s="3"/>
      <c r="B4155" s="4"/>
      <c r="C4155" s="4"/>
      <c r="D4155" s="4"/>
      <c r="E4155" s="4"/>
      <c r="F4155" s="4"/>
      <c r="G4155" s="5"/>
      <c r="H4155" s="6"/>
      <c r="I4155" s="7"/>
      <c r="J4155" s="6"/>
      <c r="K4155" s="6"/>
      <c r="L4155" s="3"/>
      <c r="M4155" s="3" t="str">
        <f>IFERROR(__xludf.DUMMYFUNCTION("""COMPUTED_VALUE"""),"")</f>
        <v/>
      </c>
    </row>
    <row r="4156" ht="48.0" customHeight="1">
      <c r="A4156" s="3"/>
      <c r="B4156" s="4"/>
      <c r="C4156" s="4"/>
      <c r="D4156" s="4"/>
      <c r="E4156" s="4"/>
      <c r="F4156" s="4"/>
      <c r="G4156" s="5"/>
      <c r="H4156" s="6"/>
      <c r="I4156" s="7"/>
      <c r="J4156" s="6"/>
      <c r="K4156" s="6"/>
      <c r="L4156" s="3"/>
      <c r="M4156" s="3" t="str">
        <f>IFERROR(__xludf.DUMMYFUNCTION("""COMPUTED_VALUE"""),"")</f>
        <v/>
      </c>
    </row>
    <row r="4157" ht="48.0" customHeight="1">
      <c r="A4157" s="3"/>
      <c r="B4157" s="4"/>
      <c r="C4157" s="4"/>
      <c r="D4157" s="4"/>
      <c r="E4157" s="4"/>
      <c r="F4157" s="4"/>
      <c r="G4157" s="5"/>
      <c r="H4157" s="6"/>
      <c r="I4157" s="7"/>
      <c r="J4157" s="6"/>
      <c r="K4157" s="6"/>
      <c r="L4157" s="3"/>
      <c r="M4157" s="3" t="str">
        <f>IFERROR(__xludf.DUMMYFUNCTION("""COMPUTED_VALUE"""),"")</f>
        <v/>
      </c>
    </row>
    <row r="4158" ht="48.0" customHeight="1">
      <c r="A4158" s="3"/>
      <c r="B4158" s="4"/>
      <c r="C4158" s="4"/>
      <c r="D4158" s="4"/>
      <c r="E4158" s="4"/>
      <c r="F4158" s="4"/>
      <c r="G4158" s="5"/>
      <c r="H4158" s="6"/>
      <c r="I4158" s="7"/>
      <c r="J4158" s="6"/>
      <c r="K4158" s="6"/>
      <c r="L4158" s="3"/>
      <c r="M4158" s="3" t="str">
        <f>IFERROR(__xludf.DUMMYFUNCTION("""COMPUTED_VALUE"""),"")</f>
        <v/>
      </c>
    </row>
    <row r="4159" ht="48.0" customHeight="1">
      <c r="A4159" s="3"/>
      <c r="B4159" s="4"/>
      <c r="C4159" s="4"/>
      <c r="D4159" s="4"/>
      <c r="E4159" s="4"/>
      <c r="F4159" s="4"/>
      <c r="G4159" s="5"/>
      <c r="H4159" s="6"/>
      <c r="I4159" s="7"/>
      <c r="J4159" s="6"/>
      <c r="K4159" s="6"/>
      <c r="L4159" s="3"/>
      <c r="M4159" s="3" t="str">
        <f>IFERROR(__xludf.DUMMYFUNCTION("""COMPUTED_VALUE"""),"")</f>
        <v/>
      </c>
    </row>
    <row r="4160" ht="48.0" customHeight="1">
      <c r="A4160" s="3"/>
      <c r="B4160" s="4"/>
      <c r="C4160" s="4"/>
      <c r="D4160" s="4"/>
      <c r="E4160" s="4"/>
      <c r="F4160" s="4"/>
      <c r="G4160" s="5"/>
      <c r="H4160" s="6"/>
      <c r="I4160" s="7"/>
      <c r="J4160" s="6"/>
      <c r="K4160" s="6"/>
      <c r="L4160" s="3"/>
      <c r="M4160" s="3" t="str">
        <f>IFERROR(__xludf.DUMMYFUNCTION("""COMPUTED_VALUE"""),"")</f>
        <v/>
      </c>
    </row>
    <row r="4161" ht="48.0" customHeight="1">
      <c r="A4161" s="3"/>
      <c r="B4161" s="4"/>
      <c r="C4161" s="4"/>
      <c r="D4161" s="4"/>
      <c r="E4161" s="4"/>
      <c r="F4161" s="4"/>
      <c r="G4161" s="5"/>
      <c r="H4161" s="6"/>
      <c r="I4161" s="7"/>
      <c r="J4161" s="6"/>
      <c r="K4161" s="6"/>
      <c r="L4161" s="3"/>
      <c r="M4161" s="3" t="str">
        <f>IFERROR(__xludf.DUMMYFUNCTION("""COMPUTED_VALUE"""),"")</f>
        <v/>
      </c>
    </row>
    <row r="4162" ht="48.0" customHeight="1">
      <c r="A4162" s="3"/>
      <c r="B4162" s="4"/>
      <c r="C4162" s="4"/>
      <c r="D4162" s="4"/>
      <c r="E4162" s="4"/>
      <c r="F4162" s="4"/>
      <c r="G4162" s="5"/>
      <c r="H4162" s="6"/>
      <c r="I4162" s="7"/>
      <c r="J4162" s="6"/>
      <c r="K4162" s="6"/>
      <c r="L4162" s="3"/>
      <c r="M4162" s="3" t="str">
        <f>IFERROR(__xludf.DUMMYFUNCTION("""COMPUTED_VALUE"""),"")</f>
        <v/>
      </c>
    </row>
    <row r="4163" ht="48.0" customHeight="1">
      <c r="A4163" s="3"/>
      <c r="B4163" s="4"/>
      <c r="C4163" s="4"/>
      <c r="D4163" s="4"/>
      <c r="E4163" s="4"/>
      <c r="F4163" s="4"/>
      <c r="G4163" s="5"/>
      <c r="H4163" s="6"/>
      <c r="I4163" s="7"/>
      <c r="J4163" s="6"/>
      <c r="K4163" s="6"/>
      <c r="L4163" s="3"/>
      <c r="M4163" s="3" t="str">
        <f>IFERROR(__xludf.DUMMYFUNCTION("""COMPUTED_VALUE"""),"")</f>
        <v/>
      </c>
    </row>
    <row r="4164" ht="48.0" customHeight="1">
      <c r="A4164" s="3"/>
      <c r="B4164" s="4"/>
      <c r="C4164" s="4"/>
      <c r="D4164" s="4"/>
      <c r="E4164" s="4"/>
      <c r="F4164" s="4"/>
      <c r="G4164" s="5"/>
      <c r="H4164" s="6"/>
      <c r="I4164" s="7"/>
      <c r="J4164" s="6"/>
      <c r="K4164" s="6"/>
      <c r="L4164" s="3"/>
      <c r="M4164" s="3" t="str">
        <f>IFERROR(__xludf.DUMMYFUNCTION("""COMPUTED_VALUE"""),"")</f>
        <v/>
      </c>
    </row>
    <row r="4165" ht="48.0" customHeight="1">
      <c r="A4165" s="3"/>
      <c r="B4165" s="4"/>
      <c r="C4165" s="4"/>
      <c r="D4165" s="4"/>
      <c r="E4165" s="4"/>
      <c r="F4165" s="4"/>
      <c r="G4165" s="5"/>
      <c r="H4165" s="6"/>
      <c r="I4165" s="7"/>
      <c r="J4165" s="6"/>
      <c r="K4165" s="6"/>
      <c r="L4165" s="3"/>
      <c r="M4165" s="3" t="str">
        <f>IFERROR(__xludf.DUMMYFUNCTION("""COMPUTED_VALUE"""),"")</f>
        <v/>
      </c>
    </row>
    <row r="4166" ht="48.0" customHeight="1">
      <c r="A4166" s="3"/>
      <c r="B4166" s="4"/>
      <c r="C4166" s="4"/>
      <c r="D4166" s="4"/>
      <c r="E4166" s="4"/>
      <c r="F4166" s="4"/>
      <c r="G4166" s="5"/>
      <c r="H4166" s="6"/>
      <c r="I4166" s="7"/>
      <c r="J4166" s="6"/>
      <c r="K4166" s="6"/>
      <c r="L4166" s="3"/>
      <c r="M4166" s="3" t="str">
        <f>IFERROR(__xludf.DUMMYFUNCTION("""COMPUTED_VALUE"""),"")</f>
        <v/>
      </c>
    </row>
    <row r="4167" ht="48.0" customHeight="1">
      <c r="A4167" s="3"/>
      <c r="B4167" s="4"/>
      <c r="C4167" s="4"/>
      <c r="D4167" s="4"/>
      <c r="E4167" s="4"/>
      <c r="F4167" s="4"/>
      <c r="G4167" s="5"/>
      <c r="H4167" s="6"/>
      <c r="I4167" s="7"/>
      <c r="J4167" s="6"/>
      <c r="K4167" s="6"/>
      <c r="L4167" s="3"/>
      <c r="M4167" s="3" t="str">
        <f>IFERROR(__xludf.DUMMYFUNCTION("""COMPUTED_VALUE"""),"")</f>
        <v/>
      </c>
    </row>
    <row r="4168" ht="48.0" customHeight="1">
      <c r="A4168" s="3"/>
      <c r="B4168" s="4"/>
      <c r="C4168" s="4"/>
      <c r="D4168" s="4"/>
      <c r="E4168" s="4"/>
      <c r="F4168" s="4"/>
      <c r="G4168" s="5"/>
      <c r="H4168" s="6"/>
      <c r="I4168" s="7"/>
      <c r="J4168" s="6"/>
      <c r="K4168" s="6"/>
      <c r="L4168" s="3"/>
      <c r="M4168" s="3" t="str">
        <f>IFERROR(__xludf.DUMMYFUNCTION("""COMPUTED_VALUE"""),"")</f>
        <v/>
      </c>
    </row>
    <row r="4169" ht="48.0" customHeight="1">
      <c r="A4169" s="3"/>
      <c r="B4169" s="4"/>
      <c r="C4169" s="4"/>
      <c r="D4169" s="4"/>
      <c r="E4169" s="4"/>
      <c r="F4169" s="4"/>
      <c r="G4169" s="5"/>
      <c r="H4169" s="6"/>
      <c r="I4169" s="7"/>
      <c r="J4169" s="6"/>
      <c r="K4169" s="6"/>
      <c r="L4169" s="3"/>
      <c r="M4169" s="3" t="str">
        <f>IFERROR(__xludf.DUMMYFUNCTION("""COMPUTED_VALUE"""),"")</f>
        <v/>
      </c>
    </row>
    <row r="4170" ht="48.0" customHeight="1">
      <c r="A4170" s="3"/>
      <c r="B4170" s="4"/>
      <c r="C4170" s="4"/>
      <c r="D4170" s="4"/>
      <c r="E4170" s="4"/>
      <c r="F4170" s="4"/>
      <c r="G4170" s="5"/>
      <c r="H4170" s="6"/>
      <c r="I4170" s="7"/>
      <c r="J4170" s="6"/>
      <c r="K4170" s="6"/>
      <c r="L4170" s="3"/>
      <c r="M4170" s="3" t="str">
        <f>IFERROR(__xludf.DUMMYFUNCTION("""COMPUTED_VALUE"""),"")</f>
        <v/>
      </c>
    </row>
    <row r="4171" ht="48.0" customHeight="1">
      <c r="A4171" s="3"/>
      <c r="B4171" s="4"/>
      <c r="C4171" s="4"/>
      <c r="D4171" s="4"/>
      <c r="E4171" s="4"/>
      <c r="F4171" s="4"/>
      <c r="G4171" s="5"/>
      <c r="H4171" s="6"/>
      <c r="I4171" s="7"/>
      <c r="J4171" s="6"/>
      <c r="K4171" s="6"/>
      <c r="L4171" s="3"/>
      <c r="M4171" s="3" t="str">
        <f>IFERROR(__xludf.DUMMYFUNCTION("""COMPUTED_VALUE"""),"")</f>
        <v/>
      </c>
    </row>
    <row r="4172" ht="48.0" customHeight="1">
      <c r="A4172" s="3"/>
      <c r="B4172" s="4"/>
      <c r="C4172" s="4"/>
      <c r="D4172" s="4"/>
      <c r="E4172" s="4"/>
      <c r="F4172" s="4"/>
      <c r="G4172" s="5"/>
      <c r="H4172" s="6"/>
      <c r="I4172" s="7"/>
      <c r="J4172" s="6"/>
      <c r="K4172" s="6"/>
      <c r="L4172" s="3"/>
      <c r="M4172" s="3" t="str">
        <f>IFERROR(__xludf.DUMMYFUNCTION("""COMPUTED_VALUE"""),"")</f>
        <v/>
      </c>
    </row>
    <row r="4173" ht="48.0" customHeight="1">
      <c r="A4173" s="3"/>
      <c r="B4173" s="4"/>
      <c r="C4173" s="4"/>
      <c r="D4173" s="4"/>
      <c r="E4173" s="4"/>
      <c r="F4173" s="4"/>
      <c r="G4173" s="5"/>
      <c r="H4173" s="6"/>
      <c r="I4173" s="7"/>
      <c r="J4173" s="6"/>
      <c r="K4173" s="6"/>
      <c r="L4173" s="3"/>
      <c r="M4173" s="3" t="str">
        <f>IFERROR(__xludf.DUMMYFUNCTION("""COMPUTED_VALUE"""),"")</f>
        <v/>
      </c>
    </row>
    <row r="4174" ht="48.0" customHeight="1">
      <c r="A4174" s="3"/>
      <c r="B4174" s="4"/>
      <c r="C4174" s="4"/>
      <c r="D4174" s="4"/>
      <c r="E4174" s="4"/>
      <c r="F4174" s="4"/>
      <c r="G4174" s="5"/>
      <c r="H4174" s="6"/>
      <c r="I4174" s="7"/>
      <c r="J4174" s="6"/>
      <c r="K4174" s="6"/>
      <c r="L4174" s="3"/>
      <c r="M4174" s="3" t="str">
        <f>IFERROR(__xludf.DUMMYFUNCTION("""COMPUTED_VALUE"""),"")</f>
        <v/>
      </c>
    </row>
    <row r="4175" ht="48.0" customHeight="1">
      <c r="A4175" s="3"/>
      <c r="B4175" s="4"/>
      <c r="C4175" s="4"/>
      <c r="D4175" s="4"/>
      <c r="E4175" s="4"/>
      <c r="F4175" s="4"/>
      <c r="G4175" s="5"/>
      <c r="H4175" s="6"/>
      <c r="I4175" s="7"/>
      <c r="J4175" s="6"/>
      <c r="K4175" s="6"/>
      <c r="L4175" s="3"/>
      <c r="M4175" s="3" t="str">
        <f>IFERROR(__xludf.DUMMYFUNCTION("""COMPUTED_VALUE"""),"")</f>
        <v/>
      </c>
    </row>
    <row r="4176" ht="48.0" customHeight="1">
      <c r="A4176" s="3"/>
      <c r="B4176" s="4"/>
      <c r="C4176" s="4"/>
      <c r="D4176" s="4"/>
      <c r="E4176" s="4"/>
      <c r="F4176" s="4"/>
      <c r="G4176" s="5"/>
      <c r="H4176" s="6"/>
      <c r="I4176" s="7"/>
      <c r="J4176" s="6"/>
      <c r="K4176" s="6"/>
      <c r="L4176" s="3"/>
      <c r="M4176" s="3" t="str">
        <f>IFERROR(__xludf.DUMMYFUNCTION("""COMPUTED_VALUE"""),"")</f>
        <v/>
      </c>
    </row>
    <row r="4177" ht="48.0" customHeight="1">
      <c r="A4177" s="3"/>
      <c r="B4177" s="4"/>
      <c r="C4177" s="4"/>
      <c r="D4177" s="4"/>
      <c r="E4177" s="4"/>
      <c r="F4177" s="4"/>
      <c r="G4177" s="5"/>
      <c r="H4177" s="6"/>
      <c r="I4177" s="7"/>
      <c r="J4177" s="6"/>
      <c r="K4177" s="6"/>
      <c r="L4177" s="3"/>
      <c r="M4177" s="3" t="str">
        <f>IFERROR(__xludf.DUMMYFUNCTION("""COMPUTED_VALUE"""),"")</f>
        <v/>
      </c>
    </row>
    <row r="4178" ht="48.0" customHeight="1">
      <c r="A4178" s="3"/>
      <c r="B4178" s="4"/>
      <c r="C4178" s="4"/>
      <c r="D4178" s="4"/>
      <c r="E4178" s="4"/>
      <c r="F4178" s="4"/>
      <c r="G4178" s="5"/>
      <c r="H4178" s="6"/>
      <c r="I4178" s="7"/>
      <c r="J4178" s="6"/>
      <c r="K4178" s="6"/>
      <c r="L4178" s="3"/>
      <c r="M4178" s="3" t="str">
        <f>IFERROR(__xludf.DUMMYFUNCTION("""COMPUTED_VALUE"""),"")</f>
        <v/>
      </c>
    </row>
    <row r="4179" ht="48.0" customHeight="1">
      <c r="A4179" s="3"/>
      <c r="B4179" s="4"/>
      <c r="C4179" s="4"/>
      <c r="D4179" s="4"/>
      <c r="E4179" s="4"/>
      <c r="F4179" s="4"/>
      <c r="G4179" s="5"/>
      <c r="H4179" s="6"/>
      <c r="I4179" s="7"/>
      <c r="J4179" s="6"/>
      <c r="K4179" s="6"/>
      <c r="L4179" s="3"/>
      <c r="M4179" s="3" t="str">
        <f>IFERROR(__xludf.DUMMYFUNCTION("""COMPUTED_VALUE"""),"")</f>
        <v/>
      </c>
    </row>
    <row r="4180" ht="48.0" customHeight="1">
      <c r="A4180" s="3"/>
      <c r="B4180" s="4"/>
      <c r="C4180" s="4"/>
      <c r="D4180" s="4"/>
      <c r="E4180" s="4"/>
      <c r="F4180" s="4"/>
      <c r="G4180" s="5"/>
      <c r="H4180" s="6"/>
      <c r="I4180" s="7"/>
      <c r="J4180" s="6"/>
      <c r="K4180" s="6"/>
      <c r="L4180" s="3"/>
      <c r="M4180" s="3" t="str">
        <f>IFERROR(__xludf.DUMMYFUNCTION("""COMPUTED_VALUE"""),"")</f>
        <v/>
      </c>
    </row>
    <row r="4181" ht="48.0" customHeight="1">
      <c r="A4181" s="3"/>
      <c r="B4181" s="4"/>
      <c r="C4181" s="4"/>
      <c r="D4181" s="4"/>
      <c r="E4181" s="4"/>
      <c r="F4181" s="4"/>
      <c r="G4181" s="5"/>
      <c r="H4181" s="6"/>
      <c r="I4181" s="7"/>
      <c r="J4181" s="6"/>
      <c r="K4181" s="6"/>
      <c r="L4181" s="3"/>
      <c r="M4181" s="3" t="str">
        <f>IFERROR(__xludf.DUMMYFUNCTION("""COMPUTED_VALUE"""),"")</f>
        <v/>
      </c>
    </row>
    <row r="4182" ht="48.0" customHeight="1">
      <c r="A4182" s="3"/>
      <c r="B4182" s="4"/>
      <c r="C4182" s="4"/>
      <c r="D4182" s="4"/>
      <c r="E4182" s="4"/>
      <c r="F4182" s="4"/>
      <c r="G4182" s="5"/>
      <c r="H4182" s="6"/>
      <c r="I4182" s="7"/>
      <c r="J4182" s="6"/>
      <c r="K4182" s="6"/>
      <c r="L4182" s="3"/>
      <c r="M4182" s="3" t="str">
        <f>IFERROR(__xludf.DUMMYFUNCTION("""COMPUTED_VALUE"""),"")</f>
        <v/>
      </c>
    </row>
    <row r="4183" ht="48.0" customHeight="1">
      <c r="A4183" s="3"/>
      <c r="B4183" s="4"/>
      <c r="C4183" s="4"/>
      <c r="D4183" s="4"/>
      <c r="E4183" s="4"/>
      <c r="F4183" s="4"/>
      <c r="G4183" s="5"/>
      <c r="H4183" s="6"/>
      <c r="I4183" s="7"/>
      <c r="J4183" s="6"/>
      <c r="K4183" s="6"/>
      <c r="L4183" s="3"/>
      <c r="M4183" s="3" t="str">
        <f>IFERROR(__xludf.DUMMYFUNCTION("""COMPUTED_VALUE"""),"")</f>
        <v/>
      </c>
    </row>
    <row r="4184" ht="48.0" customHeight="1">
      <c r="A4184" s="3"/>
      <c r="B4184" s="4"/>
      <c r="C4184" s="4"/>
      <c r="D4184" s="4"/>
      <c r="E4184" s="4"/>
      <c r="F4184" s="4"/>
      <c r="G4184" s="5"/>
      <c r="H4184" s="6"/>
      <c r="I4184" s="7"/>
      <c r="J4184" s="6"/>
      <c r="K4184" s="6"/>
      <c r="L4184" s="3"/>
      <c r="M4184" s="3" t="str">
        <f>IFERROR(__xludf.DUMMYFUNCTION("""COMPUTED_VALUE"""),"")</f>
        <v/>
      </c>
    </row>
    <row r="4185" ht="48.0" customHeight="1">
      <c r="A4185" s="3"/>
      <c r="B4185" s="4"/>
      <c r="C4185" s="4"/>
      <c r="D4185" s="4"/>
      <c r="E4185" s="4"/>
      <c r="F4185" s="4"/>
      <c r="G4185" s="5"/>
      <c r="H4185" s="6"/>
      <c r="I4185" s="7"/>
      <c r="J4185" s="6"/>
      <c r="K4185" s="6"/>
      <c r="L4185" s="3"/>
      <c r="M4185" s="3" t="str">
        <f>IFERROR(__xludf.DUMMYFUNCTION("""COMPUTED_VALUE"""),"")</f>
        <v/>
      </c>
    </row>
    <row r="4186" ht="48.0" customHeight="1">
      <c r="A4186" s="3"/>
      <c r="B4186" s="4"/>
      <c r="C4186" s="4"/>
      <c r="D4186" s="4"/>
      <c r="E4186" s="4"/>
      <c r="F4186" s="4"/>
      <c r="G4186" s="5"/>
      <c r="H4186" s="6"/>
      <c r="I4186" s="7"/>
      <c r="J4186" s="6"/>
      <c r="K4186" s="6"/>
      <c r="L4186" s="3"/>
      <c r="M4186" s="3" t="str">
        <f>IFERROR(__xludf.DUMMYFUNCTION("""COMPUTED_VALUE"""),"")</f>
        <v/>
      </c>
    </row>
    <row r="4187" ht="48.0" customHeight="1">
      <c r="A4187" s="3"/>
      <c r="B4187" s="4"/>
      <c r="C4187" s="4"/>
      <c r="D4187" s="4"/>
      <c r="E4187" s="4"/>
      <c r="F4187" s="4"/>
      <c r="G4187" s="5"/>
      <c r="H4187" s="6"/>
      <c r="I4187" s="7"/>
      <c r="J4187" s="6"/>
      <c r="K4187" s="6"/>
      <c r="L4187" s="3"/>
      <c r="M4187" s="3" t="str">
        <f>IFERROR(__xludf.DUMMYFUNCTION("""COMPUTED_VALUE"""),"")</f>
        <v/>
      </c>
    </row>
    <row r="4188" ht="48.0" customHeight="1">
      <c r="A4188" s="3"/>
      <c r="B4188" s="4"/>
      <c r="C4188" s="4"/>
      <c r="D4188" s="4"/>
      <c r="E4188" s="4"/>
      <c r="F4188" s="4"/>
      <c r="G4188" s="5"/>
      <c r="H4188" s="6"/>
      <c r="I4188" s="7"/>
      <c r="J4188" s="6"/>
      <c r="K4188" s="6"/>
      <c r="L4188" s="3"/>
      <c r="M4188" s="3" t="str">
        <f>IFERROR(__xludf.DUMMYFUNCTION("""COMPUTED_VALUE"""),"")</f>
        <v/>
      </c>
    </row>
    <row r="4189" ht="48.0" customHeight="1">
      <c r="A4189" s="3"/>
      <c r="B4189" s="4"/>
      <c r="C4189" s="4"/>
      <c r="D4189" s="4"/>
      <c r="E4189" s="4"/>
      <c r="F4189" s="4"/>
      <c r="G4189" s="5"/>
      <c r="H4189" s="6"/>
      <c r="I4189" s="7"/>
      <c r="J4189" s="6"/>
      <c r="K4189" s="6"/>
      <c r="L4189" s="3"/>
      <c r="M4189" s="3" t="str">
        <f>IFERROR(__xludf.DUMMYFUNCTION("""COMPUTED_VALUE"""),"")</f>
        <v/>
      </c>
    </row>
    <row r="4190" ht="48.0" customHeight="1">
      <c r="A4190" s="3"/>
      <c r="B4190" s="4"/>
      <c r="C4190" s="4"/>
      <c r="D4190" s="4"/>
      <c r="E4190" s="4"/>
      <c r="F4190" s="4"/>
      <c r="G4190" s="5"/>
      <c r="H4190" s="6"/>
      <c r="I4190" s="7"/>
      <c r="J4190" s="6"/>
      <c r="K4190" s="6"/>
      <c r="L4190" s="3"/>
      <c r="M4190" s="3" t="str">
        <f>IFERROR(__xludf.DUMMYFUNCTION("""COMPUTED_VALUE"""),"")</f>
        <v/>
      </c>
    </row>
    <row r="4191" ht="48.0" customHeight="1">
      <c r="A4191" s="3"/>
      <c r="B4191" s="4"/>
      <c r="C4191" s="4"/>
      <c r="D4191" s="4"/>
      <c r="E4191" s="4"/>
      <c r="F4191" s="4"/>
      <c r="G4191" s="5"/>
      <c r="H4191" s="6"/>
      <c r="I4191" s="7"/>
      <c r="J4191" s="6"/>
      <c r="K4191" s="6"/>
      <c r="L4191" s="3"/>
      <c r="M4191" s="3" t="str">
        <f>IFERROR(__xludf.DUMMYFUNCTION("""COMPUTED_VALUE"""),"")</f>
        <v/>
      </c>
    </row>
    <row r="4192" ht="48.0" customHeight="1">
      <c r="A4192" s="3"/>
      <c r="B4192" s="4"/>
      <c r="C4192" s="4"/>
      <c r="D4192" s="4"/>
      <c r="E4192" s="4"/>
      <c r="F4192" s="4"/>
      <c r="G4192" s="5"/>
      <c r="H4192" s="6"/>
      <c r="I4192" s="7"/>
      <c r="J4192" s="6"/>
      <c r="K4192" s="6"/>
      <c r="L4192" s="3"/>
      <c r="M4192" s="3" t="str">
        <f>IFERROR(__xludf.DUMMYFUNCTION("""COMPUTED_VALUE"""),"")</f>
        <v/>
      </c>
    </row>
    <row r="4193" ht="48.0" customHeight="1">
      <c r="A4193" s="3"/>
      <c r="B4193" s="4"/>
      <c r="C4193" s="4"/>
      <c r="D4193" s="4"/>
      <c r="E4193" s="4"/>
      <c r="F4193" s="4"/>
      <c r="G4193" s="5"/>
      <c r="H4193" s="6"/>
      <c r="I4193" s="7"/>
      <c r="J4193" s="6"/>
      <c r="K4193" s="6"/>
      <c r="L4193" s="3"/>
      <c r="M4193" s="3" t="str">
        <f>IFERROR(__xludf.DUMMYFUNCTION("""COMPUTED_VALUE"""),"")</f>
        <v/>
      </c>
    </row>
    <row r="4194" ht="48.0" customHeight="1">
      <c r="A4194" s="3"/>
      <c r="B4194" s="4"/>
      <c r="C4194" s="4"/>
      <c r="D4194" s="4"/>
      <c r="E4194" s="4"/>
      <c r="F4194" s="4"/>
      <c r="G4194" s="5"/>
      <c r="H4194" s="6"/>
      <c r="I4194" s="7"/>
      <c r="J4194" s="6"/>
      <c r="K4194" s="6"/>
      <c r="L4194" s="3"/>
      <c r="M4194" s="3" t="str">
        <f>IFERROR(__xludf.DUMMYFUNCTION("""COMPUTED_VALUE"""),"")</f>
        <v/>
      </c>
    </row>
    <row r="4195" ht="48.0" customHeight="1">
      <c r="A4195" s="3"/>
      <c r="B4195" s="4"/>
      <c r="C4195" s="4"/>
      <c r="D4195" s="4"/>
      <c r="E4195" s="4"/>
      <c r="F4195" s="4"/>
      <c r="G4195" s="5"/>
      <c r="H4195" s="6"/>
      <c r="I4195" s="7"/>
      <c r="J4195" s="6"/>
      <c r="K4195" s="6"/>
      <c r="L4195" s="3"/>
      <c r="M4195" s="3" t="str">
        <f>IFERROR(__xludf.DUMMYFUNCTION("""COMPUTED_VALUE"""),"")</f>
        <v/>
      </c>
    </row>
    <row r="4196" ht="48.0" customHeight="1">
      <c r="A4196" s="3"/>
      <c r="B4196" s="4"/>
      <c r="C4196" s="4"/>
      <c r="D4196" s="4"/>
      <c r="E4196" s="4"/>
      <c r="F4196" s="4"/>
      <c r="G4196" s="5"/>
      <c r="H4196" s="6"/>
      <c r="I4196" s="7"/>
      <c r="J4196" s="6"/>
      <c r="K4196" s="6"/>
      <c r="L4196" s="3"/>
      <c r="M4196" s="3" t="str">
        <f>IFERROR(__xludf.DUMMYFUNCTION("""COMPUTED_VALUE"""),"")</f>
        <v/>
      </c>
    </row>
    <row r="4197" ht="48.0" customHeight="1">
      <c r="A4197" s="3"/>
      <c r="B4197" s="4"/>
      <c r="C4197" s="4"/>
      <c r="D4197" s="4"/>
      <c r="E4197" s="4"/>
      <c r="F4197" s="4"/>
      <c r="G4197" s="5"/>
      <c r="H4197" s="6"/>
      <c r="I4197" s="7"/>
      <c r="J4197" s="6"/>
      <c r="K4197" s="6"/>
      <c r="L4197" s="3"/>
      <c r="M4197" s="3" t="str">
        <f>IFERROR(__xludf.DUMMYFUNCTION("""COMPUTED_VALUE"""),"")</f>
        <v/>
      </c>
    </row>
    <row r="4198" ht="48.0" customHeight="1">
      <c r="A4198" s="3"/>
      <c r="B4198" s="4"/>
      <c r="C4198" s="4"/>
      <c r="D4198" s="4"/>
      <c r="E4198" s="4"/>
      <c r="F4198" s="4"/>
      <c r="G4198" s="5"/>
      <c r="H4198" s="6"/>
      <c r="I4198" s="7"/>
      <c r="J4198" s="6"/>
      <c r="K4198" s="6"/>
      <c r="L4198" s="3"/>
      <c r="M4198" s="3" t="str">
        <f>IFERROR(__xludf.DUMMYFUNCTION("""COMPUTED_VALUE"""),"")</f>
        <v/>
      </c>
    </row>
    <row r="4199" ht="48.0" customHeight="1">
      <c r="A4199" s="3"/>
      <c r="B4199" s="4"/>
      <c r="C4199" s="4"/>
      <c r="D4199" s="4"/>
      <c r="E4199" s="4"/>
      <c r="F4199" s="4"/>
      <c r="G4199" s="5"/>
      <c r="H4199" s="6"/>
      <c r="I4199" s="7"/>
      <c r="J4199" s="6"/>
      <c r="K4199" s="6"/>
      <c r="L4199" s="3"/>
      <c r="M4199" s="3" t="str">
        <f>IFERROR(__xludf.DUMMYFUNCTION("""COMPUTED_VALUE"""),"")</f>
        <v/>
      </c>
    </row>
    <row r="4200" ht="48.0" customHeight="1">
      <c r="A4200" s="3"/>
      <c r="B4200" s="4"/>
      <c r="C4200" s="4"/>
      <c r="D4200" s="4"/>
      <c r="E4200" s="4"/>
      <c r="F4200" s="4"/>
      <c r="G4200" s="5"/>
      <c r="H4200" s="6"/>
      <c r="I4200" s="7"/>
      <c r="J4200" s="6"/>
      <c r="K4200" s="6"/>
      <c r="L4200" s="3"/>
      <c r="M4200" s="3" t="str">
        <f>IFERROR(__xludf.DUMMYFUNCTION("""COMPUTED_VALUE"""),"")</f>
        <v/>
      </c>
    </row>
    <row r="4201" ht="48.0" customHeight="1">
      <c r="A4201" s="3"/>
      <c r="B4201" s="4"/>
      <c r="C4201" s="4"/>
      <c r="D4201" s="4"/>
      <c r="E4201" s="4"/>
      <c r="F4201" s="4"/>
      <c r="G4201" s="5"/>
      <c r="H4201" s="6"/>
      <c r="I4201" s="7"/>
      <c r="J4201" s="6"/>
      <c r="K4201" s="6"/>
      <c r="L4201" s="3"/>
      <c r="M4201" s="3" t="str">
        <f>IFERROR(__xludf.DUMMYFUNCTION("""COMPUTED_VALUE"""),"")</f>
        <v/>
      </c>
    </row>
    <row r="4202" ht="48.0" customHeight="1">
      <c r="A4202" s="3"/>
      <c r="B4202" s="4"/>
      <c r="C4202" s="4"/>
      <c r="D4202" s="4"/>
      <c r="E4202" s="4"/>
      <c r="F4202" s="4"/>
      <c r="G4202" s="5"/>
      <c r="H4202" s="6"/>
      <c r="I4202" s="7"/>
      <c r="J4202" s="6"/>
      <c r="K4202" s="6"/>
      <c r="L4202" s="3"/>
      <c r="M4202" s="3" t="str">
        <f>IFERROR(__xludf.DUMMYFUNCTION("""COMPUTED_VALUE"""),"")</f>
        <v/>
      </c>
    </row>
    <row r="4203" ht="48.0" customHeight="1">
      <c r="A4203" s="3"/>
      <c r="B4203" s="4"/>
      <c r="C4203" s="4"/>
      <c r="D4203" s="4"/>
      <c r="E4203" s="4"/>
      <c r="F4203" s="4"/>
      <c r="G4203" s="5"/>
      <c r="H4203" s="6"/>
      <c r="I4203" s="7"/>
      <c r="J4203" s="6"/>
      <c r="K4203" s="6"/>
      <c r="L4203" s="3"/>
      <c r="M4203" s="3" t="str">
        <f>IFERROR(__xludf.DUMMYFUNCTION("""COMPUTED_VALUE"""),"")</f>
        <v/>
      </c>
    </row>
    <row r="4204" ht="48.0" customHeight="1">
      <c r="A4204" s="3"/>
      <c r="B4204" s="4"/>
      <c r="C4204" s="4"/>
      <c r="D4204" s="4"/>
      <c r="E4204" s="4"/>
      <c r="F4204" s="4"/>
      <c r="G4204" s="5"/>
      <c r="H4204" s="6"/>
      <c r="I4204" s="7"/>
      <c r="J4204" s="6"/>
      <c r="K4204" s="6"/>
      <c r="L4204" s="3"/>
      <c r="M4204" s="3" t="str">
        <f>IFERROR(__xludf.DUMMYFUNCTION("""COMPUTED_VALUE"""),"")</f>
        <v/>
      </c>
    </row>
    <row r="4205" ht="48.0" customHeight="1">
      <c r="A4205" s="3"/>
      <c r="B4205" s="4"/>
      <c r="C4205" s="4"/>
      <c r="D4205" s="4"/>
      <c r="E4205" s="4"/>
      <c r="F4205" s="4"/>
      <c r="G4205" s="5"/>
      <c r="H4205" s="6"/>
      <c r="I4205" s="7"/>
      <c r="J4205" s="6"/>
      <c r="K4205" s="6"/>
      <c r="L4205" s="3"/>
      <c r="M4205" s="3" t="str">
        <f>IFERROR(__xludf.DUMMYFUNCTION("""COMPUTED_VALUE"""),"")</f>
        <v/>
      </c>
    </row>
    <row r="4206" ht="48.0" customHeight="1">
      <c r="A4206" s="3"/>
      <c r="B4206" s="4"/>
      <c r="C4206" s="4"/>
      <c r="D4206" s="4"/>
      <c r="E4206" s="4"/>
      <c r="F4206" s="4"/>
      <c r="G4206" s="5"/>
      <c r="H4206" s="6"/>
      <c r="I4206" s="7"/>
      <c r="J4206" s="6"/>
      <c r="K4206" s="6"/>
      <c r="L4206" s="3"/>
      <c r="M4206" s="3" t="str">
        <f>IFERROR(__xludf.DUMMYFUNCTION("""COMPUTED_VALUE"""),"")</f>
        <v/>
      </c>
    </row>
    <row r="4207" ht="48.0" customHeight="1">
      <c r="A4207" s="3"/>
      <c r="B4207" s="4"/>
      <c r="C4207" s="4"/>
      <c r="D4207" s="4"/>
      <c r="E4207" s="4"/>
      <c r="F4207" s="4"/>
      <c r="G4207" s="5"/>
      <c r="H4207" s="6"/>
      <c r="I4207" s="7"/>
      <c r="J4207" s="6"/>
      <c r="K4207" s="6"/>
      <c r="L4207" s="3"/>
      <c r="M4207" s="3" t="str">
        <f>IFERROR(__xludf.DUMMYFUNCTION("""COMPUTED_VALUE"""),"")</f>
        <v/>
      </c>
    </row>
    <row r="4208" ht="48.0" customHeight="1">
      <c r="A4208" s="3"/>
      <c r="B4208" s="4"/>
      <c r="C4208" s="4"/>
      <c r="D4208" s="4"/>
      <c r="E4208" s="4"/>
      <c r="F4208" s="4"/>
      <c r="G4208" s="5"/>
      <c r="H4208" s="6"/>
      <c r="I4208" s="7"/>
      <c r="J4208" s="6"/>
      <c r="K4208" s="6"/>
      <c r="L4208" s="3"/>
      <c r="M4208" s="3" t="str">
        <f>IFERROR(__xludf.DUMMYFUNCTION("""COMPUTED_VALUE"""),"")</f>
        <v/>
      </c>
    </row>
    <row r="4209" ht="48.0" customHeight="1">
      <c r="A4209" s="3"/>
      <c r="B4209" s="4"/>
      <c r="C4209" s="4"/>
      <c r="D4209" s="4"/>
      <c r="E4209" s="4"/>
      <c r="F4209" s="4"/>
      <c r="G4209" s="5"/>
      <c r="H4209" s="6"/>
      <c r="I4209" s="7"/>
      <c r="J4209" s="6"/>
      <c r="K4209" s="6"/>
      <c r="L4209" s="3"/>
      <c r="M4209" s="3" t="str">
        <f>IFERROR(__xludf.DUMMYFUNCTION("""COMPUTED_VALUE"""),"")</f>
        <v/>
      </c>
    </row>
    <row r="4210" ht="48.0" customHeight="1">
      <c r="A4210" s="3"/>
      <c r="B4210" s="4"/>
      <c r="C4210" s="4"/>
      <c r="D4210" s="4"/>
      <c r="E4210" s="4"/>
      <c r="F4210" s="4"/>
      <c r="G4210" s="5"/>
      <c r="H4210" s="6"/>
      <c r="I4210" s="7"/>
      <c r="J4210" s="6"/>
      <c r="K4210" s="6"/>
      <c r="L4210" s="3"/>
      <c r="M4210" s="3" t="str">
        <f>IFERROR(__xludf.DUMMYFUNCTION("""COMPUTED_VALUE"""),"")</f>
        <v/>
      </c>
    </row>
    <row r="4211" ht="48.0" customHeight="1">
      <c r="A4211" s="3"/>
      <c r="B4211" s="4"/>
      <c r="C4211" s="4"/>
      <c r="D4211" s="4"/>
      <c r="E4211" s="4"/>
      <c r="F4211" s="4"/>
      <c r="G4211" s="5"/>
      <c r="H4211" s="6"/>
      <c r="I4211" s="7"/>
      <c r="J4211" s="6"/>
      <c r="K4211" s="6"/>
      <c r="L4211" s="3"/>
      <c r="M4211" s="3" t="str">
        <f>IFERROR(__xludf.DUMMYFUNCTION("""COMPUTED_VALUE"""),"")</f>
        <v/>
      </c>
    </row>
    <row r="4212" ht="48.0" customHeight="1">
      <c r="A4212" s="3"/>
      <c r="B4212" s="4"/>
      <c r="C4212" s="4"/>
      <c r="D4212" s="4"/>
      <c r="E4212" s="4"/>
      <c r="F4212" s="4"/>
      <c r="G4212" s="5"/>
      <c r="H4212" s="6"/>
      <c r="I4212" s="7"/>
      <c r="J4212" s="6"/>
      <c r="K4212" s="6"/>
      <c r="L4212" s="3"/>
      <c r="M4212" s="3" t="str">
        <f>IFERROR(__xludf.DUMMYFUNCTION("""COMPUTED_VALUE"""),"")</f>
        <v/>
      </c>
    </row>
    <row r="4213" ht="48.0" customHeight="1">
      <c r="A4213" s="3"/>
      <c r="B4213" s="4"/>
      <c r="C4213" s="4"/>
      <c r="D4213" s="4"/>
      <c r="E4213" s="4"/>
      <c r="F4213" s="4"/>
      <c r="G4213" s="5"/>
      <c r="H4213" s="6"/>
      <c r="I4213" s="7"/>
      <c r="J4213" s="6"/>
      <c r="K4213" s="6"/>
      <c r="L4213" s="3"/>
      <c r="M4213" s="3" t="str">
        <f>IFERROR(__xludf.DUMMYFUNCTION("""COMPUTED_VALUE"""),"")</f>
        <v/>
      </c>
    </row>
    <row r="4214" ht="48.0" customHeight="1">
      <c r="A4214" s="3"/>
      <c r="B4214" s="4"/>
      <c r="C4214" s="4"/>
      <c r="D4214" s="4"/>
      <c r="E4214" s="4"/>
      <c r="F4214" s="4"/>
      <c r="G4214" s="5"/>
      <c r="H4214" s="6"/>
      <c r="I4214" s="7"/>
      <c r="J4214" s="6"/>
      <c r="K4214" s="6"/>
      <c r="L4214" s="3"/>
      <c r="M4214" s="3" t="str">
        <f>IFERROR(__xludf.DUMMYFUNCTION("""COMPUTED_VALUE"""),"")</f>
        <v/>
      </c>
    </row>
    <row r="4215" ht="48.0" customHeight="1">
      <c r="A4215" s="3"/>
      <c r="B4215" s="4"/>
      <c r="C4215" s="4"/>
      <c r="D4215" s="4"/>
      <c r="E4215" s="4"/>
      <c r="F4215" s="4"/>
      <c r="G4215" s="5"/>
      <c r="H4215" s="6"/>
      <c r="I4215" s="7"/>
      <c r="J4215" s="6"/>
      <c r="K4215" s="6"/>
      <c r="L4215" s="3"/>
      <c r="M4215" s="3" t="str">
        <f>IFERROR(__xludf.DUMMYFUNCTION("""COMPUTED_VALUE"""),"")</f>
        <v/>
      </c>
    </row>
    <row r="4216" ht="48.0" customHeight="1">
      <c r="A4216" s="3"/>
      <c r="B4216" s="4"/>
      <c r="C4216" s="4"/>
      <c r="D4216" s="4"/>
      <c r="E4216" s="4"/>
      <c r="F4216" s="4"/>
      <c r="G4216" s="5"/>
      <c r="H4216" s="6"/>
      <c r="I4216" s="7"/>
      <c r="J4216" s="6"/>
      <c r="K4216" s="6"/>
      <c r="L4216" s="3"/>
      <c r="M4216" s="3" t="str">
        <f>IFERROR(__xludf.DUMMYFUNCTION("""COMPUTED_VALUE"""),"")</f>
        <v/>
      </c>
    </row>
    <row r="4217" ht="48.0" customHeight="1">
      <c r="A4217" s="3"/>
      <c r="B4217" s="4"/>
      <c r="C4217" s="4"/>
      <c r="D4217" s="4"/>
      <c r="E4217" s="4"/>
      <c r="F4217" s="4"/>
      <c r="G4217" s="5"/>
      <c r="H4217" s="6"/>
      <c r="I4217" s="7"/>
      <c r="J4217" s="6"/>
      <c r="K4217" s="6"/>
      <c r="L4217" s="3"/>
      <c r="M4217" s="3" t="str">
        <f>IFERROR(__xludf.DUMMYFUNCTION("""COMPUTED_VALUE"""),"")</f>
        <v/>
      </c>
    </row>
    <row r="4218" ht="48.0" customHeight="1">
      <c r="A4218" s="3"/>
      <c r="B4218" s="4"/>
      <c r="C4218" s="4"/>
      <c r="D4218" s="4"/>
      <c r="E4218" s="4"/>
      <c r="F4218" s="4"/>
      <c r="G4218" s="5"/>
      <c r="H4218" s="6"/>
      <c r="I4218" s="7"/>
      <c r="J4218" s="6"/>
      <c r="K4218" s="6"/>
      <c r="L4218" s="3"/>
      <c r="M4218" s="3" t="str">
        <f>IFERROR(__xludf.DUMMYFUNCTION("""COMPUTED_VALUE"""),"")</f>
        <v/>
      </c>
    </row>
    <row r="4219" ht="48.0" customHeight="1">
      <c r="A4219" s="3"/>
      <c r="B4219" s="4"/>
      <c r="C4219" s="4"/>
      <c r="D4219" s="4"/>
      <c r="E4219" s="4"/>
      <c r="F4219" s="4"/>
      <c r="G4219" s="5"/>
      <c r="H4219" s="6"/>
      <c r="I4219" s="7"/>
      <c r="J4219" s="6"/>
      <c r="K4219" s="6"/>
      <c r="L4219" s="3"/>
      <c r="M4219" s="3" t="str">
        <f>IFERROR(__xludf.DUMMYFUNCTION("""COMPUTED_VALUE"""),"")</f>
        <v/>
      </c>
    </row>
    <row r="4220" ht="48.0" customHeight="1">
      <c r="A4220" s="3"/>
      <c r="B4220" s="4"/>
      <c r="C4220" s="4"/>
      <c r="D4220" s="4"/>
      <c r="E4220" s="4"/>
      <c r="F4220" s="4"/>
      <c r="G4220" s="5"/>
      <c r="H4220" s="6"/>
      <c r="I4220" s="7"/>
      <c r="J4220" s="6"/>
      <c r="K4220" s="6"/>
      <c r="L4220" s="3"/>
      <c r="M4220" s="3" t="str">
        <f>IFERROR(__xludf.DUMMYFUNCTION("""COMPUTED_VALUE"""),"")</f>
        <v/>
      </c>
    </row>
    <row r="4221" ht="48.0" customHeight="1">
      <c r="A4221" s="3"/>
      <c r="B4221" s="4"/>
      <c r="C4221" s="4"/>
      <c r="D4221" s="4"/>
      <c r="E4221" s="4"/>
      <c r="F4221" s="4"/>
      <c r="G4221" s="5"/>
      <c r="H4221" s="6"/>
      <c r="I4221" s="7"/>
      <c r="J4221" s="6"/>
      <c r="K4221" s="6"/>
      <c r="L4221" s="3"/>
      <c r="M4221" s="3" t="str">
        <f>IFERROR(__xludf.DUMMYFUNCTION("""COMPUTED_VALUE"""),"")</f>
        <v/>
      </c>
    </row>
    <row r="4222" ht="48.0" customHeight="1">
      <c r="A4222" s="3"/>
      <c r="B4222" s="4"/>
      <c r="C4222" s="4"/>
      <c r="D4222" s="4"/>
      <c r="E4222" s="4"/>
      <c r="F4222" s="4"/>
      <c r="G4222" s="5"/>
      <c r="H4222" s="6"/>
      <c r="I4222" s="7"/>
      <c r="J4222" s="6"/>
      <c r="K4222" s="6"/>
      <c r="L4222" s="3"/>
      <c r="M4222" s="3" t="str">
        <f>IFERROR(__xludf.DUMMYFUNCTION("""COMPUTED_VALUE"""),"")</f>
        <v/>
      </c>
    </row>
    <row r="4223" ht="48.0" customHeight="1">
      <c r="A4223" s="3"/>
      <c r="B4223" s="4"/>
      <c r="C4223" s="4"/>
      <c r="D4223" s="4"/>
      <c r="E4223" s="4"/>
      <c r="F4223" s="4"/>
      <c r="G4223" s="5"/>
      <c r="H4223" s="6"/>
      <c r="I4223" s="7"/>
      <c r="J4223" s="6"/>
      <c r="K4223" s="6"/>
      <c r="L4223" s="3"/>
      <c r="M4223" s="3" t="str">
        <f>IFERROR(__xludf.DUMMYFUNCTION("""COMPUTED_VALUE"""),"")</f>
        <v/>
      </c>
    </row>
    <row r="4224" ht="48.0" customHeight="1">
      <c r="A4224" s="3"/>
      <c r="B4224" s="4"/>
      <c r="C4224" s="4"/>
      <c r="D4224" s="4"/>
      <c r="E4224" s="4"/>
      <c r="F4224" s="4"/>
      <c r="G4224" s="5"/>
      <c r="H4224" s="6"/>
      <c r="I4224" s="7"/>
      <c r="J4224" s="6"/>
      <c r="K4224" s="6"/>
      <c r="L4224" s="3"/>
      <c r="M4224" s="3" t="str">
        <f>IFERROR(__xludf.DUMMYFUNCTION("""COMPUTED_VALUE"""),"")</f>
        <v/>
      </c>
    </row>
    <row r="4225" ht="48.0" customHeight="1">
      <c r="A4225" s="3"/>
      <c r="B4225" s="4"/>
      <c r="C4225" s="4"/>
      <c r="D4225" s="4"/>
      <c r="E4225" s="4"/>
      <c r="F4225" s="4"/>
      <c r="G4225" s="5"/>
      <c r="H4225" s="6"/>
      <c r="I4225" s="7"/>
      <c r="J4225" s="6"/>
      <c r="K4225" s="6"/>
      <c r="L4225" s="3"/>
      <c r="M4225" s="3" t="str">
        <f>IFERROR(__xludf.DUMMYFUNCTION("""COMPUTED_VALUE"""),"")</f>
        <v/>
      </c>
    </row>
    <row r="4226" ht="48.0" customHeight="1">
      <c r="A4226" s="3"/>
      <c r="B4226" s="4"/>
      <c r="C4226" s="4"/>
      <c r="D4226" s="4"/>
      <c r="E4226" s="4"/>
      <c r="F4226" s="4"/>
      <c r="G4226" s="5"/>
      <c r="H4226" s="6"/>
      <c r="I4226" s="7"/>
      <c r="J4226" s="6"/>
      <c r="K4226" s="6"/>
      <c r="L4226" s="3"/>
      <c r="M4226" s="3" t="str">
        <f>IFERROR(__xludf.DUMMYFUNCTION("""COMPUTED_VALUE"""),"")</f>
        <v/>
      </c>
    </row>
    <row r="4227" ht="48.0" customHeight="1">
      <c r="A4227" s="3"/>
      <c r="B4227" s="4"/>
      <c r="C4227" s="4"/>
      <c r="D4227" s="4"/>
      <c r="E4227" s="4"/>
      <c r="F4227" s="4"/>
      <c r="G4227" s="5"/>
      <c r="H4227" s="6"/>
      <c r="I4227" s="7"/>
      <c r="J4227" s="6"/>
      <c r="K4227" s="6"/>
      <c r="L4227" s="3"/>
      <c r="M4227" s="3" t="str">
        <f>IFERROR(__xludf.DUMMYFUNCTION("""COMPUTED_VALUE"""),"")</f>
        <v/>
      </c>
    </row>
    <row r="4228" ht="48.0" customHeight="1">
      <c r="A4228" s="3"/>
      <c r="B4228" s="4"/>
      <c r="C4228" s="4"/>
      <c r="D4228" s="4"/>
      <c r="E4228" s="4"/>
      <c r="F4228" s="4"/>
      <c r="G4228" s="5"/>
      <c r="H4228" s="6"/>
      <c r="I4228" s="7"/>
      <c r="J4228" s="6"/>
      <c r="K4228" s="6"/>
      <c r="L4228" s="3"/>
      <c r="M4228" s="3" t="str">
        <f>IFERROR(__xludf.DUMMYFUNCTION("""COMPUTED_VALUE"""),"")</f>
        <v/>
      </c>
    </row>
    <row r="4229" ht="48.0" customHeight="1">
      <c r="A4229" s="3"/>
      <c r="B4229" s="4"/>
      <c r="C4229" s="4"/>
      <c r="D4229" s="4"/>
      <c r="E4229" s="4"/>
      <c r="F4229" s="4"/>
      <c r="G4229" s="5"/>
      <c r="H4229" s="6"/>
      <c r="I4229" s="7"/>
      <c r="J4229" s="6"/>
      <c r="K4229" s="6"/>
      <c r="L4229" s="3"/>
      <c r="M4229" s="3" t="str">
        <f>IFERROR(__xludf.DUMMYFUNCTION("""COMPUTED_VALUE"""),"")</f>
        <v/>
      </c>
    </row>
    <row r="4230" ht="48.0" customHeight="1">
      <c r="A4230" s="3"/>
      <c r="B4230" s="4"/>
      <c r="C4230" s="4"/>
      <c r="D4230" s="4"/>
      <c r="E4230" s="4"/>
      <c r="F4230" s="4"/>
      <c r="G4230" s="5"/>
      <c r="H4230" s="6"/>
      <c r="I4230" s="7"/>
      <c r="J4230" s="6"/>
      <c r="K4230" s="6"/>
      <c r="L4230" s="3"/>
      <c r="M4230" s="3" t="str">
        <f>IFERROR(__xludf.DUMMYFUNCTION("""COMPUTED_VALUE"""),"")</f>
        <v/>
      </c>
    </row>
    <row r="4231" ht="48.0" customHeight="1">
      <c r="A4231" s="3"/>
      <c r="B4231" s="4"/>
      <c r="C4231" s="4"/>
      <c r="D4231" s="4"/>
      <c r="E4231" s="4"/>
      <c r="F4231" s="4"/>
      <c r="G4231" s="5"/>
      <c r="H4231" s="6"/>
      <c r="I4231" s="7"/>
      <c r="J4231" s="6"/>
      <c r="K4231" s="6"/>
      <c r="L4231" s="3"/>
      <c r="M4231" s="3" t="str">
        <f>IFERROR(__xludf.DUMMYFUNCTION("""COMPUTED_VALUE"""),"")</f>
        <v/>
      </c>
    </row>
    <row r="4232" ht="48.0" customHeight="1">
      <c r="A4232" s="3"/>
      <c r="B4232" s="4"/>
      <c r="C4232" s="4"/>
      <c r="D4232" s="4"/>
      <c r="E4232" s="4"/>
      <c r="F4232" s="4"/>
      <c r="G4232" s="5"/>
      <c r="H4232" s="6"/>
      <c r="I4232" s="7"/>
      <c r="J4232" s="6"/>
      <c r="K4232" s="6"/>
      <c r="L4232" s="3"/>
      <c r="M4232" s="3" t="str">
        <f>IFERROR(__xludf.DUMMYFUNCTION("""COMPUTED_VALUE"""),"")</f>
        <v/>
      </c>
    </row>
    <row r="4233" ht="48.0" customHeight="1">
      <c r="A4233" s="3"/>
      <c r="B4233" s="4"/>
      <c r="C4233" s="4"/>
      <c r="D4233" s="4"/>
      <c r="E4233" s="4"/>
      <c r="F4233" s="4"/>
      <c r="G4233" s="5"/>
      <c r="H4233" s="6"/>
      <c r="I4233" s="7"/>
      <c r="J4233" s="6"/>
      <c r="K4233" s="6"/>
      <c r="L4233" s="3"/>
      <c r="M4233" s="3" t="str">
        <f>IFERROR(__xludf.DUMMYFUNCTION("""COMPUTED_VALUE"""),"")</f>
        <v/>
      </c>
    </row>
    <row r="4234" ht="48.0" customHeight="1">
      <c r="A4234" s="3"/>
      <c r="B4234" s="4"/>
      <c r="C4234" s="4"/>
      <c r="D4234" s="4"/>
      <c r="E4234" s="4"/>
      <c r="F4234" s="4"/>
      <c r="G4234" s="5"/>
      <c r="H4234" s="6"/>
      <c r="I4234" s="7"/>
      <c r="J4234" s="6"/>
      <c r="K4234" s="6"/>
      <c r="L4234" s="3"/>
      <c r="M4234" s="3" t="str">
        <f>IFERROR(__xludf.DUMMYFUNCTION("""COMPUTED_VALUE"""),"")</f>
        <v/>
      </c>
    </row>
    <row r="4235" ht="48.0" customHeight="1">
      <c r="A4235" s="3"/>
      <c r="B4235" s="4"/>
      <c r="C4235" s="4"/>
      <c r="D4235" s="4"/>
      <c r="E4235" s="4"/>
      <c r="F4235" s="4"/>
      <c r="G4235" s="5"/>
      <c r="H4235" s="6"/>
      <c r="I4235" s="7"/>
      <c r="J4235" s="6"/>
      <c r="K4235" s="6"/>
      <c r="L4235" s="3"/>
      <c r="M4235" s="3" t="str">
        <f>IFERROR(__xludf.DUMMYFUNCTION("""COMPUTED_VALUE"""),"")</f>
        <v/>
      </c>
    </row>
    <row r="4236" ht="48.0" customHeight="1">
      <c r="A4236" s="3"/>
      <c r="B4236" s="4"/>
      <c r="C4236" s="4"/>
      <c r="D4236" s="4"/>
      <c r="E4236" s="4"/>
      <c r="F4236" s="4"/>
      <c r="G4236" s="5"/>
      <c r="H4236" s="6"/>
      <c r="I4236" s="7"/>
      <c r="J4236" s="6"/>
      <c r="K4236" s="6"/>
      <c r="L4236" s="3"/>
      <c r="M4236" s="3" t="str">
        <f>IFERROR(__xludf.DUMMYFUNCTION("""COMPUTED_VALUE"""),"")</f>
        <v/>
      </c>
    </row>
    <row r="4237" ht="48.0" customHeight="1">
      <c r="A4237" s="3"/>
      <c r="B4237" s="4"/>
      <c r="C4237" s="4"/>
      <c r="D4237" s="4"/>
      <c r="E4237" s="4"/>
      <c r="F4237" s="4"/>
      <c r="G4237" s="5"/>
      <c r="H4237" s="6"/>
      <c r="I4237" s="7"/>
      <c r="J4237" s="6"/>
      <c r="K4237" s="6"/>
      <c r="L4237" s="3"/>
      <c r="M4237" s="3" t="str">
        <f>IFERROR(__xludf.DUMMYFUNCTION("""COMPUTED_VALUE"""),"")</f>
        <v/>
      </c>
    </row>
    <row r="4238" ht="48.0" customHeight="1">
      <c r="A4238" s="3"/>
      <c r="B4238" s="4"/>
      <c r="C4238" s="4"/>
      <c r="D4238" s="4"/>
      <c r="E4238" s="4"/>
      <c r="F4238" s="4"/>
      <c r="G4238" s="5"/>
      <c r="H4238" s="6"/>
      <c r="I4238" s="7"/>
      <c r="J4238" s="6"/>
      <c r="K4238" s="6"/>
      <c r="L4238" s="3"/>
      <c r="M4238" s="3" t="str">
        <f>IFERROR(__xludf.DUMMYFUNCTION("""COMPUTED_VALUE"""),"")</f>
        <v/>
      </c>
    </row>
    <row r="4239" ht="48.0" customHeight="1">
      <c r="A4239" s="3"/>
      <c r="B4239" s="4"/>
      <c r="C4239" s="4"/>
      <c r="D4239" s="4"/>
      <c r="E4239" s="4"/>
      <c r="F4239" s="4"/>
      <c r="G4239" s="5"/>
      <c r="H4239" s="6"/>
      <c r="I4239" s="7"/>
      <c r="J4239" s="6"/>
      <c r="K4239" s="6"/>
      <c r="L4239" s="3"/>
      <c r="M4239" s="3" t="str">
        <f>IFERROR(__xludf.DUMMYFUNCTION("""COMPUTED_VALUE"""),"")</f>
        <v/>
      </c>
    </row>
    <row r="4240" ht="48.0" customHeight="1">
      <c r="A4240" s="3"/>
      <c r="B4240" s="4"/>
      <c r="C4240" s="4"/>
      <c r="D4240" s="4"/>
      <c r="E4240" s="4"/>
      <c r="F4240" s="4"/>
      <c r="G4240" s="5"/>
      <c r="H4240" s="6"/>
      <c r="I4240" s="7"/>
      <c r="J4240" s="6"/>
      <c r="K4240" s="6"/>
      <c r="L4240" s="3"/>
      <c r="M4240" s="3" t="str">
        <f>IFERROR(__xludf.DUMMYFUNCTION("""COMPUTED_VALUE"""),"")</f>
        <v/>
      </c>
    </row>
    <row r="4241" ht="48.0" customHeight="1">
      <c r="A4241" s="3"/>
      <c r="B4241" s="4"/>
      <c r="C4241" s="4"/>
      <c r="D4241" s="4"/>
      <c r="E4241" s="4"/>
      <c r="F4241" s="4"/>
      <c r="G4241" s="5"/>
      <c r="H4241" s="6"/>
      <c r="I4241" s="7"/>
      <c r="J4241" s="6"/>
      <c r="K4241" s="6"/>
      <c r="L4241" s="3"/>
      <c r="M4241" s="3" t="str">
        <f>IFERROR(__xludf.DUMMYFUNCTION("""COMPUTED_VALUE"""),"")</f>
        <v/>
      </c>
    </row>
    <row r="4242" ht="48.0" customHeight="1">
      <c r="A4242" s="3"/>
      <c r="B4242" s="4"/>
      <c r="C4242" s="4"/>
      <c r="D4242" s="4"/>
      <c r="E4242" s="4"/>
      <c r="F4242" s="4"/>
      <c r="G4242" s="5"/>
      <c r="H4242" s="6"/>
      <c r="I4242" s="7"/>
      <c r="J4242" s="6"/>
      <c r="K4242" s="6"/>
      <c r="L4242" s="3"/>
      <c r="M4242" s="3" t="str">
        <f>IFERROR(__xludf.DUMMYFUNCTION("""COMPUTED_VALUE"""),"")</f>
        <v/>
      </c>
    </row>
    <row r="4243" ht="48.0" customHeight="1">
      <c r="A4243" s="3"/>
      <c r="B4243" s="4"/>
      <c r="C4243" s="4"/>
      <c r="D4243" s="4"/>
      <c r="E4243" s="4"/>
      <c r="F4243" s="4"/>
      <c r="G4243" s="5"/>
      <c r="H4243" s="6"/>
      <c r="I4243" s="7"/>
      <c r="J4243" s="6"/>
      <c r="K4243" s="6"/>
      <c r="L4243" s="3"/>
      <c r="M4243" s="3" t="str">
        <f>IFERROR(__xludf.DUMMYFUNCTION("""COMPUTED_VALUE"""),"")</f>
        <v/>
      </c>
    </row>
    <row r="4244" ht="48.0" customHeight="1">
      <c r="A4244" s="3"/>
      <c r="B4244" s="4"/>
      <c r="C4244" s="4"/>
      <c r="D4244" s="4"/>
      <c r="E4244" s="4"/>
      <c r="F4244" s="4"/>
      <c r="G4244" s="5"/>
      <c r="H4244" s="6"/>
      <c r="I4244" s="7"/>
      <c r="J4244" s="6"/>
      <c r="K4244" s="6"/>
      <c r="L4244" s="3"/>
      <c r="M4244" s="3" t="str">
        <f>IFERROR(__xludf.DUMMYFUNCTION("""COMPUTED_VALUE"""),"")</f>
        <v/>
      </c>
    </row>
    <row r="4245" ht="48.0" customHeight="1">
      <c r="A4245" s="3"/>
      <c r="B4245" s="4"/>
      <c r="C4245" s="4"/>
      <c r="D4245" s="4"/>
      <c r="E4245" s="4"/>
      <c r="F4245" s="4"/>
      <c r="G4245" s="5"/>
      <c r="H4245" s="6"/>
      <c r="I4245" s="7"/>
      <c r="J4245" s="6"/>
      <c r="K4245" s="6"/>
      <c r="L4245" s="3"/>
      <c r="M4245" s="3" t="str">
        <f>IFERROR(__xludf.DUMMYFUNCTION("""COMPUTED_VALUE"""),"")</f>
        <v/>
      </c>
    </row>
    <row r="4246" ht="48.0" customHeight="1">
      <c r="A4246" s="3"/>
      <c r="B4246" s="4"/>
      <c r="C4246" s="4"/>
      <c r="D4246" s="4"/>
      <c r="E4246" s="4"/>
      <c r="F4246" s="4"/>
      <c r="G4246" s="5"/>
      <c r="H4246" s="6"/>
      <c r="I4246" s="7"/>
      <c r="J4246" s="6"/>
      <c r="K4246" s="6"/>
      <c r="L4246" s="3"/>
      <c r="M4246" s="3" t="str">
        <f>IFERROR(__xludf.DUMMYFUNCTION("""COMPUTED_VALUE"""),"")</f>
        <v/>
      </c>
    </row>
    <row r="4247" ht="48.0" customHeight="1">
      <c r="A4247" s="3"/>
      <c r="B4247" s="4"/>
      <c r="C4247" s="4"/>
      <c r="D4247" s="4"/>
      <c r="E4247" s="4"/>
      <c r="F4247" s="4"/>
      <c r="G4247" s="5"/>
      <c r="H4247" s="6"/>
      <c r="I4247" s="7"/>
      <c r="J4247" s="6"/>
      <c r="K4247" s="6"/>
      <c r="L4247" s="3"/>
      <c r="M4247" s="3" t="str">
        <f>IFERROR(__xludf.DUMMYFUNCTION("""COMPUTED_VALUE"""),"")</f>
        <v/>
      </c>
    </row>
    <row r="4248" ht="48.0" customHeight="1">
      <c r="A4248" s="3"/>
      <c r="B4248" s="4"/>
      <c r="C4248" s="4"/>
      <c r="D4248" s="4"/>
      <c r="E4248" s="4"/>
      <c r="F4248" s="4"/>
      <c r="G4248" s="5"/>
      <c r="H4248" s="6"/>
      <c r="I4248" s="7"/>
      <c r="J4248" s="6"/>
      <c r="K4248" s="6"/>
      <c r="L4248" s="3"/>
      <c r="M4248" s="3" t="str">
        <f>IFERROR(__xludf.DUMMYFUNCTION("""COMPUTED_VALUE"""),"")</f>
        <v/>
      </c>
    </row>
    <row r="4249" ht="48.0" customHeight="1">
      <c r="A4249" s="3"/>
      <c r="B4249" s="4"/>
      <c r="C4249" s="4"/>
      <c r="D4249" s="4"/>
      <c r="E4249" s="4"/>
      <c r="F4249" s="4"/>
      <c r="G4249" s="5"/>
      <c r="H4249" s="6"/>
      <c r="I4249" s="7"/>
      <c r="J4249" s="6"/>
      <c r="K4249" s="6"/>
      <c r="L4249" s="3"/>
      <c r="M4249" s="3" t="str">
        <f>IFERROR(__xludf.DUMMYFUNCTION("""COMPUTED_VALUE"""),"")</f>
        <v/>
      </c>
    </row>
    <row r="4250" ht="48.0" customHeight="1">
      <c r="A4250" s="3"/>
      <c r="B4250" s="4"/>
      <c r="C4250" s="4"/>
      <c r="D4250" s="4"/>
      <c r="E4250" s="4"/>
      <c r="F4250" s="4"/>
      <c r="G4250" s="5"/>
      <c r="H4250" s="6"/>
      <c r="I4250" s="7"/>
      <c r="J4250" s="6"/>
      <c r="K4250" s="6"/>
      <c r="L4250" s="3"/>
      <c r="M4250" s="3" t="str">
        <f>IFERROR(__xludf.DUMMYFUNCTION("""COMPUTED_VALUE"""),"")</f>
        <v/>
      </c>
    </row>
    <row r="4251" ht="48.0" customHeight="1">
      <c r="A4251" s="3"/>
      <c r="B4251" s="4"/>
      <c r="C4251" s="4"/>
      <c r="D4251" s="4"/>
      <c r="E4251" s="4"/>
      <c r="F4251" s="4"/>
      <c r="G4251" s="5"/>
      <c r="H4251" s="6"/>
      <c r="I4251" s="7"/>
      <c r="J4251" s="6"/>
      <c r="K4251" s="6"/>
      <c r="L4251" s="3"/>
      <c r="M4251" s="3" t="str">
        <f>IFERROR(__xludf.DUMMYFUNCTION("""COMPUTED_VALUE"""),"")</f>
        <v/>
      </c>
    </row>
    <row r="4252" ht="48.0" customHeight="1">
      <c r="A4252" s="3"/>
      <c r="B4252" s="4"/>
      <c r="C4252" s="4"/>
      <c r="D4252" s="4"/>
      <c r="E4252" s="4"/>
      <c r="F4252" s="4"/>
      <c r="G4252" s="5"/>
      <c r="H4252" s="6"/>
      <c r="I4252" s="7"/>
      <c r="J4252" s="6"/>
      <c r="K4252" s="6"/>
      <c r="L4252" s="3"/>
      <c r="M4252" s="3" t="str">
        <f>IFERROR(__xludf.DUMMYFUNCTION("""COMPUTED_VALUE"""),"")</f>
        <v/>
      </c>
    </row>
    <row r="4253" ht="48.0" customHeight="1">
      <c r="A4253" s="3"/>
      <c r="B4253" s="4"/>
      <c r="C4253" s="4"/>
      <c r="D4253" s="4"/>
      <c r="E4253" s="4"/>
      <c r="F4253" s="4"/>
      <c r="G4253" s="5"/>
      <c r="H4253" s="6"/>
      <c r="I4253" s="7"/>
      <c r="J4253" s="6"/>
      <c r="K4253" s="6"/>
      <c r="L4253" s="3"/>
      <c r="M4253" s="3" t="str">
        <f>IFERROR(__xludf.DUMMYFUNCTION("""COMPUTED_VALUE"""),"")</f>
        <v/>
      </c>
    </row>
    <row r="4254" ht="48.0" customHeight="1">
      <c r="A4254" s="3"/>
      <c r="B4254" s="4"/>
      <c r="C4254" s="4"/>
      <c r="D4254" s="4"/>
      <c r="E4254" s="4"/>
      <c r="F4254" s="4"/>
      <c r="G4254" s="5"/>
      <c r="H4254" s="6"/>
      <c r="I4254" s="7"/>
      <c r="J4254" s="6"/>
      <c r="K4254" s="6"/>
      <c r="L4254" s="3"/>
      <c r="M4254" s="3" t="str">
        <f>IFERROR(__xludf.DUMMYFUNCTION("""COMPUTED_VALUE"""),"")</f>
        <v/>
      </c>
    </row>
    <row r="4255" ht="48.0" customHeight="1">
      <c r="A4255" s="3"/>
      <c r="B4255" s="4"/>
      <c r="C4255" s="4"/>
      <c r="D4255" s="4"/>
      <c r="E4255" s="4"/>
      <c r="F4255" s="4"/>
      <c r="G4255" s="5"/>
      <c r="H4255" s="6"/>
      <c r="I4255" s="7"/>
      <c r="J4255" s="6"/>
      <c r="K4255" s="6"/>
      <c r="L4255" s="3"/>
      <c r="M4255" s="3" t="str">
        <f>IFERROR(__xludf.DUMMYFUNCTION("""COMPUTED_VALUE"""),"")</f>
        <v/>
      </c>
    </row>
    <row r="4256" ht="48.0" customHeight="1">
      <c r="A4256" s="3"/>
      <c r="B4256" s="4"/>
      <c r="C4256" s="4"/>
      <c r="D4256" s="4"/>
      <c r="E4256" s="4"/>
      <c r="F4256" s="4"/>
      <c r="G4256" s="5"/>
      <c r="H4256" s="6"/>
      <c r="I4256" s="7"/>
      <c r="J4256" s="6"/>
      <c r="K4256" s="6"/>
      <c r="L4256" s="3"/>
      <c r="M4256" s="3" t="str">
        <f>IFERROR(__xludf.DUMMYFUNCTION("""COMPUTED_VALUE"""),"")</f>
        <v/>
      </c>
    </row>
    <row r="4257" ht="48.0" customHeight="1">
      <c r="A4257" s="3"/>
      <c r="B4257" s="4"/>
      <c r="C4257" s="4"/>
      <c r="D4257" s="4"/>
      <c r="E4257" s="4"/>
      <c r="F4257" s="4"/>
      <c r="G4257" s="5"/>
      <c r="H4257" s="6"/>
      <c r="I4257" s="7"/>
      <c r="J4257" s="6"/>
      <c r="K4257" s="6"/>
      <c r="L4257" s="3"/>
      <c r="M4257" s="3" t="str">
        <f>IFERROR(__xludf.DUMMYFUNCTION("""COMPUTED_VALUE"""),"")</f>
        <v/>
      </c>
    </row>
    <row r="4258" ht="48.0" customHeight="1">
      <c r="A4258" s="3"/>
      <c r="B4258" s="4"/>
      <c r="C4258" s="4"/>
      <c r="D4258" s="4"/>
      <c r="E4258" s="4"/>
      <c r="F4258" s="4"/>
      <c r="G4258" s="5"/>
      <c r="H4258" s="6"/>
      <c r="I4258" s="7"/>
      <c r="J4258" s="6"/>
      <c r="K4258" s="6"/>
      <c r="L4258" s="3"/>
      <c r="M4258" s="3" t="str">
        <f>IFERROR(__xludf.DUMMYFUNCTION("""COMPUTED_VALUE"""),"")</f>
        <v/>
      </c>
    </row>
    <row r="4259" ht="48.0" customHeight="1">
      <c r="A4259" s="3"/>
      <c r="B4259" s="4"/>
      <c r="C4259" s="4"/>
      <c r="D4259" s="4"/>
      <c r="E4259" s="4"/>
      <c r="F4259" s="4"/>
      <c r="G4259" s="5"/>
      <c r="H4259" s="6"/>
      <c r="I4259" s="7"/>
      <c r="J4259" s="6"/>
      <c r="K4259" s="6"/>
      <c r="L4259" s="3"/>
      <c r="M4259" s="3" t="str">
        <f>IFERROR(__xludf.DUMMYFUNCTION("""COMPUTED_VALUE"""),"")</f>
        <v/>
      </c>
    </row>
    <row r="4260" ht="48.0" customHeight="1">
      <c r="A4260" s="3"/>
      <c r="B4260" s="4"/>
      <c r="C4260" s="4"/>
      <c r="D4260" s="4"/>
      <c r="E4260" s="4"/>
      <c r="F4260" s="4"/>
      <c r="G4260" s="5"/>
      <c r="H4260" s="6"/>
      <c r="I4260" s="7"/>
      <c r="J4260" s="6"/>
      <c r="K4260" s="6"/>
      <c r="L4260" s="3"/>
      <c r="M4260" s="3" t="str">
        <f>IFERROR(__xludf.DUMMYFUNCTION("""COMPUTED_VALUE"""),"")</f>
        <v/>
      </c>
    </row>
    <row r="4261" ht="48.0" customHeight="1">
      <c r="A4261" s="3"/>
      <c r="B4261" s="4"/>
      <c r="C4261" s="4"/>
      <c r="D4261" s="4"/>
      <c r="E4261" s="4"/>
      <c r="F4261" s="4"/>
      <c r="G4261" s="5"/>
      <c r="H4261" s="6"/>
      <c r="I4261" s="7"/>
      <c r="J4261" s="6"/>
      <c r="K4261" s="6"/>
      <c r="L4261" s="3"/>
      <c r="M4261" s="3" t="str">
        <f>IFERROR(__xludf.DUMMYFUNCTION("""COMPUTED_VALUE"""),"")</f>
        <v/>
      </c>
    </row>
    <row r="4262" ht="48.0" customHeight="1">
      <c r="A4262" s="3"/>
      <c r="B4262" s="4"/>
      <c r="C4262" s="4"/>
      <c r="D4262" s="4"/>
      <c r="E4262" s="4"/>
      <c r="F4262" s="4"/>
      <c r="G4262" s="5"/>
      <c r="H4262" s="6"/>
      <c r="I4262" s="7"/>
      <c r="J4262" s="6"/>
      <c r="K4262" s="6"/>
      <c r="L4262" s="3"/>
      <c r="M4262" s="3" t="str">
        <f>IFERROR(__xludf.DUMMYFUNCTION("""COMPUTED_VALUE"""),"")</f>
        <v/>
      </c>
    </row>
    <row r="4263" ht="48.0" customHeight="1">
      <c r="A4263" s="3"/>
      <c r="B4263" s="4"/>
      <c r="C4263" s="4"/>
      <c r="D4263" s="4"/>
      <c r="E4263" s="4"/>
      <c r="F4263" s="4"/>
      <c r="G4263" s="5"/>
      <c r="H4263" s="6"/>
      <c r="I4263" s="7"/>
      <c r="J4263" s="6"/>
      <c r="K4263" s="6"/>
      <c r="L4263" s="3"/>
      <c r="M4263" s="3" t="str">
        <f>IFERROR(__xludf.DUMMYFUNCTION("""COMPUTED_VALUE"""),"")</f>
        <v/>
      </c>
    </row>
    <row r="4264" ht="48.0" customHeight="1">
      <c r="A4264" s="3"/>
      <c r="B4264" s="4"/>
      <c r="C4264" s="4"/>
      <c r="D4264" s="4"/>
      <c r="E4264" s="4"/>
      <c r="F4264" s="4"/>
      <c r="G4264" s="5"/>
      <c r="H4264" s="6"/>
      <c r="I4264" s="7"/>
      <c r="J4264" s="6"/>
      <c r="K4264" s="6"/>
      <c r="L4264" s="3"/>
      <c r="M4264" s="3" t="str">
        <f>IFERROR(__xludf.DUMMYFUNCTION("""COMPUTED_VALUE"""),"")</f>
        <v/>
      </c>
    </row>
    <row r="4265" ht="48.0" customHeight="1">
      <c r="A4265" s="3"/>
      <c r="B4265" s="4"/>
      <c r="C4265" s="4"/>
      <c r="D4265" s="4"/>
      <c r="E4265" s="4"/>
      <c r="F4265" s="4"/>
      <c r="G4265" s="5"/>
      <c r="H4265" s="6"/>
      <c r="I4265" s="7"/>
      <c r="J4265" s="6"/>
      <c r="K4265" s="6"/>
      <c r="L4265" s="3"/>
      <c r="M4265" s="3" t="str">
        <f>IFERROR(__xludf.DUMMYFUNCTION("""COMPUTED_VALUE"""),"")</f>
        <v/>
      </c>
    </row>
    <row r="4266" ht="48.0" customHeight="1">
      <c r="A4266" s="3"/>
      <c r="B4266" s="4"/>
      <c r="C4266" s="4"/>
      <c r="D4266" s="4"/>
      <c r="E4266" s="4"/>
      <c r="F4266" s="4"/>
      <c r="G4266" s="5"/>
      <c r="H4266" s="6"/>
      <c r="I4266" s="7"/>
      <c r="J4266" s="6"/>
      <c r="K4266" s="6"/>
      <c r="L4266" s="3"/>
      <c r="M4266" s="3" t="str">
        <f>IFERROR(__xludf.DUMMYFUNCTION("""COMPUTED_VALUE"""),"")</f>
        <v/>
      </c>
    </row>
    <row r="4267" ht="48.0" customHeight="1">
      <c r="A4267" s="3"/>
      <c r="B4267" s="4"/>
      <c r="C4267" s="4"/>
      <c r="D4267" s="4"/>
      <c r="E4267" s="4"/>
      <c r="F4267" s="4"/>
      <c r="G4267" s="5"/>
      <c r="H4267" s="6"/>
      <c r="I4267" s="7"/>
      <c r="J4267" s="6"/>
      <c r="K4267" s="6"/>
      <c r="L4267" s="3"/>
      <c r="M4267" s="3" t="str">
        <f>IFERROR(__xludf.DUMMYFUNCTION("""COMPUTED_VALUE"""),"")</f>
        <v/>
      </c>
    </row>
    <row r="4268" ht="48.0" customHeight="1">
      <c r="A4268" s="3"/>
      <c r="B4268" s="4"/>
      <c r="C4268" s="4"/>
      <c r="D4268" s="4"/>
      <c r="E4268" s="4"/>
      <c r="F4268" s="4"/>
      <c r="G4268" s="5"/>
      <c r="H4268" s="6"/>
      <c r="I4268" s="7"/>
      <c r="J4268" s="6"/>
      <c r="K4268" s="6"/>
      <c r="L4268" s="3"/>
      <c r="M4268" s="3" t="str">
        <f>IFERROR(__xludf.DUMMYFUNCTION("""COMPUTED_VALUE"""),"")</f>
        <v/>
      </c>
    </row>
    <row r="4269" ht="48.0" customHeight="1">
      <c r="A4269" s="3"/>
      <c r="B4269" s="4"/>
      <c r="C4269" s="4"/>
      <c r="D4269" s="4"/>
      <c r="E4269" s="4"/>
      <c r="F4269" s="4"/>
      <c r="G4269" s="5"/>
      <c r="H4269" s="6"/>
      <c r="I4269" s="7"/>
      <c r="J4269" s="6"/>
      <c r="K4269" s="6"/>
      <c r="L4269" s="3"/>
      <c r="M4269" s="3" t="str">
        <f>IFERROR(__xludf.DUMMYFUNCTION("""COMPUTED_VALUE"""),"")</f>
        <v/>
      </c>
    </row>
    <row r="4270" ht="48.0" customHeight="1">
      <c r="A4270" s="3"/>
      <c r="B4270" s="4"/>
      <c r="C4270" s="4"/>
      <c r="D4270" s="4"/>
      <c r="E4270" s="4"/>
      <c r="F4270" s="4"/>
      <c r="G4270" s="5"/>
      <c r="H4270" s="6"/>
      <c r="I4270" s="7"/>
      <c r="J4270" s="6"/>
      <c r="K4270" s="6"/>
      <c r="L4270" s="3"/>
      <c r="M4270" s="3" t="str">
        <f>IFERROR(__xludf.DUMMYFUNCTION("""COMPUTED_VALUE"""),"")</f>
        <v/>
      </c>
    </row>
    <row r="4271" ht="48.0" customHeight="1">
      <c r="A4271" s="3"/>
      <c r="B4271" s="4"/>
      <c r="C4271" s="4"/>
      <c r="D4271" s="4"/>
      <c r="E4271" s="4"/>
      <c r="F4271" s="4"/>
      <c r="G4271" s="5"/>
      <c r="H4271" s="6"/>
      <c r="I4271" s="7"/>
      <c r="J4271" s="6"/>
      <c r="K4271" s="6"/>
      <c r="L4271" s="3"/>
      <c r="M4271" s="3" t="str">
        <f>IFERROR(__xludf.DUMMYFUNCTION("""COMPUTED_VALUE"""),"")</f>
        <v/>
      </c>
    </row>
    <row r="4272" ht="48.0" customHeight="1">
      <c r="A4272" s="3"/>
      <c r="B4272" s="4"/>
      <c r="C4272" s="4"/>
      <c r="D4272" s="4"/>
      <c r="E4272" s="4"/>
      <c r="F4272" s="4"/>
      <c r="G4272" s="5"/>
      <c r="H4272" s="6"/>
      <c r="I4272" s="7"/>
      <c r="J4272" s="6"/>
      <c r="K4272" s="6"/>
      <c r="L4272" s="3"/>
      <c r="M4272" s="3" t="str">
        <f>IFERROR(__xludf.DUMMYFUNCTION("""COMPUTED_VALUE"""),"")</f>
        <v/>
      </c>
    </row>
    <row r="4273" ht="48.0" customHeight="1">
      <c r="A4273" s="3"/>
      <c r="B4273" s="4"/>
      <c r="C4273" s="4"/>
      <c r="D4273" s="4"/>
      <c r="E4273" s="4"/>
      <c r="F4273" s="4"/>
      <c r="G4273" s="5"/>
      <c r="H4273" s="6"/>
      <c r="I4273" s="7"/>
      <c r="J4273" s="6"/>
      <c r="K4273" s="6"/>
      <c r="L4273" s="3"/>
      <c r="M4273" s="3" t="str">
        <f>IFERROR(__xludf.DUMMYFUNCTION("""COMPUTED_VALUE"""),"")</f>
        <v/>
      </c>
    </row>
    <row r="4274" ht="48.0" customHeight="1">
      <c r="A4274" s="3"/>
      <c r="B4274" s="4"/>
      <c r="C4274" s="4"/>
      <c r="D4274" s="4"/>
      <c r="E4274" s="4"/>
      <c r="F4274" s="4"/>
      <c r="G4274" s="5"/>
      <c r="H4274" s="6"/>
      <c r="I4274" s="7"/>
      <c r="J4274" s="6"/>
      <c r="K4274" s="6"/>
      <c r="L4274" s="3"/>
      <c r="M4274" s="3" t="str">
        <f>IFERROR(__xludf.DUMMYFUNCTION("""COMPUTED_VALUE"""),"")</f>
        <v/>
      </c>
    </row>
    <row r="4275" ht="48.0" customHeight="1">
      <c r="A4275" s="3"/>
      <c r="B4275" s="4"/>
      <c r="C4275" s="4"/>
      <c r="D4275" s="4"/>
      <c r="E4275" s="4"/>
      <c r="F4275" s="4"/>
      <c r="G4275" s="5"/>
      <c r="H4275" s="6"/>
      <c r="I4275" s="7"/>
      <c r="J4275" s="6"/>
      <c r="K4275" s="6"/>
      <c r="L4275" s="3"/>
      <c r="M4275" s="3" t="str">
        <f>IFERROR(__xludf.DUMMYFUNCTION("""COMPUTED_VALUE"""),"")</f>
        <v/>
      </c>
    </row>
    <row r="4276" ht="48.0" customHeight="1">
      <c r="A4276" s="3"/>
      <c r="B4276" s="4"/>
      <c r="C4276" s="4"/>
      <c r="D4276" s="4"/>
      <c r="E4276" s="4"/>
      <c r="F4276" s="4"/>
      <c r="G4276" s="5"/>
      <c r="H4276" s="6"/>
      <c r="I4276" s="7"/>
      <c r="J4276" s="6"/>
      <c r="K4276" s="6"/>
      <c r="L4276" s="3"/>
      <c r="M4276" s="3" t="str">
        <f>IFERROR(__xludf.DUMMYFUNCTION("""COMPUTED_VALUE"""),"")</f>
        <v/>
      </c>
    </row>
    <row r="4277" ht="48.0" customHeight="1">
      <c r="A4277" s="3"/>
      <c r="B4277" s="4"/>
      <c r="C4277" s="4"/>
      <c r="D4277" s="4"/>
      <c r="E4277" s="4"/>
      <c r="F4277" s="4"/>
      <c r="G4277" s="5"/>
      <c r="H4277" s="6"/>
      <c r="I4277" s="7"/>
      <c r="J4277" s="6"/>
      <c r="K4277" s="6"/>
      <c r="L4277" s="3"/>
      <c r="M4277" s="3" t="str">
        <f>IFERROR(__xludf.DUMMYFUNCTION("""COMPUTED_VALUE"""),"")</f>
        <v/>
      </c>
    </row>
    <row r="4278" ht="48.0" customHeight="1">
      <c r="A4278" s="3"/>
      <c r="B4278" s="4"/>
      <c r="C4278" s="4"/>
      <c r="D4278" s="4"/>
      <c r="E4278" s="4"/>
      <c r="F4278" s="4"/>
      <c r="G4278" s="5"/>
      <c r="H4278" s="6"/>
      <c r="I4278" s="7"/>
      <c r="J4278" s="6"/>
      <c r="K4278" s="6"/>
      <c r="L4278" s="3"/>
      <c r="M4278" s="3" t="str">
        <f>IFERROR(__xludf.DUMMYFUNCTION("""COMPUTED_VALUE"""),"")</f>
        <v/>
      </c>
    </row>
    <row r="4279" ht="48.0" customHeight="1">
      <c r="A4279" s="3"/>
      <c r="B4279" s="4"/>
      <c r="C4279" s="4"/>
      <c r="D4279" s="4"/>
      <c r="E4279" s="4"/>
      <c r="F4279" s="4"/>
      <c r="G4279" s="5"/>
      <c r="H4279" s="6"/>
      <c r="I4279" s="7"/>
      <c r="J4279" s="6"/>
      <c r="K4279" s="6"/>
      <c r="L4279" s="3"/>
      <c r="M4279" s="3" t="str">
        <f>IFERROR(__xludf.DUMMYFUNCTION("""COMPUTED_VALUE"""),"")</f>
        <v/>
      </c>
    </row>
    <row r="4280" ht="48.0" customHeight="1">
      <c r="A4280" s="3"/>
      <c r="B4280" s="4"/>
      <c r="C4280" s="4"/>
      <c r="D4280" s="4"/>
      <c r="E4280" s="4"/>
      <c r="F4280" s="4"/>
      <c r="G4280" s="5"/>
      <c r="H4280" s="6"/>
      <c r="I4280" s="7"/>
      <c r="J4280" s="6"/>
      <c r="K4280" s="6"/>
      <c r="L4280" s="3"/>
      <c r="M4280" s="3" t="str">
        <f>IFERROR(__xludf.DUMMYFUNCTION("""COMPUTED_VALUE"""),"")</f>
        <v/>
      </c>
    </row>
    <row r="4281" ht="48.0" customHeight="1">
      <c r="A4281" s="3"/>
      <c r="B4281" s="4"/>
      <c r="C4281" s="4"/>
      <c r="D4281" s="4"/>
      <c r="E4281" s="4"/>
      <c r="F4281" s="4"/>
      <c r="G4281" s="5"/>
      <c r="H4281" s="6"/>
      <c r="I4281" s="7"/>
      <c r="J4281" s="6"/>
      <c r="K4281" s="6"/>
      <c r="L4281" s="3"/>
      <c r="M4281" s="3" t="str">
        <f>IFERROR(__xludf.DUMMYFUNCTION("""COMPUTED_VALUE"""),"")</f>
        <v/>
      </c>
    </row>
    <row r="4282" ht="48.0" customHeight="1">
      <c r="A4282" s="3"/>
      <c r="B4282" s="4"/>
      <c r="C4282" s="4"/>
      <c r="D4282" s="4"/>
      <c r="E4282" s="4"/>
      <c r="F4282" s="4"/>
      <c r="G4282" s="5"/>
      <c r="H4282" s="6"/>
      <c r="I4282" s="7"/>
      <c r="J4282" s="6"/>
      <c r="K4282" s="6"/>
      <c r="L4282" s="3"/>
      <c r="M4282" s="3" t="str">
        <f>IFERROR(__xludf.DUMMYFUNCTION("""COMPUTED_VALUE"""),"")</f>
        <v/>
      </c>
    </row>
    <row r="4283" ht="48.0" customHeight="1">
      <c r="A4283" s="3"/>
      <c r="B4283" s="4"/>
      <c r="C4283" s="4"/>
      <c r="D4283" s="4"/>
      <c r="E4283" s="4"/>
      <c r="F4283" s="4"/>
      <c r="G4283" s="5"/>
      <c r="H4283" s="6"/>
      <c r="I4283" s="7"/>
      <c r="J4283" s="6"/>
      <c r="K4283" s="6"/>
      <c r="L4283" s="3"/>
      <c r="M4283" s="3" t="str">
        <f>IFERROR(__xludf.DUMMYFUNCTION("""COMPUTED_VALUE"""),"")</f>
        <v/>
      </c>
    </row>
    <row r="4284" ht="48.0" customHeight="1">
      <c r="A4284" s="3"/>
      <c r="B4284" s="4"/>
      <c r="C4284" s="4"/>
      <c r="D4284" s="4"/>
      <c r="E4284" s="4"/>
      <c r="F4284" s="4"/>
      <c r="G4284" s="5"/>
      <c r="H4284" s="6"/>
      <c r="I4284" s="7"/>
      <c r="J4284" s="6"/>
      <c r="K4284" s="6"/>
      <c r="L4284" s="3"/>
      <c r="M4284" s="3" t="str">
        <f>IFERROR(__xludf.DUMMYFUNCTION("""COMPUTED_VALUE"""),"")</f>
        <v/>
      </c>
    </row>
    <row r="4285" ht="48.0" customHeight="1">
      <c r="A4285" s="3"/>
      <c r="B4285" s="4"/>
      <c r="C4285" s="4"/>
      <c r="D4285" s="4"/>
      <c r="E4285" s="4"/>
      <c r="F4285" s="4"/>
      <c r="G4285" s="5"/>
      <c r="H4285" s="6"/>
      <c r="I4285" s="7"/>
      <c r="J4285" s="6"/>
      <c r="K4285" s="6"/>
      <c r="L4285" s="3"/>
      <c r="M4285" s="3" t="str">
        <f>IFERROR(__xludf.DUMMYFUNCTION("""COMPUTED_VALUE"""),"")</f>
        <v/>
      </c>
    </row>
    <row r="4286" ht="48.0" customHeight="1">
      <c r="A4286" s="3"/>
      <c r="B4286" s="4"/>
      <c r="C4286" s="4"/>
      <c r="D4286" s="4"/>
      <c r="E4286" s="4"/>
      <c r="F4286" s="4"/>
      <c r="G4286" s="5"/>
      <c r="H4286" s="6"/>
      <c r="I4286" s="7"/>
      <c r="J4286" s="6"/>
      <c r="K4286" s="6"/>
      <c r="L4286" s="3"/>
      <c r="M4286" s="3" t="str">
        <f>IFERROR(__xludf.DUMMYFUNCTION("""COMPUTED_VALUE"""),"")</f>
        <v/>
      </c>
    </row>
    <row r="4287" ht="48.0" customHeight="1">
      <c r="A4287" s="3"/>
      <c r="B4287" s="4"/>
      <c r="C4287" s="4"/>
      <c r="D4287" s="4"/>
      <c r="E4287" s="4"/>
      <c r="F4287" s="4"/>
      <c r="G4287" s="5"/>
      <c r="H4287" s="6"/>
      <c r="I4287" s="7"/>
      <c r="J4287" s="6"/>
      <c r="K4287" s="6"/>
      <c r="L4287" s="3"/>
      <c r="M4287" s="3" t="str">
        <f>IFERROR(__xludf.DUMMYFUNCTION("""COMPUTED_VALUE"""),"")</f>
        <v/>
      </c>
    </row>
    <row r="4288" ht="48.0" customHeight="1">
      <c r="A4288" s="3"/>
      <c r="B4288" s="4"/>
      <c r="C4288" s="4"/>
      <c r="D4288" s="4"/>
      <c r="E4288" s="4"/>
      <c r="F4288" s="4"/>
      <c r="G4288" s="5"/>
      <c r="H4288" s="6"/>
      <c r="I4288" s="7"/>
      <c r="J4288" s="6"/>
      <c r="K4288" s="6"/>
      <c r="L4288" s="3"/>
      <c r="M4288" s="3" t="str">
        <f>IFERROR(__xludf.DUMMYFUNCTION("""COMPUTED_VALUE"""),"")</f>
        <v/>
      </c>
    </row>
    <row r="4289" ht="48.0" customHeight="1">
      <c r="A4289" s="3"/>
      <c r="B4289" s="4"/>
      <c r="C4289" s="4"/>
      <c r="D4289" s="4"/>
      <c r="E4289" s="4"/>
      <c r="F4289" s="4"/>
      <c r="G4289" s="5"/>
      <c r="H4289" s="6"/>
      <c r="I4289" s="7"/>
      <c r="J4289" s="6"/>
      <c r="K4289" s="6"/>
      <c r="L4289" s="3"/>
      <c r="M4289" s="3" t="str">
        <f>IFERROR(__xludf.DUMMYFUNCTION("""COMPUTED_VALUE"""),"")</f>
        <v/>
      </c>
    </row>
    <row r="4290" ht="48.0" customHeight="1">
      <c r="A4290" s="3"/>
      <c r="B4290" s="4"/>
      <c r="C4290" s="4"/>
      <c r="D4290" s="4"/>
      <c r="E4290" s="4"/>
      <c r="F4290" s="4"/>
      <c r="G4290" s="5"/>
      <c r="H4290" s="6"/>
      <c r="I4290" s="7"/>
      <c r="J4290" s="6"/>
      <c r="K4290" s="6"/>
      <c r="L4290" s="3"/>
      <c r="M4290" s="3" t="str">
        <f>IFERROR(__xludf.DUMMYFUNCTION("""COMPUTED_VALUE"""),"")</f>
        <v/>
      </c>
    </row>
    <row r="4291" ht="48.0" customHeight="1">
      <c r="A4291" s="3"/>
      <c r="B4291" s="4"/>
      <c r="C4291" s="4"/>
      <c r="D4291" s="4"/>
      <c r="E4291" s="4"/>
      <c r="F4291" s="4"/>
      <c r="G4291" s="5"/>
      <c r="H4291" s="6"/>
      <c r="I4291" s="7"/>
      <c r="J4291" s="6"/>
      <c r="K4291" s="6"/>
      <c r="L4291" s="3"/>
      <c r="M4291" s="3" t="str">
        <f>IFERROR(__xludf.DUMMYFUNCTION("""COMPUTED_VALUE"""),"")</f>
        <v/>
      </c>
    </row>
    <row r="4292" ht="48.0" customHeight="1">
      <c r="A4292" s="3"/>
      <c r="B4292" s="4"/>
      <c r="C4292" s="4"/>
      <c r="D4292" s="4"/>
      <c r="E4292" s="4"/>
      <c r="F4292" s="4"/>
      <c r="G4292" s="5"/>
      <c r="H4292" s="6"/>
      <c r="I4292" s="7"/>
      <c r="J4292" s="6"/>
      <c r="K4292" s="6"/>
      <c r="L4292" s="3"/>
      <c r="M4292" s="3" t="str">
        <f>IFERROR(__xludf.DUMMYFUNCTION("""COMPUTED_VALUE"""),"")</f>
        <v/>
      </c>
    </row>
    <row r="4293" ht="48.0" customHeight="1">
      <c r="A4293" s="3"/>
      <c r="B4293" s="4"/>
      <c r="C4293" s="4"/>
      <c r="D4293" s="4"/>
      <c r="E4293" s="4"/>
      <c r="F4293" s="4"/>
      <c r="G4293" s="5"/>
      <c r="H4293" s="6"/>
      <c r="I4293" s="7"/>
      <c r="J4293" s="6"/>
      <c r="K4293" s="6"/>
      <c r="L4293" s="3"/>
      <c r="M4293" s="3" t="str">
        <f>IFERROR(__xludf.DUMMYFUNCTION("""COMPUTED_VALUE"""),"")</f>
        <v/>
      </c>
    </row>
    <row r="4294" ht="48.0" customHeight="1">
      <c r="A4294" s="3"/>
      <c r="B4294" s="4"/>
      <c r="C4294" s="4"/>
      <c r="D4294" s="4"/>
      <c r="E4294" s="4"/>
      <c r="F4294" s="4"/>
      <c r="G4294" s="5"/>
      <c r="H4294" s="6"/>
      <c r="I4294" s="7"/>
      <c r="J4294" s="6"/>
      <c r="K4294" s="6"/>
      <c r="L4294" s="3"/>
      <c r="M4294" s="3" t="str">
        <f>IFERROR(__xludf.DUMMYFUNCTION("""COMPUTED_VALUE"""),"")</f>
        <v/>
      </c>
    </row>
    <row r="4295" ht="48.0" customHeight="1">
      <c r="A4295" s="3"/>
      <c r="B4295" s="4"/>
      <c r="C4295" s="4"/>
      <c r="D4295" s="4"/>
      <c r="E4295" s="4"/>
      <c r="F4295" s="4"/>
      <c r="G4295" s="5"/>
      <c r="H4295" s="6"/>
      <c r="I4295" s="7"/>
      <c r="J4295" s="6"/>
      <c r="K4295" s="6"/>
      <c r="L4295" s="3"/>
      <c r="M4295" s="3" t="str">
        <f>IFERROR(__xludf.DUMMYFUNCTION("""COMPUTED_VALUE"""),"")</f>
        <v/>
      </c>
    </row>
    <row r="4296" ht="48.0" customHeight="1">
      <c r="A4296" s="3"/>
      <c r="B4296" s="4"/>
      <c r="C4296" s="4"/>
      <c r="D4296" s="4"/>
      <c r="E4296" s="4"/>
      <c r="F4296" s="4"/>
      <c r="G4296" s="5"/>
      <c r="H4296" s="6"/>
      <c r="I4296" s="7"/>
      <c r="J4296" s="6"/>
      <c r="K4296" s="6"/>
      <c r="L4296" s="3"/>
      <c r="M4296" s="3" t="str">
        <f>IFERROR(__xludf.DUMMYFUNCTION("""COMPUTED_VALUE"""),"")</f>
        <v/>
      </c>
    </row>
    <row r="4297" ht="48.0" customHeight="1">
      <c r="A4297" s="3"/>
      <c r="B4297" s="4"/>
      <c r="C4297" s="4"/>
      <c r="D4297" s="4"/>
      <c r="E4297" s="4"/>
      <c r="F4297" s="4"/>
      <c r="G4297" s="5"/>
      <c r="H4297" s="6"/>
      <c r="I4297" s="7"/>
      <c r="J4297" s="6"/>
      <c r="K4297" s="6"/>
      <c r="L4297" s="3"/>
      <c r="M4297" s="3" t="str">
        <f>IFERROR(__xludf.DUMMYFUNCTION("""COMPUTED_VALUE"""),"")</f>
        <v/>
      </c>
    </row>
    <row r="4298" ht="48.0" customHeight="1">
      <c r="A4298" s="3"/>
      <c r="B4298" s="4"/>
      <c r="C4298" s="4"/>
      <c r="D4298" s="4"/>
      <c r="E4298" s="4"/>
      <c r="F4298" s="4"/>
      <c r="G4298" s="5"/>
      <c r="H4298" s="6"/>
      <c r="I4298" s="7"/>
      <c r="J4298" s="6"/>
      <c r="K4298" s="6"/>
      <c r="L4298" s="3"/>
      <c r="M4298" s="3" t="str">
        <f>IFERROR(__xludf.DUMMYFUNCTION("""COMPUTED_VALUE"""),"")</f>
        <v/>
      </c>
    </row>
    <row r="4299" ht="48.0" customHeight="1">
      <c r="A4299" s="3"/>
      <c r="B4299" s="4"/>
      <c r="C4299" s="4"/>
      <c r="D4299" s="4"/>
      <c r="E4299" s="4"/>
      <c r="F4299" s="4"/>
      <c r="G4299" s="5"/>
      <c r="H4299" s="6"/>
      <c r="I4299" s="7"/>
      <c r="J4299" s="6"/>
      <c r="K4299" s="6"/>
      <c r="L4299" s="3"/>
      <c r="M4299" s="3" t="str">
        <f>IFERROR(__xludf.DUMMYFUNCTION("""COMPUTED_VALUE"""),"")</f>
        <v/>
      </c>
    </row>
    <row r="4300" ht="48.0" customHeight="1">
      <c r="A4300" s="3"/>
      <c r="B4300" s="4"/>
      <c r="C4300" s="4"/>
      <c r="D4300" s="4"/>
      <c r="E4300" s="4"/>
      <c r="F4300" s="4"/>
      <c r="G4300" s="5"/>
      <c r="H4300" s="6"/>
      <c r="I4300" s="7"/>
      <c r="J4300" s="6"/>
      <c r="K4300" s="6"/>
      <c r="L4300" s="3"/>
      <c r="M4300" s="3" t="str">
        <f>IFERROR(__xludf.DUMMYFUNCTION("""COMPUTED_VALUE"""),"")</f>
        <v/>
      </c>
    </row>
    <row r="4301" ht="48.0" customHeight="1">
      <c r="A4301" s="3"/>
      <c r="B4301" s="4"/>
      <c r="C4301" s="4"/>
      <c r="D4301" s="4"/>
      <c r="E4301" s="4"/>
      <c r="F4301" s="4"/>
      <c r="G4301" s="5"/>
      <c r="H4301" s="6"/>
      <c r="I4301" s="7"/>
      <c r="J4301" s="6"/>
      <c r="K4301" s="6"/>
      <c r="L4301" s="3"/>
      <c r="M4301" s="3" t="str">
        <f>IFERROR(__xludf.DUMMYFUNCTION("""COMPUTED_VALUE"""),"")</f>
        <v/>
      </c>
    </row>
    <row r="4302" ht="48.0" customHeight="1">
      <c r="A4302" s="3"/>
      <c r="B4302" s="4"/>
      <c r="C4302" s="4"/>
      <c r="D4302" s="4"/>
      <c r="E4302" s="4"/>
      <c r="F4302" s="4"/>
      <c r="G4302" s="5"/>
      <c r="H4302" s="6"/>
      <c r="I4302" s="7"/>
      <c r="J4302" s="6"/>
      <c r="K4302" s="6"/>
      <c r="L4302" s="3"/>
      <c r="M4302" s="3" t="str">
        <f>IFERROR(__xludf.DUMMYFUNCTION("""COMPUTED_VALUE"""),"")</f>
        <v/>
      </c>
    </row>
    <row r="4303" ht="48.0" customHeight="1">
      <c r="A4303" s="3"/>
      <c r="B4303" s="4"/>
      <c r="C4303" s="4"/>
      <c r="D4303" s="4"/>
      <c r="E4303" s="4"/>
      <c r="F4303" s="4"/>
      <c r="G4303" s="5"/>
      <c r="H4303" s="6"/>
      <c r="I4303" s="7"/>
      <c r="J4303" s="6"/>
      <c r="K4303" s="6"/>
      <c r="L4303" s="3"/>
      <c r="M4303" s="3" t="str">
        <f>IFERROR(__xludf.DUMMYFUNCTION("""COMPUTED_VALUE"""),"")</f>
        <v/>
      </c>
    </row>
    <row r="4304" ht="48.0" customHeight="1">
      <c r="A4304" s="3"/>
      <c r="B4304" s="4"/>
      <c r="C4304" s="4"/>
      <c r="D4304" s="4"/>
      <c r="E4304" s="4"/>
      <c r="F4304" s="4"/>
      <c r="G4304" s="5"/>
      <c r="H4304" s="6"/>
      <c r="I4304" s="7"/>
      <c r="J4304" s="6"/>
      <c r="K4304" s="6"/>
      <c r="L4304" s="3"/>
      <c r="M4304" s="3" t="str">
        <f>IFERROR(__xludf.DUMMYFUNCTION("""COMPUTED_VALUE"""),"")</f>
        <v/>
      </c>
    </row>
    <row r="4305" ht="48.0" customHeight="1">
      <c r="A4305" s="3"/>
      <c r="B4305" s="4"/>
      <c r="C4305" s="4"/>
      <c r="D4305" s="4"/>
      <c r="E4305" s="4"/>
      <c r="F4305" s="4"/>
      <c r="G4305" s="5"/>
      <c r="H4305" s="6"/>
      <c r="I4305" s="7"/>
      <c r="J4305" s="6"/>
      <c r="K4305" s="6"/>
      <c r="L4305" s="3"/>
      <c r="M4305" s="3" t="str">
        <f>IFERROR(__xludf.DUMMYFUNCTION("""COMPUTED_VALUE"""),"")</f>
        <v/>
      </c>
    </row>
    <row r="4306" ht="48.0" customHeight="1">
      <c r="A4306" s="3"/>
      <c r="B4306" s="4"/>
      <c r="C4306" s="4"/>
      <c r="D4306" s="4"/>
      <c r="E4306" s="4"/>
      <c r="F4306" s="4"/>
      <c r="G4306" s="5"/>
      <c r="H4306" s="6"/>
      <c r="I4306" s="7"/>
      <c r="J4306" s="6"/>
      <c r="K4306" s="6"/>
      <c r="L4306" s="3"/>
      <c r="M4306" s="3" t="str">
        <f>IFERROR(__xludf.DUMMYFUNCTION("""COMPUTED_VALUE"""),"")</f>
        <v/>
      </c>
    </row>
    <row r="4307" ht="48.0" customHeight="1">
      <c r="A4307" s="3"/>
      <c r="B4307" s="4"/>
      <c r="C4307" s="4"/>
      <c r="D4307" s="4"/>
      <c r="E4307" s="4"/>
      <c r="F4307" s="4"/>
      <c r="G4307" s="5"/>
      <c r="H4307" s="6"/>
      <c r="I4307" s="7"/>
      <c r="J4307" s="6"/>
      <c r="K4307" s="6"/>
      <c r="L4307" s="3"/>
      <c r="M4307" s="3" t="str">
        <f>IFERROR(__xludf.DUMMYFUNCTION("""COMPUTED_VALUE"""),"")</f>
        <v/>
      </c>
    </row>
    <row r="4308" ht="48.0" customHeight="1">
      <c r="A4308" s="3"/>
      <c r="B4308" s="4"/>
      <c r="C4308" s="4"/>
      <c r="D4308" s="4"/>
      <c r="E4308" s="4"/>
      <c r="F4308" s="4"/>
      <c r="G4308" s="5"/>
      <c r="H4308" s="6"/>
      <c r="I4308" s="7"/>
      <c r="J4308" s="6"/>
      <c r="K4308" s="6"/>
      <c r="L4308" s="3"/>
      <c r="M4308" s="3" t="str">
        <f>IFERROR(__xludf.DUMMYFUNCTION("""COMPUTED_VALUE"""),"")</f>
        <v/>
      </c>
    </row>
    <row r="4309" ht="48.0" customHeight="1">
      <c r="A4309" s="3"/>
      <c r="B4309" s="4"/>
      <c r="C4309" s="4"/>
      <c r="D4309" s="4"/>
      <c r="E4309" s="4"/>
      <c r="F4309" s="4"/>
      <c r="G4309" s="5"/>
      <c r="H4309" s="6"/>
      <c r="I4309" s="7"/>
      <c r="J4309" s="6"/>
      <c r="K4309" s="6"/>
      <c r="L4309" s="3"/>
      <c r="M4309" s="3" t="str">
        <f>IFERROR(__xludf.DUMMYFUNCTION("""COMPUTED_VALUE"""),"")</f>
        <v/>
      </c>
    </row>
    <row r="4310" ht="48.0" customHeight="1">
      <c r="A4310" s="3"/>
      <c r="B4310" s="4"/>
      <c r="C4310" s="4"/>
      <c r="D4310" s="4"/>
      <c r="E4310" s="4"/>
      <c r="F4310" s="4"/>
      <c r="G4310" s="5"/>
      <c r="H4310" s="6"/>
      <c r="I4310" s="7"/>
      <c r="J4310" s="6"/>
      <c r="K4310" s="6"/>
      <c r="L4310" s="3"/>
      <c r="M4310" s="3" t="str">
        <f>IFERROR(__xludf.DUMMYFUNCTION("""COMPUTED_VALUE"""),"")</f>
        <v/>
      </c>
    </row>
    <row r="4311" ht="48.0" customHeight="1">
      <c r="A4311" s="3"/>
      <c r="B4311" s="4"/>
      <c r="C4311" s="4"/>
      <c r="D4311" s="4"/>
      <c r="E4311" s="4"/>
      <c r="F4311" s="4"/>
      <c r="G4311" s="5"/>
      <c r="H4311" s="6"/>
      <c r="I4311" s="7"/>
      <c r="J4311" s="6"/>
      <c r="K4311" s="6"/>
      <c r="L4311" s="3"/>
      <c r="M4311" s="3" t="str">
        <f>IFERROR(__xludf.DUMMYFUNCTION("""COMPUTED_VALUE"""),"")</f>
        <v/>
      </c>
    </row>
    <row r="4312" ht="48.0" customHeight="1">
      <c r="A4312" s="3"/>
      <c r="B4312" s="4"/>
      <c r="C4312" s="4"/>
      <c r="D4312" s="4"/>
      <c r="E4312" s="4"/>
      <c r="F4312" s="4"/>
      <c r="G4312" s="5"/>
      <c r="H4312" s="6"/>
      <c r="I4312" s="7"/>
      <c r="J4312" s="6"/>
      <c r="K4312" s="6"/>
      <c r="L4312" s="3"/>
      <c r="M4312" s="3" t="str">
        <f>IFERROR(__xludf.DUMMYFUNCTION("""COMPUTED_VALUE"""),"")</f>
        <v/>
      </c>
    </row>
    <row r="4313" ht="48.0" customHeight="1">
      <c r="A4313" s="3"/>
      <c r="B4313" s="4"/>
      <c r="C4313" s="4"/>
      <c r="D4313" s="4"/>
      <c r="E4313" s="4"/>
      <c r="F4313" s="4"/>
      <c r="G4313" s="5"/>
      <c r="H4313" s="6"/>
      <c r="I4313" s="7"/>
      <c r="J4313" s="6"/>
      <c r="K4313" s="6"/>
      <c r="L4313" s="3"/>
      <c r="M4313" s="3" t="str">
        <f>IFERROR(__xludf.DUMMYFUNCTION("""COMPUTED_VALUE"""),"")</f>
        <v/>
      </c>
    </row>
    <row r="4314" ht="48.0" customHeight="1">
      <c r="A4314" s="3"/>
      <c r="B4314" s="4"/>
      <c r="C4314" s="4"/>
      <c r="D4314" s="4"/>
      <c r="E4314" s="4"/>
      <c r="F4314" s="4"/>
      <c r="G4314" s="5"/>
      <c r="H4314" s="6"/>
      <c r="I4314" s="7"/>
      <c r="J4314" s="6"/>
      <c r="K4314" s="6"/>
      <c r="L4314" s="3"/>
      <c r="M4314" s="3" t="str">
        <f>IFERROR(__xludf.DUMMYFUNCTION("""COMPUTED_VALUE"""),"")</f>
        <v/>
      </c>
    </row>
    <row r="4315" ht="48.0" customHeight="1">
      <c r="A4315" s="3"/>
      <c r="B4315" s="4"/>
      <c r="C4315" s="4"/>
      <c r="D4315" s="4"/>
      <c r="E4315" s="4"/>
      <c r="F4315" s="4"/>
      <c r="G4315" s="5"/>
      <c r="H4315" s="6"/>
      <c r="I4315" s="7"/>
      <c r="J4315" s="6"/>
      <c r="K4315" s="6"/>
      <c r="L4315" s="3"/>
      <c r="M4315" s="3" t="str">
        <f>IFERROR(__xludf.DUMMYFUNCTION("""COMPUTED_VALUE"""),"")</f>
        <v/>
      </c>
    </row>
    <row r="4316" ht="48.0" customHeight="1">
      <c r="A4316" s="3"/>
      <c r="B4316" s="4"/>
      <c r="C4316" s="4"/>
      <c r="D4316" s="4"/>
      <c r="E4316" s="4"/>
      <c r="F4316" s="4"/>
      <c r="G4316" s="5"/>
      <c r="H4316" s="6"/>
      <c r="I4316" s="7"/>
      <c r="J4316" s="6"/>
      <c r="K4316" s="6"/>
      <c r="L4316" s="3"/>
      <c r="M4316" s="3" t="str">
        <f>IFERROR(__xludf.DUMMYFUNCTION("""COMPUTED_VALUE"""),"")</f>
        <v/>
      </c>
    </row>
    <row r="4317" ht="48.0" customHeight="1">
      <c r="A4317" s="3"/>
      <c r="B4317" s="4"/>
      <c r="C4317" s="4"/>
      <c r="D4317" s="4"/>
      <c r="E4317" s="4"/>
      <c r="F4317" s="4"/>
      <c r="G4317" s="5"/>
      <c r="H4317" s="6"/>
      <c r="I4317" s="7"/>
      <c r="J4317" s="6"/>
      <c r="K4317" s="6"/>
      <c r="L4317" s="3"/>
      <c r="M4317" s="3" t="str">
        <f>IFERROR(__xludf.DUMMYFUNCTION("""COMPUTED_VALUE"""),"")</f>
        <v/>
      </c>
    </row>
    <row r="4318" ht="48.0" customHeight="1">
      <c r="A4318" s="3"/>
      <c r="B4318" s="4"/>
      <c r="C4318" s="4"/>
      <c r="D4318" s="4"/>
      <c r="E4318" s="4"/>
      <c r="F4318" s="4"/>
      <c r="G4318" s="5"/>
      <c r="H4318" s="6"/>
      <c r="I4318" s="7"/>
      <c r="J4318" s="6"/>
      <c r="K4318" s="6"/>
      <c r="L4318" s="3"/>
      <c r="M4318" s="3" t="str">
        <f>IFERROR(__xludf.DUMMYFUNCTION("""COMPUTED_VALUE"""),"")</f>
        <v/>
      </c>
    </row>
    <row r="4319" ht="48.0" customHeight="1">
      <c r="A4319" s="3"/>
      <c r="B4319" s="4"/>
      <c r="C4319" s="4"/>
      <c r="D4319" s="4"/>
      <c r="E4319" s="4"/>
      <c r="F4319" s="4"/>
      <c r="G4319" s="5"/>
      <c r="H4319" s="6"/>
      <c r="I4319" s="7"/>
      <c r="J4319" s="6"/>
      <c r="K4319" s="6"/>
      <c r="L4319" s="3"/>
      <c r="M4319" s="3" t="str">
        <f>IFERROR(__xludf.DUMMYFUNCTION("""COMPUTED_VALUE"""),"")</f>
        <v/>
      </c>
    </row>
    <row r="4320" ht="48.0" customHeight="1">
      <c r="A4320" s="3"/>
      <c r="B4320" s="4"/>
      <c r="C4320" s="4"/>
      <c r="D4320" s="4"/>
      <c r="E4320" s="4"/>
      <c r="F4320" s="4"/>
      <c r="G4320" s="5"/>
      <c r="H4320" s="6"/>
      <c r="I4320" s="7"/>
      <c r="J4320" s="6"/>
      <c r="K4320" s="6"/>
      <c r="L4320" s="3"/>
      <c r="M4320" s="3" t="str">
        <f>IFERROR(__xludf.DUMMYFUNCTION("""COMPUTED_VALUE"""),"")</f>
        <v/>
      </c>
    </row>
    <row r="4321" ht="48.0" customHeight="1">
      <c r="A4321" s="3"/>
      <c r="B4321" s="4"/>
      <c r="C4321" s="4"/>
      <c r="D4321" s="4"/>
      <c r="E4321" s="4"/>
      <c r="F4321" s="4"/>
      <c r="G4321" s="5"/>
      <c r="H4321" s="6"/>
      <c r="I4321" s="7"/>
      <c r="J4321" s="6"/>
      <c r="K4321" s="6"/>
      <c r="L4321" s="3"/>
      <c r="M4321" s="3" t="str">
        <f>IFERROR(__xludf.DUMMYFUNCTION("""COMPUTED_VALUE"""),"")</f>
        <v/>
      </c>
    </row>
    <row r="4322" ht="48.0" customHeight="1">
      <c r="A4322" s="3"/>
      <c r="B4322" s="4"/>
      <c r="C4322" s="4"/>
      <c r="D4322" s="4"/>
      <c r="E4322" s="4"/>
      <c r="F4322" s="4"/>
      <c r="G4322" s="5"/>
      <c r="H4322" s="6"/>
      <c r="I4322" s="7"/>
      <c r="J4322" s="6"/>
      <c r="K4322" s="6"/>
      <c r="L4322" s="3"/>
      <c r="M4322" s="3" t="str">
        <f>IFERROR(__xludf.DUMMYFUNCTION("""COMPUTED_VALUE"""),"")</f>
        <v/>
      </c>
    </row>
    <row r="4323" ht="48.0" customHeight="1">
      <c r="A4323" s="3"/>
      <c r="B4323" s="4"/>
      <c r="C4323" s="4"/>
      <c r="D4323" s="4"/>
      <c r="E4323" s="4"/>
      <c r="F4323" s="4"/>
      <c r="G4323" s="5"/>
      <c r="H4323" s="6"/>
      <c r="I4323" s="7"/>
      <c r="J4323" s="6"/>
      <c r="K4323" s="6"/>
      <c r="L4323" s="3"/>
      <c r="M4323" s="3" t="str">
        <f>IFERROR(__xludf.DUMMYFUNCTION("""COMPUTED_VALUE"""),"")</f>
        <v/>
      </c>
    </row>
    <row r="4324" ht="48.0" customHeight="1">
      <c r="A4324" s="3"/>
      <c r="B4324" s="4"/>
      <c r="C4324" s="4"/>
      <c r="D4324" s="4"/>
      <c r="E4324" s="4"/>
      <c r="F4324" s="4"/>
      <c r="G4324" s="5"/>
      <c r="H4324" s="6"/>
      <c r="I4324" s="7"/>
      <c r="J4324" s="6"/>
      <c r="K4324" s="6"/>
      <c r="L4324" s="3"/>
      <c r="M4324" s="3" t="str">
        <f>IFERROR(__xludf.DUMMYFUNCTION("""COMPUTED_VALUE"""),"")</f>
        <v/>
      </c>
    </row>
    <row r="4325" ht="48.0" customHeight="1">
      <c r="A4325" s="3"/>
      <c r="B4325" s="4"/>
      <c r="C4325" s="4"/>
      <c r="D4325" s="4"/>
      <c r="E4325" s="4"/>
      <c r="F4325" s="4"/>
      <c r="G4325" s="5"/>
      <c r="H4325" s="6"/>
      <c r="I4325" s="7"/>
      <c r="J4325" s="6"/>
      <c r="K4325" s="6"/>
      <c r="L4325" s="3"/>
      <c r="M4325" s="3" t="str">
        <f>IFERROR(__xludf.DUMMYFUNCTION("""COMPUTED_VALUE"""),"")</f>
        <v/>
      </c>
    </row>
    <row r="4326" ht="48.0" customHeight="1">
      <c r="A4326" s="3"/>
      <c r="B4326" s="4"/>
      <c r="C4326" s="4"/>
      <c r="D4326" s="4"/>
      <c r="E4326" s="4"/>
      <c r="F4326" s="4"/>
      <c r="G4326" s="5"/>
      <c r="H4326" s="6"/>
      <c r="I4326" s="7"/>
      <c r="J4326" s="6"/>
      <c r="K4326" s="6"/>
      <c r="L4326" s="3"/>
      <c r="M4326" s="3" t="str">
        <f>IFERROR(__xludf.DUMMYFUNCTION("""COMPUTED_VALUE"""),"")</f>
        <v/>
      </c>
    </row>
    <row r="4327" ht="48.0" customHeight="1">
      <c r="A4327" s="3"/>
      <c r="B4327" s="4"/>
      <c r="C4327" s="4"/>
      <c r="D4327" s="4"/>
      <c r="E4327" s="4"/>
      <c r="F4327" s="4"/>
      <c r="G4327" s="5"/>
      <c r="H4327" s="6"/>
      <c r="I4327" s="7"/>
      <c r="J4327" s="6"/>
      <c r="K4327" s="6"/>
      <c r="L4327" s="3"/>
      <c r="M4327" s="3" t="str">
        <f>IFERROR(__xludf.DUMMYFUNCTION("""COMPUTED_VALUE"""),"")</f>
        <v/>
      </c>
    </row>
    <row r="4328" ht="48.0" customHeight="1">
      <c r="A4328" s="3"/>
      <c r="B4328" s="4"/>
      <c r="C4328" s="4"/>
      <c r="D4328" s="4"/>
      <c r="E4328" s="4"/>
      <c r="F4328" s="4"/>
      <c r="G4328" s="5"/>
      <c r="H4328" s="6"/>
      <c r="I4328" s="7"/>
      <c r="J4328" s="6"/>
      <c r="K4328" s="6"/>
      <c r="L4328" s="3"/>
      <c r="M4328" s="3" t="str">
        <f>IFERROR(__xludf.DUMMYFUNCTION("""COMPUTED_VALUE"""),"")</f>
        <v/>
      </c>
    </row>
    <row r="4329" ht="48.0" customHeight="1">
      <c r="A4329" s="3"/>
      <c r="B4329" s="4"/>
      <c r="C4329" s="4"/>
      <c r="D4329" s="4"/>
      <c r="E4329" s="4"/>
      <c r="F4329" s="4"/>
      <c r="G4329" s="5"/>
      <c r="H4329" s="6"/>
      <c r="I4329" s="7"/>
      <c r="J4329" s="6"/>
      <c r="K4329" s="6"/>
      <c r="L4329" s="3"/>
      <c r="M4329" s="3" t="str">
        <f>IFERROR(__xludf.DUMMYFUNCTION("""COMPUTED_VALUE"""),"")</f>
        <v/>
      </c>
    </row>
    <row r="4330" ht="48.0" customHeight="1">
      <c r="A4330" s="3"/>
      <c r="B4330" s="4"/>
      <c r="C4330" s="4"/>
      <c r="D4330" s="4"/>
      <c r="E4330" s="4"/>
      <c r="F4330" s="4"/>
      <c r="G4330" s="5"/>
      <c r="H4330" s="6"/>
      <c r="I4330" s="7"/>
      <c r="J4330" s="6"/>
      <c r="K4330" s="6"/>
      <c r="L4330" s="3"/>
      <c r="M4330" s="3" t="str">
        <f>IFERROR(__xludf.DUMMYFUNCTION("""COMPUTED_VALUE"""),"")</f>
        <v/>
      </c>
    </row>
    <row r="4331" ht="48.0" customHeight="1">
      <c r="A4331" s="3"/>
      <c r="B4331" s="4"/>
      <c r="C4331" s="4"/>
      <c r="D4331" s="4"/>
      <c r="E4331" s="4"/>
      <c r="F4331" s="4"/>
      <c r="G4331" s="5"/>
      <c r="H4331" s="6"/>
      <c r="I4331" s="7"/>
      <c r="J4331" s="6"/>
      <c r="K4331" s="6"/>
      <c r="L4331" s="3"/>
      <c r="M4331" s="3" t="str">
        <f>IFERROR(__xludf.DUMMYFUNCTION("""COMPUTED_VALUE"""),"")</f>
        <v/>
      </c>
    </row>
    <row r="4332" ht="48.0" customHeight="1">
      <c r="A4332" s="3"/>
      <c r="B4332" s="4"/>
      <c r="C4332" s="4"/>
      <c r="D4332" s="4"/>
      <c r="E4332" s="4"/>
      <c r="F4332" s="4"/>
      <c r="G4332" s="5"/>
      <c r="H4332" s="6"/>
      <c r="I4332" s="7"/>
      <c r="J4332" s="6"/>
      <c r="K4332" s="6"/>
      <c r="L4332" s="3"/>
      <c r="M4332" s="3" t="str">
        <f>IFERROR(__xludf.DUMMYFUNCTION("""COMPUTED_VALUE"""),"")</f>
        <v/>
      </c>
    </row>
    <row r="4333" ht="48.0" customHeight="1">
      <c r="A4333" s="3"/>
      <c r="B4333" s="4"/>
      <c r="C4333" s="4"/>
      <c r="D4333" s="4"/>
      <c r="E4333" s="4"/>
      <c r="F4333" s="4"/>
      <c r="G4333" s="5"/>
      <c r="H4333" s="6"/>
      <c r="I4333" s="7"/>
      <c r="J4333" s="6"/>
      <c r="K4333" s="6"/>
      <c r="L4333" s="3"/>
      <c r="M4333" s="3" t="str">
        <f>IFERROR(__xludf.DUMMYFUNCTION("""COMPUTED_VALUE"""),"")</f>
        <v/>
      </c>
    </row>
    <row r="4334" ht="48.0" customHeight="1">
      <c r="A4334" s="3"/>
      <c r="B4334" s="4"/>
      <c r="C4334" s="4"/>
      <c r="D4334" s="4"/>
      <c r="E4334" s="4"/>
      <c r="F4334" s="4"/>
      <c r="G4334" s="5"/>
      <c r="H4334" s="6"/>
      <c r="I4334" s="7"/>
      <c r="J4334" s="6"/>
      <c r="K4334" s="6"/>
      <c r="L4334" s="3"/>
      <c r="M4334" s="3" t="str">
        <f>IFERROR(__xludf.DUMMYFUNCTION("""COMPUTED_VALUE"""),"")</f>
        <v/>
      </c>
    </row>
    <row r="4335" ht="48.0" customHeight="1">
      <c r="A4335" s="3"/>
      <c r="B4335" s="4"/>
      <c r="C4335" s="4"/>
      <c r="D4335" s="4"/>
      <c r="E4335" s="4"/>
      <c r="F4335" s="4"/>
      <c r="G4335" s="5"/>
      <c r="H4335" s="6"/>
      <c r="I4335" s="7"/>
      <c r="J4335" s="6"/>
      <c r="K4335" s="6"/>
      <c r="L4335" s="3"/>
      <c r="M4335" s="3" t="str">
        <f>IFERROR(__xludf.DUMMYFUNCTION("""COMPUTED_VALUE"""),"")</f>
        <v/>
      </c>
    </row>
    <row r="4336" ht="48.0" customHeight="1">
      <c r="A4336" s="3"/>
      <c r="B4336" s="4"/>
      <c r="C4336" s="4"/>
      <c r="D4336" s="4"/>
      <c r="E4336" s="4"/>
      <c r="F4336" s="4"/>
      <c r="G4336" s="5"/>
      <c r="H4336" s="6"/>
      <c r="I4336" s="7"/>
      <c r="J4336" s="6"/>
      <c r="K4336" s="6"/>
      <c r="L4336" s="3"/>
      <c r="M4336" s="3" t="str">
        <f>IFERROR(__xludf.DUMMYFUNCTION("""COMPUTED_VALUE"""),"")</f>
        <v/>
      </c>
    </row>
    <row r="4337" ht="48.0" customHeight="1">
      <c r="A4337" s="3"/>
      <c r="B4337" s="4"/>
      <c r="C4337" s="4"/>
      <c r="D4337" s="4"/>
      <c r="E4337" s="4"/>
      <c r="F4337" s="4"/>
      <c r="G4337" s="5"/>
      <c r="H4337" s="6"/>
      <c r="I4337" s="7"/>
      <c r="J4337" s="6"/>
      <c r="K4337" s="6"/>
      <c r="L4337" s="3"/>
      <c r="M4337" s="3" t="str">
        <f>IFERROR(__xludf.DUMMYFUNCTION("""COMPUTED_VALUE"""),"")</f>
        <v/>
      </c>
    </row>
    <row r="4338" ht="48.0" customHeight="1">
      <c r="A4338" s="3"/>
      <c r="B4338" s="4"/>
      <c r="C4338" s="4"/>
      <c r="D4338" s="4"/>
      <c r="E4338" s="4"/>
      <c r="F4338" s="4"/>
      <c r="G4338" s="5"/>
      <c r="H4338" s="6"/>
      <c r="I4338" s="7"/>
      <c r="J4338" s="6"/>
      <c r="K4338" s="6"/>
      <c r="L4338" s="3"/>
      <c r="M4338" s="3" t="str">
        <f>IFERROR(__xludf.DUMMYFUNCTION("""COMPUTED_VALUE"""),"")</f>
        <v/>
      </c>
    </row>
    <row r="4339" ht="48.0" customHeight="1">
      <c r="A4339" s="3"/>
      <c r="B4339" s="4"/>
      <c r="C4339" s="4"/>
      <c r="D4339" s="4"/>
      <c r="E4339" s="4"/>
      <c r="F4339" s="4"/>
      <c r="G4339" s="5"/>
      <c r="H4339" s="6"/>
      <c r="I4339" s="7"/>
      <c r="J4339" s="6"/>
      <c r="K4339" s="6"/>
      <c r="L4339" s="3"/>
      <c r="M4339" s="3" t="str">
        <f>IFERROR(__xludf.DUMMYFUNCTION("""COMPUTED_VALUE"""),"")</f>
        <v/>
      </c>
    </row>
    <row r="4340" ht="48.0" customHeight="1">
      <c r="A4340" s="3"/>
      <c r="B4340" s="4"/>
      <c r="C4340" s="4"/>
      <c r="D4340" s="4"/>
      <c r="E4340" s="4"/>
      <c r="F4340" s="4"/>
      <c r="G4340" s="5"/>
      <c r="H4340" s="6"/>
      <c r="I4340" s="7"/>
      <c r="J4340" s="6"/>
      <c r="K4340" s="6"/>
      <c r="L4340" s="3"/>
      <c r="M4340" s="3" t="str">
        <f>IFERROR(__xludf.DUMMYFUNCTION("""COMPUTED_VALUE"""),"")</f>
        <v/>
      </c>
    </row>
    <row r="4341" ht="48.0" customHeight="1">
      <c r="A4341" s="3"/>
      <c r="B4341" s="4"/>
      <c r="C4341" s="4"/>
      <c r="D4341" s="4"/>
      <c r="E4341" s="4"/>
      <c r="F4341" s="4"/>
      <c r="G4341" s="5"/>
      <c r="H4341" s="6"/>
      <c r="I4341" s="7"/>
      <c r="J4341" s="6"/>
      <c r="K4341" s="6"/>
      <c r="L4341" s="3"/>
      <c r="M4341" s="3" t="str">
        <f>IFERROR(__xludf.DUMMYFUNCTION("""COMPUTED_VALUE"""),"")</f>
        <v/>
      </c>
    </row>
    <row r="4342" ht="48.0" customHeight="1">
      <c r="A4342" s="3"/>
      <c r="B4342" s="4"/>
      <c r="C4342" s="4"/>
      <c r="D4342" s="4"/>
      <c r="E4342" s="4"/>
      <c r="F4342" s="4"/>
      <c r="G4342" s="5"/>
      <c r="H4342" s="6"/>
      <c r="I4342" s="7"/>
      <c r="J4342" s="6"/>
      <c r="K4342" s="6"/>
      <c r="L4342" s="3"/>
      <c r="M4342" s="3" t="str">
        <f>IFERROR(__xludf.DUMMYFUNCTION("""COMPUTED_VALUE"""),"")</f>
        <v/>
      </c>
    </row>
    <row r="4343" ht="48.0" customHeight="1">
      <c r="A4343" s="3"/>
      <c r="B4343" s="4"/>
      <c r="C4343" s="4"/>
      <c r="D4343" s="4"/>
      <c r="E4343" s="4"/>
      <c r="F4343" s="4"/>
      <c r="G4343" s="5"/>
      <c r="H4343" s="6"/>
      <c r="I4343" s="7"/>
      <c r="J4343" s="6"/>
      <c r="K4343" s="6"/>
      <c r="L4343" s="3"/>
      <c r="M4343" s="3" t="str">
        <f>IFERROR(__xludf.DUMMYFUNCTION("""COMPUTED_VALUE"""),"")</f>
        <v/>
      </c>
    </row>
    <row r="4344" ht="48.0" customHeight="1">
      <c r="A4344" s="3"/>
      <c r="B4344" s="4"/>
      <c r="C4344" s="4"/>
      <c r="D4344" s="4"/>
      <c r="E4344" s="4"/>
      <c r="F4344" s="4"/>
      <c r="G4344" s="5"/>
      <c r="H4344" s="6"/>
      <c r="I4344" s="7"/>
      <c r="J4344" s="6"/>
      <c r="K4344" s="6"/>
      <c r="L4344" s="3"/>
      <c r="M4344" s="3" t="str">
        <f>IFERROR(__xludf.DUMMYFUNCTION("""COMPUTED_VALUE"""),"")</f>
        <v/>
      </c>
    </row>
    <row r="4345" ht="48.0" customHeight="1">
      <c r="A4345" s="3"/>
      <c r="B4345" s="4"/>
      <c r="C4345" s="4"/>
      <c r="D4345" s="4"/>
      <c r="E4345" s="4"/>
      <c r="F4345" s="4"/>
      <c r="G4345" s="5"/>
      <c r="H4345" s="6"/>
      <c r="I4345" s="7"/>
      <c r="J4345" s="6"/>
      <c r="K4345" s="6"/>
      <c r="L4345" s="3"/>
      <c r="M4345" s="3" t="str">
        <f>IFERROR(__xludf.DUMMYFUNCTION("""COMPUTED_VALUE"""),"")</f>
        <v/>
      </c>
    </row>
    <row r="4346" ht="48.0" customHeight="1">
      <c r="A4346" s="3"/>
      <c r="B4346" s="4"/>
      <c r="C4346" s="4"/>
      <c r="D4346" s="4"/>
      <c r="E4346" s="4"/>
      <c r="F4346" s="4"/>
      <c r="G4346" s="5"/>
      <c r="H4346" s="6"/>
      <c r="I4346" s="7"/>
      <c r="J4346" s="6"/>
      <c r="K4346" s="6"/>
      <c r="L4346" s="3"/>
      <c r="M4346" s="3" t="str">
        <f>IFERROR(__xludf.DUMMYFUNCTION("""COMPUTED_VALUE"""),"")</f>
        <v/>
      </c>
    </row>
    <row r="4347" ht="48.0" customHeight="1">
      <c r="A4347" s="3"/>
      <c r="B4347" s="4"/>
      <c r="C4347" s="4"/>
      <c r="D4347" s="4"/>
      <c r="E4347" s="4"/>
      <c r="F4347" s="4"/>
      <c r="G4347" s="5"/>
      <c r="H4347" s="6"/>
      <c r="I4347" s="7"/>
      <c r="J4347" s="6"/>
      <c r="K4347" s="6"/>
      <c r="L4347" s="3"/>
      <c r="M4347" s="3" t="str">
        <f>IFERROR(__xludf.DUMMYFUNCTION("""COMPUTED_VALUE"""),"")</f>
        <v/>
      </c>
    </row>
    <row r="4348" ht="48.0" customHeight="1">
      <c r="A4348" s="3"/>
      <c r="B4348" s="4"/>
      <c r="C4348" s="4"/>
      <c r="D4348" s="4"/>
      <c r="E4348" s="4"/>
      <c r="F4348" s="4"/>
      <c r="G4348" s="5"/>
      <c r="H4348" s="6"/>
      <c r="I4348" s="7"/>
      <c r="J4348" s="6"/>
      <c r="K4348" s="6"/>
      <c r="L4348" s="3"/>
      <c r="M4348" s="3" t="str">
        <f>IFERROR(__xludf.DUMMYFUNCTION("""COMPUTED_VALUE"""),"")</f>
        <v/>
      </c>
    </row>
    <row r="4349" ht="48.0" customHeight="1">
      <c r="A4349" s="3"/>
      <c r="B4349" s="4"/>
      <c r="C4349" s="4"/>
      <c r="D4349" s="4"/>
      <c r="E4349" s="4"/>
      <c r="F4349" s="4"/>
      <c r="G4349" s="5"/>
      <c r="H4349" s="6"/>
      <c r="I4349" s="7"/>
      <c r="J4349" s="6"/>
      <c r="K4349" s="6"/>
      <c r="L4349" s="3"/>
      <c r="M4349" s="3" t="str">
        <f>IFERROR(__xludf.DUMMYFUNCTION("""COMPUTED_VALUE"""),"")</f>
        <v/>
      </c>
    </row>
    <row r="4350" ht="48.0" customHeight="1">
      <c r="A4350" s="3"/>
      <c r="B4350" s="4"/>
      <c r="C4350" s="4"/>
      <c r="D4350" s="4"/>
      <c r="E4350" s="4"/>
      <c r="F4350" s="4"/>
      <c r="G4350" s="5"/>
      <c r="H4350" s="6"/>
      <c r="I4350" s="7"/>
      <c r="J4350" s="6"/>
      <c r="K4350" s="6"/>
      <c r="L4350" s="3"/>
      <c r="M4350" s="3" t="str">
        <f>IFERROR(__xludf.DUMMYFUNCTION("""COMPUTED_VALUE"""),"")</f>
        <v/>
      </c>
    </row>
    <row r="4351" ht="48.0" customHeight="1">
      <c r="A4351" s="3"/>
      <c r="B4351" s="4"/>
      <c r="C4351" s="4"/>
      <c r="D4351" s="4"/>
      <c r="E4351" s="4"/>
      <c r="F4351" s="4"/>
      <c r="G4351" s="5"/>
      <c r="H4351" s="6"/>
      <c r="I4351" s="7"/>
      <c r="J4351" s="6"/>
      <c r="K4351" s="6"/>
      <c r="L4351" s="3"/>
      <c r="M4351" s="3" t="str">
        <f>IFERROR(__xludf.DUMMYFUNCTION("""COMPUTED_VALUE"""),"")</f>
        <v/>
      </c>
    </row>
    <row r="4352" ht="48.0" customHeight="1">
      <c r="A4352" s="3"/>
      <c r="B4352" s="4"/>
      <c r="C4352" s="4"/>
      <c r="D4352" s="4"/>
      <c r="E4352" s="4"/>
      <c r="F4352" s="4"/>
      <c r="G4352" s="5"/>
      <c r="H4352" s="6"/>
      <c r="I4352" s="7"/>
      <c r="J4352" s="6"/>
      <c r="K4352" s="6"/>
      <c r="L4352" s="3"/>
      <c r="M4352" s="3" t="str">
        <f>IFERROR(__xludf.DUMMYFUNCTION("""COMPUTED_VALUE"""),"")</f>
        <v/>
      </c>
    </row>
    <row r="4353" ht="48.0" customHeight="1">
      <c r="A4353" s="3"/>
      <c r="B4353" s="4"/>
      <c r="C4353" s="4"/>
      <c r="D4353" s="4"/>
      <c r="E4353" s="4"/>
      <c r="F4353" s="4"/>
      <c r="G4353" s="5"/>
      <c r="H4353" s="6"/>
      <c r="I4353" s="7"/>
      <c r="J4353" s="6"/>
      <c r="K4353" s="6"/>
      <c r="L4353" s="3"/>
      <c r="M4353" s="3" t="str">
        <f>IFERROR(__xludf.DUMMYFUNCTION("""COMPUTED_VALUE"""),"")</f>
        <v/>
      </c>
    </row>
    <row r="4354" ht="48.0" customHeight="1">
      <c r="A4354" s="3"/>
      <c r="B4354" s="4"/>
      <c r="C4354" s="4"/>
      <c r="D4354" s="4"/>
      <c r="E4354" s="4"/>
      <c r="F4354" s="4"/>
      <c r="G4354" s="5"/>
      <c r="H4354" s="6"/>
      <c r="I4354" s="7"/>
      <c r="J4354" s="6"/>
      <c r="K4354" s="6"/>
      <c r="L4354" s="3"/>
      <c r="M4354" s="3" t="str">
        <f>IFERROR(__xludf.DUMMYFUNCTION("""COMPUTED_VALUE"""),"")</f>
        <v/>
      </c>
    </row>
    <row r="4355" ht="48.0" customHeight="1">
      <c r="A4355" s="3"/>
      <c r="B4355" s="4"/>
      <c r="C4355" s="4"/>
      <c r="D4355" s="4"/>
      <c r="E4355" s="4"/>
      <c r="F4355" s="4"/>
      <c r="G4355" s="5"/>
      <c r="H4355" s="6"/>
      <c r="I4355" s="7"/>
      <c r="J4355" s="6"/>
      <c r="K4355" s="6"/>
      <c r="L4355" s="3"/>
      <c r="M4355" s="3" t="str">
        <f>IFERROR(__xludf.DUMMYFUNCTION("""COMPUTED_VALUE"""),"")</f>
        <v/>
      </c>
    </row>
    <row r="4356" ht="48.0" customHeight="1">
      <c r="A4356" s="3"/>
      <c r="B4356" s="4"/>
      <c r="C4356" s="4"/>
      <c r="D4356" s="4"/>
      <c r="E4356" s="4"/>
      <c r="F4356" s="4"/>
      <c r="G4356" s="5"/>
      <c r="H4356" s="6"/>
      <c r="I4356" s="7"/>
      <c r="J4356" s="6"/>
      <c r="K4356" s="6"/>
      <c r="L4356" s="3"/>
      <c r="M4356" s="3" t="str">
        <f>IFERROR(__xludf.DUMMYFUNCTION("""COMPUTED_VALUE"""),"")</f>
        <v/>
      </c>
    </row>
    <row r="4357" ht="48.0" customHeight="1">
      <c r="A4357" s="3"/>
      <c r="B4357" s="4"/>
      <c r="C4357" s="4"/>
      <c r="D4357" s="4"/>
      <c r="E4357" s="4"/>
      <c r="F4357" s="4"/>
      <c r="G4357" s="5"/>
      <c r="H4357" s="6"/>
      <c r="I4357" s="7"/>
      <c r="J4357" s="6"/>
      <c r="K4357" s="6"/>
      <c r="L4357" s="3"/>
      <c r="M4357" s="3" t="str">
        <f>IFERROR(__xludf.DUMMYFUNCTION("""COMPUTED_VALUE"""),"")</f>
        <v/>
      </c>
    </row>
    <row r="4358" ht="48.0" customHeight="1">
      <c r="A4358" s="3"/>
      <c r="B4358" s="4"/>
      <c r="C4358" s="4"/>
      <c r="D4358" s="4"/>
      <c r="E4358" s="4"/>
      <c r="F4358" s="4"/>
      <c r="G4358" s="5"/>
      <c r="H4358" s="6"/>
      <c r="I4358" s="7"/>
      <c r="J4358" s="6"/>
      <c r="K4358" s="6"/>
      <c r="L4358" s="3"/>
      <c r="M4358" s="3" t="str">
        <f>IFERROR(__xludf.DUMMYFUNCTION("""COMPUTED_VALUE"""),"")</f>
        <v/>
      </c>
    </row>
    <row r="4359" ht="48.0" customHeight="1">
      <c r="A4359" s="3"/>
      <c r="B4359" s="4"/>
      <c r="C4359" s="4"/>
      <c r="D4359" s="4"/>
      <c r="E4359" s="4"/>
      <c r="F4359" s="4"/>
      <c r="G4359" s="5"/>
      <c r="H4359" s="6"/>
      <c r="I4359" s="7"/>
      <c r="J4359" s="6"/>
      <c r="K4359" s="6"/>
      <c r="L4359" s="3"/>
      <c r="M4359" s="3" t="str">
        <f>IFERROR(__xludf.DUMMYFUNCTION("""COMPUTED_VALUE"""),"")</f>
        <v/>
      </c>
    </row>
    <row r="4360" ht="48.0" customHeight="1">
      <c r="A4360" s="3"/>
      <c r="B4360" s="4"/>
      <c r="C4360" s="4"/>
      <c r="D4360" s="4"/>
      <c r="E4360" s="4"/>
      <c r="F4360" s="4"/>
      <c r="G4360" s="5"/>
      <c r="H4360" s="6"/>
      <c r="I4360" s="7"/>
      <c r="J4360" s="6"/>
      <c r="K4360" s="6"/>
      <c r="L4360" s="3"/>
      <c r="M4360" s="3" t="str">
        <f>IFERROR(__xludf.DUMMYFUNCTION("""COMPUTED_VALUE"""),"")</f>
        <v/>
      </c>
    </row>
    <row r="4361" ht="48.0" customHeight="1">
      <c r="A4361" s="3"/>
      <c r="B4361" s="4"/>
      <c r="C4361" s="4"/>
      <c r="D4361" s="4"/>
      <c r="E4361" s="4"/>
      <c r="F4361" s="4"/>
      <c r="G4361" s="5"/>
      <c r="H4361" s="6"/>
      <c r="I4361" s="7"/>
      <c r="J4361" s="6"/>
      <c r="K4361" s="6"/>
      <c r="L4361" s="3"/>
      <c r="M4361" s="3" t="str">
        <f>IFERROR(__xludf.DUMMYFUNCTION("""COMPUTED_VALUE"""),"")</f>
        <v/>
      </c>
    </row>
    <row r="4362" ht="48.0" customHeight="1">
      <c r="A4362" s="3"/>
      <c r="B4362" s="4"/>
      <c r="C4362" s="4"/>
      <c r="D4362" s="4"/>
      <c r="E4362" s="4"/>
      <c r="F4362" s="4"/>
      <c r="G4362" s="5"/>
      <c r="H4362" s="6"/>
      <c r="I4362" s="7"/>
      <c r="J4362" s="6"/>
      <c r="K4362" s="6"/>
      <c r="L4362" s="3"/>
      <c r="M4362" s="3" t="str">
        <f>IFERROR(__xludf.DUMMYFUNCTION("""COMPUTED_VALUE"""),"")</f>
        <v/>
      </c>
    </row>
    <row r="4363" ht="48.0" customHeight="1">
      <c r="A4363" s="3"/>
      <c r="B4363" s="4"/>
      <c r="C4363" s="4"/>
      <c r="D4363" s="4"/>
      <c r="E4363" s="4"/>
      <c r="F4363" s="4"/>
      <c r="G4363" s="5"/>
      <c r="H4363" s="6"/>
      <c r="I4363" s="7"/>
      <c r="J4363" s="6"/>
      <c r="K4363" s="6"/>
      <c r="L4363" s="3"/>
      <c r="M4363" s="3" t="str">
        <f>IFERROR(__xludf.DUMMYFUNCTION("""COMPUTED_VALUE"""),"")</f>
        <v/>
      </c>
    </row>
    <row r="4364" ht="48.0" customHeight="1">
      <c r="A4364" s="3"/>
      <c r="B4364" s="4"/>
      <c r="C4364" s="4"/>
      <c r="D4364" s="4"/>
      <c r="E4364" s="4"/>
      <c r="F4364" s="4"/>
      <c r="G4364" s="5"/>
      <c r="H4364" s="6"/>
      <c r="I4364" s="7"/>
      <c r="J4364" s="6"/>
      <c r="K4364" s="6"/>
      <c r="L4364" s="3"/>
      <c r="M4364" s="3" t="str">
        <f>IFERROR(__xludf.DUMMYFUNCTION("""COMPUTED_VALUE"""),"")</f>
        <v/>
      </c>
    </row>
    <row r="4365" ht="48.0" customHeight="1">
      <c r="A4365" s="3"/>
      <c r="B4365" s="4"/>
      <c r="C4365" s="4"/>
      <c r="D4365" s="4"/>
      <c r="E4365" s="4"/>
      <c r="F4365" s="4"/>
      <c r="G4365" s="5"/>
      <c r="H4365" s="6"/>
      <c r="I4365" s="7"/>
      <c r="J4365" s="6"/>
      <c r="K4365" s="6"/>
      <c r="L4365" s="3"/>
      <c r="M4365" s="3" t="str">
        <f>IFERROR(__xludf.DUMMYFUNCTION("""COMPUTED_VALUE"""),"")</f>
        <v/>
      </c>
    </row>
    <row r="4366" ht="48.0" customHeight="1">
      <c r="A4366" s="3"/>
      <c r="B4366" s="4"/>
      <c r="C4366" s="4"/>
      <c r="D4366" s="4"/>
      <c r="E4366" s="4"/>
      <c r="F4366" s="4"/>
      <c r="G4366" s="5"/>
      <c r="H4366" s="6"/>
      <c r="I4366" s="7"/>
      <c r="J4366" s="6"/>
      <c r="K4366" s="6"/>
      <c r="L4366" s="3"/>
      <c r="M4366" s="3" t="str">
        <f>IFERROR(__xludf.DUMMYFUNCTION("""COMPUTED_VALUE"""),"")</f>
        <v/>
      </c>
    </row>
    <row r="4367" ht="48.0" customHeight="1">
      <c r="A4367" s="3"/>
      <c r="B4367" s="4"/>
      <c r="C4367" s="4"/>
      <c r="D4367" s="4"/>
      <c r="E4367" s="4"/>
      <c r="F4367" s="4"/>
      <c r="G4367" s="5"/>
      <c r="H4367" s="6"/>
      <c r="I4367" s="7"/>
      <c r="J4367" s="6"/>
      <c r="K4367" s="6"/>
      <c r="L4367" s="3"/>
      <c r="M4367" s="3" t="str">
        <f>IFERROR(__xludf.DUMMYFUNCTION("""COMPUTED_VALUE"""),"")</f>
        <v/>
      </c>
    </row>
    <row r="4368" ht="48.0" customHeight="1">
      <c r="A4368" s="3"/>
      <c r="B4368" s="4"/>
      <c r="C4368" s="4"/>
      <c r="D4368" s="4"/>
      <c r="E4368" s="4"/>
      <c r="F4368" s="4"/>
      <c r="G4368" s="5"/>
      <c r="H4368" s="6"/>
      <c r="I4368" s="7"/>
      <c r="J4368" s="6"/>
      <c r="K4368" s="6"/>
      <c r="L4368" s="3"/>
      <c r="M4368" s="3" t="str">
        <f>IFERROR(__xludf.DUMMYFUNCTION("""COMPUTED_VALUE"""),"")</f>
        <v/>
      </c>
    </row>
    <row r="4369" ht="48.0" customHeight="1">
      <c r="A4369" s="3"/>
      <c r="B4369" s="4"/>
      <c r="C4369" s="4"/>
      <c r="D4369" s="4"/>
      <c r="E4369" s="4"/>
      <c r="F4369" s="4"/>
      <c r="G4369" s="5"/>
      <c r="H4369" s="6"/>
      <c r="I4369" s="7"/>
      <c r="J4369" s="6"/>
      <c r="K4369" s="6"/>
      <c r="L4369" s="3"/>
      <c r="M4369" s="3" t="str">
        <f>IFERROR(__xludf.DUMMYFUNCTION("""COMPUTED_VALUE"""),"")</f>
        <v/>
      </c>
    </row>
    <row r="4370" ht="48.0" customHeight="1">
      <c r="A4370" s="3"/>
      <c r="B4370" s="4"/>
      <c r="C4370" s="4"/>
      <c r="D4370" s="4"/>
      <c r="E4370" s="4"/>
      <c r="F4370" s="4"/>
      <c r="G4370" s="5"/>
      <c r="H4370" s="6"/>
      <c r="I4370" s="7"/>
      <c r="J4370" s="6"/>
      <c r="K4370" s="6"/>
      <c r="L4370" s="3"/>
      <c r="M4370" s="3" t="str">
        <f>IFERROR(__xludf.DUMMYFUNCTION("""COMPUTED_VALUE"""),"")</f>
        <v/>
      </c>
    </row>
    <row r="4371" ht="48.0" customHeight="1">
      <c r="A4371" s="3"/>
      <c r="B4371" s="4"/>
      <c r="C4371" s="4"/>
      <c r="D4371" s="4"/>
      <c r="E4371" s="4"/>
      <c r="F4371" s="4"/>
      <c r="G4371" s="5"/>
      <c r="H4371" s="6"/>
      <c r="I4371" s="7"/>
      <c r="J4371" s="6"/>
      <c r="K4371" s="6"/>
      <c r="L4371" s="3"/>
      <c r="M4371" s="3" t="str">
        <f>IFERROR(__xludf.DUMMYFUNCTION("""COMPUTED_VALUE"""),"")</f>
        <v/>
      </c>
    </row>
    <row r="4372" ht="48.0" customHeight="1">
      <c r="A4372" s="3"/>
      <c r="B4372" s="4"/>
      <c r="C4372" s="4"/>
      <c r="D4372" s="4"/>
      <c r="E4372" s="4"/>
      <c r="F4372" s="4"/>
      <c r="G4372" s="5"/>
      <c r="H4372" s="6"/>
      <c r="I4372" s="7"/>
      <c r="J4372" s="6"/>
      <c r="K4372" s="6"/>
      <c r="L4372" s="3"/>
      <c r="M4372" s="3" t="str">
        <f>IFERROR(__xludf.DUMMYFUNCTION("""COMPUTED_VALUE"""),"")</f>
        <v/>
      </c>
    </row>
    <row r="4373" ht="48.0" customHeight="1">
      <c r="A4373" s="3"/>
      <c r="B4373" s="4"/>
      <c r="C4373" s="4"/>
      <c r="D4373" s="4"/>
      <c r="E4373" s="4"/>
      <c r="F4373" s="4"/>
      <c r="G4373" s="5"/>
      <c r="H4373" s="6"/>
      <c r="I4373" s="7"/>
      <c r="J4373" s="6"/>
      <c r="K4373" s="6"/>
      <c r="L4373" s="3"/>
      <c r="M4373" s="3" t="str">
        <f>IFERROR(__xludf.DUMMYFUNCTION("""COMPUTED_VALUE"""),"")</f>
        <v/>
      </c>
    </row>
    <row r="4374" ht="48.0" customHeight="1">
      <c r="A4374" s="3"/>
      <c r="B4374" s="4"/>
      <c r="C4374" s="4"/>
      <c r="D4374" s="4"/>
      <c r="E4374" s="4"/>
      <c r="F4374" s="4"/>
      <c r="G4374" s="5"/>
      <c r="H4374" s="6"/>
      <c r="I4374" s="7"/>
      <c r="J4374" s="6"/>
      <c r="K4374" s="6"/>
      <c r="L4374" s="3"/>
      <c r="M4374" s="3" t="str">
        <f>IFERROR(__xludf.DUMMYFUNCTION("""COMPUTED_VALUE"""),"")</f>
        <v/>
      </c>
    </row>
    <row r="4375" ht="48.0" customHeight="1">
      <c r="A4375" s="3"/>
      <c r="B4375" s="4"/>
      <c r="C4375" s="4"/>
      <c r="D4375" s="4"/>
      <c r="E4375" s="4"/>
      <c r="F4375" s="4"/>
      <c r="G4375" s="5"/>
      <c r="H4375" s="6"/>
      <c r="I4375" s="7"/>
      <c r="J4375" s="6"/>
      <c r="K4375" s="6"/>
      <c r="L4375" s="3"/>
      <c r="M4375" s="3" t="str">
        <f>IFERROR(__xludf.DUMMYFUNCTION("""COMPUTED_VALUE"""),"")</f>
        <v/>
      </c>
    </row>
    <row r="4376" ht="48.0" customHeight="1">
      <c r="A4376" s="3"/>
      <c r="B4376" s="4"/>
      <c r="C4376" s="4"/>
      <c r="D4376" s="4"/>
      <c r="E4376" s="4"/>
      <c r="F4376" s="4"/>
      <c r="G4376" s="5"/>
      <c r="H4376" s="6"/>
      <c r="I4376" s="7"/>
      <c r="J4376" s="6"/>
      <c r="K4376" s="6"/>
      <c r="L4376" s="3"/>
      <c r="M4376" s="3" t="str">
        <f>IFERROR(__xludf.DUMMYFUNCTION("""COMPUTED_VALUE"""),"")</f>
        <v/>
      </c>
    </row>
    <row r="4377" ht="48.0" customHeight="1">
      <c r="A4377" s="3"/>
      <c r="B4377" s="4"/>
      <c r="C4377" s="4"/>
      <c r="D4377" s="4"/>
      <c r="E4377" s="4"/>
      <c r="F4377" s="4"/>
      <c r="G4377" s="5"/>
      <c r="H4377" s="6"/>
      <c r="I4377" s="7"/>
      <c r="J4377" s="6"/>
      <c r="K4377" s="6"/>
      <c r="L4377" s="3"/>
      <c r="M4377" s="3" t="str">
        <f>IFERROR(__xludf.DUMMYFUNCTION("""COMPUTED_VALUE"""),"")</f>
        <v/>
      </c>
    </row>
    <row r="4378" ht="48.0" customHeight="1">
      <c r="A4378" s="3"/>
      <c r="B4378" s="4"/>
      <c r="C4378" s="4"/>
      <c r="D4378" s="4"/>
      <c r="E4378" s="4"/>
      <c r="F4378" s="4"/>
      <c r="G4378" s="5"/>
      <c r="H4378" s="6"/>
      <c r="I4378" s="7"/>
      <c r="J4378" s="6"/>
      <c r="K4378" s="6"/>
      <c r="L4378" s="3"/>
      <c r="M4378" s="3" t="str">
        <f>IFERROR(__xludf.DUMMYFUNCTION("""COMPUTED_VALUE"""),"")</f>
        <v/>
      </c>
    </row>
    <row r="4379" ht="48.0" customHeight="1">
      <c r="A4379" s="3"/>
      <c r="B4379" s="4"/>
      <c r="C4379" s="4"/>
      <c r="D4379" s="4"/>
      <c r="E4379" s="4"/>
      <c r="F4379" s="4"/>
      <c r="G4379" s="5"/>
      <c r="H4379" s="6"/>
      <c r="I4379" s="7"/>
      <c r="J4379" s="6"/>
      <c r="K4379" s="6"/>
      <c r="L4379" s="3"/>
      <c r="M4379" s="3" t="str">
        <f>IFERROR(__xludf.DUMMYFUNCTION("""COMPUTED_VALUE"""),"")</f>
        <v/>
      </c>
    </row>
    <row r="4380" ht="48.0" customHeight="1">
      <c r="A4380" s="3"/>
      <c r="B4380" s="4"/>
      <c r="C4380" s="4"/>
      <c r="D4380" s="4"/>
      <c r="E4380" s="4"/>
      <c r="F4380" s="4"/>
      <c r="G4380" s="5"/>
      <c r="H4380" s="6"/>
      <c r="I4380" s="7"/>
      <c r="J4380" s="6"/>
      <c r="K4380" s="6"/>
      <c r="L4380" s="3"/>
      <c r="M4380" s="3" t="str">
        <f>IFERROR(__xludf.DUMMYFUNCTION("""COMPUTED_VALUE"""),"")</f>
        <v/>
      </c>
    </row>
    <row r="4381" ht="48.0" customHeight="1">
      <c r="A4381" s="3"/>
      <c r="B4381" s="4"/>
      <c r="C4381" s="4"/>
      <c r="D4381" s="4"/>
      <c r="E4381" s="4"/>
      <c r="F4381" s="4"/>
      <c r="G4381" s="5"/>
      <c r="H4381" s="6"/>
      <c r="I4381" s="7"/>
      <c r="J4381" s="6"/>
      <c r="K4381" s="6"/>
      <c r="L4381" s="3"/>
      <c r="M4381" s="3" t="str">
        <f>IFERROR(__xludf.DUMMYFUNCTION("""COMPUTED_VALUE"""),"")</f>
        <v/>
      </c>
    </row>
    <row r="4382" ht="48.0" customHeight="1">
      <c r="A4382" s="3"/>
      <c r="B4382" s="4"/>
      <c r="C4382" s="4"/>
      <c r="D4382" s="4"/>
      <c r="E4382" s="4"/>
      <c r="F4382" s="4"/>
      <c r="G4382" s="5"/>
      <c r="H4382" s="6"/>
      <c r="I4382" s="7"/>
      <c r="J4382" s="6"/>
      <c r="K4382" s="6"/>
      <c r="L4382" s="3"/>
      <c r="M4382" s="3" t="str">
        <f>IFERROR(__xludf.DUMMYFUNCTION("""COMPUTED_VALUE"""),"")</f>
        <v/>
      </c>
    </row>
    <row r="4383" ht="48.0" customHeight="1">
      <c r="A4383" s="3"/>
      <c r="B4383" s="4"/>
      <c r="C4383" s="4"/>
      <c r="D4383" s="4"/>
      <c r="E4383" s="4"/>
      <c r="F4383" s="4"/>
      <c r="G4383" s="5"/>
      <c r="H4383" s="6"/>
      <c r="I4383" s="7"/>
      <c r="J4383" s="6"/>
      <c r="K4383" s="6"/>
      <c r="L4383" s="3"/>
      <c r="M4383" s="3" t="str">
        <f>IFERROR(__xludf.DUMMYFUNCTION("""COMPUTED_VALUE"""),"")</f>
        <v/>
      </c>
    </row>
    <row r="4384" ht="48.0" customHeight="1">
      <c r="A4384" s="3"/>
      <c r="B4384" s="4"/>
      <c r="C4384" s="4"/>
      <c r="D4384" s="4"/>
      <c r="E4384" s="4"/>
      <c r="F4384" s="4"/>
      <c r="G4384" s="5"/>
      <c r="H4384" s="6"/>
      <c r="I4384" s="7"/>
      <c r="J4384" s="6"/>
      <c r="K4384" s="6"/>
      <c r="L4384" s="3"/>
      <c r="M4384" s="3" t="str">
        <f>IFERROR(__xludf.DUMMYFUNCTION("""COMPUTED_VALUE"""),"")</f>
        <v/>
      </c>
    </row>
    <row r="4385" ht="48.0" customHeight="1">
      <c r="A4385" s="3"/>
      <c r="B4385" s="4"/>
      <c r="C4385" s="4"/>
      <c r="D4385" s="4"/>
      <c r="E4385" s="4"/>
      <c r="F4385" s="4"/>
      <c r="G4385" s="5"/>
      <c r="H4385" s="6"/>
      <c r="I4385" s="7"/>
      <c r="J4385" s="6"/>
      <c r="K4385" s="6"/>
      <c r="L4385" s="3"/>
      <c r="M4385" s="3" t="str">
        <f>IFERROR(__xludf.DUMMYFUNCTION("""COMPUTED_VALUE"""),"")</f>
        <v/>
      </c>
    </row>
    <row r="4386" ht="48.0" customHeight="1">
      <c r="A4386" s="3"/>
      <c r="B4386" s="4"/>
      <c r="C4386" s="4"/>
      <c r="D4386" s="4"/>
      <c r="E4386" s="4"/>
      <c r="F4386" s="4"/>
      <c r="G4386" s="5"/>
      <c r="H4386" s="6"/>
      <c r="I4386" s="7"/>
      <c r="J4386" s="6"/>
      <c r="K4386" s="6"/>
      <c r="L4386" s="3"/>
      <c r="M4386" s="3" t="str">
        <f>IFERROR(__xludf.DUMMYFUNCTION("""COMPUTED_VALUE"""),"")</f>
        <v/>
      </c>
    </row>
    <row r="4387" ht="48.0" customHeight="1">
      <c r="A4387" s="3"/>
      <c r="B4387" s="4"/>
      <c r="C4387" s="4"/>
      <c r="D4387" s="4"/>
      <c r="E4387" s="4"/>
      <c r="F4387" s="4"/>
      <c r="G4387" s="5"/>
      <c r="H4387" s="6"/>
      <c r="I4387" s="7"/>
      <c r="J4387" s="6"/>
      <c r="K4387" s="6"/>
      <c r="L4387" s="3"/>
      <c r="M4387" s="3" t="str">
        <f>IFERROR(__xludf.DUMMYFUNCTION("""COMPUTED_VALUE"""),"")</f>
        <v/>
      </c>
    </row>
    <row r="4388" ht="48.0" customHeight="1">
      <c r="A4388" s="3"/>
      <c r="B4388" s="4"/>
      <c r="C4388" s="4"/>
      <c r="D4388" s="4"/>
      <c r="E4388" s="4"/>
      <c r="F4388" s="4"/>
      <c r="G4388" s="5"/>
      <c r="H4388" s="6"/>
      <c r="I4388" s="7"/>
      <c r="J4388" s="6"/>
      <c r="K4388" s="6"/>
      <c r="L4388" s="3"/>
      <c r="M4388" s="3" t="str">
        <f>IFERROR(__xludf.DUMMYFUNCTION("""COMPUTED_VALUE"""),"")</f>
        <v/>
      </c>
    </row>
    <row r="4389" ht="48.0" customHeight="1">
      <c r="A4389" s="3"/>
      <c r="B4389" s="4"/>
      <c r="C4389" s="4"/>
      <c r="D4389" s="4"/>
      <c r="E4389" s="4"/>
      <c r="F4389" s="4"/>
      <c r="G4389" s="5"/>
      <c r="H4389" s="6"/>
      <c r="I4389" s="7"/>
      <c r="J4389" s="6"/>
      <c r="K4389" s="6"/>
      <c r="L4389" s="3"/>
      <c r="M4389" s="3" t="str">
        <f>IFERROR(__xludf.DUMMYFUNCTION("""COMPUTED_VALUE"""),"")</f>
        <v/>
      </c>
    </row>
    <row r="4390" ht="48.0" customHeight="1">
      <c r="A4390" s="3"/>
      <c r="B4390" s="4"/>
      <c r="C4390" s="4"/>
      <c r="D4390" s="4"/>
      <c r="E4390" s="4"/>
      <c r="F4390" s="4"/>
      <c r="G4390" s="5"/>
      <c r="H4390" s="6"/>
      <c r="I4390" s="7"/>
      <c r="J4390" s="6"/>
      <c r="K4390" s="6"/>
      <c r="L4390" s="3"/>
      <c r="M4390" s="3" t="str">
        <f>IFERROR(__xludf.DUMMYFUNCTION("""COMPUTED_VALUE"""),"")</f>
        <v/>
      </c>
    </row>
    <row r="4391" ht="48.0" customHeight="1">
      <c r="A4391" s="3"/>
      <c r="B4391" s="4"/>
      <c r="C4391" s="4"/>
      <c r="D4391" s="4"/>
      <c r="E4391" s="4"/>
      <c r="F4391" s="4"/>
      <c r="G4391" s="5"/>
      <c r="H4391" s="6"/>
      <c r="I4391" s="7"/>
      <c r="J4391" s="6"/>
      <c r="K4391" s="6"/>
      <c r="L4391" s="3"/>
      <c r="M4391" s="3" t="str">
        <f>IFERROR(__xludf.DUMMYFUNCTION("""COMPUTED_VALUE"""),"")</f>
        <v/>
      </c>
    </row>
    <row r="4392" ht="48.0" customHeight="1">
      <c r="A4392" s="3"/>
      <c r="B4392" s="4"/>
      <c r="C4392" s="4"/>
      <c r="D4392" s="4"/>
      <c r="E4392" s="4"/>
      <c r="F4392" s="4"/>
      <c r="G4392" s="5"/>
      <c r="H4392" s="6"/>
      <c r="I4392" s="7"/>
      <c r="J4392" s="6"/>
      <c r="K4392" s="6"/>
      <c r="L4392" s="3"/>
      <c r="M4392" s="3" t="str">
        <f>IFERROR(__xludf.DUMMYFUNCTION("""COMPUTED_VALUE"""),"")</f>
        <v/>
      </c>
    </row>
    <row r="4393" ht="48.0" customHeight="1">
      <c r="A4393" s="3"/>
      <c r="B4393" s="4"/>
      <c r="C4393" s="4"/>
      <c r="D4393" s="4"/>
      <c r="E4393" s="4"/>
      <c r="F4393" s="4"/>
      <c r="G4393" s="5"/>
      <c r="H4393" s="6"/>
      <c r="I4393" s="7"/>
      <c r="J4393" s="6"/>
      <c r="K4393" s="6"/>
      <c r="L4393" s="3"/>
      <c r="M4393" s="3" t="str">
        <f>IFERROR(__xludf.DUMMYFUNCTION("""COMPUTED_VALUE"""),"")</f>
        <v/>
      </c>
    </row>
    <row r="4394" ht="48.0" customHeight="1">
      <c r="A4394" s="3"/>
      <c r="B4394" s="4"/>
      <c r="C4394" s="4"/>
      <c r="D4394" s="4"/>
      <c r="E4394" s="4"/>
      <c r="F4394" s="4"/>
      <c r="G4394" s="5"/>
      <c r="H4394" s="6"/>
      <c r="I4394" s="7"/>
      <c r="J4394" s="6"/>
      <c r="K4394" s="6"/>
      <c r="L4394" s="3"/>
      <c r="M4394" s="3" t="str">
        <f>IFERROR(__xludf.DUMMYFUNCTION("""COMPUTED_VALUE"""),"")</f>
        <v/>
      </c>
    </row>
    <row r="4395" ht="48.0" customHeight="1">
      <c r="A4395" s="3"/>
      <c r="B4395" s="4"/>
      <c r="C4395" s="4"/>
      <c r="D4395" s="4"/>
      <c r="E4395" s="4"/>
      <c r="F4395" s="4"/>
      <c r="G4395" s="5"/>
      <c r="H4395" s="6"/>
      <c r="I4395" s="7"/>
      <c r="J4395" s="6"/>
      <c r="K4395" s="6"/>
      <c r="L4395" s="3"/>
      <c r="M4395" s="3" t="str">
        <f>IFERROR(__xludf.DUMMYFUNCTION("""COMPUTED_VALUE"""),"")</f>
        <v/>
      </c>
    </row>
    <row r="4396" ht="48.0" customHeight="1">
      <c r="A4396" s="3"/>
      <c r="B4396" s="4"/>
      <c r="C4396" s="4"/>
      <c r="D4396" s="4"/>
      <c r="E4396" s="4"/>
      <c r="F4396" s="4"/>
      <c r="G4396" s="5"/>
      <c r="H4396" s="6"/>
      <c r="I4396" s="7"/>
      <c r="J4396" s="6"/>
      <c r="K4396" s="6"/>
      <c r="L4396" s="3"/>
      <c r="M4396" s="3" t="str">
        <f>IFERROR(__xludf.DUMMYFUNCTION("""COMPUTED_VALUE"""),"")</f>
        <v/>
      </c>
    </row>
    <row r="4397" ht="48.0" customHeight="1">
      <c r="A4397" s="3"/>
      <c r="B4397" s="4"/>
      <c r="C4397" s="4"/>
      <c r="D4397" s="4"/>
      <c r="E4397" s="4"/>
      <c r="F4397" s="4"/>
      <c r="G4397" s="5"/>
      <c r="H4397" s="6"/>
      <c r="I4397" s="7"/>
      <c r="J4397" s="6"/>
      <c r="K4397" s="6"/>
      <c r="L4397" s="3"/>
      <c r="M4397" s="3" t="str">
        <f>IFERROR(__xludf.DUMMYFUNCTION("""COMPUTED_VALUE"""),"")</f>
        <v/>
      </c>
    </row>
    <row r="4398" ht="48.0" customHeight="1">
      <c r="A4398" s="3"/>
      <c r="B4398" s="4"/>
      <c r="C4398" s="4"/>
      <c r="D4398" s="4"/>
      <c r="E4398" s="4"/>
      <c r="F4398" s="4"/>
      <c r="G4398" s="5"/>
      <c r="H4398" s="6"/>
      <c r="I4398" s="7"/>
      <c r="J4398" s="6"/>
      <c r="K4398" s="6"/>
      <c r="L4398" s="3"/>
      <c r="M4398" s="3" t="str">
        <f>IFERROR(__xludf.DUMMYFUNCTION("""COMPUTED_VALUE"""),"")</f>
        <v/>
      </c>
    </row>
    <row r="4399" ht="48.0" customHeight="1">
      <c r="A4399" s="3"/>
      <c r="B4399" s="4"/>
      <c r="C4399" s="4"/>
      <c r="D4399" s="4"/>
      <c r="E4399" s="4"/>
      <c r="F4399" s="4"/>
      <c r="G4399" s="5"/>
      <c r="H4399" s="6"/>
      <c r="I4399" s="7"/>
      <c r="J4399" s="6"/>
      <c r="K4399" s="6"/>
      <c r="L4399" s="3"/>
      <c r="M4399" s="3" t="str">
        <f>IFERROR(__xludf.DUMMYFUNCTION("""COMPUTED_VALUE"""),"")</f>
        <v/>
      </c>
    </row>
    <row r="4400" ht="48.0" customHeight="1">
      <c r="A4400" s="3"/>
      <c r="B4400" s="4"/>
      <c r="C4400" s="4"/>
      <c r="D4400" s="4"/>
      <c r="E4400" s="4"/>
      <c r="F4400" s="4"/>
      <c r="G4400" s="5"/>
      <c r="H4400" s="6"/>
      <c r="I4400" s="7"/>
      <c r="J4400" s="6"/>
      <c r="K4400" s="6"/>
      <c r="L4400" s="3"/>
      <c r="M4400" s="3" t="str">
        <f>IFERROR(__xludf.DUMMYFUNCTION("""COMPUTED_VALUE"""),"")</f>
        <v/>
      </c>
    </row>
    <row r="4401" ht="48.0" customHeight="1">
      <c r="A4401" s="3"/>
      <c r="B4401" s="4"/>
      <c r="C4401" s="4"/>
      <c r="D4401" s="4"/>
      <c r="E4401" s="4"/>
      <c r="F4401" s="4"/>
      <c r="G4401" s="5"/>
      <c r="H4401" s="6"/>
      <c r="I4401" s="7"/>
      <c r="J4401" s="6"/>
      <c r="K4401" s="6"/>
      <c r="L4401" s="3"/>
      <c r="M4401" s="3" t="str">
        <f>IFERROR(__xludf.DUMMYFUNCTION("""COMPUTED_VALUE"""),"")</f>
        <v/>
      </c>
    </row>
    <row r="4402" ht="48.0" customHeight="1">
      <c r="A4402" s="3"/>
      <c r="B4402" s="4"/>
      <c r="C4402" s="4"/>
      <c r="D4402" s="4"/>
      <c r="E4402" s="4"/>
      <c r="F4402" s="4"/>
      <c r="G4402" s="5"/>
      <c r="H4402" s="6"/>
      <c r="I4402" s="7"/>
      <c r="J4402" s="6"/>
      <c r="K4402" s="6"/>
      <c r="L4402" s="3"/>
      <c r="M4402" s="3" t="str">
        <f>IFERROR(__xludf.DUMMYFUNCTION("""COMPUTED_VALUE"""),"")</f>
        <v/>
      </c>
    </row>
    <row r="4403" ht="48.0" customHeight="1">
      <c r="A4403" s="3"/>
      <c r="B4403" s="4"/>
      <c r="C4403" s="4"/>
      <c r="D4403" s="4"/>
      <c r="E4403" s="4"/>
      <c r="F4403" s="4"/>
      <c r="G4403" s="5"/>
      <c r="H4403" s="6"/>
      <c r="I4403" s="7"/>
      <c r="J4403" s="6"/>
      <c r="K4403" s="6"/>
      <c r="L4403" s="3"/>
      <c r="M4403" s="3" t="str">
        <f>IFERROR(__xludf.DUMMYFUNCTION("""COMPUTED_VALUE"""),"")</f>
        <v/>
      </c>
    </row>
    <row r="4404" ht="48.0" customHeight="1">
      <c r="A4404" s="3"/>
      <c r="B4404" s="4"/>
      <c r="C4404" s="4"/>
      <c r="D4404" s="4"/>
      <c r="E4404" s="4"/>
      <c r="F4404" s="4"/>
      <c r="G4404" s="5"/>
      <c r="H4404" s="6"/>
      <c r="I4404" s="7"/>
      <c r="J4404" s="6"/>
      <c r="K4404" s="6"/>
      <c r="L4404" s="3"/>
      <c r="M4404" s="3" t="str">
        <f>IFERROR(__xludf.DUMMYFUNCTION("""COMPUTED_VALUE"""),"")</f>
        <v/>
      </c>
    </row>
    <row r="4405" ht="48.0" customHeight="1">
      <c r="A4405" s="3"/>
      <c r="B4405" s="4"/>
      <c r="C4405" s="4"/>
      <c r="D4405" s="4"/>
      <c r="E4405" s="4"/>
      <c r="F4405" s="4"/>
      <c r="G4405" s="5"/>
      <c r="H4405" s="6"/>
      <c r="I4405" s="7"/>
      <c r="J4405" s="6"/>
      <c r="K4405" s="6"/>
      <c r="L4405" s="3"/>
      <c r="M4405" s="3" t="str">
        <f>IFERROR(__xludf.DUMMYFUNCTION("""COMPUTED_VALUE"""),"")</f>
        <v/>
      </c>
    </row>
    <row r="4406" ht="48.0" customHeight="1">
      <c r="A4406" s="3"/>
      <c r="B4406" s="4"/>
      <c r="C4406" s="4"/>
      <c r="D4406" s="4"/>
      <c r="E4406" s="4"/>
      <c r="F4406" s="4"/>
      <c r="G4406" s="5"/>
      <c r="H4406" s="6"/>
      <c r="I4406" s="7"/>
      <c r="J4406" s="6"/>
      <c r="K4406" s="6"/>
      <c r="L4406" s="3"/>
      <c r="M4406" s="3" t="str">
        <f>IFERROR(__xludf.DUMMYFUNCTION("""COMPUTED_VALUE"""),"")</f>
        <v/>
      </c>
    </row>
    <row r="4407" ht="48.0" customHeight="1">
      <c r="A4407" s="3"/>
      <c r="B4407" s="4"/>
      <c r="C4407" s="4"/>
      <c r="D4407" s="4"/>
      <c r="E4407" s="4"/>
      <c r="F4407" s="4"/>
      <c r="G4407" s="5"/>
      <c r="H4407" s="6"/>
      <c r="I4407" s="7"/>
      <c r="J4407" s="6"/>
      <c r="K4407" s="6"/>
      <c r="L4407" s="3"/>
      <c r="M4407" s="3" t="str">
        <f>IFERROR(__xludf.DUMMYFUNCTION("""COMPUTED_VALUE"""),"")</f>
        <v/>
      </c>
    </row>
    <row r="4408" ht="48.0" customHeight="1">
      <c r="A4408" s="3"/>
      <c r="B4408" s="4"/>
      <c r="C4408" s="4"/>
      <c r="D4408" s="4"/>
      <c r="E4408" s="4"/>
      <c r="F4408" s="4"/>
      <c r="G4408" s="5"/>
      <c r="H4408" s="6"/>
      <c r="I4408" s="7"/>
      <c r="J4408" s="6"/>
      <c r="K4408" s="6"/>
      <c r="L4408" s="3"/>
      <c r="M4408" s="3" t="str">
        <f>IFERROR(__xludf.DUMMYFUNCTION("""COMPUTED_VALUE"""),"")</f>
        <v/>
      </c>
    </row>
    <row r="4409" ht="48.0" customHeight="1">
      <c r="A4409" s="3"/>
      <c r="B4409" s="4"/>
      <c r="C4409" s="4"/>
      <c r="D4409" s="4"/>
      <c r="E4409" s="4"/>
      <c r="F4409" s="4"/>
      <c r="G4409" s="5"/>
      <c r="H4409" s="6"/>
      <c r="I4409" s="7"/>
      <c r="J4409" s="6"/>
      <c r="K4409" s="6"/>
      <c r="L4409" s="3"/>
      <c r="M4409" s="3" t="str">
        <f>IFERROR(__xludf.DUMMYFUNCTION("""COMPUTED_VALUE"""),"")</f>
        <v/>
      </c>
    </row>
    <row r="4410" ht="48.0" customHeight="1">
      <c r="A4410" s="3"/>
      <c r="B4410" s="4"/>
      <c r="C4410" s="4"/>
      <c r="D4410" s="4"/>
      <c r="E4410" s="4"/>
      <c r="F4410" s="4"/>
      <c r="G4410" s="5"/>
      <c r="H4410" s="6"/>
      <c r="I4410" s="7"/>
      <c r="J4410" s="6"/>
      <c r="K4410" s="6"/>
      <c r="L4410" s="3"/>
      <c r="M4410" s="3" t="str">
        <f>IFERROR(__xludf.DUMMYFUNCTION("""COMPUTED_VALUE"""),"")</f>
        <v/>
      </c>
    </row>
    <row r="4411" ht="48.0" customHeight="1">
      <c r="A4411" s="3"/>
      <c r="B4411" s="4"/>
      <c r="C4411" s="4"/>
      <c r="D4411" s="4"/>
      <c r="E4411" s="4"/>
      <c r="F4411" s="4"/>
      <c r="G4411" s="5"/>
      <c r="H4411" s="6"/>
      <c r="I4411" s="7"/>
      <c r="J4411" s="6"/>
      <c r="K4411" s="6"/>
      <c r="L4411" s="3"/>
      <c r="M4411" s="3" t="str">
        <f>IFERROR(__xludf.DUMMYFUNCTION("""COMPUTED_VALUE"""),"")</f>
        <v/>
      </c>
    </row>
    <row r="4412" ht="48.0" customHeight="1">
      <c r="A4412" s="3"/>
      <c r="B4412" s="4"/>
      <c r="C4412" s="4"/>
      <c r="D4412" s="4"/>
      <c r="E4412" s="4"/>
      <c r="F4412" s="4"/>
      <c r="G4412" s="5"/>
      <c r="H4412" s="6"/>
      <c r="I4412" s="7"/>
      <c r="J4412" s="6"/>
      <c r="K4412" s="6"/>
      <c r="L4412" s="3"/>
      <c r="M4412" s="3" t="str">
        <f>IFERROR(__xludf.DUMMYFUNCTION("""COMPUTED_VALUE"""),"")</f>
        <v/>
      </c>
    </row>
    <row r="4413" ht="48.0" customHeight="1">
      <c r="A4413" s="3"/>
      <c r="B4413" s="4"/>
      <c r="C4413" s="4"/>
      <c r="D4413" s="4"/>
      <c r="E4413" s="4"/>
      <c r="F4413" s="4"/>
      <c r="G4413" s="5"/>
      <c r="H4413" s="6"/>
      <c r="I4413" s="7"/>
      <c r="J4413" s="6"/>
      <c r="K4413" s="6"/>
      <c r="L4413" s="3"/>
      <c r="M4413" s="3" t="str">
        <f>IFERROR(__xludf.DUMMYFUNCTION("""COMPUTED_VALUE"""),"")</f>
        <v/>
      </c>
    </row>
    <row r="4414" ht="48.0" customHeight="1">
      <c r="A4414" s="3"/>
      <c r="B4414" s="4"/>
      <c r="C4414" s="4"/>
      <c r="D4414" s="4"/>
      <c r="E4414" s="4"/>
      <c r="F4414" s="4"/>
      <c r="G4414" s="5"/>
      <c r="H4414" s="6"/>
      <c r="I4414" s="7"/>
      <c r="J4414" s="6"/>
      <c r="K4414" s="6"/>
      <c r="L4414" s="3"/>
      <c r="M4414" s="3" t="str">
        <f>IFERROR(__xludf.DUMMYFUNCTION("""COMPUTED_VALUE"""),"")</f>
        <v/>
      </c>
    </row>
    <row r="4415" ht="48.0" customHeight="1">
      <c r="A4415" s="3"/>
      <c r="B4415" s="4"/>
      <c r="C4415" s="4"/>
      <c r="D4415" s="4"/>
      <c r="E4415" s="4"/>
      <c r="F4415" s="4"/>
      <c r="G4415" s="5"/>
      <c r="H4415" s="6"/>
      <c r="I4415" s="7"/>
      <c r="J4415" s="6"/>
      <c r="K4415" s="6"/>
      <c r="L4415" s="3"/>
      <c r="M4415" s="3" t="str">
        <f>IFERROR(__xludf.DUMMYFUNCTION("""COMPUTED_VALUE"""),"")</f>
        <v/>
      </c>
    </row>
    <row r="4416" ht="48.0" customHeight="1">
      <c r="A4416" s="3"/>
      <c r="B4416" s="4"/>
      <c r="C4416" s="4"/>
      <c r="D4416" s="4"/>
      <c r="E4416" s="4"/>
      <c r="F4416" s="4"/>
      <c r="G4416" s="5"/>
      <c r="H4416" s="6"/>
      <c r="I4416" s="7"/>
      <c r="J4416" s="6"/>
      <c r="K4416" s="6"/>
      <c r="L4416" s="3"/>
      <c r="M4416" s="3" t="str">
        <f>IFERROR(__xludf.DUMMYFUNCTION("""COMPUTED_VALUE"""),"")</f>
        <v/>
      </c>
    </row>
    <row r="4417" ht="48.0" customHeight="1">
      <c r="A4417" s="3"/>
      <c r="B4417" s="4"/>
      <c r="C4417" s="4"/>
      <c r="D4417" s="4"/>
      <c r="E4417" s="4"/>
      <c r="F4417" s="4"/>
      <c r="G4417" s="5"/>
      <c r="H4417" s="6"/>
      <c r="I4417" s="7"/>
      <c r="J4417" s="6"/>
      <c r="K4417" s="6"/>
      <c r="L4417" s="3"/>
      <c r="M4417" s="3" t="str">
        <f>IFERROR(__xludf.DUMMYFUNCTION("""COMPUTED_VALUE"""),"")</f>
        <v/>
      </c>
    </row>
    <row r="4418" ht="48.0" customHeight="1">
      <c r="A4418" s="3"/>
      <c r="B4418" s="4"/>
      <c r="C4418" s="4"/>
      <c r="D4418" s="4"/>
      <c r="E4418" s="4"/>
      <c r="F4418" s="4"/>
      <c r="G4418" s="5"/>
      <c r="H4418" s="6"/>
      <c r="I4418" s="7"/>
      <c r="J4418" s="6"/>
      <c r="K4418" s="6"/>
      <c r="L4418" s="3"/>
      <c r="M4418" s="3" t="str">
        <f>IFERROR(__xludf.DUMMYFUNCTION("""COMPUTED_VALUE"""),"")</f>
        <v/>
      </c>
    </row>
    <row r="4419" ht="48.0" customHeight="1">
      <c r="A4419" s="3"/>
      <c r="B4419" s="4"/>
      <c r="C4419" s="4"/>
      <c r="D4419" s="4"/>
      <c r="E4419" s="4"/>
      <c r="F4419" s="4"/>
      <c r="G4419" s="5"/>
      <c r="H4419" s="6"/>
      <c r="I4419" s="7"/>
      <c r="J4419" s="6"/>
      <c r="K4419" s="6"/>
      <c r="L4419" s="3"/>
      <c r="M4419" s="3" t="str">
        <f>IFERROR(__xludf.DUMMYFUNCTION("""COMPUTED_VALUE"""),"")</f>
        <v/>
      </c>
    </row>
    <row r="4420" ht="48.0" customHeight="1">
      <c r="A4420" s="3"/>
      <c r="B4420" s="4"/>
      <c r="C4420" s="4"/>
      <c r="D4420" s="4"/>
      <c r="E4420" s="4"/>
      <c r="F4420" s="4"/>
      <c r="G4420" s="5"/>
      <c r="H4420" s="6"/>
      <c r="I4420" s="7"/>
      <c r="J4420" s="6"/>
      <c r="K4420" s="6"/>
      <c r="L4420" s="3"/>
      <c r="M4420" s="3" t="str">
        <f>IFERROR(__xludf.DUMMYFUNCTION("""COMPUTED_VALUE"""),"")</f>
        <v/>
      </c>
    </row>
    <row r="4421" ht="48.0" customHeight="1">
      <c r="A4421" s="3"/>
      <c r="B4421" s="4"/>
      <c r="C4421" s="4"/>
      <c r="D4421" s="4"/>
      <c r="E4421" s="4"/>
      <c r="F4421" s="4"/>
      <c r="G4421" s="5"/>
      <c r="H4421" s="6"/>
      <c r="I4421" s="7"/>
      <c r="J4421" s="6"/>
      <c r="K4421" s="6"/>
      <c r="L4421" s="3"/>
      <c r="M4421" s="3" t="str">
        <f>IFERROR(__xludf.DUMMYFUNCTION("""COMPUTED_VALUE"""),"")</f>
        <v/>
      </c>
    </row>
    <row r="4422" ht="48.0" customHeight="1">
      <c r="A4422" s="3"/>
      <c r="B4422" s="4"/>
      <c r="C4422" s="4"/>
      <c r="D4422" s="4"/>
      <c r="E4422" s="4"/>
      <c r="F4422" s="4"/>
      <c r="G4422" s="5"/>
      <c r="H4422" s="6"/>
      <c r="I4422" s="7"/>
      <c r="J4422" s="6"/>
      <c r="K4422" s="6"/>
      <c r="L4422" s="3"/>
      <c r="M4422" s="3" t="str">
        <f>IFERROR(__xludf.DUMMYFUNCTION("""COMPUTED_VALUE"""),"")</f>
        <v/>
      </c>
    </row>
    <row r="4423" ht="48.0" customHeight="1">
      <c r="A4423" s="3"/>
      <c r="B4423" s="4"/>
      <c r="C4423" s="4"/>
      <c r="D4423" s="4"/>
      <c r="E4423" s="4"/>
      <c r="F4423" s="4"/>
      <c r="G4423" s="5"/>
      <c r="H4423" s="6"/>
      <c r="I4423" s="7"/>
      <c r="J4423" s="6"/>
      <c r="K4423" s="6"/>
      <c r="L4423" s="3"/>
      <c r="M4423" s="3" t="str">
        <f>IFERROR(__xludf.DUMMYFUNCTION("""COMPUTED_VALUE"""),"")</f>
        <v/>
      </c>
    </row>
    <row r="4424" ht="48.0" customHeight="1">
      <c r="A4424" s="3"/>
      <c r="B4424" s="4"/>
      <c r="C4424" s="4"/>
      <c r="D4424" s="4"/>
      <c r="E4424" s="4"/>
      <c r="F4424" s="4"/>
      <c r="G4424" s="5"/>
      <c r="H4424" s="6"/>
      <c r="I4424" s="7"/>
      <c r="J4424" s="6"/>
      <c r="K4424" s="6"/>
      <c r="L4424" s="3"/>
      <c r="M4424" s="3" t="str">
        <f>IFERROR(__xludf.DUMMYFUNCTION("""COMPUTED_VALUE"""),"")</f>
        <v/>
      </c>
    </row>
    <row r="4425" ht="48.0" customHeight="1">
      <c r="A4425" s="3"/>
      <c r="B4425" s="4"/>
      <c r="C4425" s="4"/>
      <c r="D4425" s="4"/>
      <c r="E4425" s="4"/>
      <c r="F4425" s="4"/>
      <c r="G4425" s="5"/>
      <c r="H4425" s="6"/>
      <c r="I4425" s="7"/>
      <c r="J4425" s="6"/>
      <c r="K4425" s="6"/>
      <c r="L4425" s="3"/>
      <c r="M4425" s="3" t="str">
        <f>IFERROR(__xludf.DUMMYFUNCTION("""COMPUTED_VALUE"""),"")</f>
        <v/>
      </c>
    </row>
    <row r="4426" ht="48.0" customHeight="1">
      <c r="A4426" s="3"/>
      <c r="B4426" s="4"/>
      <c r="C4426" s="4"/>
      <c r="D4426" s="4"/>
      <c r="E4426" s="4"/>
      <c r="F4426" s="4"/>
      <c r="G4426" s="5"/>
      <c r="H4426" s="6"/>
      <c r="I4426" s="7"/>
      <c r="J4426" s="6"/>
      <c r="K4426" s="6"/>
      <c r="L4426" s="3"/>
      <c r="M4426" s="3" t="str">
        <f>IFERROR(__xludf.DUMMYFUNCTION("""COMPUTED_VALUE"""),"")</f>
        <v/>
      </c>
    </row>
    <row r="4427" ht="48.0" customHeight="1">
      <c r="A4427" s="3"/>
      <c r="B4427" s="4"/>
      <c r="C4427" s="4"/>
      <c r="D4427" s="4"/>
      <c r="E4427" s="4"/>
      <c r="F4427" s="4"/>
      <c r="G4427" s="5"/>
      <c r="H4427" s="6"/>
      <c r="I4427" s="7"/>
      <c r="J4427" s="6"/>
      <c r="K4427" s="6"/>
      <c r="L4427" s="3"/>
      <c r="M4427" s="3" t="str">
        <f>IFERROR(__xludf.DUMMYFUNCTION("""COMPUTED_VALUE"""),"")</f>
        <v/>
      </c>
    </row>
    <row r="4428" ht="48.0" customHeight="1">
      <c r="A4428" s="3"/>
      <c r="B4428" s="4"/>
      <c r="C4428" s="4"/>
      <c r="D4428" s="4"/>
      <c r="E4428" s="4"/>
      <c r="F4428" s="4"/>
      <c r="G4428" s="5"/>
      <c r="H4428" s="6"/>
      <c r="I4428" s="7"/>
      <c r="J4428" s="6"/>
      <c r="K4428" s="6"/>
      <c r="L4428" s="3"/>
      <c r="M4428" s="3" t="str">
        <f>IFERROR(__xludf.DUMMYFUNCTION("""COMPUTED_VALUE"""),"")</f>
        <v/>
      </c>
    </row>
    <row r="4429" ht="48.0" customHeight="1">
      <c r="A4429" s="3"/>
      <c r="B4429" s="4"/>
      <c r="C4429" s="4"/>
      <c r="D4429" s="4"/>
      <c r="E4429" s="4"/>
      <c r="F4429" s="4"/>
      <c r="G4429" s="5"/>
      <c r="H4429" s="6"/>
      <c r="I4429" s="7"/>
      <c r="J4429" s="6"/>
      <c r="K4429" s="6"/>
      <c r="L4429" s="3"/>
      <c r="M4429" s="3" t="str">
        <f>IFERROR(__xludf.DUMMYFUNCTION("""COMPUTED_VALUE"""),"")</f>
        <v/>
      </c>
    </row>
    <row r="4430" ht="48.0" customHeight="1">
      <c r="A4430" s="3"/>
      <c r="B4430" s="4"/>
      <c r="C4430" s="4"/>
      <c r="D4430" s="4"/>
      <c r="E4430" s="4"/>
      <c r="F4430" s="4"/>
      <c r="G4430" s="5"/>
      <c r="H4430" s="6"/>
      <c r="I4430" s="7"/>
      <c r="J4430" s="6"/>
      <c r="K4430" s="6"/>
      <c r="L4430" s="3"/>
      <c r="M4430" s="3" t="str">
        <f>IFERROR(__xludf.DUMMYFUNCTION("""COMPUTED_VALUE"""),"")</f>
        <v/>
      </c>
    </row>
    <row r="4431" ht="48.0" customHeight="1">
      <c r="A4431" s="3"/>
      <c r="B4431" s="4"/>
      <c r="C4431" s="4"/>
      <c r="D4431" s="4"/>
      <c r="E4431" s="4"/>
      <c r="F4431" s="4"/>
      <c r="G4431" s="5"/>
      <c r="H4431" s="6"/>
      <c r="I4431" s="7"/>
      <c r="J4431" s="6"/>
      <c r="K4431" s="6"/>
      <c r="L4431" s="3"/>
      <c r="M4431" s="3" t="str">
        <f>IFERROR(__xludf.DUMMYFUNCTION("""COMPUTED_VALUE"""),"")</f>
        <v/>
      </c>
    </row>
    <row r="4432" ht="48.0" customHeight="1">
      <c r="A4432" s="3"/>
      <c r="B4432" s="4"/>
      <c r="C4432" s="4"/>
      <c r="D4432" s="4"/>
      <c r="E4432" s="4"/>
      <c r="F4432" s="4"/>
      <c r="G4432" s="5"/>
      <c r="H4432" s="6"/>
      <c r="I4432" s="7"/>
      <c r="J4432" s="6"/>
      <c r="K4432" s="6"/>
      <c r="L4432" s="3"/>
      <c r="M4432" s="3" t="str">
        <f>IFERROR(__xludf.DUMMYFUNCTION("""COMPUTED_VALUE"""),"")</f>
        <v/>
      </c>
    </row>
    <row r="4433" ht="48.0" customHeight="1">
      <c r="A4433" s="3"/>
      <c r="B4433" s="4"/>
      <c r="C4433" s="4"/>
      <c r="D4433" s="4"/>
      <c r="E4433" s="4"/>
      <c r="F4433" s="4"/>
      <c r="G4433" s="5"/>
      <c r="H4433" s="6"/>
      <c r="I4433" s="7"/>
      <c r="J4433" s="6"/>
      <c r="K4433" s="6"/>
      <c r="L4433" s="3"/>
      <c r="M4433" s="3" t="str">
        <f>IFERROR(__xludf.DUMMYFUNCTION("""COMPUTED_VALUE"""),"")</f>
        <v/>
      </c>
    </row>
    <row r="4434" ht="48.0" customHeight="1">
      <c r="A4434" s="3"/>
      <c r="B4434" s="4"/>
      <c r="C4434" s="4"/>
      <c r="D4434" s="4"/>
      <c r="E4434" s="4"/>
      <c r="F4434" s="4"/>
      <c r="G4434" s="5"/>
      <c r="H4434" s="6"/>
      <c r="I4434" s="7"/>
      <c r="J4434" s="6"/>
      <c r="K4434" s="6"/>
      <c r="L4434" s="3"/>
      <c r="M4434" s="3" t="str">
        <f>IFERROR(__xludf.DUMMYFUNCTION("""COMPUTED_VALUE"""),"")</f>
        <v/>
      </c>
    </row>
    <row r="4435" ht="48.0" customHeight="1">
      <c r="A4435" s="3"/>
      <c r="B4435" s="4"/>
      <c r="C4435" s="4"/>
      <c r="D4435" s="4"/>
      <c r="E4435" s="4"/>
      <c r="F4435" s="4"/>
      <c r="G4435" s="5"/>
      <c r="H4435" s="6"/>
      <c r="I4435" s="7"/>
      <c r="J4435" s="6"/>
      <c r="K4435" s="6"/>
      <c r="L4435" s="3"/>
      <c r="M4435" s="3" t="str">
        <f>IFERROR(__xludf.DUMMYFUNCTION("""COMPUTED_VALUE"""),"")</f>
        <v/>
      </c>
    </row>
    <row r="4436" ht="48.0" customHeight="1">
      <c r="A4436" s="3"/>
      <c r="B4436" s="4"/>
      <c r="C4436" s="4"/>
      <c r="D4436" s="4"/>
      <c r="E4436" s="4"/>
      <c r="F4436" s="4"/>
      <c r="G4436" s="5"/>
      <c r="H4436" s="6"/>
      <c r="I4436" s="7"/>
      <c r="J4436" s="6"/>
      <c r="K4436" s="6"/>
      <c r="L4436" s="3"/>
      <c r="M4436" s="3" t="str">
        <f>IFERROR(__xludf.DUMMYFUNCTION("""COMPUTED_VALUE"""),"")</f>
        <v/>
      </c>
    </row>
    <row r="4437" ht="48.0" customHeight="1">
      <c r="A4437" s="3"/>
      <c r="B4437" s="4"/>
      <c r="C4437" s="4"/>
      <c r="D4437" s="4"/>
      <c r="E4437" s="4"/>
      <c r="F4437" s="4"/>
      <c r="G4437" s="5"/>
      <c r="H4437" s="6"/>
      <c r="I4437" s="7"/>
      <c r="J4437" s="6"/>
      <c r="K4437" s="6"/>
      <c r="L4437" s="3"/>
      <c r="M4437" s="3" t="str">
        <f>IFERROR(__xludf.DUMMYFUNCTION("""COMPUTED_VALUE"""),"")</f>
        <v/>
      </c>
    </row>
    <row r="4438" ht="48.0" customHeight="1">
      <c r="A4438" s="3"/>
      <c r="B4438" s="4"/>
      <c r="C4438" s="4"/>
      <c r="D4438" s="4"/>
      <c r="E4438" s="4"/>
      <c r="F4438" s="4"/>
      <c r="G4438" s="5"/>
      <c r="H4438" s="6"/>
      <c r="I4438" s="7"/>
      <c r="J4438" s="6"/>
      <c r="K4438" s="6"/>
      <c r="L4438" s="3"/>
      <c r="M4438" s="3" t="str">
        <f>IFERROR(__xludf.DUMMYFUNCTION("""COMPUTED_VALUE"""),"")</f>
        <v/>
      </c>
    </row>
    <row r="4439" ht="48.0" customHeight="1">
      <c r="A4439" s="3"/>
      <c r="B4439" s="4"/>
      <c r="C4439" s="4"/>
      <c r="D4439" s="4"/>
      <c r="E4439" s="4"/>
      <c r="F4439" s="4"/>
      <c r="G4439" s="5"/>
      <c r="H4439" s="6"/>
      <c r="I4439" s="7"/>
      <c r="J4439" s="6"/>
      <c r="K4439" s="6"/>
      <c r="L4439" s="3"/>
      <c r="M4439" s="3" t="str">
        <f>IFERROR(__xludf.DUMMYFUNCTION("""COMPUTED_VALUE"""),"")</f>
        <v/>
      </c>
    </row>
    <row r="4440" ht="48.0" customHeight="1">
      <c r="A4440" s="3"/>
      <c r="B4440" s="4"/>
      <c r="C4440" s="4"/>
      <c r="D4440" s="4"/>
      <c r="E4440" s="4"/>
      <c r="F4440" s="4"/>
      <c r="G4440" s="5"/>
      <c r="H4440" s="6"/>
      <c r="I4440" s="7"/>
      <c r="J4440" s="6"/>
      <c r="K4440" s="6"/>
      <c r="L4440" s="3"/>
      <c r="M4440" s="3" t="str">
        <f>IFERROR(__xludf.DUMMYFUNCTION("""COMPUTED_VALUE"""),"")</f>
        <v/>
      </c>
    </row>
    <row r="4441" ht="48.0" customHeight="1">
      <c r="A4441" s="3"/>
      <c r="B4441" s="4"/>
      <c r="C4441" s="4"/>
      <c r="D4441" s="4"/>
      <c r="E4441" s="4"/>
      <c r="F4441" s="4"/>
      <c r="G4441" s="5"/>
      <c r="H4441" s="6"/>
      <c r="I4441" s="7"/>
      <c r="J4441" s="6"/>
      <c r="K4441" s="6"/>
      <c r="L4441" s="3"/>
      <c r="M4441" s="3" t="str">
        <f>IFERROR(__xludf.DUMMYFUNCTION("""COMPUTED_VALUE"""),"")</f>
        <v/>
      </c>
    </row>
    <row r="4442" ht="48.0" customHeight="1">
      <c r="A4442" s="3"/>
      <c r="B4442" s="4"/>
      <c r="C4442" s="4"/>
      <c r="D4442" s="4"/>
      <c r="E4442" s="4"/>
      <c r="F4442" s="4"/>
      <c r="G4442" s="5"/>
      <c r="H4442" s="6"/>
      <c r="I4442" s="7"/>
      <c r="J4442" s="6"/>
      <c r="K4442" s="6"/>
      <c r="L4442" s="3"/>
      <c r="M4442" s="3" t="str">
        <f>IFERROR(__xludf.DUMMYFUNCTION("""COMPUTED_VALUE"""),"")</f>
        <v/>
      </c>
    </row>
    <row r="4443" ht="48.0" customHeight="1">
      <c r="A4443" s="3"/>
      <c r="B4443" s="4"/>
      <c r="C4443" s="4"/>
      <c r="D4443" s="4"/>
      <c r="E4443" s="4"/>
      <c r="F4443" s="4"/>
      <c r="G4443" s="5"/>
      <c r="H4443" s="6"/>
      <c r="I4443" s="7"/>
      <c r="J4443" s="6"/>
      <c r="K4443" s="6"/>
      <c r="L4443" s="3"/>
      <c r="M4443" s="3" t="str">
        <f>IFERROR(__xludf.DUMMYFUNCTION("""COMPUTED_VALUE"""),"")</f>
        <v/>
      </c>
    </row>
    <row r="4444" ht="48.0" customHeight="1">
      <c r="A4444" s="3"/>
      <c r="B4444" s="4"/>
      <c r="C4444" s="4"/>
      <c r="D4444" s="4"/>
      <c r="E4444" s="4"/>
      <c r="F4444" s="4"/>
      <c r="G4444" s="5"/>
      <c r="H4444" s="6"/>
      <c r="I4444" s="7"/>
      <c r="J4444" s="6"/>
      <c r="K4444" s="6"/>
      <c r="L4444" s="3"/>
      <c r="M4444" s="3" t="str">
        <f>IFERROR(__xludf.DUMMYFUNCTION("""COMPUTED_VALUE"""),"")</f>
        <v/>
      </c>
    </row>
    <row r="4445" ht="48.0" customHeight="1">
      <c r="A4445" s="3"/>
      <c r="B4445" s="4"/>
      <c r="C4445" s="4"/>
      <c r="D4445" s="4"/>
      <c r="E4445" s="4"/>
      <c r="F4445" s="4"/>
      <c r="G4445" s="5"/>
      <c r="H4445" s="6"/>
      <c r="I4445" s="7"/>
      <c r="J4445" s="6"/>
      <c r="K4445" s="6"/>
      <c r="L4445" s="3"/>
      <c r="M4445" s="3" t="str">
        <f>IFERROR(__xludf.DUMMYFUNCTION("""COMPUTED_VALUE"""),"")</f>
        <v/>
      </c>
    </row>
    <row r="4446" ht="48.0" customHeight="1">
      <c r="A4446" s="3"/>
      <c r="B4446" s="4"/>
      <c r="C4446" s="4"/>
      <c r="D4446" s="4"/>
      <c r="E4446" s="4"/>
      <c r="F4446" s="4"/>
      <c r="G4446" s="5"/>
      <c r="H4446" s="6"/>
      <c r="I4446" s="7"/>
      <c r="J4446" s="6"/>
      <c r="K4446" s="6"/>
      <c r="L4446" s="3"/>
      <c r="M4446" s="3" t="str">
        <f>IFERROR(__xludf.DUMMYFUNCTION("""COMPUTED_VALUE"""),"")</f>
        <v/>
      </c>
    </row>
    <row r="4447" ht="48.0" customHeight="1">
      <c r="A4447" s="3"/>
      <c r="B4447" s="4"/>
      <c r="C4447" s="4"/>
      <c r="D4447" s="4"/>
      <c r="E4447" s="4"/>
      <c r="F4447" s="4"/>
      <c r="G4447" s="5"/>
      <c r="H4447" s="6"/>
      <c r="I4447" s="7"/>
      <c r="J4447" s="6"/>
      <c r="K4447" s="6"/>
      <c r="L4447" s="3"/>
      <c r="M4447" s="3" t="str">
        <f>IFERROR(__xludf.DUMMYFUNCTION("""COMPUTED_VALUE"""),"")</f>
        <v/>
      </c>
    </row>
    <row r="4448" ht="48.0" customHeight="1">
      <c r="A4448" s="3"/>
      <c r="B4448" s="4"/>
      <c r="C4448" s="4"/>
      <c r="D4448" s="4"/>
      <c r="E4448" s="4"/>
      <c r="F4448" s="4"/>
      <c r="G4448" s="5"/>
      <c r="H4448" s="6"/>
      <c r="I4448" s="7"/>
      <c r="J4448" s="6"/>
      <c r="K4448" s="6"/>
      <c r="L4448" s="3"/>
      <c r="M4448" s="3" t="str">
        <f>IFERROR(__xludf.DUMMYFUNCTION("""COMPUTED_VALUE"""),"")</f>
        <v/>
      </c>
    </row>
    <row r="4449" ht="48.0" customHeight="1">
      <c r="A4449" s="3"/>
      <c r="B4449" s="4"/>
      <c r="C4449" s="4"/>
      <c r="D4449" s="4"/>
      <c r="E4449" s="4"/>
      <c r="F4449" s="4"/>
      <c r="G4449" s="5"/>
      <c r="H4449" s="6"/>
      <c r="I4449" s="7"/>
      <c r="J4449" s="6"/>
      <c r="K4449" s="6"/>
      <c r="L4449" s="3"/>
      <c r="M4449" s="3" t="str">
        <f>IFERROR(__xludf.DUMMYFUNCTION("""COMPUTED_VALUE"""),"")</f>
        <v/>
      </c>
    </row>
    <row r="4450" ht="48.0" customHeight="1">
      <c r="A4450" s="3"/>
      <c r="B4450" s="4"/>
      <c r="C4450" s="4"/>
      <c r="D4450" s="4"/>
      <c r="E4450" s="4"/>
      <c r="F4450" s="4"/>
      <c r="G4450" s="5"/>
      <c r="H4450" s="6"/>
      <c r="I4450" s="7"/>
      <c r="J4450" s="6"/>
      <c r="K4450" s="6"/>
      <c r="L4450" s="3"/>
      <c r="M4450" s="3" t="str">
        <f>IFERROR(__xludf.DUMMYFUNCTION("""COMPUTED_VALUE"""),"")</f>
        <v/>
      </c>
    </row>
    <row r="4451" ht="48.0" customHeight="1">
      <c r="A4451" s="3"/>
      <c r="B4451" s="4"/>
      <c r="C4451" s="4"/>
      <c r="D4451" s="4"/>
      <c r="E4451" s="4"/>
      <c r="F4451" s="4"/>
      <c r="G4451" s="5"/>
      <c r="H4451" s="6"/>
      <c r="I4451" s="7"/>
      <c r="J4451" s="6"/>
      <c r="K4451" s="6"/>
      <c r="L4451" s="3"/>
      <c r="M4451" s="3" t="str">
        <f>IFERROR(__xludf.DUMMYFUNCTION("""COMPUTED_VALUE"""),"")</f>
        <v/>
      </c>
    </row>
    <row r="4452" ht="48.0" customHeight="1">
      <c r="A4452" s="3"/>
      <c r="B4452" s="4"/>
      <c r="C4452" s="4"/>
      <c r="D4452" s="4"/>
      <c r="E4452" s="4"/>
      <c r="F4452" s="4"/>
      <c r="G4452" s="5"/>
      <c r="H4452" s="6"/>
      <c r="I4452" s="7"/>
      <c r="J4452" s="6"/>
      <c r="K4452" s="6"/>
      <c r="L4452" s="3"/>
      <c r="M4452" s="3" t="str">
        <f>IFERROR(__xludf.DUMMYFUNCTION("""COMPUTED_VALUE"""),"")</f>
        <v/>
      </c>
    </row>
    <row r="4453" ht="48.0" customHeight="1">
      <c r="A4453" s="3"/>
      <c r="B4453" s="4"/>
      <c r="C4453" s="4"/>
      <c r="D4453" s="4"/>
      <c r="E4453" s="4"/>
      <c r="F4453" s="4"/>
      <c r="G4453" s="5"/>
      <c r="H4453" s="6"/>
      <c r="I4453" s="7"/>
      <c r="J4453" s="6"/>
      <c r="K4453" s="6"/>
      <c r="L4453" s="3"/>
      <c r="M4453" s="3" t="str">
        <f>IFERROR(__xludf.DUMMYFUNCTION("""COMPUTED_VALUE"""),"")</f>
        <v/>
      </c>
    </row>
    <row r="4454" ht="48.0" customHeight="1">
      <c r="A4454" s="3"/>
      <c r="B4454" s="4"/>
      <c r="C4454" s="4"/>
      <c r="D4454" s="4"/>
      <c r="E4454" s="4"/>
      <c r="F4454" s="4"/>
      <c r="G4454" s="5"/>
      <c r="H4454" s="6"/>
      <c r="I4454" s="7"/>
      <c r="J4454" s="6"/>
      <c r="K4454" s="6"/>
      <c r="L4454" s="3"/>
      <c r="M4454" s="3" t="str">
        <f>IFERROR(__xludf.DUMMYFUNCTION("""COMPUTED_VALUE"""),"")</f>
        <v/>
      </c>
    </row>
    <row r="4455" ht="48.0" customHeight="1">
      <c r="A4455" s="3"/>
      <c r="B4455" s="4"/>
      <c r="C4455" s="4"/>
      <c r="D4455" s="4"/>
      <c r="E4455" s="4"/>
      <c r="F4455" s="4"/>
      <c r="G4455" s="5"/>
      <c r="H4455" s="6"/>
      <c r="I4455" s="7"/>
      <c r="J4455" s="6"/>
      <c r="K4455" s="6"/>
      <c r="L4455" s="3"/>
      <c r="M4455" s="3" t="str">
        <f>IFERROR(__xludf.DUMMYFUNCTION("""COMPUTED_VALUE"""),"")</f>
        <v/>
      </c>
    </row>
    <row r="4456" ht="48.0" customHeight="1">
      <c r="A4456" s="3"/>
      <c r="B4456" s="4"/>
      <c r="C4456" s="4"/>
      <c r="D4456" s="4"/>
      <c r="E4456" s="4"/>
      <c r="F4456" s="4"/>
      <c r="G4456" s="5"/>
      <c r="H4456" s="6"/>
      <c r="I4456" s="7"/>
      <c r="J4456" s="6"/>
      <c r="K4456" s="6"/>
      <c r="L4456" s="3"/>
      <c r="M4456" s="3" t="str">
        <f>IFERROR(__xludf.DUMMYFUNCTION("""COMPUTED_VALUE"""),"")</f>
        <v/>
      </c>
    </row>
    <row r="4457" ht="48.0" customHeight="1">
      <c r="A4457" s="3"/>
      <c r="B4457" s="4"/>
      <c r="C4457" s="4"/>
      <c r="D4457" s="4"/>
      <c r="E4457" s="4"/>
      <c r="F4457" s="4"/>
      <c r="G4457" s="5"/>
      <c r="H4457" s="6"/>
      <c r="I4457" s="7"/>
      <c r="J4457" s="6"/>
      <c r="K4457" s="6"/>
      <c r="L4457" s="3"/>
      <c r="M4457" s="3" t="str">
        <f>IFERROR(__xludf.DUMMYFUNCTION("""COMPUTED_VALUE"""),"")</f>
        <v/>
      </c>
    </row>
    <row r="4458" ht="48.0" customHeight="1">
      <c r="A4458" s="3"/>
      <c r="B4458" s="4"/>
      <c r="C4458" s="4"/>
      <c r="D4458" s="4"/>
      <c r="E4458" s="4"/>
      <c r="F4458" s="4"/>
      <c r="G4458" s="5"/>
      <c r="H4458" s="6"/>
      <c r="I4458" s="7"/>
      <c r="J4458" s="6"/>
      <c r="K4458" s="6"/>
      <c r="L4458" s="3"/>
      <c r="M4458" s="3" t="str">
        <f>IFERROR(__xludf.DUMMYFUNCTION("""COMPUTED_VALUE"""),"")</f>
        <v/>
      </c>
    </row>
    <row r="4459" ht="48.0" customHeight="1">
      <c r="A4459" s="3"/>
      <c r="B4459" s="4"/>
      <c r="C4459" s="4"/>
      <c r="D4459" s="4"/>
      <c r="E4459" s="4"/>
      <c r="F4459" s="4"/>
      <c r="G4459" s="5"/>
      <c r="H4459" s="6"/>
      <c r="I4459" s="7"/>
      <c r="J4459" s="6"/>
      <c r="K4459" s="6"/>
      <c r="L4459" s="3"/>
      <c r="M4459" s="3" t="str">
        <f>IFERROR(__xludf.DUMMYFUNCTION("""COMPUTED_VALUE"""),"")</f>
        <v/>
      </c>
    </row>
    <row r="4460" ht="48.0" customHeight="1">
      <c r="A4460" s="3"/>
      <c r="B4460" s="4"/>
      <c r="C4460" s="4"/>
      <c r="D4460" s="4"/>
      <c r="E4460" s="4"/>
      <c r="F4460" s="4"/>
      <c r="G4460" s="5"/>
      <c r="H4460" s="6"/>
      <c r="I4460" s="7"/>
      <c r="J4460" s="6"/>
      <c r="K4460" s="6"/>
      <c r="L4460" s="3"/>
      <c r="M4460" s="3" t="str">
        <f>IFERROR(__xludf.DUMMYFUNCTION("""COMPUTED_VALUE"""),"")</f>
        <v/>
      </c>
    </row>
    <row r="4461" ht="48.0" customHeight="1">
      <c r="A4461" s="3"/>
      <c r="B4461" s="4"/>
      <c r="C4461" s="4"/>
      <c r="D4461" s="4"/>
      <c r="E4461" s="4"/>
      <c r="F4461" s="4"/>
      <c r="G4461" s="5"/>
      <c r="H4461" s="6"/>
      <c r="I4461" s="7"/>
      <c r="J4461" s="6"/>
      <c r="K4461" s="6"/>
      <c r="L4461" s="3"/>
      <c r="M4461" s="3" t="str">
        <f>IFERROR(__xludf.DUMMYFUNCTION("""COMPUTED_VALUE"""),"")</f>
        <v/>
      </c>
    </row>
    <row r="4462" ht="48.0" customHeight="1">
      <c r="A4462" s="3"/>
      <c r="B4462" s="4"/>
      <c r="C4462" s="4"/>
      <c r="D4462" s="4"/>
      <c r="E4462" s="4"/>
      <c r="F4462" s="4"/>
      <c r="G4462" s="5"/>
      <c r="H4462" s="6"/>
      <c r="I4462" s="7"/>
      <c r="J4462" s="6"/>
      <c r="K4462" s="6"/>
      <c r="L4462" s="3"/>
      <c r="M4462" s="3" t="str">
        <f>IFERROR(__xludf.DUMMYFUNCTION("""COMPUTED_VALUE"""),"")</f>
        <v/>
      </c>
    </row>
    <row r="4463" ht="48.0" customHeight="1">
      <c r="A4463" s="3"/>
      <c r="B4463" s="4"/>
      <c r="C4463" s="4"/>
      <c r="D4463" s="4"/>
      <c r="E4463" s="4"/>
      <c r="F4463" s="4"/>
      <c r="G4463" s="5"/>
      <c r="H4463" s="6"/>
      <c r="I4463" s="7"/>
      <c r="J4463" s="6"/>
      <c r="K4463" s="6"/>
      <c r="L4463" s="3"/>
      <c r="M4463" s="3" t="str">
        <f>IFERROR(__xludf.DUMMYFUNCTION("""COMPUTED_VALUE"""),"")</f>
        <v/>
      </c>
    </row>
    <row r="4464" ht="48.0" customHeight="1">
      <c r="A4464" s="3"/>
      <c r="B4464" s="4"/>
      <c r="C4464" s="4"/>
      <c r="D4464" s="4"/>
      <c r="E4464" s="4"/>
      <c r="F4464" s="4"/>
      <c r="G4464" s="5"/>
      <c r="H4464" s="6"/>
      <c r="I4464" s="7"/>
      <c r="J4464" s="6"/>
      <c r="K4464" s="6"/>
      <c r="L4464" s="3"/>
      <c r="M4464" s="3" t="str">
        <f>IFERROR(__xludf.DUMMYFUNCTION("""COMPUTED_VALUE"""),"")</f>
        <v/>
      </c>
    </row>
    <row r="4465" ht="48.0" customHeight="1">
      <c r="A4465" s="3"/>
      <c r="B4465" s="4"/>
      <c r="C4465" s="4"/>
      <c r="D4465" s="4"/>
      <c r="E4465" s="4"/>
      <c r="F4465" s="4"/>
      <c r="G4465" s="5"/>
      <c r="H4465" s="6"/>
      <c r="I4465" s="7"/>
      <c r="J4465" s="6"/>
      <c r="K4465" s="6"/>
      <c r="L4465" s="3"/>
      <c r="M4465" s="3" t="str">
        <f>IFERROR(__xludf.DUMMYFUNCTION("""COMPUTED_VALUE"""),"")</f>
        <v/>
      </c>
    </row>
    <row r="4466" ht="48.0" customHeight="1">
      <c r="A4466" s="3"/>
      <c r="B4466" s="4"/>
      <c r="C4466" s="4"/>
      <c r="D4466" s="4"/>
      <c r="E4466" s="4"/>
      <c r="F4466" s="4"/>
      <c r="G4466" s="5"/>
      <c r="H4466" s="6"/>
      <c r="I4466" s="7"/>
      <c r="J4466" s="6"/>
      <c r="K4466" s="6"/>
      <c r="L4466" s="3"/>
      <c r="M4466" s="3" t="str">
        <f>IFERROR(__xludf.DUMMYFUNCTION("""COMPUTED_VALUE"""),"")</f>
        <v/>
      </c>
    </row>
    <row r="4467" ht="48.0" customHeight="1">
      <c r="A4467" s="3"/>
      <c r="B4467" s="4"/>
      <c r="C4467" s="4"/>
      <c r="D4467" s="4"/>
      <c r="E4467" s="4"/>
      <c r="F4467" s="4"/>
      <c r="G4467" s="5"/>
      <c r="H4467" s="6"/>
      <c r="I4467" s="7"/>
      <c r="J4467" s="6"/>
      <c r="K4467" s="6"/>
      <c r="L4467" s="3"/>
      <c r="M4467" s="3" t="str">
        <f>IFERROR(__xludf.DUMMYFUNCTION("""COMPUTED_VALUE"""),"")</f>
        <v/>
      </c>
    </row>
    <row r="4468" ht="48.0" customHeight="1">
      <c r="A4468" s="3"/>
      <c r="B4468" s="4"/>
      <c r="C4468" s="4"/>
      <c r="D4468" s="4"/>
      <c r="E4468" s="4"/>
      <c r="F4468" s="4"/>
      <c r="G4468" s="5"/>
      <c r="H4468" s="6"/>
      <c r="I4468" s="7"/>
      <c r="J4468" s="6"/>
      <c r="K4468" s="6"/>
      <c r="L4468" s="3"/>
      <c r="M4468" s="3" t="str">
        <f>IFERROR(__xludf.DUMMYFUNCTION("""COMPUTED_VALUE"""),"")</f>
        <v/>
      </c>
    </row>
    <row r="4469" ht="48.0" customHeight="1">
      <c r="A4469" s="3"/>
      <c r="B4469" s="4"/>
      <c r="C4469" s="4"/>
      <c r="D4469" s="4"/>
      <c r="E4469" s="4"/>
      <c r="F4469" s="4"/>
      <c r="G4469" s="5"/>
      <c r="H4469" s="6"/>
      <c r="I4469" s="7"/>
      <c r="J4469" s="6"/>
      <c r="K4469" s="6"/>
      <c r="L4469" s="3"/>
      <c r="M4469" s="3" t="str">
        <f>IFERROR(__xludf.DUMMYFUNCTION("""COMPUTED_VALUE"""),"")</f>
        <v/>
      </c>
    </row>
    <row r="4470" ht="48.0" customHeight="1">
      <c r="A4470" s="3"/>
      <c r="B4470" s="4"/>
      <c r="C4470" s="4"/>
      <c r="D4470" s="4"/>
      <c r="E4470" s="4"/>
      <c r="F4470" s="4"/>
      <c r="G4470" s="5"/>
      <c r="H4470" s="6"/>
      <c r="I4470" s="7"/>
      <c r="J4470" s="6"/>
      <c r="K4470" s="6"/>
      <c r="L4470" s="3"/>
      <c r="M4470" s="3" t="str">
        <f>IFERROR(__xludf.DUMMYFUNCTION("""COMPUTED_VALUE"""),"")</f>
        <v/>
      </c>
    </row>
    <row r="4471" ht="48.0" customHeight="1">
      <c r="A4471" s="3"/>
      <c r="B4471" s="4"/>
      <c r="C4471" s="4"/>
      <c r="D4471" s="4"/>
      <c r="E4471" s="4"/>
      <c r="F4471" s="4"/>
      <c r="G4471" s="5"/>
      <c r="H4471" s="6"/>
      <c r="I4471" s="7"/>
      <c r="J4471" s="6"/>
      <c r="K4471" s="6"/>
      <c r="L4471" s="3"/>
      <c r="M4471" s="3" t="str">
        <f>IFERROR(__xludf.DUMMYFUNCTION("""COMPUTED_VALUE"""),"")</f>
        <v/>
      </c>
    </row>
    <row r="4472" ht="48.0" customHeight="1">
      <c r="A4472" s="3"/>
      <c r="B4472" s="4"/>
      <c r="C4472" s="4"/>
      <c r="D4472" s="4"/>
      <c r="E4472" s="4"/>
      <c r="F4472" s="4"/>
      <c r="G4472" s="5"/>
      <c r="H4472" s="6"/>
      <c r="I4472" s="7"/>
      <c r="J4472" s="6"/>
      <c r="K4472" s="6"/>
      <c r="L4472" s="3"/>
      <c r="M4472" s="3" t="str">
        <f>IFERROR(__xludf.DUMMYFUNCTION("""COMPUTED_VALUE"""),"")</f>
        <v/>
      </c>
    </row>
    <row r="4473" ht="48.0" customHeight="1">
      <c r="A4473" s="3"/>
      <c r="B4473" s="4"/>
      <c r="C4473" s="4"/>
      <c r="D4473" s="4"/>
      <c r="E4473" s="4"/>
      <c r="F4473" s="4"/>
      <c r="G4473" s="5"/>
      <c r="H4473" s="6"/>
      <c r="I4473" s="7"/>
      <c r="J4473" s="6"/>
      <c r="K4473" s="6"/>
      <c r="L4473" s="3"/>
      <c r="M4473" s="3" t="str">
        <f>IFERROR(__xludf.DUMMYFUNCTION("""COMPUTED_VALUE"""),"")</f>
        <v/>
      </c>
    </row>
    <row r="4474" ht="48.0" customHeight="1">
      <c r="A4474" s="3"/>
      <c r="B4474" s="4"/>
      <c r="C4474" s="4"/>
      <c r="D4474" s="4"/>
      <c r="E4474" s="4"/>
      <c r="F4474" s="4"/>
      <c r="G4474" s="5"/>
      <c r="H4474" s="6"/>
      <c r="I4474" s="7"/>
      <c r="J4474" s="6"/>
      <c r="K4474" s="6"/>
      <c r="L4474" s="3"/>
      <c r="M4474" s="3" t="str">
        <f>IFERROR(__xludf.DUMMYFUNCTION("""COMPUTED_VALUE"""),"")</f>
        <v/>
      </c>
    </row>
    <row r="4475" ht="48.0" customHeight="1">
      <c r="A4475" s="3"/>
      <c r="B4475" s="4"/>
      <c r="C4475" s="4"/>
      <c r="D4475" s="4"/>
      <c r="E4475" s="4"/>
      <c r="F4475" s="4"/>
      <c r="G4475" s="5"/>
      <c r="H4475" s="6"/>
      <c r="I4475" s="7"/>
      <c r="J4475" s="6"/>
      <c r="K4475" s="6"/>
      <c r="L4475" s="3"/>
      <c r="M4475" s="3" t="str">
        <f>IFERROR(__xludf.DUMMYFUNCTION("""COMPUTED_VALUE"""),"")</f>
        <v/>
      </c>
    </row>
    <row r="4476" ht="48.0" customHeight="1">
      <c r="A4476" s="3"/>
      <c r="B4476" s="4"/>
      <c r="C4476" s="4"/>
      <c r="D4476" s="4"/>
      <c r="E4476" s="4"/>
      <c r="F4476" s="4"/>
      <c r="G4476" s="5"/>
      <c r="H4476" s="6"/>
      <c r="I4476" s="7"/>
      <c r="J4476" s="6"/>
      <c r="K4476" s="6"/>
      <c r="L4476" s="3"/>
      <c r="M4476" s="3" t="str">
        <f>IFERROR(__xludf.DUMMYFUNCTION("""COMPUTED_VALUE"""),"")</f>
        <v/>
      </c>
    </row>
    <row r="4477" ht="48.0" customHeight="1">
      <c r="A4477" s="3"/>
      <c r="B4477" s="4"/>
      <c r="C4477" s="4"/>
      <c r="D4477" s="4"/>
      <c r="E4477" s="4"/>
      <c r="F4477" s="4"/>
      <c r="G4477" s="5"/>
      <c r="H4477" s="6"/>
      <c r="I4477" s="7"/>
      <c r="J4477" s="6"/>
      <c r="K4477" s="6"/>
      <c r="L4477" s="3"/>
      <c r="M4477" s="3" t="str">
        <f>IFERROR(__xludf.DUMMYFUNCTION("""COMPUTED_VALUE"""),"")</f>
        <v/>
      </c>
    </row>
    <row r="4478" ht="48.0" customHeight="1">
      <c r="A4478" s="3"/>
      <c r="B4478" s="4"/>
      <c r="C4478" s="4"/>
      <c r="D4478" s="4"/>
      <c r="E4478" s="4"/>
      <c r="F4478" s="4"/>
      <c r="G4478" s="5"/>
      <c r="H4478" s="6"/>
      <c r="I4478" s="7"/>
      <c r="J4478" s="6"/>
      <c r="K4478" s="6"/>
      <c r="L4478" s="3"/>
      <c r="M4478" s="3" t="str">
        <f>IFERROR(__xludf.DUMMYFUNCTION("""COMPUTED_VALUE"""),"")</f>
        <v/>
      </c>
    </row>
    <row r="4479" ht="48.0" customHeight="1">
      <c r="A4479" s="3"/>
      <c r="B4479" s="4"/>
      <c r="C4479" s="4"/>
      <c r="D4479" s="4"/>
      <c r="E4479" s="4"/>
      <c r="F4479" s="4"/>
      <c r="G4479" s="5"/>
      <c r="H4479" s="6"/>
      <c r="I4479" s="7"/>
      <c r="J4479" s="6"/>
      <c r="K4479" s="6"/>
      <c r="L4479" s="3"/>
      <c r="M4479" s="3" t="str">
        <f>IFERROR(__xludf.DUMMYFUNCTION("""COMPUTED_VALUE"""),"")</f>
        <v/>
      </c>
    </row>
    <row r="4480" ht="48.0" customHeight="1">
      <c r="A4480" s="3"/>
      <c r="B4480" s="4"/>
      <c r="C4480" s="4"/>
      <c r="D4480" s="4"/>
      <c r="E4480" s="4"/>
      <c r="F4480" s="4"/>
      <c r="G4480" s="5"/>
      <c r="H4480" s="6"/>
      <c r="I4480" s="7"/>
      <c r="J4480" s="6"/>
      <c r="K4480" s="6"/>
      <c r="L4480" s="3"/>
      <c r="M4480" s="3" t="str">
        <f>IFERROR(__xludf.DUMMYFUNCTION("""COMPUTED_VALUE"""),"")</f>
        <v/>
      </c>
    </row>
    <row r="4481" ht="48.0" customHeight="1">
      <c r="A4481" s="3"/>
      <c r="B4481" s="4"/>
      <c r="C4481" s="4"/>
      <c r="D4481" s="4"/>
      <c r="E4481" s="4"/>
      <c r="F4481" s="4"/>
      <c r="G4481" s="5"/>
      <c r="H4481" s="6"/>
      <c r="I4481" s="7"/>
      <c r="J4481" s="6"/>
      <c r="K4481" s="6"/>
      <c r="L4481" s="3"/>
      <c r="M4481" s="3" t="str">
        <f>IFERROR(__xludf.DUMMYFUNCTION("""COMPUTED_VALUE"""),"")</f>
        <v/>
      </c>
    </row>
    <row r="4482" ht="48.0" customHeight="1">
      <c r="A4482" s="3"/>
      <c r="B4482" s="4"/>
      <c r="C4482" s="4"/>
      <c r="D4482" s="4"/>
      <c r="E4482" s="4"/>
      <c r="F4482" s="4"/>
      <c r="G4482" s="5"/>
      <c r="H4482" s="6"/>
      <c r="I4482" s="7"/>
      <c r="J4482" s="6"/>
      <c r="K4482" s="6"/>
      <c r="L4482" s="3"/>
      <c r="M4482" s="3" t="str">
        <f>IFERROR(__xludf.DUMMYFUNCTION("""COMPUTED_VALUE"""),"")</f>
        <v/>
      </c>
    </row>
    <row r="4483" ht="48.0" customHeight="1">
      <c r="A4483" s="3"/>
      <c r="B4483" s="4"/>
      <c r="C4483" s="4"/>
      <c r="D4483" s="4"/>
      <c r="E4483" s="4"/>
      <c r="F4483" s="4"/>
      <c r="G4483" s="5"/>
      <c r="H4483" s="6"/>
      <c r="I4483" s="7"/>
      <c r="J4483" s="6"/>
      <c r="K4483" s="6"/>
      <c r="L4483" s="3"/>
      <c r="M4483" s="3" t="str">
        <f>IFERROR(__xludf.DUMMYFUNCTION("""COMPUTED_VALUE"""),"")</f>
        <v/>
      </c>
    </row>
    <row r="4484" ht="48.0" customHeight="1">
      <c r="A4484" s="3"/>
      <c r="B4484" s="4"/>
      <c r="C4484" s="4"/>
      <c r="D4484" s="4"/>
      <c r="E4484" s="4"/>
      <c r="F4484" s="4"/>
      <c r="G4484" s="5"/>
      <c r="H4484" s="6"/>
      <c r="I4484" s="7"/>
      <c r="J4484" s="6"/>
      <c r="K4484" s="6"/>
      <c r="L4484" s="3"/>
      <c r="M4484" s="3" t="str">
        <f>IFERROR(__xludf.DUMMYFUNCTION("""COMPUTED_VALUE"""),"")</f>
        <v/>
      </c>
    </row>
    <row r="4485" ht="48.0" customHeight="1">
      <c r="A4485" s="3"/>
      <c r="B4485" s="4"/>
      <c r="C4485" s="4"/>
      <c r="D4485" s="4"/>
      <c r="E4485" s="4"/>
      <c r="F4485" s="4"/>
      <c r="G4485" s="5"/>
      <c r="H4485" s="6"/>
      <c r="I4485" s="7"/>
      <c r="J4485" s="6"/>
      <c r="K4485" s="6"/>
      <c r="L4485" s="3"/>
      <c r="M4485" s="3" t="str">
        <f>IFERROR(__xludf.DUMMYFUNCTION("""COMPUTED_VALUE"""),"")</f>
        <v/>
      </c>
    </row>
    <row r="4486" ht="48.0" customHeight="1">
      <c r="A4486" s="3"/>
      <c r="B4486" s="4"/>
      <c r="C4486" s="4"/>
      <c r="D4486" s="4"/>
      <c r="E4486" s="4"/>
      <c r="F4486" s="4"/>
      <c r="G4486" s="5"/>
      <c r="H4486" s="6"/>
      <c r="I4486" s="7"/>
      <c r="J4486" s="6"/>
      <c r="K4486" s="6"/>
      <c r="L4486" s="3"/>
      <c r="M4486" s="3" t="str">
        <f>IFERROR(__xludf.DUMMYFUNCTION("""COMPUTED_VALUE"""),"")</f>
        <v/>
      </c>
    </row>
    <row r="4487" ht="48.0" customHeight="1">
      <c r="A4487" s="3"/>
      <c r="B4487" s="4"/>
      <c r="C4487" s="4"/>
      <c r="D4487" s="4"/>
      <c r="E4487" s="4"/>
      <c r="F4487" s="4"/>
      <c r="G4487" s="5"/>
      <c r="H4487" s="6"/>
      <c r="I4487" s="7"/>
      <c r="J4487" s="6"/>
      <c r="K4487" s="6"/>
      <c r="L4487" s="3"/>
      <c r="M4487" s="3" t="str">
        <f>IFERROR(__xludf.DUMMYFUNCTION("""COMPUTED_VALUE"""),"")</f>
        <v/>
      </c>
    </row>
    <row r="4488" ht="48.0" customHeight="1">
      <c r="A4488" s="3"/>
      <c r="B4488" s="4"/>
      <c r="C4488" s="4"/>
      <c r="D4488" s="4"/>
      <c r="E4488" s="4"/>
      <c r="F4488" s="4"/>
      <c r="G4488" s="5"/>
      <c r="H4488" s="6"/>
      <c r="I4488" s="7"/>
      <c r="J4488" s="6"/>
      <c r="K4488" s="6"/>
      <c r="L4488" s="3"/>
      <c r="M4488" s="3" t="str">
        <f>IFERROR(__xludf.DUMMYFUNCTION("""COMPUTED_VALUE"""),"")</f>
        <v/>
      </c>
    </row>
    <row r="4489" ht="48.0" customHeight="1">
      <c r="A4489" s="3"/>
      <c r="B4489" s="4"/>
      <c r="C4489" s="4"/>
      <c r="D4489" s="4"/>
      <c r="E4489" s="4"/>
      <c r="F4489" s="4"/>
      <c r="G4489" s="5"/>
      <c r="H4489" s="6"/>
      <c r="I4489" s="7"/>
      <c r="J4489" s="6"/>
      <c r="K4489" s="6"/>
      <c r="L4489" s="3"/>
      <c r="M4489" s="3" t="str">
        <f>IFERROR(__xludf.DUMMYFUNCTION("""COMPUTED_VALUE"""),"")</f>
        <v/>
      </c>
    </row>
    <row r="4490" ht="48.0" customHeight="1">
      <c r="A4490" s="3"/>
      <c r="B4490" s="4"/>
      <c r="C4490" s="4"/>
      <c r="D4490" s="4"/>
      <c r="E4490" s="4"/>
      <c r="F4490" s="4"/>
      <c r="G4490" s="5"/>
      <c r="H4490" s="6"/>
      <c r="I4490" s="7"/>
      <c r="J4490" s="6"/>
      <c r="K4490" s="6"/>
      <c r="L4490" s="3"/>
      <c r="M4490" s="3" t="str">
        <f>IFERROR(__xludf.DUMMYFUNCTION("""COMPUTED_VALUE"""),"")</f>
        <v/>
      </c>
    </row>
    <row r="4491" ht="48.0" customHeight="1">
      <c r="A4491" s="3"/>
      <c r="B4491" s="4"/>
      <c r="C4491" s="4"/>
      <c r="D4491" s="4"/>
      <c r="E4491" s="4"/>
      <c r="F4491" s="4"/>
      <c r="G4491" s="5"/>
      <c r="H4491" s="6"/>
      <c r="I4491" s="7"/>
      <c r="J4491" s="6"/>
      <c r="K4491" s="6"/>
      <c r="L4491" s="3"/>
      <c r="M4491" s="3" t="str">
        <f>IFERROR(__xludf.DUMMYFUNCTION("""COMPUTED_VALUE"""),"")</f>
        <v/>
      </c>
    </row>
    <row r="4492" ht="48.0" customHeight="1">
      <c r="A4492" s="3"/>
      <c r="B4492" s="4"/>
      <c r="C4492" s="4"/>
      <c r="D4492" s="4"/>
      <c r="E4492" s="4"/>
      <c r="F4492" s="4"/>
      <c r="G4492" s="5"/>
      <c r="H4492" s="6"/>
      <c r="I4492" s="7"/>
      <c r="J4492" s="6"/>
      <c r="K4492" s="6"/>
      <c r="L4492" s="3"/>
      <c r="M4492" s="3" t="str">
        <f>IFERROR(__xludf.DUMMYFUNCTION("""COMPUTED_VALUE"""),"")</f>
        <v/>
      </c>
    </row>
    <row r="4493" ht="48.0" customHeight="1">
      <c r="A4493" s="3"/>
      <c r="B4493" s="4"/>
      <c r="C4493" s="4"/>
      <c r="D4493" s="4"/>
      <c r="E4493" s="4"/>
      <c r="F4493" s="4"/>
      <c r="G4493" s="5"/>
      <c r="H4493" s="6"/>
      <c r="I4493" s="7"/>
      <c r="J4493" s="6"/>
      <c r="K4493" s="6"/>
      <c r="L4493" s="3"/>
      <c r="M4493" s="3" t="str">
        <f>IFERROR(__xludf.DUMMYFUNCTION("""COMPUTED_VALUE"""),"")</f>
        <v/>
      </c>
    </row>
    <row r="4494" ht="48.0" customHeight="1">
      <c r="A4494" s="3"/>
      <c r="B4494" s="4"/>
      <c r="C4494" s="4"/>
      <c r="D4494" s="4"/>
      <c r="E4494" s="4"/>
      <c r="F4494" s="4"/>
      <c r="G4494" s="5"/>
      <c r="H4494" s="6"/>
      <c r="I4494" s="7"/>
      <c r="J4494" s="6"/>
      <c r="K4494" s="6"/>
      <c r="L4494" s="3"/>
      <c r="M4494" s="3" t="str">
        <f>IFERROR(__xludf.DUMMYFUNCTION("""COMPUTED_VALUE"""),"")</f>
        <v/>
      </c>
    </row>
    <row r="4495" ht="48.0" customHeight="1">
      <c r="A4495" s="3"/>
      <c r="B4495" s="4"/>
      <c r="C4495" s="4"/>
      <c r="D4495" s="4"/>
      <c r="E4495" s="4"/>
      <c r="F4495" s="4"/>
      <c r="G4495" s="5"/>
      <c r="H4495" s="6"/>
      <c r="I4495" s="7"/>
      <c r="J4495" s="6"/>
      <c r="K4495" s="6"/>
      <c r="L4495" s="3"/>
      <c r="M4495" s="3" t="str">
        <f>IFERROR(__xludf.DUMMYFUNCTION("""COMPUTED_VALUE"""),"")</f>
        <v/>
      </c>
    </row>
    <row r="4496" ht="48.0" customHeight="1">
      <c r="A4496" s="3"/>
      <c r="B4496" s="4"/>
      <c r="C4496" s="4"/>
      <c r="D4496" s="4"/>
      <c r="E4496" s="4"/>
      <c r="F4496" s="4"/>
      <c r="G4496" s="5"/>
      <c r="H4496" s="6"/>
      <c r="I4496" s="7"/>
      <c r="J4496" s="6"/>
      <c r="K4496" s="6"/>
      <c r="L4496" s="3"/>
      <c r="M4496" s="3" t="str">
        <f>IFERROR(__xludf.DUMMYFUNCTION("""COMPUTED_VALUE"""),"")</f>
        <v/>
      </c>
    </row>
    <row r="4497" ht="48.0" customHeight="1">
      <c r="A4497" s="3"/>
      <c r="B4497" s="4"/>
      <c r="C4497" s="4"/>
      <c r="D4497" s="4"/>
      <c r="E4497" s="4"/>
      <c r="F4497" s="4"/>
      <c r="G4497" s="5"/>
      <c r="H4497" s="6"/>
      <c r="I4497" s="7"/>
      <c r="J4497" s="6"/>
      <c r="K4497" s="6"/>
      <c r="L4497" s="3"/>
      <c r="M4497" s="3" t="str">
        <f>IFERROR(__xludf.DUMMYFUNCTION("""COMPUTED_VALUE"""),"")</f>
        <v/>
      </c>
    </row>
    <row r="4498" ht="48.0" customHeight="1">
      <c r="A4498" s="3"/>
      <c r="B4498" s="4"/>
      <c r="C4498" s="4"/>
      <c r="D4498" s="4"/>
      <c r="E4498" s="4"/>
      <c r="F4498" s="4"/>
      <c r="G4498" s="5"/>
      <c r="H4498" s="6"/>
      <c r="I4498" s="7"/>
      <c r="J4498" s="6"/>
      <c r="K4498" s="6"/>
      <c r="L4498" s="3"/>
      <c r="M4498" s="3" t="str">
        <f>IFERROR(__xludf.DUMMYFUNCTION("""COMPUTED_VALUE"""),"")</f>
        <v/>
      </c>
    </row>
    <row r="4499" ht="48.0" customHeight="1">
      <c r="A4499" s="3"/>
      <c r="B4499" s="4"/>
      <c r="C4499" s="4"/>
      <c r="D4499" s="4"/>
      <c r="E4499" s="4"/>
      <c r="F4499" s="4"/>
      <c r="G4499" s="5"/>
      <c r="H4499" s="6"/>
      <c r="I4499" s="7"/>
      <c r="J4499" s="6"/>
      <c r="K4499" s="6"/>
      <c r="L4499" s="3"/>
      <c r="M4499" s="3" t="str">
        <f>IFERROR(__xludf.DUMMYFUNCTION("""COMPUTED_VALUE"""),"")</f>
        <v/>
      </c>
    </row>
    <row r="4500" ht="48.0" customHeight="1">
      <c r="A4500" s="3"/>
      <c r="B4500" s="4"/>
      <c r="C4500" s="4"/>
      <c r="D4500" s="4"/>
      <c r="E4500" s="4"/>
      <c r="F4500" s="4"/>
      <c r="G4500" s="5"/>
      <c r="H4500" s="6"/>
      <c r="I4500" s="7"/>
      <c r="J4500" s="6"/>
      <c r="K4500" s="6"/>
      <c r="L4500" s="3"/>
      <c r="M4500" s="3" t="str">
        <f>IFERROR(__xludf.DUMMYFUNCTION("""COMPUTED_VALUE"""),"")</f>
        <v/>
      </c>
    </row>
    <row r="4501" ht="48.0" customHeight="1">
      <c r="A4501" s="3"/>
      <c r="B4501" s="4"/>
      <c r="C4501" s="4"/>
      <c r="D4501" s="4"/>
      <c r="E4501" s="4"/>
      <c r="F4501" s="4"/>
      <c r="G4501" s="5"/>
      <c r="H4501" s="6"/>
      <c r="I4501" s="7"/>
      <c r="J4501" s="6"/>
      <c r="K4501" s="6"/>
      <c r="L4501" s="3"/>
      <c r="M4501" s="3" t="str">
        <f>IFERROR(__xludf.DUMMYFUNCTION("""COMPUTED_VALUE"""),"")</f>
        <v/>
      </c>
    </row>
    <row r="4502" ht="48.0" customHeight="1">
      <c r="A4502" s="3"/>
      <c r="B4502" s="4"/>
      <c r="C4502" s="4"/>
      <c r="D4502" s="4"/>
      <c r="E4502" s="4"/>
      <c r="F4502" s="4"/>
      <c r="G4502" s="5"/>
      <c r="H4502" s="6"/>
      <c r="I4502" s="7"/>
      <c r="J4502" s="6"/>
      <c r="K4502" s="6"/>
      <c r="L4502" s="3"/>
      <c r="M4502" s="3" t="str">
        <f>IFERROR(__xludf.DUMMYFUNCTION("""COMPUTED_VALUE"""),"")</f>
        <v/>
      </c>
    </row>
    <row r="4503" ht="48.0" customHeight="1">
      <c r="A4503" s="3"/>
      <c r="B4503" s="4"/>
      <c r="C4503" s="4"/>
      <c r="D4503" s="4"/>
      <c r="E4503" s="4"/>
      <c r="F4503" s="4"/>
      <c r="G4503" s="5"/>
      <c r="H4503" s="6"/>
      <c r="I4503" s="7"/>
      <c r="J4503" s="6"/>
      <c r="K4503" s="6"/>
      <c r="L4503" s="3"/>
      <c r="M4503" s="3" t="str">
        <f>IFERROR(__xludf.DUMMYFUNCTION("""COMPUTED_VALUE"""),"")</f>
        <v/>
      </c>
    </row>
    <row r="4504" ht="48.0" customHeight="1">
      <c r="A4504" s="3"/>
      <c r="B4504" s="4"/>
      <c r="C4504" s="4"/>
      <c r="D4504" s="4"/>
      <c r="E4504" s="4"/>
      <c r="F4504" s="4"/>
      <c r="G4504" s="5"/>
      <c r="H4504" s="6"/>
      <c r="I4504" s="7"/>
      <c r="J4504" s="6"/>
      <c r="K4504" s="6"/>
      <c r="L4504" s="3"/>
      <c r="M4504" s="3" t="str">
        <f>IFERROR(__xludf.DUMMYFUNCTION("""COMPUTED_VALUE"""),"")</f>
        <v/>
      </c>
    </row>
    <row r="4505" ht="48.0" customHeight="1">
      <c r="A4505" s="3"/>
      <c r="B4505" s="4"/>
      <c r="C4505" s="4"/>
      <c r="D4505" s="4"/>
      <c r="E4505" s="4"/>
      <c r="F4505" s="4"/>
      <c r="G4505" s="5"/>
      <c r="H4505" s="6"/>
      <c r="I4505" s="7"/>
      <c r="J4505" s="6"/>
      <c r="K4505" s="6"/>
      <c r="L4505" s="3"/>
      <c r="M4505" s="3" t="str">
        <f>IFERROR(__xludf.DUMMYFUNCTION("""COMPUTED_VALUE"""),"")</f>
        <v/>
      </c>
    </row>
    <row r="4506" ht="48.0" customHeight="1">
      <c r="A4506" s="3"/>
      <c r="B4506" s="4"/>
      <c r="C4506" s="4"/>
      <c r="D4506" s="4"/>
      <c r="E4506" s="4"/>
      <c r="F4506" s="4"/>
      <c r="G4506" s="5"/>
      <c r="H4506" s="6"/>
      <c r="I4506" s="7"/>
      <c r="J4506" s="6"/>
      <c r="K4506" s="6"/>
      <c r="L4506" s="3"/>
      <c r="M4506" s="3" t="str">
        <f>IFERROR(__xludf.DUMMYFUNCTION("""COMPUTED_VALUE"""),"")</f>
        <v/>
      </c>
    </row>
    <row r="4507" ht="48.0" customHeight="1">
      <c r="A4507" s="3"/>
      <c r="B4507" s="4"/>
      <c r="C4507" s="4"/>
      <c r="D4507" s="4"/>
      <c r="E4507" s="4"/>
      <c r="F4507" s="4"/>
      <c r="G4507" s="5"/>
      <c r="H4507" s="6"/>
      <c r="I4507" s="7"/>
      <c r="J4507" s="6"/>
      <c r="K4507" s="6"/>
      <c r="L4507" s="3"/>
      <c r="M4507" s="3" t="str">
        <f>IFERROR(__xludf.DUMMYFUNCTION("""COMPUTED_VALUE"""),"")</f>
        <v/>
      </c>
    </row>
    <row r="4508" ht="48.0" customHeight="1">
      <c r="A4508" s="3"/>
      <c r="B4508" s="4"/>
      <c r="C4508" s="4"/>
      <c r="D4508" s="4"/>
      <c r="E4508" s="4"/>
      <c r="F4508" s="4"/>
      <c r="G4508" s="5"/>
      <c r="H4508" s="6"/>
      <c r="I4508" s="7"/>
      <c r="J4508" s="6"/>
      <c r="K4508" s="6"/>
      <c r="L4508" s="3"/>
      <c r="M4508" s="3" t="str">
        <f>IFERROR(__xludf.DUMMYFUNCTION("""COMPUTED_VALUE"""),"")</f>
        <v/>
      </c>
    </row>
    <row r="4509" ht="48.0" customHeight="1">
      <c r="A4509" s="3"/>
      <c r="B4509" s="4"/>
      <c r="C4509" s="4"/>
      <c r="D4509" s="4"/>
      <c r="E4509" s="4"/>
      <c r="F4509" s="4"/>
      <c r="G4509" s="5"/>
      <c r="H4509" s="6"/>
      <c r="I4509" s="7"/>
      <c r="J4509" s="6"/>
      <c r="K4509" s="6"/>
      <c r="L4509" s="3"/>
      <c r="M4509" s="3" t="str">
        <f>IFERROR(__xludf.DUMMYFUNCTION("""COMPUTED_VALUE"""),"")</f>
        <v/>
      </c>
    </row>
    <row r="4510" ht="48.0" customHeight="1">
      <c r="A4510" s="3"/>
      <c r="B4510" s="4"/>
      <c r="C4510" s="4"/>
      <c r="D4510" s="4"/>
      <c r="E4510" s="4"/>
      <c r="F4510" s="4"/>
      <c r="G4510" s="5"/>
      <c r="H4510" s="6"/>
      <c r="I4510" s="7"/>
      <c r="J4510" s="6"/>
      <c r="K4510" s="6"/>
      <c r="L4510" s="3"/>
      <c r="M4510" s="3" t="str">
        <f>IFERROR(__xludf.DUMMYFUNCTION("""COMPUTED_VALUE"""),"")</f>
        <v/>
      </c>
    </row>
    <row r="4511" ht="48.0" customHeight="1">
      <c r="A4511" s="3"/>
      <c r="B4511" s="4"/>
      <c r="C4511" s="4"/>
      <c r="D4511" s="4"/>
      <c r="E4511" s="4"/>
      <c r="F4511" s="4"/>
      <c r="G4511" s="5"/>
      <c r="H4511" s="6"/>
      <c r="I4511" s="7"/>
      <c r="J4511" s="6"/>
      <c r="K4511" s="6"/>
      <c r="L4511" s="3"/>
      <c r="M4511" s="3" t="str">
        <f>IFERROR(__xludf.DUMMYFUNCTION("""COMPUTED_VALUE"""),"")</f>
        <v/>
      </c>
    </row>
    <row r="4512" ht="48.0" customHeight="1">
      <c r="A4512" s="3"/>
      <c r="B4512" s="4"/>
      <c r="C4512" s="4"/>
      <c r="D4512" s="4"/>
      <c r="E4512" s="4"/>
      <c r="F4512" s="4"/>
      <c r="G4512" s="5"/>
      <c r="H4512" s="6"/>
      <c r="I4512" s="7"/>
      <c r="J4512" s="6"/>
      <c r="K4512" s="6"/>
      <c r="L4512" s="3"/>
      <c r="M4512" s="3" t="str">
        <f>IFERROR(__xludf.DUMMYFUNCTION("""COMPUTED_VALUE"""),"")</f>
        <v/>
      </c>
    </row>
    <row r="4513" ht="48.0" customHeight="1">
      <c r="A4513" s="3"/>
      <c r="B4513" s="4"/>
      <c r="C4513" s="4"/>
      <c r="D4513" s="4"/>
      <c r="E4513" s="4"/>
      <c r="F4513" s="4"/>
      <c r="G4513" s="5"/>
      <c r="H4513" s="6"/>
      <c r="I4513" s="7"/>
      <c r="J4513" s="6"/>
      <c r="K4513" s="6"/>
      <c r="L4513" s="3"/>
      <c r="M4513" s="3" t="str">
        <f>IFERROR(__xludf.DUMMYFUNCTION("""COMPUTED_VALUE"""),"")</f>
        <v/>
      </c>
    </row>
    <row r="4514" ht="48.0" customHeight="1">
      <c r="A4514" s="3"/>
      <c r="B4514" s="4"/>
      <c r="C4514" s="4"/>
      <c r="D4514" s="4"/>
      <c r="E4514" s="4"/>
      <c r="F4514" s="4"/>
      <c r="G4514" s="5"/>
      <c r="H4514" s="6"/>
      <c r="I4514" s="7"/>
      <c r="J4514" s="6"/>
      <c r="K4514" s="6"/>
      <c r="L4514" s="3"/>
      <c r="M4514" s="3" t="str">
        <f>IFERROR(__xludf.DUMMYFUNCTION("""COMPUTED_VALUE"""),"")</f>
        <v/>
      </c>
    </row>
    <row r="4515" ht="48.0" customHeight="1">
      <c r="A4515" s="3"/>
      <c r="B4515" s="4"/>
      <c r="C4515" s="4"/>
      <c r="D4515" s="4"/>
      <c r="E4515" s="4"/>
      <c r="F4515" s="4"/>
      <c r="G4515" s="5"/>
      <c r="H4515" s="6"/>
      <c r="I4515" s="7"/>
      <c r="J4515" s="6"/>
      <c r="K4515" s="6"/>
      <c r="L4515" s="3"/>
      <c r="M4515" s="3" t="str">
        <f>IFERROR(__xludf.DUMMYFUNCTION("""COMPUTED_VALUE"""),"")</f>
        <v/>
      </c>
    </row>
    <row r="4516" ht="48.0" customHeight="1">
      <c r="A4516" s="3"/>
      <c r="B4516" s="4"/>
      <c r="C4516" s="4"/>
      <c r="D4516" s="4"/>
      <c r="E4516" s="4"/>
      <c r="F4516" s="4"/>
      <c r="G4516" s="5"/>
      <c r="H4516" s="6"/>
      <c r="I4516" s="7"/>
      <c r="J4516" s="6"/>
      <c r="K4516" s="6"/>
      <c r="L4516" s="3"/>
      <c r="M4516" s="3" t="str">
        <f>IFERROR(__xludf.DUMMYFUNCTION("""COMPUTED_VALUE"""),"")</f>
        <v/>
      </c>
    </row>
    <row r="4517" ht="48.0" customHeight="1">
      <c r="A4517" s="3"/>
      <c r="B4517" s="4"/>
      <c r="C4517" s="4"/>
      <c r="D4517" s="4"/>
      <c r="E4517" s="4"/>
      <c r="F4517" s="4"/>
      <c r="G4517" s="5"/>
      <c r="H4517" s="6"/>
      <c r="I4517" s="7"/>
      <c r="J4517" s="6"/>
      <c r="K4517" s="6"/>
      <c r="L4517" s="3"/>
      <c r="M4517" s="3" t="str">
        <f>IFERROR(__xludf.DUMMYFUNCTION("""COMPUTED_VALUE"""),"")</f>
        <v/>
      </c>
    </row>
    <row r="4518" ht="48.0" customHeight="1">
      <c r="A4518" s="3"/>
      <c r="B4518" s="4"/>
      <c r="C4518" s="4"/>
      <c r="D4518" s="4"/>
      <c r="E4518" s="4"/>
      <c r="F4518" s="4"/>
      <c r="G4518" s="5"/>
      <c r="H4518" s="6"/>
      <c r="I4518" s="7"/>
      <c r="J4518" s="6"/>
      <c r="K4518" s="6"/>
      <c r="L4518" s="3"/>
      <c r="M4518" s="3" t="str">
        <f>IFERROR(__xludf.DUMMYFUNCTION("""COMPUTED_VALUE"""),"")</f>
        <v/>
      </c>
    </row>
    <row r="4519" ht="48.0" customHeight="1">
      <c r="A4519" s="3"/>
      <c r="B4519" s="4"/>
      <c r="C4519" s="4"/>
      <c r="D4519" s="4"/>
      <c r="E4519" s="4"/>
      <c r="F4519" s="4"/>
      <c r="G4519" s="5"/>
      <c r="H4519" s="6"/>
      <c r="I4519" s="7"/>
      <c r="J4519" s="6"/>
      <c r="K4519" s="6"/>
      <c r="L4519" s="3"/>
      <c r="M4519" s="3" t="str">
        <f>IFERROR(__xludf.DUMMYFUNCTION("""COMPUTED_VALUE"""),"")</f>
        <v/>
      </c>
    </row>
    <row r="4520" ht="48.0" customHeight="1">
      <c r="A4520" s="3"/>
      <c r="B4520" s="4"/>
      <c r="C4520" s="4"/>
      <c r="D4520" s="4"/>
      <c r="E4520" s="4"/>
      <c r="F4520" s="4"/>
      <c r="G4520" s="5"/>
      <c r="H4520" s="6"/>
      <c r="I4520" s="7"/>
      <c r="J4520" s="6"/>
      <c r="K4520" s="6"/>
      <c r="L4520" s="3"/>
      <c r="M4520" s="3" t="str">
        <f>IFERROR(__xludf.DUMMYFUNCTION("""COMPUTED_VALUE"""),"")</f>
        <v/>
      </c>
    </row>
    <row r="4521" ht="48.0" customHeight="1">
      <c r="A4521" s="3"/>
      <c r="B4521" s="4"/>
      <c r="C4521" s="4"/>
      <c r="D4521" s="4"/>
      <c r="E4521" s="4"/>
      <c r="F4521" s="4"/>
      <c r="G4521" s="5"/>
      <c r="H4521" s="6"/>
      <c r="I4521" s="7"/>
      <c r="J4521" s="6"/>
      <c r="K4521" s="6"/>
      <c r="L4521" s="3"/>
      <c r="M4521" s="3" t="str">
        <f>IFERROR(__xludf.DUMMYFUNCTION("""COMPUTED_VALUE"""),"")</f>
        <v/>
      </c>
    </row>
    <row r="4522" ht="48.0" customHeight="1">
      <c r="A4522" s="3"/>
      <c r="B4522" s="4"/>
      <c r="C4522" s="4"/>
      <c r="D4522" s="4"/>
      <c r="E4522" s="4"/>
      <c r="F4522" s="4"/>
      <c r="G4522" s="5"/>
      <c r="H4522" s="6"/>
      <c r="I4522" s="7"/>
      <c r="J4522" s="6"/>
      <c r="K4522" s="6"/>
      <c r="L4522" s="3"/>
      <c r="M4522" s="3" t="str">
        <f>IFERROR(__xludf.DUMMYFUNCTION("""COMPUTED_VALUE"""),"")</f>
        <v/>
      </c>
    </row>
    <row r="4523" ht="48.0" customHeight="1">
      <c r="A4523" s="3"/>
      <c r="B4523" s="4"/>
      <c r="C4523" s="4"/>
      <c r="D4523" s="4"/>
      <c r="E4523" s="4"/>
      <c r="F4523" s="4"/>
      <c r="G4523" s="5"/>
      <c r="H4523" s="6"/>
      <c r="I4523" s="7"/>
      <c r="J4523" s="6"/>
      <c r="K4523" s="6"/>
      <c r="L4523" s="3"/>
      <c r="M4523" s="3" t="str">
        <f>IFERROR(__xludf.DUMMYFUNCTION("""COMPUTED_VALUE"""),"")</f>
        <v/>
      </c>
    </row>
    <row r="4524" ht="48.0" customHeight="1">
      <c r="A4524" s="3"/>
      <c r="B4524" s="4"/>
      <c r="C4524" s="4"/>
      <c r="D4524" s="4"/>
      <c r="E4524" s="4"/>
      <c r="F4524" s="4"/>
      <c r="G4524" s="5"/>
      <c r="H4524" s="6"/>
      <c r="I4524" s="7"/>
      <c r="J4524" s="6"/>
      <c r="K4524" s="6"/>
      <c r="L4524" s="3"/>
      <c r="M4524" s="3" t="str">
        <f>IFERROR(__xludf.DUMMYFUNCTION("""COMPUTED_VALUE"""),"")</f>
        <v/>
      </c>
    </row>
    <row r="4525" ht="48.0" customHeight="1">
      <c r="A4525" s="3"/>
      <c r="B4525" s="4"/>
      <c r="C4525" s="4"/>
      <c r="D4525" s="4"/>
      <c r="E4525" s="4"/>
      <c r="F4525" s="4"/>
      <c r="G4525" s="5"/>
      <c r="H4525" s="6"/>
      <c r="I4525" s="7"/>
      <c r="J4525" s="6"/>
      <c r="K4525" s="6"/>
      <c r="L4525" s="3"/>
      <c r="M4525" s="3" t="str">
        <f>IFERROR(__xludf.DUMMYFUNCTION("""COMPUTED_VALUE"""),"")</f>
        <v/>
      </c>
    </row>
    <row r="4526" ht="48.0" customHeight="1">
      <c r="A4526" s="3"/>
      <c r="B4526" s="4"/>
      <c r="C4526" s="4"/>
      <c r="D4526" s="4"/>
      <c r="E4526" s="4"/>
      <c r="F4526" s="4"/>
      <c r="G4526" s="5"/>
      <c r="H4526" s="6"/>
      <c r="I4526" s="7"/>
      <c r="J4526" s="6"/>
      <c r="K4526" s="6"/>
      <c r="L4526" s="3"/>
      <c r="M4526" s="3" t="str">
        <f>IFERROR(__xludf.DUMMYFUNCTION("""COMPUTED_VALUE"""),"")</f>
        <v/>
      </c>
    </row>
    <row r="4527" ht="48.0" customHeight="1">
      <c r="A4527" s="3"/>
      <c r="B4527" s="4"/>
      <c r="C4527" s="4"/>
      <c r="D4527" s="4"/>
      <c r="E4527" s="4"/>
      <c r="F4527" s="4"/>
      <c r="G4527" s="5"/>
      <c r="H4527" s="6"/>
      <c r="I4527" s="7"/>
      <c r="J4527" s="6"/>
      <c r="K4527" s="6"/>
      <c r="L4527" s="3"/>
      <c r="M4527" s="3" t="str">
        <f>IFERROR(__xludf.DUMMYFUNCTION("""COMPUTED_VALUE"""),"")</f>
        <v/>
      </c>
    </row>
    <row r="4528" ht="48.0" customHeight="1">
      <c r="A4528" s="3"/>
      <c r="B4528" s="4"/>
      <c r="C4528" s="4"/>
      <c r="D4528" s="4"/>
      <c r="E4528" s="4"/>
      <c r="F4528" s="4"/>
      <c r="G4528" s="5"/>
      <c r="H4528" s="6"/>
      <c r="I4528" s="7"/>
      <c r="J4528" s="6"/>
      <c r="K4528" s="6"/>
      <c r="L4528" s="3"/>
      <c r="M4528" s="3" t="str">
        <f>IFERROR(__xludf.DUMMYFUNCTION("""COMPUTED_VALUE"""),"")</f>
        <v/>
      </c>
    </row>
    <row r="4529" ht="48.0" customHeight="1">
      <c r="A4529" s="3"/>
      <c r="B4529" s="4"/>
      <c r="C4529" s="4"/>
      <c r="D4529" s="4"/>
      <c r="E4529" s="4"/>
      <c r="F4529" s="4"/>
      <c r="G4529" s="5"/>
      <c r="H4529" s="6"/>
      <c r="I4529" s="7"/>
      <c r="J4529" s="6"/>
      <c r="K4529" s="6"/>
      <c r="L4529" s="3"/>
      <c r="M4529" s="3" t="str">
        <f>IFERROR(__xludf.DUMMYFUNCTION("""COMPUTED_VALUE"""),"")</f>
        <v/>
      </c>
    </row>
    <row r="4530" ht="48.0" customHeight="1">
      <c r="A4530" s="3"/>
      <c r="B4530" s="4"/>
      <c r="C4530" s="4"/>
      <c r="D4530" s="4"/>
      <c r="E4530" s="4"/>
      <c r="F4530" s="4"/>
      <c r="G4530" s="5"/>
      <c r="H4530" s="6"/>
      <c r="I4530" s="7"/>
      <c r="J4530" s="6"/>
      <c r="K4530" s="6"/>
      <c r="L4530" s="3"/>
      <c r="M4530" s="3" t="str">
        <f>IFERROR(__xludf.DUMMYFUNCTION("""COMPUTED_VALUE"""),"")</f>
        <v/>
      </c>
    </row>
    <row r="4531" ht="48.0" customHeight="1">
      <c r="A4531" s="3"/>
      <c r="B4531" s="4"/>
      <c r="C4531" s="4"/>
      <c r="D4531" s="4"/>
      <c r="E4531" s="4"/>
      <c r="F4531" s="4"/>
      <c r="G4531" s="5"/>
      <c r="H4531" s="6"/>
      <c r="I4531" s="7"/>
      <c r="J4531" s="6"/>
      <c r="K4531" s="6"/>
      <c r="L4531" s="3"/>
      <c r="M4531" s="3" t="str">
        <f>IFERROR(__xludf.DUMMYFUNCTION("""COMPUTED_VALUE"""),"")</f>
        <v/>
      </c>
    </row>
    <row r="4532" ht="48.0" customHeight="1">
      <c r="A4532" s="3"/>
      <c r="B4532" s="4"/>
      <c r="C4532" s="4"/>
      <c r="D4532" s="4"/>
      <c r="E4532" s="4"/>
      <c r="F4532" s="4"/>
      <c r="G4532" s="5"/>
      <c r="H4532" s="6"/>
      <c r="I4532" s="7"/>
      <c r="J4532" s="6"/>
      <c r="K4532" s="6"/>
      <c r="L4532" s="3"/>
      <c r="M4532" s="3" t="str">
        <f>IFERROR(__xludf.DUMMYFUNCTION("""COMPUTED_VALUE"""),"")</f>
        <v/>
      </c>
    </row>
    <row r="4533" ht="48.0" customHeight="1">
      <c r="A4533" s="3"/>
      <c r="B4533" s="4"/>
      <c r="C4533" s="4"/>
      <c r="D4533" s="4"/>
      <c r="E4533" s="4"/>
      <c r="F4533" s="4"/>
      <c r="G4533" s="5"/>
      <c r="H4533" s="6"/>
      <c r="I4533" s="7"/>
      <c r="J4533" s="6"/>
      <c r="K4533" s="6"/>
      <c r="L4533" s="3"/>
      <c r="M4533" s="3" t="str">
        <f>IFERROR(__xludf.DUMMYFUNCTION("""COMPUTED_VALUE"""),"")</f>
        <v/>
      </c>
    </row>
    <row r="4534" ht="48.0" customHeight="1">
      <c r="A4534" s="3"/>
      <c r="B4534" s="4"/>
      <c r="C4534" s="4"/>
      <c r="D4534" s="4"/>
      <c r="E4534" s="4"/>
      <c r="F4534" s="4"/>
      <c r="G4534" s="5"/>
      <c r="H4534" s="6"/>
      <c r="I4534" s="7"/>
      <c r="J4534" s="6"/>
      <c r="K4534" s="6"/>
      <c r="L4534" s="3"/>
      <c r="M4534" s="3" t="str">
        <f>IFERROR(__xludf.DUMMYFUNCTION("""COMPUTED_VALUE"""),"")</f>
        <v/>
      </c>
    </row>
    <row r="4535" ht="48.0" customHeight="1">
      <c r="A4535" s="3"/>
      <c r="B4535" s="4"/>
      <c r="C4535" s="4"/>
      <c r="D4535" s="4"/>
      <c r="E4535" s="4"/>
      <c r="F4535" s="4"/>
      <c r="G4535" s="5"/>
      <c r="H4535" s="6"/>
      <c r="I4535" s="7"/>
      <c r="J4535" s="6"/>
      <c r="K4535" s="6"/>
      <c r="L4535" s="3"/>
      <c r="M4535" s="3" t="str">
        <f>IFERROR(__xludf.DUMMYFUNCTION("""COMPUTED_VALUE"""),"")</f>
        <v/>
      </c>
    </row>
    <row r="4536" ht="48.0" customHeight="1">
      <c r="A4536" s="3"/>
      <c r="B4536" s="4"/>
      <c r="C4536" s="4"/>
      <c r="D4536" s="4"/>
      <c r="E4536" s="4"/>
      <c r="F4536" s="4"/>
      <c r="G4536" s="5"/>
      <c r="H4536" s="6"/>
      <c r="I4536" s="7"/>
      <c r="J4536" s="6"/>
      <c r="K4536" s="6"/>
      <c r="L4536" s="3"/>
      <c r="M4536" s="3" t="str">
        <f>IFERROR(__xludf.DUMMYFUNCTION("""COMPUTED_VALUE"""),"")</f>
        <v/>
      </c>
    </row>
    <row r="4537" ht="48.0" customHeight="1">
      <c r="A4537" s="3"/>
      <c r="B4537" s="4"/>
      <c r="C4537" s="4"/>
      <c r="D4537" s="4"/>
      <c r="E4537" s="4"/>
      <c r="F4537" s="4"/>
      <c r="G4537" s="5"/>
      <c r="H4537" s="6"/>
      <c r="I4537" s="7"/>
      <c r="J4537" s="6"/>
      <c r="K4537" s="6"/>
      <c r="L4537" s="3"/>
      <c r="M4537" s="3" t="str">
        <f>IFERROR(__xludf.DUMMYFUNCTION("""COMPUTED_VALUE"""),"")</f>
        <v/>
      </c>
    </row>
    <row r="4538" ht="48.0" customHeight="1">
      <c r="A4538" s="3"/>
      <c r="B4538" s="4"/>
      <c r="C4538" s="4"/>
      <c r="D4538" s="4"/>
      <c r="E4538" s="4"/>
      <c r="F4538" s="4"/>
      <c r="G4538" s="5"/>
      <c r="H4538" s="6"/>
      <c r="I4538" s="7"/>
      <c r="J4538" s="6"/>
      <c r="K4538" s="6"/>
      <c r="L4538" s="3"/>
      <c r="M4538" s="3" t="str">
        <f>IFERROR(__xludf.DUMMYFUNCTION("""COMPUTED_VALUE"""),"")</f>
        <v/>
      </c>
    </row>
    <row r="4539" ht="48.0" customHeight="1">
      <c r="A4539" s="3"/>
      <c r="B4539" s="4"/>
      <c r="C4539" s="4"/>
      <c r="D4539" s="4"/>
      <c r="E4539" s="4"/>
      <c r="F4539" s="4"/>
      <c r="G4539" s="5"/>
      <c r="H4539" s="6"/>
      <c r="I4539" s="7"/>
      <c r="J4539" s="6"/>
      <c r="K4539" s="6"/>
      <c r="L4539" s="3"/>
      <c r="M4539" s="3" t="str">
        <f>IFERROR(__xludf.DUMMYFUNCTION("""COMPUTED_VALUE"""),"")</f>
        <v/>
      </c>
    </row>
    <row r="4540" ht="48.0" customHeight="1">
      <c r="A4540" s="3"/>
      <c r="B4540" s="4"/>
      <c r="C4540" s="4"/>
      <c r="D4540" s="4"/>
      <c r="E4540" s="4"/>
      <c r="F4540" s="4"/>
      <c r="G4540" s="5"/>
      <c r="H4540" s="6"/>
      <c r="I4540" s="7"/>
      <c r="J4540" s="6"/>
      <c r="K4540" s="6"/>
      <c r="L4540" s="3"/>
      <c r="M4540" s="3" t="str">
        <f>IFERROR(__xludf.DUMMYFUNCTION("""COMPUTED_VALUE"""),"")</f>
        <v/>
      </c>
    </row>
    <row r="4541" ht="48.0" customHeight="1">
      <c r="A4541" s="3"/>
      <c r="B4541" s="4"/>
      <c r="C4541" s="4"/>
      <c r="D4541" s="4"/>
      <c r="E4541" s="4"/>
      <c r="F4541" s="4"/>
      <c r="G4541" s="5"/>
      <c r="H4541" s="6"/>
      <c r="I4541" s="7"/>
      <c r="J4541" s="6"/>
      <c r="K4541" s="6"/>
      <c r="L4541" s="3"/>
      <c r="M4541" s="3" t="str">
        <f>IFERROR(__xludf.DUMMYFUNCTION("""COMPUTED_VALUE"""),"")</f>
        <v/>
      </c>
    </row>
    <row r="4542" ht="48.0" customHeight="1">
      <c r="A4542" s="3"/>
      <c r="B4542" s="4"/>
      <c r="C4542" s="4"/>
      <c r="D4542" s="4"/>
      <c r="E4542" s="4"/>
      <c r="F4542" s="4"/>
      <c r="G4542" s="5"/>
      <c r="H4542" s="6"/>
      <c r="I4542" s="7"/>
      <c r="J4542" s="6"/>
      <c r="K4542" s="6"/>
      <c r="L4542" s="3"/>
      <c r="M4542" s="3" t="str">
        <f>IFERROR(__xludf.DUMMYFUNCTION("""COMPUTED_VALUE"""),"")</f>
        <v/>
      </c>
    </row>
    <row r="4543" ht="48.0" customHeight="1">
      <c r="A4543" s="3"/>
      <c r="B4543" s="4"/>
      <c r="C4543" s="4"/>
      <c r="D4543" s="4"/>
      <c r="E4543" s="4"/>
      <c r="F4543" s="4"/>
      <c r="G4543" s="5"/>
      <c r="H4543" s="6"/>
      <c r="I4543" s="7"/>
      <c r="J4543" s="6"/>
      <c r="K4543" s="6"/>
      <c r="L4543" s="3"/>
      <c r="M4543" s="3" t="str">
        <f>IFERROR(__xludf.DUMMYFUNCTION("""COMPUTED_VALUE"""),"")</f>
        <v/>
      </c>
    </row>
    <row r="4544" ht="48.0" customHeight="1">
      <c r="A4544" s="3"/>
      <c r="B4544" s="4"/>
      <c r="C4544" s="4"/>
      <c r="D4544" s="4"/>
      <c r="E4544" s="4"/>
      <c r="F4544" s="4"/>
      <c r="G4544" s="5"/>
      <c r="H4544" s="6"/>
      <c r="I4544" s="7"/>
      <c r="J4544" s="6"/>
      <c r="K4544" s="6"/>
      <c r="L4544" s="3"/>
      <c r="M4544" s="3" t="str">
        <f>IFERROR(__xludf.DUMMYFUNCTION("""COMPUTED_VALUE"""),"")</f>
        <v/>
      </c>
    </row>
    <row r="4545" ht="48.0" customHeight="1">
      <c r="A4545" s="3"/>
      <c r="B4545" s="4"/>
      <c r="C4545" s="4"/>
      <c r="D4545" s="4"/>
      <c r="E4545" s="4"/>
      <c r="F4545" s="4"/>
      <c r="G4545" s="5"/>
      <c r="H4545" s="6"/>
      <c r="I4545" s="7"/>
      <c r="J4545" s="6"/>
      <c r="K4545" s="6"/>
      <c r="L4545" s="3"/>
      <c r="M4545" s="3" t="str">
        <f>IFERROR(__xludf.DUMMYFUNCTION("""COMPUTED_VALUE"""),"")</f>
        <v/>
      </c>
    </row>
    <row r="4546" ht="48.0" customHeight="1">
      <c r="A4546" s="3"/>
      <c r="B4546" s="4"/>
      <c r="C4546" s="4"/>
      <c r="D4546" s="4"/>
      <c r="E4546" s="4"/>
      <c r="F4546" s="4"/>
      <c r="G4546" s="5"/>
      <c r="H4546" s="6"/>
      <c r="I4546" s="7"/>
      <c r="J4546" s="6"/>
      <c r="K4546" s="6"/>
      <c r="L4546" s="3"/>
      <c r="M4546" s="3" t="str">
        <f>IFERROR(__xludf.DUMMYFUNCTION("""COMPUTED_VALUE"""),"")</f>
        <v/>
      </c>
    </row>
    <row r="4547" ht="48.0" customHeight="1">
      <c r="A4547" s="3"/>
      <c r="B4547" s="4"/>
      <c r="C4547" s="4"/>
      <c r="D4547" s="4"/>
      <c r="E4547" s="4"/>
      <c r="F4547" s="4"/>
      <c r="G4547" s="5"/>
      <c r="H4547" s="6"/>
      <c r="I4547" s="7"/>
      <c r="J4547" s="6"/>
      <c r="K4547" s="6"/>
      <c r="L4547" s="3"/>
      <c r="M4547" s="3" t="str">
        <f>IFERROR(__xludf.DUMMYFUNCTION("""COMPUTED_VALUE"""),"")</f>
        <v/>
      </c>
    </row>
    <row r="4548" ht="48.0" customHeight="1">
      <c r="A4548" s="3"/>
      <c r="B4548" s="4"/>
      <c r="C4548" s="4"/>
      <c r="D4548" s="4"/>
      <c r="E4548" s="4"/>
      <c r="F4548" s="4"/>
      <c r="G4548" s="5"/>
      <c r="H4548" s="6"/>
      <c r="I4548" s="7"/>
      <c r="J4548" s="6"/>
      <c r="K4548" s="6"/>
      <c r="L4548" s="3"/>
      <c r="M4548" s="3" t="str">
        <f>IFERROR(__xludf.DUMMYFUNCTION("""COMPUTED_VALUE"""),"")</f>
        <v/>
      </c>
    </row>
    <row r="4549" ht="48.0" customHeight="1">
      <c r="A4549" s="3"/>
      <c r="B4549" s="4"/>
      <c r="C4549" s="4"/>
      <c r="D4549" s="4"/>
      <c r="E4549" s="4"/>
      <c r="F4549" s="4"/>
      <c r="G4549" s="5"/>
      <c r="H4549" s="6"/>
      <c r="I4549" s="7"/>
      <c r="J4549" s="6"/>
      <c r="K4549" s="6"/>
      <c r="L4549" s="3"/>
      <c r="M4549" s="3" t="str">
        <f>IFERROR(__xludf.DUMMYFUNCTION("""COMPUTED_VALUE"""),"")</f>
        <v/>
      </c>
    </row>
    <row r="4550" ht="48.0" customHeight="1">
      <c r="A4550" s="3"/>
      <c r="B4550" s="4"/>
      <c r="C4550" s="4"/>
      <c r="D4550" s="4"/>
      <c r="E4550" s="4"/>
      <c r="F4550" s="4"/>
      <c r="G4550" s="5"/>
      <c r="H4550" s="6"/>
      <c r="I4550" s="7"/>
      <c r="J4550" s="6"/>
      <c r="K4550" s="6"/>
      <c r="L4550" s="3"/>
      <c r="M4550" s="3" t="str">
        <f>IFERROR(__xludf.DUMMYFUNCTION("""COMPUTED_VALUE"""),"")</f>
        <v/>
      </c>
    </row>
    <row r="4551" ht="48.0" customHeight="1">
      <c r="A4551" s="3"/>
      <c r="B4551" s="4"/>
      <c r="C4551" s="4"/>
      <c r="D4551" s="4"/>
      <c r="E4551" s="4"/>
      <c r="F4551" s="4"/>
      <c r="G4551" s="5"/>
      <c r="H4551" s="6"/>
      <c r="I4551" s="7"/>
      <c r="J4551" s="6"/>
      <c r="K4551" s="6"/>
      <c r="L4551" s="3"/>
      <c r="M4551" s="3" t="str">
        <f>IFERROR(__xludf.DUMMYFUNCTION("""COMPUTED_VALUE"""),"")</f>
        <v/>
      </c>
    </row>
    <row r="4552" ht="48.0" customHeight="1">
      <c r="A4552" s="3"/>
      <c r="B4552" s="4"/>
      <c r="C4552" s="4"/>
      <c r="D4552" s="4"/>
      <c r="E4552" s="4"/>
      <c r="F4552" s="4"/>
      <c r="G4552" s="5"/>
      <c r="H4552" s="6"/>
      <c r="I4552" s="7"/>
      <c r="J4552" s="6"/>
      <c r="K4552" s="6"/>
      <c r="L4552" s="3"/>
      <c r="M4552" s="3" t="str">
        <f>IFERROR(__xludf.DUMMYFUNCTION("""COMPUTED_VALUE"""),"")</f>
        <v/>
      </c>
    </row>
    <row r="4553" ht="48.0" customHeight="1">
      <c r="A4553" s="3"/>
      <c r="B4553" s="4"/>
      <c r="C4553" s="4"/>
      <c r="D4553" s="4"/>
      <c r="E4553" s="4"/>
      <c r="F4553" s="4"/>
      <c r="G4553" s="5"/>
      <c r="H4553" s="6"/>
      <c r="I4553" s="7"/>
      <c r="J4553" s="6"/>
      <c r="K4553" s="6"/>
      <c r="L4553" s="3"/>
      <c r="M4553" s="3" t="str">
        <f>IFERROR(__xludf.DUMMYFUNCTION("""COMPUTED_VALUE"""),"")</f>
        <v/>
      </c>
    </row>
    <row r="4554" ht="48.0" customHeight="1">
      <c r="A4554" s="3"/>
      <c r="B4554" s="4"/>
      <c r="C4554" s="4"/>
      <c r="D4554" s="4"/>
      <c r="E4554" s="4"/>
      <c r="F4554" s="4"/>
      <c r="G4554" s="5"/>
      <c r="H4554" s="6"/>
      <c r="I4554" s="7"/>
      <c r="J4554" s="6"/>
      <c r="K4554" s="6"/>
      <c r="L4554" s="3"/>
      <c r="M4554" s="3" t="str">
        <f>IFERROR(__xludf.DUMMYFUNCTION("""COMPUTED_VALUE"""),"")</f>
        <v/>
      </c>
    </row>
    <row r="4555" ht="48.0" customHeight="1">
      <c r="A4555" s="3"/>
      <c r="B4555" s="4"/>
      <c r="C4555" s="4"/>
      <c r="D4555" s="4"/>
      <c r="E4555" s="4"/>
      <c r="F4555" s="4"/>
      <c r="G4555" s="5"/>
      <c r="H4555" s="6"/>
      <c r="I4555" s="7"/>
      <c r="J4555" s="6"/>
      <c r="K4555" s="6"/>
      <c r="L4555" s="3"/>
      <c r="M4555" s="3" t="str">
        <f>IFERROR(__xludf.DUMMYFUNCTION("""COMPUTED_VALUE"""),"")</f>
        <v/>
      </c>
    </row>
    <row r="4556" ht="48.0" customHeight="1">
      <c r="A4556" s="3"/>
      <c r="B4556" s="4"/>
      <c r="C4556" s="4"/>
      <c r="D4556" s="4"/>
      <c r="E4556" s="4"/>
      <c r="F4556" s="4"/>
      <c r="G4556" s="5"/>
      <c r="H4556" s="6"/>
      <c r="I4556" s="7"/>
      <c r="J4556" s="6"/>
      <c r="K4556" s="6"/>
      <c r="L4556" s="3"/>
      <c r="M4556" s="3" t="str">
        <f>IFERROR(__xludf.DUMMYFUNCTION("""COMPUTED_VALUE"""),"")</f>
        <v/>
      </c>
    </row>
    <row r="4557" ht="48.0" customHeight="1">
      <c r="A4557" s="3"/>
      <c r="B4557" s="4"/>
      <c r="C4557" s="4"/>
      <c r="D4557" s="4"/>
      <c r="E4557" s="4"/>
      <c r="F4557" s="4"/>
      <c r="G4557" s="5"/>
      <c r="H4557" s="6"/>
      <c r="I4557" s="7"/>
      <c r="J4557" s="6"/>
      <c r="K4557" s="6"/>
      <c r="L4557" s="3"/>
      <c r="M4557" s="3" t="str">
        <f>IFERROR(__xludf.DUMMYFUNCTION("""COMPUTED_VALUE"""),"")</f>
        <v/>
      </c>
    </row>
    <row r="4558" ht="48.0" customHeight="1">
      <c r="A4558" s="3"/>
      <c r="B4558" s="4"/>
      <c r="C4558" s="4"/>
      <c r="D4558" s="4"/>
      <c r="E4558" s="4"/>
      <c r="F4558" s="4"/>
      <c r="G4558" s="5"/>
      <c r="H4558" s="6"/>
      <c r="I4558" s="7"/>
      <c r="J4558" s="6"/>
      <c r="K4558" s="6"/>
      <c r="L4558" s="3"/>
      <c r="M4558" s="3" t="str">
        <f>IFERROR(__xludf.DUMMYFUNCTION("""COMPUTED_VALUE"""),"")</f>
        <v/>
      </c>
    </row>
    <row r="4559" ht="48.0" customHeight="1">
      <c r="A4559" s="3"/>
      <c r="B4559" s="4"/>
      <c r="C4559" s="4"/>
      <c r="D4559" s="4"/>
      <c r="E4559" s="4"/>
      <c r="F4559" s="4"/>
      <c r="G4559" s="5"/>
      <c r="H4559" s="6"/>
      <c r="I4559" s="7"/>
      <c r="J4559" s="6"/>
      <c r="K4559" s="6"/>
      <c r="L4559" s="3"/>
      <c r="M4559" s="3" t="str">
        <f>IFERROR(__xludf.DUMMYFUNCTION("""COMPUTED_VALUE"""),"")</f>
        <v/>
      </c>
    </row>
    <row r="4560" ht="48.0" customHeight="1">
      <c r="A4560" s="3"/>
      <c r="B4560" s="4"/>
      <c r="C4560" s="4"/>
      <c r="D4560" s="4"/>
      <c r="E4560" s="4"/>
      <c r="F4560" s="4"/>
      <c r="G4560" s="5"/>
      <c r="H4560" s="6"/>
      <c r="I4560" s="7"/>
      <c r="J4560" s="6"/>
      <c r="K4560" s="6"/>
      <c r="L4560" s="3"/>
      <c r="M4560" s="3" t="str">
        <f>IFERROR(__xludf.DUMMYFUNCTION("""COMPUTED_VALUE"""),"")</f>
        <v/>
      </c>
    </row>
    <row r="4561" ht="48.0" customHeight="1">
      <c r="A4561" s="3"/>
      <c r="B4561" s="4"/>
      <c r="C4561" s="4"/>
      <c r="D4561" s="4"/>
      <c r="E4561" s="4"/>
      <c r="F4561" s="4"/>
      <c r="G4561" s="5"/>
      <c r="H4561" s="6"/>
      <c r="I4561" s="7"/>
      <c r="J4561" s="6"/>
      <c r="K4561" s="6"/>
      <c r="L4561" s="3"/>
      <c r="M4561" s="3" t="str">
        <f>IFERROR(__xludf.DUMMYFUNCTION("""COMPUTED_VALUE"""),"")</f>
        <v/>
      </c>
    </row>
    <row r="4562" ht="48.0" customHeight="1">
      <c r="A4562" s="3"/>
      <c r="B4562" s="4"/>
      <c r="C4562" s="4"/>
      <c r="D4562" s="4"/>
      <c r="E4562" s="4"/>
      <c r="F4562" s="4"/>
      <c r="G4562" s="5"/>
      <c r="H4562" s="6"/>
      <c r="I4562" s="7"/>
      <c r="J4562" s="6"/>
      <c r="K4562" s="6"/>
      <c r="L4562" s="3"/>
      <c r="M4562" s="3" t="str">
        <f>IFERROR(__xludf.DUMMYFUNCTION("""COMPUTED_VALUE"""),"")</f>
        <v/>
      </c>
    </row>
    <row r="4563" ht="48.0" customHeight="1">
      <c r="A4563" s="3"/>
      <c r="B4563" s="4"/>
      <c r="C4563" s="4"/>
      <c r="D4563" s="4"/>
      <c r="E4563" s="4"/>
      <c r="F4563" s="4"/>
      <c r="G4563" s="5"/>
      <c r="H4563" s="6"/>
      <c r="I4563" s="7"/>
      <c r="J4563" s="6"/>
      <c r="K4563" s="6"/>
      <c r="L4563" s="3"/>
      <c r="M4563" s="3" t="str">
        <f>IFERROR(__xludf.DUMMYFUNCTION("""COMPUTED_VALUE"""),"")</f>
        <v/>
      </c>
    </row>
    <row r="4564" ht="48.0" customHeight="1">
      <c r="A4564" s="3"/>
      <c r="B4564" s="4"/>
      <c r="C4564" s="4"/>
      <c r="D4564" s="4"/>
      <c r="E4564" s="4"/>
      <c r="F4564" s="4"/>
      <c r="G4564" s="5"/>
      <c r="H4564" s="6"/>
      <c r="I4564" s="7"/>
      <c r="J4564" s="6"/>
      <c r="K4564" s="6"/>
      <c r="L4564" s="3"/>
      <c r="M4564" s="3" t="str">
        <f>IFERROR(__xludf.DUMMYFUNCTION("""COMPUTED_VALUE"""),"")</f>
        <v/>
      </c>
    </row>
    <row r="4565" ht="48.0" customHeight="1">
      <c r="A4565" s="3"/>
      <c r="B4565" s="4"/>
      <c r="C4565" s="4"/>
      <c r="D4565" s="4"/>
      <c r="E4565" s="4"/>
      <c r="F4565" s="4"/>
      <c r="G4565" s="5"/>
      <c r="H4565" s="6"/>
      <c r="I4565" s="7"/>
      <c r="J4565" s="6"/>
      <c r="K4565" s="6"/>
      <c r="L4565" s="3"/>
      <c r="M4565" s="3" t="str">
        <f>IFERROR(__xludf.DUMMYFUNCTION("""COMPUTED_VALUE"""),"")</f>
        <v/>
      </c>
    </row>
    <row r="4566" ht="48.0" customHeight="1">
      <c r="A4566" s="3"/>
      <c r="B4566" s="4"/>
      <c r="C4566" s="4"/>
      <c r="D4566" s="4"/>
      <c r="E4566" s="4"/>
      <c r="F4566" s="4"/>
      <c r="G4566" s="5"/>
      <c r="H4566" s="6"/>
      <c r="I4566" s="7"/>
      <c r="J4566" s="6"/>
      <c r="K4566" s="6"/>
      <c r="L4566" s="3"/>
      <c r="M4566" s="3" t="str">
        <f>IFERROR(__xludf.DUMMYFUNCTION("""COMPUTED_VALUE"""),"")</f>
        <v/>
      </c>
    </row>
    <row r="4567" ht="48.0" customHeight="1">
      <c r="A4567" s="3"/>
      <c r="B4567" s="4"/>
      <c r="C4567" s="4"/>
      <c r="D4567" s="4"/>
      <c r="E4567" s="4"/>
      <c r="F4567" s="4"/>
      <c r="G4567" s="5"/>
      <c r="H4567" s="6"/>
      <c r="I4567" s="7"/>
      <c r="J4567" s="6"/>
      <c r="K4567" s="6"/>
      <c r="L4567" s="3"/>
      <c r="M4567" s="3" t="str">
        <f>IFERROR(__xludf.DUMMYFUNCTION("""COMPUTED_VALUE"""),"")</f>
        <v/>
      </c>
    </row>
    <row r="4568" ht="48.0" customHeight="1">
      <c r="A4568" s="3"/>
      <c r="B4568" s="4"/>
      <c r="C4568" s="4"/>
      <c r="D4568" s="4"/>
      <c r="E4568" s="4"/>
      <c r="F4568" s="4"/>
      <c r="G4568" s="5"/>
      <c r="H4568" s="6"/>
      <c r="I4568" s="7"/>
      <c r="J4568" s="6"/>
      <c r="K4568" s="6"/>
      <c r="L4568" s="3"/>
      <c r="M4568" s="3" t="str">
        <f>IFERROR(__xludf.DUMMYFUNCTION("""COMPUTED_VALUE"""),"")</f>
        <v/>
      </c>
    </row>
    <row r="4569" ht="48.0" customHeight="1">
      <c r="A4569" s="3"/>
      <c r="B4569" s="4"/>
      <c r="C4569" s="4"/>
      <c r="D4569" s="4"/>
      <c r="E4569" s="4"/>
      <c r="F4569" s="4"/>
      <c r="G4569" s="5"/>
      <c r="H4569" s="6"/>
      <c r="I4569" s="7"/>
      <c r="J4569" s="6"/>
      <c r="K4569" s="6"/>
      <c r="L4569" s="3"/>
      <c r="M4569" s="3" t="str">
        <f>IFERROR(__xludf.DUMMYFUNCTION("""COMPUTED_VALUE"""),"")</f>
        <v/>
      </c>
    </row>
    <row r="4570" ht="48.0" customHeight="1">
      <c r="A4570" s="3"/>
      <c r="B4570" s="4"/>
      <c r="C4570" s="4"/>
      <c r="D4570" s="4"/>
      <c r="E4570" s="4"/>
      <c r="F4570" s="4"/>
      <c r="G4570" s="5"/>
      <c r="H4570" s="6"/>
      <c r="I4570" s="7"/>
      <c r="J4570" s="6"/>
      <c r="K4570" s="6"/>
      <c r="L4570" s="3"/>
      <c r="M4570" s="3" t="str">
        <f>IFERROR(__xludf.DUMMYFUNCTION("""COMPUTED_VALUE"""),"")</f>
        <v/>
      </c>
    </row>
    <row r="4571" ht="48.0" customHeight="1">
      <c r="A4571" s="3"/>
      <c r="B4571" s="4"/>
      <c r="C4571" s="4"/>
      <c r="D4571" s="4"/>
      <c r="E4571" s="4"/>
      <c r="F4571" s="4"/>
      <c r="G4571" s="5"/>
      <c r="H4571" s="6"/>
      <c r="I4571" s="7"/>
      <c r="J4571" s="6"/>
      <c r="K4571" s="6"/>
      <c r="L4571" s="3"/>
      <c r="M4571" s="3" t="str">
        <f>IFERROR(__xludf.DUMMYFUNCTION("""COMPUTED_VALUE"""),"")</f>
        <v/>
      </c>
    </row>
    <row r="4572" ht="48.0" customHeight="1">
      <c r="A4572" s="3"/>
      <c r="B4572" s="4"/>
      <c r="C4572" s="4"/>
      <c r="D4572" s="4"/>
      <c r="E4572" s="4"/>
      <c r="F4572" s="4"/>
      <c r="G4572" s="5"/>
      <c r="H4572" s="6"/>
      <c r="I4572" s="7"/>
      <c r="J4572" s="6"/>
      <c r="K4572" s="6"/>
      <c r="L4572" s="3"/>
      <c r="M4572" s="3" t="str">
        <f>IFERROR(__xludf.DUMMYFUNCTION("""COMPUTED_VALUE"""),"")</f>
        <v/>
      </c>
    </row>
    <row r="4573" ht="48.0" customHeight="1">
      <c r="A4573" s="3"/>
      <c r="B4573" s="4"/>
      <c r="C4573" s="4"/>
      <c r="D4573" s="4"/>
      <c r="E4573" s="4"/>
      <c r="F4573" s="4"/>
      <c r="G4573" s="5"/>
      <c r="H4573" s="6"/>
      <c r="I4573" s="7"/>
      <c r="J4573" s="6"/>
      <c r="K4573" s="6"/>
      <c r="L4573" s="3"/>
      <c r="M4573" s="3" t="str">
        <f>IFERROR(__xludf.DUMMYFUNCTION("""COMPUTED_VALUE"""),"")</f>
        <v/>
      </c>
    </row>
    <row r="4574" ht="48.0" customHeight="1">
      <c r="A4574" s="3"/>
      <c r="B4574" s="4"/>
      <c r="C4574" s="4"/>
      <c r="D4574" s="4"/>
      <c r="E4574" s="4"/>
      <c r="F4574" s="4"/>
      <c r="G4574" s="5"/>
      <c r="H4574" s="6"/>
      <c r="I4574" s="7"/>
      <c r="J4574" s="6"/>
      <c r="K4574" s="6"/>
      <c r="L4574" s="3"/>
      <c r="M4574" s="3" t="str">
        <f>IFERROR(__xludf.DUMMYFUNCTION("""COMPUTED_VALUE"""),"")</f>
        <v/>
      </c>
    </row>
    <row r="4575" ht="48.0" customHeight="1">
      <c r="A4575" s="3"/>
      <c r="B4575" s="4"/>
      <c r="C4575" s="4"/>
      <c r="D4575" s="4"/>
      <c r="E4575" s="4"/>
      <c r="F4575" s="4"/>
      <c r="G4575" s="5"/>
      <c r="H4575" s="6"/>
      <c r="I4575" s="7"/>
      <c r="J4575" s="6"/>
      <c r="K4575" s="6"/>
      <c r="L4575" s="3"/>
      <c r="M4575" s="3" t="str">
        <f>IFERROR(__xludf.DUMMYFUNCTION("""COMPUTED_VALUE"""),"")</f>
        <v/>
      </c>
    </row>
    <row r="4576" ht="48.0" customHeight="1">
      <c r="A4576" s="3"/>
      <c r="B4576" s="4"/>
      <c r="C4576" s="4"/>
      <c r="D4576" s="4"/>
      <c r="E4576" s="4"/>
      <c r="F4576" s="4"/>
      <c r="G4576" s="5"/>
      <c r="H4576" s="6"/>
      <c r="I4576" s="7"/>
      <c r="J4576" s="6"/>
      <c r="K4576" s="6"/>
      <c r="L4576" s="3"/>
      <c r="M4576" s="3" t="str">
        <f>IFERROR(__xludf.DUMMYFUNCTION("""COMPUTED_VALUE"""),"")</f>
        <v/>
      </c>
    </row>
    <row r="4577" ht="48.0" customHeight="1">
      <c r="A4577" s="3"/>
      <c r="B4577" s="4"/>
      <c r="C4577" s="4"/>
      <c r="D4577" s="4"/>
      <c r="E4577" s="4"/>
      <c r="F4577" s="4"/>
      <c r="G4577" s="5"/>
      <c r="H4577" s="6"/>
      <c r="I4577" s="7"/>
      <c r="J4577" s="6"/>
      <c r="K4577" s="6"/>
      <c r="L4577" s="3"/>
      <c r="M4577" s="3" t="str">
        <f>IFERROR(__xludf.DUMMYFUNCTION("""COMPUTED_VALUE"""),"")</f>
        <v/>
      </c>
    </row>
    <row r="4578" ht="48.0" customHeight="1">
      <c r="A4578" s="3"/>
      <c r="B4578" s="4"/>
      <c r="C4578" s="4"/>
      <c r="D4578" s="4"/>
      <c r="E4578" s="4"/>
      <c r="F4578" s="4"/>
      <c r="G4578" s="5"/>
      <c r="H4578" s="6"/>
      <c r="I4578" s="7"/>
      <c r="J4578" s="6"/>
      <c r="K4578" s="6"/>
      <c r="L4578" s="3"/>
      <c r="M4578" s="3" t="str">
        <f>IFERROR(__xludf.DUMMYFUNCTION("""COMPUTED_VALUE"""),"")</f>
        <v/>
      </c>
    </row>
    <row r="4579" ht="48.0" customHeight="1">
      <c r="A4579" s="3"/>
      <c r="B4579" s="4"/>
      <c r="C4579" s="4"/>
      <c r="D4579" s="4"/>
      <c r="E4579" s="4"/>
      <c r="F4579" s="4"/>
      <c r="G4579" s="5"/>
      <c r="H4579" s="6"/>
      <c r="I4579" s="7"/>
      <c r="J4579" s="6"/>
      <c r="K4579" s="6"/>
      <c r="L4579" s="3"/>
      <c r="M4579" s="3" t="str">
        <f>IFERROR(__xludf.DUMMYFUNCTION("""COMPUTED_VALUE"""),"")</f>
        <v/>
      </c>
    </row>
    <row r="4580" ht="48.0" customHeight="1">
      <c r="A4580" s="3"/>
      <c r="B4580" s="4"/>
      <c r="C4580" s="4"/>
      <c r="D4580" s="4"/>
      <c r="E4580" s="4"/>
      <c r="F4580" s="4"/>
      <c r="G4580" s="5"/>
      <c r="H4580" s="6"/>
      <c r="I4580" s="7"/>
      <c r="J4580" s="6"/>
      <c r="K4580" s="6"/>
      <c r="L4580" s="3"/>
      <c r="M4580" s="3" t="str">
        <f>IFERROR(__xludf.DUMMYFUNCTION("""COMPUTED_VALUE"""),"")</f>
        <v/>
      </c>
    </row>
    <row r="4581" ht="48.0" customHeight="1">
      <c r="A4581" s="3"/>
      <c r="B4581" s="4"/>
      <c r="C4581" s="4"/>
      <c r="D4581" s="4"/>
      <c r="E4581" s="4"/>
      <c r="F4581" s="4"/>
      <c r="G4581" s="5"/>
      <c r="H4581" s="6"/>
      <c r="I4581" s="7"/>
      <c r="J4581" s="6"/>
      <c r="K4581" s="6"/>
      <c r="L4581" s="3"/>
      <c r="M4581" s="3" t="str">
        <f>IFERROR(__xludf.DUMMYFUNCTION("""COMPUTED_VALUE"""),"")</f>
        <v/>
      </c>
    </row>
    <row r="4582" ht="48.0" customHeight="1">
      <c r="A4582" s="3"/>
      <c r="B4582" s="4"/>
      <c r="C4582" s="4"/>
      <c r="D4582" s="4"/>
      <c r="E4582" s="4"/>
      <c r="F4582" s="4"/>
      <c r="G4582" s="5"/>
      <c r="H4582" s="6"/>
      <c r="I4582" s="7"/>
      <c r="J4582" s="6"/>
      <c r="K4582" s="6"/>
      <c r="L4582" s="3"/>
      <c r="M4582" s="3" t="str">
        <f>IFERROR(__xludf.DUMMYFUNCTION("""COMPUTED_VALUE"""),"")</f>
        <v/>
      </c>
    </row>
    <row r="4583" ht="48.0" customHeight="1">
      <c r="A4583" s="3"/>
      <c r="B4583" s="4"/>
      <c r="C4583" s="4"/>
      <c r="D4583" s="4"/>
      <c r="E4583" s="4"/>
      <c r="F4583" s="4"/>
      <c r="G4583" s="5"/>
      <c r="H4583" s="6"/>
      <c r="I4583" s="7"/>
      <c r="J4583" s="6"/>
      <c r="K4583" s="6"/>
      <c r="L4583" s="3"/>
      <c r="M4583" s="3" t="str">
        <f>IFERROR(__xludf.DUMMYFUNCTION("""COMPUTED_VALUE"""),"")</f>
        <v/>
      </c>
    </row>
    <row r="4584" ht="48.0" customHeight="1">
      <c r="A4584" s="3"/>
      <c r="B4584" s="4"/>
      <c r="C4584" s="4"/>
      <c r="D4584" s="4"/>
      <c r="E4584" s="4"/>
      <c r="F4584" s="4"/>
      <c r="G4584" s="5"/>
      <c r="H4584" s="6"/>
      <c r="I4584" s="7"/>
      <c r="J4584" s="6"/>
      <c r="K4584" s="6"/>
      <c r="L4584" s="3"/>
      <c r="M4584" s="3" t="str">
        <f>IFERROR(__xludf.DUMMYFUNCTION("""COMPUTED_VALUE"""),"")</f>
        <v/>
      </c>
    </row>
    <row r="4585" ht="48.0" customHeight="1">
      <c r="A4585" s="3"/>
      <c r="B4585" s="4"/>
      <c r="C4585" s="4"/>
      <c r="D4585" s="4"/>
      <c r="E4585" s="4"/>
      <c r="F4585" s="4"/>
      <c r="G4585" s="5"/>
      <c r="H4585" s="6"/>
      <c r="I4585" s="7"/>
      <c r="J4585" s="6"/>
      <c r="K4585" s="6"/>
      <c r="L4585" s="3"/>
      <c r="M4585" s="3" t="str">
        <f>IFERROR(__xludf.DUMMYFUNCTION("""COMPUTED_VALUE"""),"")</f>
        <v/>
      </c>
    </row>
    <row r="4586" ht="48.0" customHeight="1">
      <c r="A4586" s="3"/>
      <c r="B4586" s="4"/>
      <c r="C4586" s="4"/>
      <c r="D4586" s="4"/>
      <c r="E4586" s="4"/>
      <c r="F4586" s="4"/>
      <c r="G4586" s="5"/>
      <c r="H4586" s="6"/>
      <c r="I4586" s="7"/>
      <c r="J4586" s="6"/>
      <c r="K4586" s="6"/>
      <c r="L4586" s="3"/>
      <c r="M4586" s="3" t="str">
        <f>IFERROR(__xludf.DUMMYFUNCTION("""COMPUTED_VALUE"""),"")</f>
        <v/>
      </c>
    </row>
    <row r="4587" ht="48.0" customHeight="1">
      <c r="A4587" s="3"/>
      <c r="B4587" s="4"/>
      <c r="C4587" s="4"/>
      <c r="D4587" s="4"/>
      <c r="E4587" s="4"/>
      <c r="F4587" s="4"/>
      <c r="G4587" s="5"/>
      <c r="H4587" s="6"/>
      <c r="I4587" s="7"/>
      <c r="J4587" s="6"/>
      <c r="K4587" s="6"/>
      <c r="L4587" s="3"/>
      <c r="M4587" s="3" t="str">
        <f>IFERROR(__xludf.DUMMYFUNCTION("""COMPUTED_VALUE"""),"")</f>
        <v/>
      </c>
    </row>
    <row r="4588" ht="48.0" customHeight="1">
      <c r="A4588" s="3"/>
      <c r="B4588" s="4"/>
      <c r="C4588" s="4"/>
      <c r="D4588" s="4"/>
      <c r="E4588" s="4"/>
      <c r="F4588" s="4"/>
      <c r="G4588" s="5"/>
      <c r="H4588" s="6"/>
      <c r="I4588" s="7"/>
      <c r="J4588" s="6"/>
      <c r="K4588" s="6"/>
      <c r="L4588" s="3"/>
      <c r="M4588" s="3" t="str">
        <f>IFERROR(__xludf.DUMMYFUNCTION("""COMPUTED_VALUE"""),"")</f>
        <v/>
      </c>
    </row>
    <row r="4589" ht="48.0" customHeight="1">
      <c r="A4589" s="3"/>
      <c r="B4589" s="4"/>
      <c r="C4589" s="4"/>
      <c r="D4589" s="4"/>
      <c r="E4589" s="4"/>
      <c r="F4589" s="4"/>
      <c r="G4589" s="5"/>
      <c r="H4589" s="6"/>
      <c r="I4589" s="7"/>
      <c r="J4589" s="6"/>
      <c r="K4589" s="6"/>
      <c r="L4589" s="3"/>
      <c r="M4589" s="3" t="str">
        <f>IFERROR(__xludf.DUMMYFUNCTION("""COMPUTED_VALUE"""),"")</f>
        <v/>
      </c>
    </row>
    <row r="4590" ht="48.0" customHeight="1">
      <c r="A4590" s="3"/>
      <c r="B4590" s="4"/>
      <c r="C4590" s="4"/>
      <c r="D4590" s="4"/>
      <c r="E4590" s="4"/>
      <c r="F4590" s="4"/>
      <c r="G4590" s="5"/>
      <c r="H4590" s="6"/>
      <c r="I4590" s="7"/>
      <c r="J4590" s="6"/>
      <c r="K4590" s="6"/>
      <c r="L4590" s="3"/>
      <c r="M4590" s="3" t="str">
        <f>IFERROR(__xludf.DUMMYFUNCTION("""COMPUTED_VALUE"""),"")</f>
        <v/>
      </c>
    </row>
    <row r="4591" ht="48.0" customHeight="1">
      <c r="A4591" s="3"/>
      <c r="B4591" s="4"/>
      <c r="C4591" s="4"/>
      <c r="D4591" s="4"/>
      <c r="E4591" s="4"/>
      <c r="F4591" s="4"/>
      <c r="G4591" s="5"/>
      <c r="H4591" s="6"/>
      <c r="I4591" s="7"/>
      <c r="J4591" s="6"/>
      <c r="K4591" s="6"/>
      <c r="L4591" s="3"/>
      <c r="M4591" s="3" t="str">
        <f>IFERROR(__xludf.DUMMYFUNCTION("""COMPUTED_VALUE"""),"")</f>
        <v/>
      </c>
    </row>
    <row r="4592" ht="48.0" customHeight="1">
      <c r="A4592" s="3"/>
      <c r="B4592" s="4"/>
      <c r="C4592" s="4"/>
      <c r="D4592" s="4"/>
      <c r="E4592" s="4"/>
      <c r="F4592" s="4"/>
      <c r="G4592" s="5"/>
      <c r="H4592" s="6"/>
      <c r="I4592" s="7"/>
      <c r="J4592" s="6"/>
      <c r="K4592" s="6"/>
      <c r="L4592" s="3"/>
      <c r="M4592" s="3" t="str">
        <f>IFERROR(__xludf.DUMMYFUNCTION("""COMPUTED_VALUE"""),"")</f>
        <v/>
      </c>
    </row>
    <row r="4593" ht="48.0" customHeight="1">
      <c r="A4593" s="3"/>
      <c r="B4593" s="4"/>
      <c r="C4593" s="4"/>
      <c r="D4593" s="4"/>
      <c r="E4593" s="4"/>
      <c r="F4593" s="4"/>
      <c r="G4593" s="5"/>
      <c r="H4593" s="6"/>
      <c r="I4593" s="7"/>
      <c r="J4593" s="6"/>
      <c r="K4593" s="6"/>
      <c r="L4593" s="3"/>
      <c r="M4593" s="3" t="str">
        <f>IFERROR(__xludf.DUMMYFUNCTION("""COMPUTED_VALUE"""),"")</f>
        <v/>
      </c>
    </row>
    <row r="4594" ht="48.0" customHeight="1">
      <c r="A4594" s="3"/>
      <c r="B4594" s="4"/>
      <c r="C4594" s="4"/>
      <c r="D4594" s="4"/>
      <c r="E4594" s="4"/>
      <c r="F4594" s="4"/>
      <c r="G4594" s="5"/>
      <c r="H4594" s="6"/>
      <c r="I4594" s="7"/>
      <c r="J4594" s="6"/>
      <c r="K4594" s="6"/>
      <c r="L4594" s="3"/>
      <c r="M4594" s="3" t="str">
        <f>IFERROR(__xludf.DUMMYFUNCTION("""COMPUTED_VALUE"""),"")</f>
        <v/>
      </c>
    </row>
    <row r="4595" ht="48.0" customHeight="1">
      <c r="A4595" s="3"/>
      <c r="B4595" s="4"/>
      <c r="C4595" s="4"/>
      <c r="D4595" s="4"/>
      <c r="E4595" s="4"/>
      <c r="F4595" s="4"/>
      <c r="G4595" s="5"/>
      <c r="H4595" s="6"/>
      <c r="I4595" s="7"/>
      <c r="J4595" s="6"/>
      <c r="K4595" s="6"/>
      <c r="L4595" s="3"/>
      <c r="M4595" s="3" t="str">
        <f>IFERROR(__xludf.DUMMYFUNCTION("""COMPUTED_VALUE"""),"")</f>
        <v/>
      </c>
    </row>
    <row r="4596" ht="48.0" customHeight="1">
      <c r="A4596" s="3"/>
      <c r="B4596" s="4"/>
      <c r="C4596" s="4"/>
      <c r="D4596" s="4"/>
      <c r="E4596" s="4"/>
      <c r="F4596" s="4"/>
      <c r="G4596" s="5"/>
      <c r="H4596" s="6"/>
      <c r="I4596" s="7"/>
      <c r="J4596" s="6"/>
      <c r="K4596" s="6"/>
      <c r="L4596" s="3"/>
      <c r="M4596" s="3" t="str">
        <f>IFERROR(__xludf.DUMMYFUNCTION("""COMPUTED_VALUE"""),"")</f>
        <v/>
      </c>
    </row>
    <row r="4597" ht="48.0" customHeight="1">
      <c r="A4597" s="3"/>
      <c r="B4597" s="4"/>
      <c r="C4597" s="4"/>
      <c r="D4597" s="4"/>
      <c r="E4597" s="4"/>
      <c r="F4597" s="4"/>
      <c r="G4597" s="5"/>
      <c r="H4597" s="6"/>
      <c r="I4597" s="7"/>
      <c r="J4597" s="6"/>
      <c r="K4597" s="6"/>
      <c r="L4597" s="3"/>
      <c r="M4597" s="3" t="str">
        <f>IFERROR(__xludf.DUMMYFUNCTION("""COMPUTED_VALUE"""),"")</f>
        <v/>
      </c>
    </row>
    <row r="4598" ht="48.0" customHeight="1">
      <c r="A4598" s="3"/>
      <c r="B4598" s="4"/>
      <c r="C4598" s="4"/>
      <c r="D4598" s="4"/>
      <c r="E4598" s="4"/>
      <c r="F4598" s="4"/>
      <c r="G4598" s="5"/>
      <c r="H4598" s="6"/>
      <c r="I4598" s="7"/>
      <c r="J4598" s="6"/>
      <c r="K4598" s="6"/>
      <c r="L4598" s="3"/>
      <c r="M4598" s="3" t="str">
        <f>IFERROR(__xludf.DUMMYFUNCTION("""COMPUTED_VALUE"""),"")</f>
        <v/>
      </c>
    </row>
    <row r="4599" ht="48.0" customHeight="1">
      <c r="A4599" s="3"/>
      <c r="B4599" s="4"/>
      <c r="C4599" s="4"/>
      <c r="D4599" s="4"/>
      <c r="E4599" s="4"/>
      <c r="F4599" s="4"/>
      <c r="G4599" s="5"/>
      <c r="H4599" s="6"/>
      <c r="I4599" s="7"/>
      <c r="J4599" s="6"/>
      <c r="K4599" s="6"/>
      <c r="L4599" s="3"/>
      <c r="M4599" s="3" t="str">
        <f>IFERROR(__xludf.DUMMYFUNCTION("""COMPUTED_VALUE"""),"")</f>
        <v/>
      </c>
    </row>
    <row r="4600" ht="48.0" customHeight="1">
      <c r="A4600" s="3"/>
      <c r="B4600" s="4"/>
      <c r="C4600" s="4"/>
      <c r="D4600" s="4"/>
      <c r="E4600" s="4"/>
      <c r="F4600" s="4"/>
      <c r="G4600" s="5"/>
      <c r="H4600" s="6"/>
      <c r="I4600" s="7"/>
      <c r="J4600" s="6"/>
      <c r="K4600" s="6"/>
      <c r="L4600" s="3"/>
      <c r="M4600" s="3" t="str">
        <f>IFERROR(__xludf.DUMMYFUNCTION("""COMPUTED_VALUE"""),"")</f>
        <v/>
      </c>
    </row>
    <row r="4601" ht="48.0" customHeight="1">
      <c r="A4601" s="3"/>
      <c r="B4601" s="4"/>
      <c r="C4601" s="4"/>
      <c r="D4601" s="4"/>
      <c r="E4601" s="4"/>
      <c r="F4601" s="4"/>
      <c r="G4601" s="5"/>
      <c r="H4601" s="6"/>
      <c r="I4601" s="7"/>
      <c r="J4601" s="6"/>
      <c r="K4601" s="6"/>
      <c r="L4601" s="3"/>
      <c r="M4601" s="3" t="str">
        <f>IFERROR(__xludf.DUMMYFUNCTION("""COMPUTED_VALUE"""),"")</f>
        <v/>
      </c>
    </row>
    <row r="4602" ht="48.0" customHeight="1">
      <c r="A4602" s="3"/>
      <c r="B4602" s="4"/>
      <c r="C4602" s="4"/>
      <c r="D4602" s="4"/>
      <c r="E4602" s="4"/>
      <c r="F4602" s="4"/>
      <c r="G4602" s="5"/>
      <c r="H4602" s="6"/>
      <c r="I4602" s="7"/>
      <c r="J4602" s="6"/>
      <c r="K4602" s="6"/>
      <c r="L4602" s="3"/>
      <c r="M4602" s="3" t="str">
        <f>IFERROR(__xludf.DUMMYFUNCTION("""COMPUTED_VALUE"""),"")</f>
        <v/>
      </c>
    </row>
    <row r="4603" ht="48.0" customHeight="1">
      <c r="A4603" s="3"/>
      <c r="B4603" s="4"/>
      <c r="C4603" s="4"/>
      <c r="D4603" s="4"/>
      <c r="E4603" s="4"/>
      <c r="F4603" s="4"/>
      <c r="G4603" s="5"/>
      <c r="H4603" s="6"/>
      <c r="I4603" s="7"/>
      <c r="J4603" s="6"/>
      <c r="K4603" s="6"/>
      <c r="L4603" s="3"/>
      <c r="M4603" s="3" t="str">
        <f>IFERROR(__xludf.DUMMYFUNCTION("""COMPUTED_VALUE"""),"")</f>
        <v/>
      </c>
    </row>
    <row r="4604" ht="48.0" customHeight="1">
      <c r="A4604" s="3"/>
      <c r="B4604" s="4"/>
      <c r="C4604" s="4"/>
      <c r="D4604" s="4"/>
      <c r="E4604" s="4"/>
      <c r="F4604" s="4"/>
      <c r="G4604" s="5"/>
      <c r="H4604" s="6"/>
      <c r="I4604" s="7"/>
      <c r="J4604" s="6"/>
      <c r="K4604" s="6"/>
      <c r="L4604" s="3"/>
      <c r="M4604" s="3" t="str">
        <f>IFERROR(__xludf.DUMMYFUNCTION("""COMPUTED_VALUE"""),"")</f>
        <v/>
      </c>
    </row>
    <row r="4605" ht="48.0" customHeight="1">
      <c r="A4605" s="3"/>
      <c r="B4605" s="4"/>
      <c r="C4605" s="4"/>
      <c r="D4605" s="4"/>
      <c r="E4605" s="4"/>
      <c r="F4605" s="4"/>
      <c r="G4605" s="5"/>
      <c r="H4605" s="6"/>
      <c r="I4605" s="7"/>
      <c r="J4605" s="6"/>
      <c r="K4605" s="6"/>
      <c r="L4605" s="3"/>
      <c r="M4605" s="3" t="str">
        <f>IFERROR(__xludf.DUMMYFUNCTION("""COMPUTED_VALUE"""),"")</f>
        <v/>
      </c>
    </row>
    <row r="4606" ht="48.0" customHeight="1">
      <c r="A4606" s="3"/>
      <c r="B4606" s="4"/>
      <c r="C4606" s="4"/>
      <c r="D4606" s="4"/>
      <c r="E4606" s="4"/>
      <c r="F4606" s="4"/>
      <c r="G4606" s="5"/>
      <c r="H4606" s="6"/>
      <c r="I4606" s="7"/>
      <c r="J4606" s="6"/>
      <c r="K4606" s="6"/>
      <c r="L4606" s="3"/>
      <c r="M4606" s="3" t="str">
        <f>IFERROR(__xludf.DUMMYFUNCTION("""COMPUTED_VALUE"""),"")</f>
        <v/>
      </c>
    </row>
    <row r="4607" ht="48.0" customHeight="1">
      <c r="A4607" s="3"/>
      <c r="B4607" s="4"/>
      <c r="C4607" s="4"/>
      <c r="D4607" s="4"/>
      <c r="E4607" s="4"/>
      <c r="F4607" s="4"/>
      <c r="G4607" s="5"/>
      <c r="H4607" s="6"/>
      <c r="I4607" s="7"/>
      <c r="J4607" s="6"/>
      <c r="K4607" s="6"/>
      <c r="L4607" s="3"/>
      <c r="M4607" s="3" t="str">
        <f>IFERROR(__xludf.DUMMYFUNCTION("""COMPUTED_VALUE"""),"")</f>
        <v/>
      </c>
    </row>
    <row r="4608" ht="48.0" customHeight="1">
      <c r="A4608" s="3"/>
      <c r="B4608" s="4"/>
      <c r="C4608" s="4"/>
      <c r="D4608" s="4"/>
      <c r="E4608" s="4"/>
      <c r="F4608" s="4"/>
      <c r="G4608" s="5"/>
      <c r="H4608" s="6"/>
      <c r="I4608" s="7"/>
      <c r="J4608" s="6"/>
      <c r="K4608" s="6"/>
      <c r="L4608" s="3"/>
      <c r="M4608" s="3" t="str">
        <f>IFERROR(__xludf.DUMMYFUNCTION("""COMPUTED_VALUE"""),"")</f>
        <v/>
      </c>
    </row>
    <row r="4609" ht="48.0" customHeight="1">
      <c r="A4609" s="3"/>
      <c r="B4609" s="4"/>
      <c r="C4609" s="4"/>
      <c r="D4609" s="4"/>
      <c r="E4609" s="4"/>
      <c r="F4609" s="4"/>
      <c r="G4609" s="5"/>
      <c r="H4609" s="6"/>
      <c r="I4609" s="7"/>
      <c r="J4609" s="6"/>
      <c r="K4609" s="6"/>
      <c r="L4609" s="3"/>
      <c r="M4609" s="3" t="str">
        <f>IFERROR(__xludf.DUMMYFUNCTION("""COMPUTED_VALUE"""),"")</f>
        <v/>
      </c>
    </row>
    <row r="4610" ht="48.0" customHeight="1">
      <c r="A4610" s="3"/>
      <c r="B4610" s="4"/>
      <c r="C4610" s="4"/>
      <c r="D4610" s="4"/>
      <c r="E4610" s="4"/>
      <c r="F4610" s="4"/>
      <c r="G4610" s="5"/>
      <c r="H4610" s="6"/>
      <c r="I4610" s="7"/>
      <c r="J4610" s="6"/>
      <c r="K4610" s="6"/>
      <c r="L4610" s="3"/>
      <c r="M4610" s="3" t="str">
        <f>IFERROR(__xludf.DUMMYFUNCTION("""COMPUTED_VALUE"""),"")</f>
        <v/>
      </c>
    </row>
    <row r="4611" ht="48.0" customHeight="1">
      <c r="A4611" s="3"/>
      <c r="B4611" s="4"/>
      <c r="C4611" s="4"/>
      <c r="D4611" s="4"/>
      <c r="E4611" s="4"/>
      <c r="F4611" s="4"/>
      <c r="G4611" s="5"/>
      <c r="H4611" s="6"/>
      <c r="I4611" s="7"/>
      <c r="J4611" s="6"/>
      <c r="K4611" s="6"/>
      <c r="L4611" s="3"/>
      <c r="M4611" s="3" t="str">
        <f>IFERROR(__xludf.DUMMYFUNCTION("""COMPUTED_VALUE"""),"")</f>
        <v/>
      </c>
    </row>
    <row r="4612" ht="48.0" customHeight="1">
      <c r="A4612" s="3"/>
      <c r="B4612" s="4"/>
      <c r="C4612" s="4"/>
      <c r="D4612" s="4"/>
      <c r="E4612" s="4"/>
      <c r="F4612" s="4"/>
      <c r="G4612" s="5"/>
      <c r="H4612" s="6"/>
      <c r="I4612" s="7"/>
      <c r="J4612" s="6"/>
      <c r="K4612" s="6"/>
      <c r="L4612" s="3"/>
      <c r="M4612" s="3" t="str">
        <f>IFERROR(__xludf.DUMMYFUNCTION("""COMPUTED_VALUE"""),"")</f>
        <v/>
      </c>
    </row>
    <row r="4613" ht="48.0" customHeight="1">
      <c r="A4613" s="3"/>
      <c r="B4613" s="4"/>
      <c r="C4613" s="4"/>
      <c r="D4613" s="4"/>
      <c r="E4613" s="4"/>
      <c r="F4613" s="4"/>
      <c r="G4613" s="5"/>
      <c r="H4613" s="6"/>
      <c r="I4613" s="7"/>
      <c r="J4613" s="6"/>
      <c r="K4613" s="6"/>
      <c r="L4613" s="3"/>
      <c r="M4613" s="3" t="str">
        <f>IFERROR(__xludf.DUMMYFUNCTION("""COMPUTED_VALUE"""),"")</f>
        <v/>
      </c>
    </row>
    <row r="4614" ht="48.0" customHeight="1">
      <c r="A4614" s="3"/>
      <c r="B4614" s="4"/>
      <c r="C4614" s="4"/>
      <c r="D4614" s="4"/>
      <c r="E4614" s="4"/>
      <c r="F4614" s="4"/>
      <c r="G4614" s="5"/>
      <c r="H4614" s="6"/>
      <c r="I4614" s="7"/>
      <c r="J4614" s="6"/>
      <c r="K4614" s="6"/>
      <c r="L4614" s="3"/>
      <c r="M4614" s="3" t="str">
        <f>IFERROR(__xludf.DUMMYFUNCTION("""COMPUTED_VALUE"""),"")</f>
        <v/>
      </c>
    </row>
    <row r="4615" ht="48.0" customHeight="1">
      <c r="A4615" s="3"/>
      <c r="B4615" s="4"/>
      <c r="C4615" s="4"/>
      <c r="D4615" s="4"/>
      <c r="E4615" s="4"/>
      <c r="F4615" s="4"/>
      <c r="G4615" s="5"/>
      <c r="H4615" s="6"/>
      <c r="I4615" s="7"/>
      <c r="J4615" s="6"/>
      <c r="K4615" s="6"/>
      <c r="L4615" s="3"/>
      <c r="M4615" s="3" t="str">
        <f>IFERROR(__xludf.DUMMYFUNCTION("""COMPUTED_VALUE"""),"")</f>
        <v/>
      </c>
    </row>
    <row r="4616" ht="48.0" customHeight="1">
      <c r="A4616" s="3"/>
      <c r="B4616" s="4"/>
      <c r="C4616" s="4"/>
      <c r="D4616" s="4"/>
      <c r="E4616" s="4"/>
      <c r="F4616" s="4"/>
      <c r="G4616" s="5"/>
      <c r="H4616" s="6"/>
      <c r="I4616" s="7"/>
      <c r="J4616" s="6"/>
      <c r="K4616" s="6"/>
      <c r="L4616" s="3"/>
      <c r="M4616" s="3" t="str">
        <f>IFERROR(__xludf.DUMMYFUNCTION("""COMPUTED_VALUE"""),"")</f>
        <v/>
      </c>
    </row>
    <row r="4617" ht="48.0" customHeight="1">
      <c r="A4617" s="3"/>
      <c r="B4617" s="4"/>
      <c r="C4617" s="4"/>
      <c r="D4617" s="4"/>
      <c r="E4617" s="4"/>
      <c r="F4617" s="4"/>
      <c r="G4617" s="5"/>
      <c r="H4617" s="6"/>
      <c r="I4617" s="7"/>
      <c r="J4617" s="6"/>
      <c r="K4617" s="6"/>
      <c r="L4617" s="3"/>
      <c r="M4617" s="3" t="str">
        <f>IFERROR(__xludf.DUMMYFUNCTION("""COMPUTED_VALUE"""),"")</f>
        <v/>
      </c>
    </row>
    <row r="4618" ht="48.0" customHeight="1">
      <c r="A4618" s="3"/>
      <c r="B4618" s="4"/>
      <c r="C4618" s="4"/>
      <c r="D4618" s="4"/>
      <c r="E4618" s="4"/>
      <c r="F4618" s="4"/>
      <c r="G4618" s="5"/>
      <c r="H4618" s="6"/>
      <c r="I4618" s="7"/>
      <c r="J4618" s="6"/>
      <c r="K4618" s="6"/>
      <c r="L4618" s="3"/>
      <c r="M4618" s="3" t="str">
        <f>IFERROR(__xludf.DUMMYFUNCTION("""COMPUTED_VALUE"""),"")</f>
        <v/>
      </c>
    </row>
    <row r="4619" ht="48.0" customHeight="1">
      <c r="A4619" s="3"/>
      <c r="B4619" s="4"/>
      <c r="C4619" s="4"/>
      <c r="D4619" s="4"/>
      <c r="E4619" s="4"/>
      <c r="F4619" s="4"/>
      <c r="G4619" s="5"/>
      <c r="H4619" s="6"/>
      <c r="I4619" s="7"/>
      <c r="J4619" s="6"/>
      <c r="K4619" s="6"/>
      <c r="L4619" s="3"/>
      <c r="M4619" s="3" t="str">
        <f>IFERROR(__xludf.DUMMYFUNCTION("""COMPUTED_VALUE"""),"")</f>
        <v/>
      </c>
    </row>
    <row r="4620" ht="48.0" customHeight="1">
      <c r="A4620" s="3"/>
      <c r="B4620" s="4"/>
      <c r="C4620" s="4"/>
      <c r="D4620" s="4"/>
      <c r="E4620" s="4"/>
      <c r="F4620" s="4"/>
      <c r="G4620" s="5"/>
      <c r="H4620" s="6"/>
      <c r="I4620" s="7"/>
      <c r="J4620" s="6"/>
      <c r="K4620" s="6"/>
      <c r="L4620" s="3"/>
      <c r="M4620" s="3" t="str">
        <f>IFERROR(__xludf.DUMMYFUNCTION("""COMPUTED_VALUE"""),"")</f>
        <v/>
      </c>
    </row>
    <row r="4621" ht="48.0" customHeight="1">
      <c r="A4621" s="3"/>
      <c r="B4621" s="4"/>
      <c r="C4621" s="4"/>
      <c r="D4621" s="4"/>
      <c r="E4621" s="4"/>
      <c r="F4621" s="4"/>
      <c r="G4621" s="5"/>
      <c r="H4621" s="6"/>
      <c r="I4621" s="7"/>
      <c r="J4621" s="6"/>
      <c r="K4621" s="6"/>
      <c r="L4621" s="3"/>
      <c r="M4621" s="3" t="str">
        <f>IFERROR(__xludf.DUMMYFUNCTION("""COMPUTED_VALUE"""),"")</f>
        <v/>
      </c>
    </row>
    <row r="4622" ht="48.0" customHeight="1">
      <c r="A4622" s="3"/>
      <c r="B4622" s="4"/>
      <c r="C4622" s="4"/>
      <c r="D4622" s="4"/>
      <c r="E4622" s="4"/>
      <c r="F4622" s="4"/>
      <c r="G4622" s="5"/>
      <c r="H4622" s="6"/>
      <c r="I4622" s="7"/>
      <c r="J4622" s="6"/>
      <c r="K4622" s="6"/>
      <c r="L4622" s="3"/>
      <c r="M4622" s="3" t="str">
        <f>IFERROR(__xludf.DUMMYFUNCTION("""COMPUTED_VALUE"""),"")</f>
        <v/>
      </c>
    </row>
    <row r="4623" ht="48.0" customHeight="1">
      <c r="A4623" s="3"/>
      <c r="B4623" s="4"/>
      <c r="C4623" s="4"/>
      <c r="D4623" s="4"/>
      <c r="E4623" s="4"/>
      <c r="F4623" s="4"/>
      <c r="G4623" s="5"/>
      <c r="H4623" s="6"/>
      <c r="I4623" s="7"/>
      <c r="J4623" s="6"/>
      <c r="K4623" s="6"/>
      <c r="L4623" s="3"/>
      <c r="M4623" s="3" t="str">
        <f>IFERROR(__xludf.DUMMYFUNCTION("""COMPUTED_VALUE"""),"")</f>
        <v/>
      </c>
    </row>
    <row r="4624" ht="48.0" customHeight="1">
      <c r="A4624" s="3"/>
      <c r="B4624" s="4"/>
      <c r="C4624" s="4"/>
      <c r="D4624" s="4"/>
      <c r="E4624" s="4"/>
      <c r="F4624" s="4"/>
      <c r="G4624" s="5"/>
      <c r="H4624" s="6"/>
      <c r="I4624" s="7"/>
      <c r="J4624" s="6"/>
      <c r="K4624" s="6"/>
      <c r="L4624" s="3"/>
      <c r="M4624" s="3" t="str">
        <f>IFERROR(__xludf.DUMMYFUNCTION("""COMPUTED_VALUE"""),"")</f>
        <v/>
      </c>
    </row>
    <row r="4625" ht="48.0" customHeight="1">
      <c r="A4625" s="3"/>
      <c r="B4625" s="4"/>
      <c r="C4625" s="4"/>
      <c r="D4625" s="4"/>
      <c r="E4625" s="4"/>
      <c r="F4625" s="4"/>
      <c r="G4625" s="5"/>
      <c r="H4625" s="6"/>
      <c r="I4625" s="7"/>
      <c r="J4625" s="6"/>
      <c r="K4625" s="6"/>
      <c r="L4625" s="3"/>
      <c r="M4625" s="3" t="str">
        <f>IFERROR(__xludf.DUMMYFUNCTION("""COMPUTED_VALUE"""),"")</f>
        <v/>
      </c>
    </row>
    <row r="4626" ht="48.0" customHeight="1">
      <c r="A4626" s="3"/>
      <c r="B4626" s="4"/>
      <c r="C4626" s="4"/>
      <c r="D4626" s="4"/>
      <c r="E4626" s="4"/>
      <c r="F4626" s="4"/>
      <c r="G4626" s="5"/>
      <c r="H4626" s="6"/>
      <c r="I4626" s="7"/>
      <c r="J4626" s="6"/>
      <c r="K4626" s="6"/>
      <c r="L4626" s="3"/>
      <c r="M4626" s="3" t="str">
        <f>IFERROR(__xludf.DUMMYFUNCTION("""COMPUTED_VALUE"""),"")</f>
        <v/>
      </c>
    </row>
    <row r="4627" ht="48.0" customHeight="1">
      <c r="A4627" s="3"/>
      <c r="B4627" s="4"/>
      <c r="C4627" s="4"/>
      <c r="D4627" s="4"/>
      <c r="E4627" s="4"/>
      <c r="F4627" s="4"/>
      <c r="G4627" s="5"/>
      <c r="H4627" s="6"/>
      <c r="I4627" s="7"/>
      <c r="J4627" s="6"/>
      <c r="K4627" s="6"/>
      <c r="L4627" s="3"/>
      <c r="M4627" s="3" t="str">
        <f>IFERROR(__xludf.DUMMYFUNCTION("""COMPUTED_VALUE"""),"")</f>
        <v/>
      </c>
    </row>
    <row r="4628" ht="48.0" customHeight="1">
      <c r="A4628" s="3"/>
      <c r="B4628" s="4"/>
      <c r="C4628" s="4"/>
      <c r="D4628" s="4"/>
      <c r="E4628" s="4"/>
      <c r="F4628" s="4"/>
      <c r="G4628" s="5"/>
      <c r="H4628" s="6"/>
      <c r="I4628" s="7"/>
      <c r="J4628" s="6"/>
      <c r="K4628" s="6"/>
      <c r="L4628" s="3"/>
      <c r="M4628" s="3" t="str">
        <f>IFERROR(__xludf.DUMMYFUNCTION("""COMPUTED_VALUE"""),"")</f>
        <v/>
      </c>
    </row>
    <row r="4629" ht="48.0" customHeight="1">
      <c r="A4629" s="3"/>
      <c r="B4629" s="4"/>
      <c r="C4629" s="4"/>
      <c r="D4629" s="4"/>
      <c r="E4629" s="4"/>
      <c r="F4629" s="4"/>
      <c r="G4629" s="5"/>
      <c r="H4629" s="6"/>
      <c r="I4629" s="7"/>
      <c r="J4629" s="6"/>
      <c r="K4629" s="6"/>
      <c r="L4629" s="3"/>
      <c r="M4629" s="3" t="str">
        <f>IFERROR(__xludf.DUMMYFUNCTION("""COMPUTED_VALUE"""),"")</f>
        <v/>
      </c>
    </row>
    <row r="4630" ht="48.0" customHeight="1">
      <c r="A4630" s="3"/>
      <c r="B4630" s="4"/>
      <c r="C4630" s="4"/>
      <c r="D4630" s="4"/>
      <c r="E4630" s="4"/>
      <c r="F4630" s="4"/>
      <c r="G4630" s="5"/>
      <c r="H4630" s="6"/>
      <c r="I4630" s="7"/>
      <c r="J4630" s="6"/>
      <c r="K4630" s="6"/>
      <c r="L4630" s="3"/>
      <c r="M4630" s="3" t="str">
        <f>IFERROR(__xludf.DUMMYFUNCTION("""COMPUTED_VALUE"""),"")</f>
        <v/>
      </c>
    </row>
    <row r="4631" ht="48.0" customHeight="1">
      <c r="A4631" s="3"/>
      <c r="B4631" s="4"/>
      <c r="C4631" s="4"/>
      <c r="D4631" s="4"/>
      <c r="E4631" s="4"/>
      <c r="F4631" s="4"/>
      <c r="G4631" s="5"/>
      <c r="H4631" s="6"/>
      <c r="I4631" s="7"/>
      <c r="J4631" s="6"/>
      <c r="K4631" s="6"/>
      <c r="L4631" s="3"/>
      <c r="M4631" s="3" t="str">
        <f>IFERROR(__xludf.DUMMYFUNCTION("""COMPUTED_VALUE"""),"")</f>
        <v/>
      </c>
    </row>
    <row r="4632" ht="48.0" customHeight="1">
      <c r="A4632" s="3"/>
      <c r="B4632" s="4"/>
      <c r="C4632" s="4"/>
      <c r="D4632" s="4"/>
      <c r="E4632" s="4"/>
      <c r="F4632" s="4"/>
      <c r="G4632" s="5"/>
      <c r="H4632" s="6"/>
      <c r="I4632" s="7"/>
      <c r="J4632" s="6"/>
      <c r="K4632" s="6"/>
      <c r="L4632" s="3"/>
      <c r="M4632" s="3" t="str">
        <f>IFERROR(__xludf.DUMMYFUNCTION("""COMPUTED_VALUE"""),"")</f>
        <v/>
      </c>
    </row>
    <row r="4633" ht="48.0" customHeight="1">
      <c r="A4633" s="3"/>
      <c r="B4633" s="4"/>
      <c r="C4633" s="4"/>
      <c r="D4633" s="4"/>
      <c r="E4633" s="4"/>
      <c r="F4633" s="4"/>
      <c r="G4633" s="5"/>
      <c r="H4633" s="6"/>
      <c r="I4633" s="7"/>
      <c r="J4633" s="6"/>
      <c r="K4633" s="6"/>
      <c r="L4633" s="3"/>
      <c r="M4633" s="3" t="str">
        <f>IFERROR(__xludf.DUMMYFUNCTION("""COMPUTED_VALUE"""),"")</f>
        <v/>
      </c>
    </row>
    <row r="4634" ht="48.0" customHeight="1">
      <c r="A4634" s="3"/>
      <c r="B4634" s="4"/>
      <c r="C4634" s="4"/>
      <c r="D4634" s="4"/>
      <c r="E4634" s="4"/>
      <c r="F4634" s="4"/>
      <c r="G4634" s="5"/>
      <c r="H4634" s="6"/>
      <c r="I4634" s="7"/>
      <c r="J4634" s="6"/>
      <c r="K4634" s="6"/>
      <c r="L4634" s="3"/>
      <c r="M4634" s="3" t="str">
        <f>IFERROR(__xludf.DUMMYFUNCTION("""COMPUTED_VALUE"""),"")</f>
        <v/>
      </c>
    </row>
    <row r="4635" ht="48.0" customHeight="1">
      <c r="A4635" s="3"/>
      <c r="B4635" s="4"/>
      <c r="C4635" s="4"/>
      <c r="D4635" s="4"/>
      <c r="E4635" s="4"/>
      <c r="F4635" s="4"/>
      <c r="G4635" s="5"/>
      <c r="H4635" s="6"/>
      <c r="I4635" s="7"/>
      <c r="J4635" s="6"/>
      <c r="K4635" s="6"/>
      <c r="L4635" s="3"/>
      <c r="M4635" s="3" t="str">
        <f>IFERROR(__xludf.DUMMYFUNCTION("""COMPUTED_VALUE"""),"")</f>
        <v/>
      </c>
    </row>
    <row r="4636" ht="48.0" customHeight="1">
      <c r="A4636" s="3"/>
      <c r="B4636" s="4"/>
      <c r="C4636" s="4"/>
      <c r="D4636" s="4"/>
      <c r="E4636" s="4"/>
      <c r="F4636" s="4"/>
      <c r="G4636" s="5"/>
      <c r="H4636" s="6"/>
      <c r="I4636" s="7"/>
      <c r="J4636" s="6"/>
      <c r="K4636" s="6"/>
      <c r="L4636" s="3"/>
      <c r="M4636" s="3" t="str">
        <f>IFERROR(__xludf.DUMMYFUNCTION("""COMPUTED_VALUE"""),"")</f>
        <v/>
      </c>
    </row>
    <row r="4637" ht="48.0" customHeight="1">
      <c r="A4637" s="3"/>
      <c r="B4637" s="4"/>
      <c r="C4637" s="4"/>
      <c r="D4637" s="4"/>
      <c r="E4637" s="4"/>
      <c r="F4637" s="4"/>
      <c r="G4637" s="5"/>
      <c r="H4637" s="6"/>
      <c r="I4637" s="7"/>
      <c r="J4637" s="6"/>
      <c r="K4637" s="6"/>
      <c r="L4637" s="3"/>
      <c r="M4637" s="3" t="str">
        <f>IFERROR(__xludf.DUMMYFUNCTION("""COMPUTED_VALUE"""),"")</f>
        <v/>
      </c>
    </row>
    <row r="4638" ht="48.0" customHeight="1">
      <c r="A4638" s="3"/>
      <c r="B4638" s="4"/>
      <c r="C4638" s="4"/>
      <c r="D4638" s="4"/>
      <c r="E4638" s="4"/>
      <c r="F4638" s="4"/>
      <c r="G4638" s="5"/>
      <c r="H4638" s="6"/>
      <c r="I4638" s="7"/>
      <c r="J4638" s="6"/>
      <c r="K4638" s="6"/>
      <c r="L4638" s="3"/>
      <c r="M4638" s="3" t="str">
        <f>IFERROR(__xludf.DUMMYFUNCTION("""COMPUTED_VALUE"""),"")</f>
        <v/>
      </c>
    </row>
    <row r="4639" ht="48.0" customHeight="1">
      <c r="A4639" s="3"/>
      <c r="B4639" s="4"/>
      <c r="C4639" s="4"/>
      <c r="D4639" s="4"/>
      <c r="E4639" s="4"/>
      <c r="F4639" s="4"/>
      <c r="G4639" s="5"/>
      <c r="H4639" s="6"/>
      <c r="I4639" s="7"/>
      <c r="J4639" s="6"/>
      <c r="K4639" s="6"/>
      <c r="L4639" s="3"/>
      <c r="M4639" s="3" t="str">
        <f>IFERROR(__xludf.DUMMYFUNCTION("""COMPUTED_VALUE"""),"")</f>
        <v/>
      </c>
    </row>
    <row r="4640" ht="48.0" customHeight="1">
      <c r="A4640" s="3"/>
      <c r="B4640" s="4"/>
      <c r="C4640" s="4"/>
      <c r="D4640" s="4"/>
      <c r="E4640" s="4"/>
      <c r="F4640" s="4"/>
      <c r="G4640" s="5"/>
      <c r="H4640" s="6"/>
      <c r="I4640" s="7"/>
      <c r="J4640" s="6"/>
      <c r="K4640" s="6"/>
      <c r="L4640" s="3"/>
      <c r="M4640" s="3" t="str">
        <f>IFERROR(__xludf.DUMMYFUNCTION("""COMPUTED_VALUE"""),"")</f>
        <v/>
      </c>
    </row>
    <row r="4641" ht="48.0" customHeight="1">
      <c r="A4641" s="3"/>
      <c r="B4641" s="4"/>
      <c r="C4641" s="4"/>
      <c r="D4641" s="4"/>
      <c r="E4641" s="4"/>
      <c r="F4641" s="4"/>
      <c r="G4641" s="5"/>
      <c r="H4641" s="6"/>
      <c r="I4641" s="7"/>
      <c r="J4641" s="6"/>
      <c r="K4641" s="6"/>
      <c r="L4641" s="3"/>
      <c r="M4641" s="3" t="str">
        <f>IFERROR(__xludf.DUMMYFUNCTION("""COMPUTED_VALUE"""),"")</f>
        <v/>
      </c>
    </row>
    <row r="4642" ht="48.0" customHeight="1">
      <c r="A4642" s="3"/>
      <c r="B4642" s="4"/>
      <c r="C4642" s="4"/>
      <c r="D4642" s="4"/>
      <c r="E4642" s="4"/>
      <c r="F4642" s="4"/>
      <c r="G4642" s="5"/>
      <c r="H4642" s="6"/>
      <c r="I4642" s="7"/>
      <c r="J4642" s="6"/>
      <c r="K4642" s="6"/>
      <c r="L4642" s="3"/>
      <c r="M4642" s="3" t="str">
        <f>IFERROR(__xludf.DUMMYFUNCTION("""COMPUTED_VALUE"""),"")</f>
        <v/>
      </c>
    </row>
    <row r="4643" ht="48.0" customHeight="1">
      <c r="A4643" s="3"/>
      <c r="B4643" s="4"/>
      <c r="C4643" s="4"/>
      <c r="D4643" s="4"/>
      <c r="E4643" s="4"/>
      <c r="F4643" s="4"/>
      <c r="G4643" s="5"/>
      <c r="H4643" s="6"/>
      <c r="I4643" s="7"/>
      <c r="J4643" s="6"/>
      <c r="K4643" s="6"/>
      <c r="L4643" s="3"/>
      <c r="M4643" s="3" t="str">
        <f>IFERROR(__xludf.DUMMYFUNCTION("""COMPUTED_VALUE"""),"")</f>
        <v/>
      </c>
    </row>
    <row r="4644" ht="48.0" customHeight="1">
      <c r="A4644" s="3"/>
      <c r="B4644" s="4"/>
      <c r="C4644" s="4"/>
      <c r="D4644" s="4"/>
      <c r="E4644" s="4"/>
      <c r="F4644" s="4"/>
      <c r="G4644" s="5"/>
      <c r="H4644" s="6"/>
      <c r="I4644" s="7"/>
      <c r="J4644" s="6"/>
      <c r="K4644" s="6"/>
      <c r="L4644" s="3"/>
      <c r="M4644" s="3" t="str">
        <f>IFERROR(__xludf.DUMMYFUNCTION("""COMPUTED_VALUE"""),"")</f>
        <v/>
      </c>
    </row>
    <row r="4645" ht="48.0" customHeight="1">
      <c r="A4645" s="3"/>
      <c r="B4645" s="4"/>
      <c r="C4645" s="4"/>
      <c r="D4645" s="4"/>
      <c r="E4645" s="4"/>
      <c r="F4645" s="4"/>
      <c r="G4645" s="5"/>
      <c r="H4645" s="6"/>
      <c r="I4645" s="7"/>
      <c r="J4645" s="6"/>
      <c r="K4645" s="6"/>
      <c r="L4645" s="3"/>
      <c r="M4645" s="3" t="str">
        <f>IFERROR(__xludf.DUMMYFUNCTION("""COMPUTED_VALUE"""),"")</f>
        <v/>
      </c>
    </row>
    <row r="4646" ht="48.0" customHeight="1">
      <c r="A4646" s="3"/>
      <c r="B4646" s="4"/>
      <c r="C4646" s="4"/>
      <c r="D4646" s="4"/>
      <c r="E4646" s="4"/>
      <c r="F4646" s="4"/>
      <c r="G4646" s="5"/>
      <c r="H4646" s="6"/>
      <c r="I4646" s="7"/>
      <c r="J4646" s="6"/>
      <c r="K4646" s="6"/>
      <c r="L4646" s="3"/>
      <c r="M4646" s="3" t="str">
        <f>IFERROR(__xludf.DUMMYFUNCTION("""COMPUTED_VALUE"""),"")</f>
        <v/>
      </c>
    </row>
    <row r="4647" ht="48.0" customHeight="1">
      <c r="A4647" s="3"/>
      <c r="B4647" s="4"/>
      <c r="C4647" s="4"/>
      <c r="D4647" s="4"/>
      <c r="E4647" s="4"/>
      <c r="F4647" s="4"/>
      <c r="G4647" s="5"/>
      <c r="H4647" s="6"/>
      <c r="I4647" s="7"/>
      <c r="J4647" s="6"/>
      <c r="K4647" s="6"/>
      <c r="L4647" s="3"/>
      <c r="M4647" s="3" t="str">
        <f>IFERROR(__xludf.DUMMYFUNCTION("""COMPUTED_VALUE"""),"")</f>
        <v/>
      </c>
    </row>
    <row r="4648" ht="48.0" customHeight="1">
      <c r="A4648" s="3"/>
      <c r="B4648" s="4"/>
      <c r="C4648" s="4"/>
      <c r="D4648" s="4"/>
      <c r="E4648" s="4"/>
      <c r="F4648" s="4"/>
      <c r="G4648" s="5"/>
      <c r="H4648" s="6"/>
      <c r="I4648" s="7"/>
      <c r="J4648" s="6"/>
      <c r="K4648" s="6"/>
      <c r="L4648" s="3"/>
      <c r="M4648" s="3" t="str">
        <f>IFERROR(__xludf.DUMMYFUNCTION("""COMPUTED_VALUE"""),"")</f>
        <v/>
      </c>
    </row>
    <row r="4649" ht="48.0" customHeight="1">
      <c r="A4649" s="3"/>
      <c r="B4649" s="4"/>
      <c r="C4649" s="4"/>
      <c r="D4649" s="4"/>
      <c r="E4649" s="4"/>
      <c r="F4649" s="4"/>
      <c r="G4649" s="5"/>
      <c r="H4649" s="6"/>
      <c r="I4649" s="7"/>
      <c r="J4649" s="6"/>
      <c r="K4649" s="6"/>
      <c r="L4649" s="3"/>
      <c r="M4649" s="3" t="str">
        <f>IFERROR(__xludf.DUMMYFUNCTION("""COMPUTED_VALUE"""),"")</f>
        <v/>
      </c>
    </row>
    <row r="4650" ht="48.0" customHeight="1">
      <c r="A4650" s="3"/>
      <c r="B4650" s="4"/>
      <c r="C4650" s="4"/>
      <c r="D4650" s="4"/>
      <c r="E4650" s="4"/>
      <c r="F4650" s="4"/>
      <c r="G4650" s="5"/>
      <c r="H4650" s="6"/>
      <c r="I4650" s="7"/>
      <c r="J4650" s="6"/>
      <c r="K4650" s="6"/>
      <c r="L4650" s="3"/>
      <c r="M4650" s="3" t="str">
        <f>IFERROR(__xludf.DUMMYFUNCTION("""COMPUTED_VALUE"""),"")</f>
        <v/>
      </c>
    </row>
    <row r="4651" ht="48.0" customHeight="1">
      <c r="A4651" s="3"/>
      <c r="B4651" s="4"/>
      <c r="C4651" s="4"/>
      <c r="D4651" s="4"/>
      <c r="E4651" s="4"/>
      <c r="F4651" s="4"/>
      <c r="G4651" s="5"/>
      <c r="H4651" s="6"/>
      <c r="I4651" s="7"/>
      <c r="J4651" s="6"/>
      <c r="K4651" s="6"/>
      <c r="L4651" s="3"/>
      <c r="M4651" s="3" t="str">
        <f>IFERROR(__xludf.DUMMYFUNCTION("""COMPUTED_VALUE"""),"")</f>
        <v/>
      </c>
    </row>
    <row r="4652" ht="48.0" customHeight="1">
      <c r="A4652" s="3"/>
      <c r="B4652" s="4"/>
      <c r="C4652" s="4"/>
      <c r="D4652" s="4"/>
      <c r="E4652" s="4"/>
      <c r="F4652" s="4"/>
      <c r="G4652" s="5"/>
      <c r="H4652" s="6"/>
      <c r="I4652" s="7"/>
      <c r="J4652" s="6"/>
      <c r="K4652" s="6"/>
      <c r="L4652" s="3"/>
      <c r="M4652" s="3" t="str">
        <f>IFERROR(__xludf.DUMMYFUNCTION("""COMPUTED_VALUE"""),"")</f>
        <v/>
      </c>
    </row>
    <row r="4653" ht="48.0" customHeight="1">
      <c r="A4653" s="3"/>
      <c r="B4653" s="4"/>
      <c r="C4653" s="4"/>
      <c r="D4653" s="4"/>
      <c r="E4653" s="4"/>
      <c r="F4653" s="4"/>
      <c r="G4653" s="5"/>
      <c r="H4653" s="6"/>
      <c r="I4653" s="7"/>
      <c r="J4653" s="6"/>
      <c r="K4653" s="6"/>
      <c r="L4653" s="3"/>
      <c r="M4653" s="3" t="str">
        <f>IFERROR(__xludf.DUMMYFUNCTION("""COMPUTED_VALUE"""),"")</f>
        <v/>
      </c>
    </row>
    <row r="4654" ht="48.0" customHeight="1">
      <c r="A4654" s="3"/>
      <c r="B4654" s="4"/>
      <c r="C4654" s="4"/>
      <c r="D4654" s="4"/>
      <c r="E4654" s="4"/>
      <c r="F4654" s="4"/>
      <c r="G4654" s="5"/>
      <c r="H4654" s="6"/>
      <c r="I4654" s="7"/>
      <c r="J4654" s="6"/>
      <c r="K4654" s="6"/>
      <c r="L4654" s="3"/>
      <c r="M4654" s="3" t="str">
        <f>IFERROR(__xludf.DUMMYFUNCTION("""COMPUTED_VALUE"""),"")</f>
        <v/>
      </c>
    </row>
    <row r="4655" ht="48.0" customHeight="1">
      <c r="A4655" s="3"/>
      <c r="B4655" s="4"/>
      <c r="C4655" s="4"/>
      <c r="D4655" s="4"/>
      <c r="E4655" s="4"/>
      <c r="F4655" s="4"/>
      <c r="G4655" s="5"/>
      <c r="H4655" s="6"/>
      <c r="I4655" s="7"/>
      <c r="J4655" s="6"/>
      <c r="K4655" s="6"/>
      <c r="L4655" s="3"/>
      <c r="M4655" s="3" t="str">
        <f>IFERROR(__xludf.DUMMYFUNCTION("""COMPUTED_VALUE"""),"")</f>
        <v/>
      </c>
    </row>
    <row r="4656" ht="48.0" customHeight="1">
      <c r="A4656" s="3"/>
      <c r="B4656" s="4"/>
      <c r="C4656" s="4"/>
      <c r="D4656" s="4"/>
      <c r="E4656" s="4"/>
      <c r="F4656" s="4"/>
      <c r="G4656" s="5"/>
      <c r="H4656" s="6"/>
      <c r="I4656" s="7"/>
      <c r="J4656" s="6"/>
      <c r="K4656" s="6"/>
      <c r="L4656" s="3"/>
      <c r="M4656" s="3" t="str">
        <f>IFERROR(__xludf.DUMMYFUNCTION("""COMPUTED_VALUE"""),"")</f>
        <v/>
      </c>
    </row>
    <row r="4657" ht="48.0" customHeight="1">
      <c r="A4657" s="3"/>
      <c r="B4657" s="4"/>
      <c r="C4657" s="4"/>
      <c r="D4657" s="4"/>
      <c r="E4657" s="4"/>
      <c r="F4657" s="4"/>
      <c r="G4657" s="5"/>
      <c r="H4657" s="6"/>
      <c r="I4657" s="7"/>
      <c r="J4657" s="6"/>
      <c r="K4657" s="6"/>
      <c r="L4657" s="3"/>
      <c r="M4657" s="3" t="str">
        <f>IFERROR(__xludf.DUMMYFUNCTION("""COMPUTED_VALUE"""),"")</f>
        <v/>
      </c>
    </row>
    <row r="4658" ht="48.0" customHeight="1">
      <c r="A4658" s="3"/>
      <c r="B4658" s="4"/>
      <c r="C4658" s="4"/>
      <c r="D4658" s="4"/>
      <c r="E4658" s="4"/>
      <c r="F4658" s="4"/>
      <c r="G4658" s="5"/>
      <c r="H4658" s="6"/>
      <c r="I4658" s="7"/>
      <c r="J4658" s="6"/>
      <c r="K4658" s="6"/>
      <c r="L4658" s="3"/>
      <c r="M4658" s="3" t="str">
        <f>IFERROR(__xludf.DUMMYFUNCTION("""COMPUTED_VALUE"""),"")</f>
        <v/>
      </c>
    </row>
    <row r="4659" ht="48.0" customHeight="1">
      <c r="A4659" s="3"/>
      <c r="B4659" s="4"/>
      <c r="C4659" s="4"/>
      <c r="D4659" s="4"/>
      <c r="E4659" s="4"/>
      <c r="F4659" s="4"/>
      <c r="G4659" s="5"/>
      <c r="H4659" s="6"/>
      <c r="I4659" s="7"/>
      <c r="J4659" s="6"/>
      <c r="K4659" s="6"/>
      <c r="L4659" s="3"/>
      <c r="M4659" s="3" t="str">
        <f>IFERROR(__xludf.DUMMYFUNCTION("""COMPUTED_VALUE"""),"")</f>
        <v/>
      </c>
    </row>
    <row r="4660" ht="48.0" customHeight="1">
      <c r="A4660" s="3"/>
      <c r="B4660" s="4"/>
      <c r="C4660" s="4"/>
      <c r="D4660" s="4"/>
      <c r="E4660" s="4"/>
      <c r="F4660" s="4"/>
      <c r="G4660" s="5"/>
      <c r="H4660" s="6"/>
      <c r="I4660" s="7"/>
      <c r="J4660" s="6"/>
      <c r="K4660" s="6"/>
      <c r="L4660" s="3"/>
      <c r="M4660" s="3" t="str">
        <f>IFERROR(__xludf.DUMMYFUNCTION("""COMPUTED_VALUE"""),"")</f>
        <v/>
      </c>
    </row>
    <row r="4661" ht="48.0" customHeight="1">
      <c r="A4661" s="3"/>
      <c r="B4661" s="4"/>
      <c r="C4661" s="4"/>
      <c r="D4661" s="4"/>
      <c r="E4661" s="4"/>
      <c r="F4661" s="4"/>
      <c r="G4661" s="5"/>
      <c r="H4661" s="6"/>
      <c r="I4661" s="7"/>
      <c r="J4661" s="6"/>
      <c r="K4661" s="6"/>
      <c r="L4661" s="3"/>
      <c r="M4661" s="3" t="str">
        <f>IFERROR(__xludf.DUMMYFUNCTION("""COMPUTED_VALUE"""),"")</f>
        <v/>
      </c>
    </row>
    <row r="4662" ht="48.0" customHeight="1">
      <c r="A4662" s="3"/>
      <c r="B4662" s="4"/>
      <c r="C4662" s="4"/>
      <c r="D4662" s="4"/>
      <c r="E4662" s="4"/>
      <c r="F4662" s="4"/>
      <c r="G4662" s="5"/>
      <c r="H4662" s="6"/>
      <c r="I4662" s="7"/>
      <c r="J4662" s="6"/>
      <c r="K4662" s="6"/>
      <c r="L4662" s="3"/>
      <c r="M4662" s="3" t="str">
        <f>IFERROR(__xludf.DUMMYFUNCTION("""COMPUTED_VALUE"""),"")</f>
        <v/>
      </c>
    </row>
    <row r="4663" ht="48.0" customHeight="1">
      <c r="A4663" s="3"/>
      <c r="B4663" s="4"/>
      <c r="C4663" s="4"/>
      <c r="D4663" s="4"/>
      <c r="E4663" s="4"/>
      <c r="F4663" s="4"/>
      <c r="G4663" s="5"/>
      <c r="H4663" s="6"/>
      <c r="I4663" s="7"/>
      <c r="J4663" s="6"/>
      <c r="K4663" s="6"/>
      <c r="L4663" s="3"/>
      <c r="M4663" s="3" t="str">
        <f>IFERROR(__xludf.DUMMYFUNCTION("""COMPUTED_VALUE"""),"")</f>
        <v/>
      </c>
    </row>
    <row r="4664" ht="48.0" customHeight="1">
      <c r="A4664" s="3"/>
      <c r="B4664" s="4"/>
      <c r="C4664" s="4"/>
      <c r="D4664" s="4"/>
      <c r="E4664" s="4"/>
      <c r="F4664" s="4"/>
      <c r="G4664" s="5"/>
      <c r="H4664" s="6"/>
      <c r="I4664" s="7"/>
      <c r="J4664" s="6"/>
      <c r="K4664" s="6"/>
      <c r="L4664" s="3"/>
      <c r="M4664" s="3" t="str">
        <f>IFERROR(__xludf.DUMMYFUNCTION("""COMPUTED_VALUE"""),"")</f>
        <v/>
      </c>
    </row>
    <row r="4665" ht="48.0" customHeight="1">
      <c r="A4665" s="3"/>
      <c r="B4665" s="4"/>
      <c r="C4665" s="4"/>
      <c r="D4665" s="4"/>
      <c r="E4665" s="4"/>
      <c r="F4665" s="4"/>
      <c r="G4665" s="5"/>
      <c r="H4665" s="6"/>
      <c r="I4665" s="7"/>
      <c r="J4665" s="6"/>
      <c r="K4665" s="6"/>
      <c r="L4665" s="3"/>
      <c r="M4665" s="3" t="str">
        <f>IFERROR(__xludf.DUMMYFUNCTION("""COMPUTED_VALUE"""),"")</f>
        <v/>
      </c>
    </row>
    <row r="4666" ht="48.0" customHeight="1">
      <c r="A4666" s="3"/>
      <c r="B4666" s="4"/>
      <c r="C4666" s="4"/>
      <c r="D4666" s="4"/>
      <c r="E4666" s="4"/>
      <c r="F4666" s="4"/>
      <c r="G4666" s="5"/>
      <c r="H4666" s="6"/>
      <c r="I4666" s="7"/>
      <c r="J4666" s="6"/>
      <c r="K4666" s="6"/>
      <c r="L4666" s="3"/>
      <c r="M4666" s="3" t="str">
        <f>IFERROR(__xludf.DUMMYFUNCTION("""COMPUTED_VALUE"""),"")</f>
        <v/>
      </c>
    </row>
    <row r="4667" ht="48.0" customHeight="1">
      <c r="A4667" s="3"/>
      <c r="B4667" s="4"/>
      <c r="C4667" s="4"/>
      <c r="D4667" s="4"/>
      <c r="E4667" s="4"/>
      <c r="F4667" s="4"/>
      <c r="G4667" s="5"/>
      <c r="H4667" s="6"/>
      <c r="I4667" s="7"/>
      <c r="J4667" s="6"/>
      <c r="K4667" s="6"/>
      <c r="L4667" s="3"/>
      <c r="M4667" s="3" t="str">
        <f>IFERROR(__xludf.DUMMYFUNCTION("""COMPUTED_VALUE"""),"")</f>
        <v/>
      </c>
    </row>
    <row r="4668" ht="48.0" customHeight="1">
      <c r="A4668" s="3"/>
      <c r="B4668" s="4"/>
      <c r="C4668" s="4"/>
      <c r="D4668" s="4"/>
      <c r="E4668" s="4"/>
      <c r="F4668" s="4"/>
      <c r="G4668" s="5"/>
      <c r="H4668" s="6"/>
      <c r="I4668" s="7"/>
      <c r="J4668" s="6"/>
      <c r="K4668" s="6"/>
      <c r="L4668" s="3"/>
      <c r="M4668" s="3" t="str">
        <f>IFERROR(__xludf.DUMMYFUNCTION("""COMPUTED_VALUE"""),"")</f>
        <v/>
      </c>
    </row>
    <row r="4669" ht="48.0" customHeight="1">
      <c r="A4669" s="3"/>
      <c r="B4669" s="4"/>
      <c r="C4669" s="4"/>
      <c r="D4669" s="4"/>
      <c r="E4669" s="4"/>
      <c r="F4669" s="4"/>
      <c r="G4669" s="5"/>
      <c r="H4669" s="6"/>
      <c r="I4669" s="7"/>
      <c r="J4669" s="6"/>
      <c r="K4669" s="6"/>
      <c r="L4669" s="3"/>
      <c r="M4669" s="3" t="str">
        <f>IFERROR(__xludf.DUMMYFUNCTION("""COMPUTED_VALUE"""),"")</f>
        <v/>
      </c>
    </row>
    <row r="4670" ht="48.0" customHeight="1">
      <c r="A4670" s="3"/>
      <c r="B4670" s="4"/>
      <c r="C4670" s="4"/>
      <c r="D4670" s="4"/>
      <c r="E4670" s="4"/>
      <c r="F4670" s="4"/>
      <c r="G4670" s="5"/>
      <c r="H4670" s="6"/>
      <c r="I4670" s="7"/>
      <c r="J4670" s="6"/>
      <c r="K4670" s="6"/>
      <c r="L4670" s="3"/>
      <c r="M4670" s="3" t="str">
        <f>IFERROR(__xludf.DUMMYFUNCTION("""COMPUTED_VALUE"""),"")</f>
        <v/>
      </c>
    </row>
    <row r="4671" ht="48.0" customHeight="1">
      <c r="A4671" s="3"/>
      <c r="B4671" s="4"/>
      <c r="C4671" s="4"/>
      <c r="D4671" s="4"/>
      <c r="E4671" s="4"/>
      <c r="F4671" s="4"/>
      <c r="G4671" s="5"/>
      <c r="H4671" s="6"/>
      <c r="I4671" s="7"/>
      <c r="J4671" s="6"/>
      <c r="K4671" s="6"/>
      <c r="L4671" s="3"/>
      <c r="M4671" s="3" t="str">
        <f>IFERROR(__xludf.DUMMYFUNCTION("""COMPUTED_VALUE"""),"")</f>
        <v/>
      </c>
    </row>
    <row r="4672" ht="48.0" customHeight="1">
      <c r="A4672" s="3"/>
      <c r="B4672" s="4"/>
      <c r="C4672" s="4"/>
      <c r="D4672" s="4"/>
      <c r="E4672" s="4"/>
      <c r="F4672" s="4"/>
      <c r="G4672" s="5"/>
      <c r="H4672" s="6"/>
      <c r="I4672" s="7"/>
      <c r="J4672" s="6"/>
      <c r="K4672" s="6"/>
      <c r="L4672" s="3"/>
      <c r="M4672" s="3" t="str">
        <f>IFERROR(__xludf.DUMMYFUNCTION("""COMPUTED_VALUE"""),"")</f>
        <v/>
      </c>
    </row>
    <row r="4673" ht="48.0" customHeight="1">
      <c r="A4673" s="3"/>
      <c r="B4673" s="4"/>
      <c r="C4673" s="4"/>
      <c r="D4673" s="4"/>
      <c r="E4673" s="4"/>
      <c r="F4673" s="4"/>
      <c r="G4673" s="5"/>
      <c r="H4673" s="6"/>
      <c r="I4673" s="7"/>
      <c r="J4673" s="6"/>
      <c r="K4673" s="6"/>
      <c r="L4673" s="3"/>
      <c r="M4673" s="3" t="str">
        <f>IFERROR(__xludf.DUMMYFUNCTION("""COMPUTED_VALUE"""),"")</f>
        <v/>
      </c>
    </row>
    <row r="4674" ht="48.0" customHeight="1">
      <c r="A4674" s="3"/>
      <c r="B4674" s="4"/>
      <c r="C4674" s="4"/>
      <c r="D4674" s="4"/>
      <c r="E4674" s="4"/>
      <c r="F4674" s="4"/>
      <c r="G4674" s="5"/>
      <c r="H4674" s="6"/>
      <c r="I4674" s="7"/>
      <c r="J4674" s="6"/>
      <c r="K4674" s="6"/>
      <c r="L4674" s="3"/>
      <c r="M4674" s="3" t="str">
        <f>IFERROR(__xludf.DUMMYFUNCTION("""COMPUTED_VALUE"""),"")</f>
        <v/>
      </c>
    </row>
    <row r="4675" ht="48.0" customHeight="1">
      <c r="A4675" s="3"/>
      <c r="B4675" s="4"/>
      <c r="C4675" s="4"/>
      <c r="D4675" s="4"/>
      <c r="E4675" s="4"/>
      <c r="F4675" s="4"/>
      <c r="G4675" s="5"/>
      <c r="H4675" s="6"/>
      <c r="I4675" s="7"/>
      <c r="J4675" s="6"/>
      <c r="K4675" s="6"/>
      <c r="L4675" s="3"/>
      <c r="M4675" s="3" t="str">
        <f>IFERROR(__xludf.DUMMYFUNCTION("""COMPUTED_VALUE"""),"")</f>
        <v/>
      </c>
    </row>
    <row r="4676" ht="48.0" customHeight="1">
      <c r="A4676" s="3"/>
      <c r="B4676" s="4"/>
      <c r="C4676" s="4"/>
      <c r="D4676" s="4"/>
      <c r="E4676" s="4"/>
      <c r="F4676" s="4"/>
      <c r="G4676" s="5"/>
      <c r="H4676" s="6"/>
      <c r="I4676" s="7"/>
      <c r="J4676" s="6"/>
      <c r="K4676" s="6"/>
      <c r="L4676" s="3"/>
      <c r="M4676" s="3" t="str">
        <f>IFERROR(__xludf.DUMMYFUNCTION("""COMPUTED_VALUE"""),"")</f>
        <v/>
      </c>
    </row>
    <row r="4677" ht="48.0" customHeight="1">
      <c r="A4677" s="3"/>
      <c r="B4677" s="4"/>
      <c r="C4677" s="4"/>
      <c r="D4677" s="4"/>
      <c r="E4677" s="4"/>
      <c r="F4677" s="4"/>
      <c r="G4677" s="5"/>
      <c r="H4677" s="6"/>
      <c r="I4677" s="7"/>
      <c r="J4677" s="6"/>
      <c r="K4677" s="6"/>
      <c r="L4677" s="3"/>
      <c r="M4677" s="3" t="str">
        <f>IFERROR(__xludf.DUMMYFUNCTION("""COMPUTED_VALUE"""),"")</f>
        <v/>
      </c>
    </row>
    <row r="4678" ht="48.0" customHeight="1">
      <c r="A4678" s="3"/>
      <c r="B4678" s="4"/>
      <c r="C4678" s="4"/>
      <c r="D4678" s="4"/>
      <c r="E4678" s="4"/>
      <c r="F4678" s="4"/>
      <c r="G4678" s="5"/>
      <c r="H4678" s="6"/>
      <c r="I4678" s="7"/>
      <c r="J4678" s="6"/>
      <c r="K4678" s="6"/>
      <c r="L4678" s="3"/>
      <c r="M4678" s="3" t="str">
        <f>IFERROR(__xludf.DUMMYFUNCTION("""COMPUTED_VALUE"""),"")</f>
        <v/>
      </c>
    </row>
    <row r="4679" ht="48.0" customHeight="1">
      <c r="A4679" s="3"/>
      <c r="B4679" s="4"/>
      <c r="C4679" s="4"/>
      <c r="D4679" s="4"/>
      <c r="E4679" s="4"/>
      <c r="F4679" s="4"/>
      <c r="G4679" s="5"/>
      <c r="H4679" s="6"/>
      <c r="I4679" s="7"/>
      <c r="J4679" s="6"/>
      <c r="K4679" s="6"/>
      <c r="L4679" s="3"/>
      <c r="M4679" s="3" t="str">
        <f>IFERROR(__xludf.DUMMYFUNCTION("""COMPUTED_VALUE"""),"")</f>
        <v/>
      </c>
    </row>
    <row r="4680" ht="48.0" customHeight="1">
      <c r="A4680" s="3"/>
      <c r="B4680" s="4"/>
      <c r="C4680" s="4"/>
      <c r="D4680" s="4"/>
      <c r="E4680" s="4"/>
      <c r="F4680" s="4"/>
      <c r="G4680" s="5"/>
      <c r="H4680" s="6"/>
      <c r="I4680" s="7"/>
      <c r="J4680" s="6"/>
      <c r="K4680" s="6"/>
      <c r="L4680" s="3"/>
      <c r="M4680" s="3" t="str">
        <f>IFERROR(__xludf.DUMMYFUNCTION("""COMPUTED_VALUE"""),"")</f>
        <v/>
      </c>
    </row>
    <row r="4681" ht="48.0" customHeight="1">
      <c r="A4681" s="3"/>
      <c r="B4681" s="4"/>
      <c r="C4681" s="4"/>
      <c r="D4681" s="4"/>
      <c r="E4681" s="4"/>
      <c r="F4681" s="4"/>
      <c r="G4681" s="5"/>
      <c r="H4681" s="6"/>
      <c r="I4681" s="7"/>
      <c r="J4681" s="6"/>
      <c r="K4681" s="6"/>
      <c r="L4681" s="3"/>
      <c r="M4681" s="3" t="str">
        <f>IFERROR(__xludf.DUMMYFUNCTION("""COMPUTED_VALUE"""),"")</f>
        <v/>
      </c>
    </row>
    <row r="4682" ht="48.0" customHeight="1">
      <c r="A4682" s="3"/>
      <c r="B4682" s="4"/>
      <c r="C4682" s="4"/>
      <c r="D4682" s="4"/>
      <c r="E4682" s="4"/>
      <c r="F4682" s="4"/>
      <c r="G4682" s="5"/>
      <c r="H4682" s="6"/>
      <c r="I4682" s="7"/>
      <c r="J4682" s="6"/>
      <c r="K4682" s="6"/>
      <c r="L4682" s="3"/>
      <c r="M4682" s="3" t="str">
        <f>IFERROR(__xludf.DUMMYFUNCTION("""COMPUTED_VALUE"""),"")</f>
        <v/>
      </c>
    </row>
    <row r="4683" ht="48.0" customHeight="1">
      <c r="A4683" s="3"/>
      <c r="B4683" s="4"/>
      <c r="C4683" s="4"/>
      <c r="D4683" s="4"/>
      <c r="E4683" s="4"/>
      <c r="F4683" s="4"/>
      <c r="G4683" s="5"/>
      <c r="H4683" s="6"/>
      <c r="I4683" s="7"/>
      <c r="J4683" s="6"/>
      <c r="K4683" s="6"/>
      <c r="L4683" s="3"/>
      <c r="M4683" s="3" t="str">
        <f>IFERROR(__xludf.DUMMYFUNCTION("""COMPUTED_VALUE"""),"")</f>
        <v/>
      </c>
    </row>
    <row r="4684" ht="48.0" customHeight="1">
      <c r="A4684" s="3"/>
      <c r="B4684" s="4"/>
      <c r="C4684" s="4"/>
      <c r="D4684" s="4"/>
      <c r="E4684" s="4"/>
      <c r="F4684" s="4"/>
      <c r="G4684" s="5"/>
      <c r="H4684" s="6"/>
      <c r="I4684" s="7"/>
      <c r="J4684" s="6"/>
      <c r="K4684" s="6"/>
      <c r="L4684" s="3"/>
      <c r="M4684" s="3" t="str">
        <f>IFERROR(__xludf.DUMMYFUNCTION("""COMPUTED_VALUE"""),"")</f>
        <v/>
      </c>
    </row>
    <row r="4685" ht="48.0" customHeight="1">
      <c r="A4685" s="3"/>
      <c r="B4685" s="4"/>
      <c r="C4685" s="4"/>
      <c r="D4685" s="4"/>
      <c r="E4685" s="4"/>
      <c r="F4685" s="4"/>
      <c r="G4685" s="5"/>
      <c r="H4685" s="6"/>
      <c r="I4685" s="7"/>
      <c r="J4685" s="6"/>
      <c r="K4685" s="6"/>
      <c r="L4685" s="3"/>
      <c r="M4685" s="3" t="str">
        <f>IFERROR(__xludf.DUMMYFUNCTION("""COMPUTED_VALUE"""),"")</f>
        <v/>
      </c>
    </row>
    <row r="4686" ht="48.0" customHeight="1">
      <c r="A4686" s="3"/>
      <c r="B4686" s="4"/>
      <c r="C4686" s="4"/>
      <c r="D4686" s="4"/>
      <c r="E4686" s="4"/>
      <c r="F4686" s="4"/>
      <c r="G4686" s="5"/>
      <c r="H4686" s="6"/>
      <c r="I4686" s="7"/>
      <c r="J4686" s="6"/>
      <c r="K4686" s="6"/>
      <c r="L4686" s="3"/>
      <c r="M4686" s="3" t="str">
        <f>IFERROR(__xludf.DUMMYFUNCTION("""COMPUTED_VALUE"""),"")</f>
        <v/>
      </c>
    </row>
    <row r="4687" ht="48.0" customHeight="1">
      <c r="A4687" s="3"/>
      <c r="B4687" s="4"/>
      <c r="C4687" s="4"/>
      <c r="D4687" s="4"/>
      <c r="E4687" s="4"/>
      <c r="F4687" s="4"/>
      <c r="G4687" s="5"/>
      <c r="H4687" s="6"/>
      <c r="I4687" s="7"/>
      <c r="J4687" s="6"/>
      <c r="K4687" s="6"/>
      <c r="L4687" s="3"/>
      <c r="M4687" s="3" t="str">
        <f>IFERROR(__xludf.DUMMYFUNCTION("""COMPUTED_VALUE"""),"")</f>
        <v/>
      </c>
    </row>
    <row r="4688" ht="48.0" customHeight="1">
      <c r="A4688" s="3"/>
      <c r="B4688" s="4"/>
      <c r="C4688" s="4"/>
      <c r="D4688" s="4"/>
      <c r="E4688" s="4"/>
      <c r="F4688" s="4"/>
      <c r="G4688" s="5"/>
      <c r="H4688" s="6"/>
      <c r="I4688" s="7"/>
      <c r="J4688" s="6"/>
      <c r="K4688" s="6"/>
      <c r="L4688" s="3"/>
      <c r="M4688" s="3" t="str">
        <f>IFERROR(__xludf.DUMMYFUNCTION("""COMPUTED_VALUE"""),"")</f>
        <v/>
      </c>
    </row>
    <row r="4689" ht="48.0" customHeight="1">
      <c r="A4689" s="3"/>
      <c r="B4689" s="4"/>
      <c r="C4689" s="4"/>
      <c r="D4689" s="4"/>
      <c r="E4689" s="4"/>
      <c r="F4689" s="4"/>
      <c r="G4689" s="5"/>
      <c r="H4689" s="6"/>
      <c r="I4689" s="7"/>
      <c r="J4689" s="6"/>
      <c r="K4689" s="6"/>
      <c r="L4689" s="3"/>
      <c r="M4689" s="3" t="str">
        <f>IFERROR(__xludf.DUMMYFUNCTION("""COMPUTED_VALUE"""),"")</f>
        <v/>
      </c>
    </row>
    <row r="4690" ht="48.0" customHeight="1">
      <c r="A4690" s="3"/>
      <c r="B4690" s="4"/>
      <c r="C4690" s="4"/>
      <c r="D4690" s="4"/>
      <c r="E4690" s="4"/>
      <c r="F4690" s="4"/>
      <c r="G4690" s="5"/>
      <c r="H4690" s="6"/>
      <c r="I4690" s="7"/>
      <c r="J4690" s="6"/>
      <c r="K4690" s="6"/>
      <c r="L4690" s="3"/>
      <c r="M4690" s="3" t="str">
        <f>IFERROR(__xludf.DUMMYFUNCTION("""COMPUTED_VALUE"""),"")</f>
        <v/>
      </c>
    </row>
    <row r="4691" ht="48.0" customHeight="1">
      <c r="A4691" s="3"/>
      <c r="B4691" s="4"/>
      <c r="C4691" s="4"/>
      <c r="D4691" s="4"/>
      <c r="E4691" s="4"/>
      <c r="F4691" s="4"/>
      <c r="G4691" s="5"/>
      <c r="H4691" s="6"/>
      <c r="I4691" s="7"/>
      <c r="J4691" s="6"/>
      <c r="K4691" s="6"/>
      <c r="L4691" s="3"/>
      <c r="M4691" s="3" t="str">
        <f>IFERROR(__xludf.DUMMYFUNCTION("""COMPUTED_VALUE"""),"")</f>
        <v/>
      </c>
    </row>
    <row r="4692" ht="48.0" customHeight="1">
      <c r="A4692" s="3"/>
      <c r="B4692" s="4"/>
      <c r="C4692" s="4"/>
      <c r="D4692" s="4"/>
      <c r="E4692" s="4"/>
      <c r="F4692" s="4"/>
      <c r="G4692" s="5"/>
      <c r="H4692" s="6"/>
      <c r="I4692" s="7"/>
      <c r="J4692" s="6"/>
      <c r="K4692" s="6"/>
      <c r="L4692" s="3"/>
      <c r="M4692" s="3" t="str">
        <f>IFERROR(__xludf.DUMMYFUNCTION("""COMPUTED_VALUE"""),"")</f>
        <v/>
      </c>
    </row>
    <row r="4693" ht="48.0" customHeight="1">
      <c r="A4693" s="3"/>
      <c r="B4693" s="4"/>
      <c r="C4693" s="4"/>
      <c r="D4693" s="4"/>
      <c r="E4693" s="4"/>
      <c r="F4693" s="4"/>
      <c r="G4693" s="5"/>
      <c r="H4693" s="6"/>
      <c r="I4693" s="7"/>
      <c r="J4693" s="6"/>
      <c r="K4693" s="6"/>
      <c r="L4693" s="3"/>
      <c r="M4693" s="3" t="str">
        <f>IFERROR(__xludf.DUMMYFUNCTION("""COMPUTED_VALUE"""),"")</f>
        <v/>
      </c>
    </row>
    <row r="4694" ht="48.0" customHeight="1">
      <c r="A4694" s="3"/>
      <c r="B4694" s="4"/>
      <c r="C4694" s="4"/>
      <c r="D4694" s="4"/>
      <c r="E4694" s="4"/>
      <c r="F4694" s="4"/>
      <c r="G4694" s="5"/>
      <c r="H4694" s="6"/>
      <c r="I4694" s="7"/>
      <c r="J4694" s="6"/>
      <c r="K4694" s="6"/>
      <c r="L4694" s="3"/>
      <c r="M4694" s="3" t="str">
        <f>IFERROR(__xludf.DUMMYFUNCTION("""COMPUTED_VALUE"""),"")</f>
        <v/>
      </c>
    </row>
    <row r="4695" ht="48.0" customHeight="1">
      <c r="A4695" s="3"/>
      <c r="B4695" s="4"/>
      <c r="C4695" s="4"/>
      <c r="D4695" s="4"/>
      <c r="E4695" s="4"/>
      <c r="F4695" s="4"/>
      <c r="G4695" s="5"/>
      <c r="H4695" s="6"/>
      <c r="I4695" s="7"/>
      <c r="J4695" s="6"/>
      <c r="K4695" s="6"/>
      <c r="L4695" s="3"/>
      <c r="M4695" s="3" t="str">
        <f>IFERROR(__xludf.DUMMYFUNCTION("""COMPUTED_VALUE"""),"")</f>
        <v/>
      </c>
    </row>
    <row r="4696" ht="48.0" customHeight="1">
      <c r="A4696" s="3"/>
      <c r="B4696" s="4"/>
      <c r="C4696" s="4"/>
      <c r="D4696" s="4"/>
      <c r="E4696" s="4"/>
      <c r="F4696" s="4"/>
      <c r="G4696" s="5"/>
      <c r="H4696" s="6"/>
      <c r="I4696" s="7"/>
      <c r="J4696" s="6"/>
      <c r="K4696" s="6"/>
      <c r="L4696" s="3"/>
      <c r="M4696" s="3" t="str">
        <f>IFERROR(__xludf.DUMMYFUNCTION("""COMPUTED_VALUE"""),"")</f>
        <v/>
      </c>
    </row>
    <row r="4697" ht="48.0" customHeight="1">
      <c r="A4697" s="3"/>
      <c r="B4697" s="4"/>
      <c r="C4697" s="4"/>
      <c r="D4697" s="4"/>
      <c r="E4697" s="4"/>
      <c r="F4697" s="4"/>
      <c r="G4697" s="5"/>
      <c r="H4697" s="6"/>
      <c r="I4697" s="7"/>
      <c r="J4697" s="6"/>
      <c r="K4697" s="6"/>
      <c r="L4697" s="3"/>
      <c r="M4697" s="3" t="str">
        <f>IFERROR(__xludf.DUMMYFUNCTION("""COMPUTED_VALUE"""),"")</f>
        <v/>
      </c>
    </row>
    <row r="4698" ht="48.0" customHeight="1">
      <c r="A4698" s="3"/>
      <c r="B4698" s="4"/>
      <c r="C4698" s="4"/>
      <c r="D4698" s="4"/>
      <c r="E4698" s="4"/>
      <c r="F4698" s="4"/>
      <c r="G4698" s="5"/>
      <c r="H4698" s="6"/>
      <c r="I4698" s="7"/>
      <c r="J4698" s="6"/>
      <c r="K4698" s="6"/>
      <c r="L4698" s="3"/>
      <c r="M4698" s="3" t="str">
        <f>IFERROR(__xludf.DUMMYFUNCTION("""COMPUTED_VALUE"""),"")</f>
        <v/>
      </c>
    </row>
    <row r="4699" ht="48.0" customHeight="1">
      <c r="A4699" s="3"/>
      <c r="B4699" s="4"/>
      <c r="C4699" s="4"/>
      <c r="D4699" s="4"/>
      <c r="E4699" s="4"/>
      <c r="F4699" s="4"/>
      <c r="G4699" s="5"/>
      <c r="H4699" s="6"/>
      <c r="I4699" s="7"/>
      <c r="J4699" s="6"/>
      <c r="K4699" s="6"/>
      <c r="L4699" s="3"/>
      <c r="M4699" s="3" t="str">
        <f>IFERROR(__xludf.DUMMYFUNCTION("""COMPUTED_VALUE"""),"")</f>
        <v/>
      </c>
    </row>
    <row r="4700" ht="48.0" customHeight="1">
      <c r="A4700" s="3"/>
      <c r="B4700" s="4"/>
      <c r="C4700" s="4"/>
      <c r="D4700" s="4"/>
      <c r="E4700" s="4"/>
      <c r="F4700" s="4"/>
      <c r="G4700" s="5"/>
      <c r="H4700" s="6"/>
      <c r="I4700" s="7"/>
      <c r="J4700" s="6"/>
      <c r="K4700" s="6"/>
      <c r="L4700" s="3"/>
      <c r="M4700" s="3" t="str">
        <f>IFERROR(__xludf.DUMMYFUNCTION("""COMPUTED_VALUE"""),"")</f>
        <v/>
      </c>
    </row>
    <row r="4701" ht="48.0" customHeight="1">
      <c r="A4701" s="3"/>
      <c r="B4701" s="4"/>
      <c r="C4701" s="4"/>
      <c r="D4701" s="4"/>
      <c r="E4701" s="4"/>
      <c r="F4701" s="4"/>
      <c r="G4701" s="5"/>
      <c r="H4701" s="6"/>
      <c r="I4701" s="7"/>
      <c r="J4701" s="6"/>
      <c r="K4701" s="6"/>
      <c r="L4701" s="3"/>
      <c r="M4701" s="3" t="str">
        <f>IFERROR(__xludf.DUMMYFUNCTION("""COMPUTED_VALUE"""),"")</f>
        <v/>
      </c>
    </row>
    <row r="4702" ht="48.0" customHeight="1">
      <c r="A4702" s="3"/>
      <c r="B4702" s="4"/>
      <c r="C4702" s="4"/>
      <c r="D4702" s="4"/>
      <c r="E4702" s="4"/>
      <c r="F4702" s="4"/>
      <c r="G4702" s="5"/>
      <c r="H4702" s="6"/>
      <c r="I4702" s="7"/>
      <c r="J4702" s="6"/>
      <c r="K4702" s="6"/>
      <c r="L4702" s="3"/>
      <c r="M4702" s="3" t="str">
        <f>IFERROR(__xludf.DUMMYFUNCTION("""COMPUTED_VALUE"""),"")</f>
        <v/>
      </c>
    </row>
    <row r="4703" ht="48.0" customHeight="1">
      <c r="A4703" s="3"/>
      <c r="B4703" s="4"/>
      <c r="C4703" s="4"/>
      <c r="D4703" s="4"/>
      <c r="E4703" s="4"/>
      <c r="F4703" s="4"/>
      <c r="G4703" s="5"/>
      <c r="H4703" s="6"/>
      <c r="I4703" s="7"/>
      <c r="J4703" s="6"/>
      <c r="K4703" s="6"/>
      <c r="L4703" s="3"/>
      <c r="M4703" s="3" t="str">
        <f>IFERROR(__xludf.DUMMYFUNCTION("""COMPUTED_VALUE"""),"")</f>
        <v/>
      </c>
    </row>
    <row r="4704" ht="48.0" customHeight="1">
      <c r="A4704" s="3"/>
      <c r="B4704" s="4"/>
      <c r="C4704" s="4"/>
      <c r="D4704" s="4"/>
      <c r="E4704" s="4"/>
      <c r="F4704" s="4"/>
      <c r="G4704" s="5"/>
      <c r="H4704" s="6"/>
      <c r="I4704" s="7"/>
      <c r="J4704" s="6"/>
      <c r="K4704" s="6"/>
      <c r="L4704" s="3"/>
      <c r="M4704" s="3" t="str">
        <f>IFERROR(__xludf.DUMMYFUNCTION("""COMPUTED_VALUE"""),"")</f>
        <v/>
      </c>
    </row>
    <row r="4705" ht="48.0" customHeight="1">
      <c r="A4705" s="3"/>
      <c r="B4705" s="4"/>
      <c r="C4705" s="4"/>
      <c r="D4705" s="4"/>
      <c r="E4705" s="4"/>
      <c r="F4705" s="4"/>
      <c r="G4705" s="5"/>
      <c r="H4705" s="6"/>
      <c r="I4705" s="7"/>
      <c r="J4705" s="6"/>
      <c r="K4705" s="6"/>
      <c r="L4705" s="3"/>
      <c r="M4705" s="3" t="str">
        <f>IFERROR(__xludf.DUMMYFUNCTION("""COMPUTED_VALUE"""),"")</f>
        <v/>
      </c>
    </row>
    <row r="4706" ht="48.0" customHeight="1">
      <c r="A4706" s="3"/>
      <c r="B4706" s="4"/>
      <c r="C4706" s="4"/>
      <c r="D4706" s="4"/>
      <c r="E4706" s="4"/>
      <c r="F4706" s="4"/>
      <c r="G4706" s="5"/>
      <c r="H4706" s="6"/>
      <c r="I4706" s="7"/>
      <c r="J4706" s="6"/>
      <c r="K4706" s="6"/>
      <c r="L4706" s="3"/>
      <c r="M4706" s="3" t="str">
        <f>IFERROR(__xludf.DUMMYFUNCTION("""COMPUTED_VALUE"""),"")</f>
        <v/>
      </c>
    </row>
    <row r="4707" ht="48.0" customHeight="1">
      <c r="A4707" s="3"/>
      <c r="B4707" s="4"/>
      <c r="C4707" s="4"/>
      <c r="D4707" s="4"/>
      <c r="E4707" s="4"/>
      <c r="F4707" s="4"/>
      <c r="G4707" s="5"/>
      <c r="H4707" s="6"/>
      <c r="I4707" s="7"/>
      <c r="J4707" s="6"/>
      <c r="K4707" s="6"/>
      <c r="L4707" s="3"/>
      <c r="M4707" s="3" t="str">
        <f>IFERROR(__xludf.DUMMYFUNCTION("""COMPUTED_VALUE"""),"")</f>
        <v/>
      </c>
    </row>
    <row r="4708" ht="48.0" customHeight="1">
      <c r="A4708" s="3"/>
      <c r="B4708" s="4"/>
      <c r="C4708" s="4"/>
      <c r="D4708" s="4"/>
      <c r="E4708" s="4"/>
      <c r="F4708" s="4"/>
      <c r="G4708" s="5"/>
      <c r="H4708" s="6"/>
      <c r="I4708" s="7"/>
      <c r="J4708" s="6"/>
      <c r="K4708" s="6"/>
      <c r="L4708" s="3"/>
      <c r="M4708" s="3" t="str">
        <f>IFERROR(__xludf.DUMMYFUNCTION("""COMPUTED_VALUE"""),"")</f>
        <v/>
      </c>
    </row>
    <row r="4709" ht="48.0" customHeight="1">
      <c r="A4709" s="3"/>
      <c r="B4709" s="4"/>
      <c r="C4709" s="4"/>
      <c r="D4709" s="4"/>
      <c r="E4709" s="4"/>
      <c r="F4709" s="4"/>
      <c r="G4709" s="5"/>
      <c r="H4709" s="6"/>
      <c r="I4709" s="7"/>
      <c r="J4709" s="6"/>
      <c r="K4709" s="6"/>
      <c r="L4709" s="3"/>
      <c r="M4709" s="3" t="str">
        <f>IFERROR(__xludf.DUMMYFUNCTION("""COMPUTED_VALUE"""),"")</f>
        <v/>
      </c>
    </row>
    <row r="4710" ht="48.0" customHeight="1">
      <c r="A4710" s="3"/>
      <c r="B4710" s="4"/>
      <c r="C4710" s="4"/>
      <c r="D4710" s="4"/>
      <c r="E4710" s="4"/>
      <c r="F4710" s="4"/>
      <c r="G4710" s="5"/>
      <c r="H4710" s="6"/>
      <c r="I4710" s="7"/>
      <c r="J4710" s="6"/>
      <c r="K4710" s="6"/>
      <c r="L4710" s="3"/>
      <c r="M4710" s="3" t="str">
        <f>IFERROR(__xludf.DUMMYFUNCTION("""COMPUTED_VALUE"""),"")</f>
        <v/>
      </c>
    </row>
    <row r="4711" ht="48.0" customHeight="1">
      <c r="A4711" s="3"/>
      <c r="B4711" s="4"/>
      <c r="C4711" s="4"/>
      <c r="D4711" s="4"/>
      <c r="E4711" s="4"/>
      <c r="F4711" s="4"/>
      <c r="G4711" s="5"/>
      <c r="H4711" s="6"/>
      <c r="I4711" s="7"/>
      <c r="J4711" s="6"/>
      <c r="K4711" s="6"/>
      <c r="L4711" s="3"/>
      <c r="M4711" s="3" t="str">
        <f>IFERROR(__xludf.DUMMYFUNCTION("""COMPUTED_VALUE"""),"")</f>
        <v/>
      </c>
    </row>
    <row r="4712" ht="48.0" customHeight="1">
      <c r="A4712" s="3"/>
      <c r="B4712" s="4"/>
      <c r="C4712" s="4"/>
      <c r="D4712" s="4"/>
      <c r="E4712" s="4"/>
      <c r="F4712" s="4"/>
      <c r="G4712" s="5"/>
      <c r="H4712" s="6"/>
      <c r="I4712" s="7"/>
      <c r="J4712" s="6"/>
      <c r="K4712" s="6"/>
      <c r="L4712" s="3"/>
      <c r="M4712" s="3" t="str">
        <f>IFERROR(__xludf.DUMMYFUNCTION("""COMPUTED_VALUE"""),"")</f>
        <v/>
      </c>
    </row>
    <row r="4713" ht="48.0" customHeight="1">
      <c r="A4713" s="3"/>
      <c r="B4713" s="4"/>
      <c r="C4713" s="4"/>
      <c r="D4713" s="4"/>
      <c r="E4713" s="4"/>
      <c r="F4713" s="4"/>
      <c r="G4713" s="5"/>
      <c r="H4713" s="6"/>
      <c r="I4713" s="7"/>
      <c r="J4713" s="6"/>
      <c r="K4713" s="6"/>
      <c r="L4713" s="3"/>
      <c r="M4713" s="3" t="str">
        <f>IFERROR(__xludf.DUMMYFUNCTION("""COMPUTED_VALUE"""),"")</f>
        <v/>
      </c>
    </row>
    <row r="4714" ht="48.0" customHeight="1">
      <c r="A4714" s="3"/>
      <c r="B4714" s="4"/>
      <c r="C4714" s="4"/>
      <c r="D4714" s="4"/>
      <c r="E4714" s="4"/>
      <c r="F4714" s="4"/>
      <c r="G4714" s="5"/>
      <c r="H4714" s="6"/>
      <c r="I4714" s="7"/>
      <c r="J4714" s="6"/>
      <c r="K4714" s="6"/>
      <c r="L4714" s="3"/>
      <c r="M4714" s="3" t="str">
        <f>IFERROR(__xludf.DUMMYFUNCTION("""COMPUTED_VALUE"""),"")</f>
        <v/>
      </c>
    </row>
    <row r="4715" ht="48.0" customHeight="1">
      <c r="A4715" s="3"/>
      <c r="B4715" s="4"/>
      <c r="C4715" s="4"/>
      <c r="D4715" s="4"/>
      <c r="E4715" s="4"/>
      <c r="F4715" s="4"/>
      <c r="G4715" s="5"/>
      <c r="H4715" s="6"/>
      <c r="I4715" s="7"/>
      <c r="J4715" s="6"/>
      <c r="K4715" s="6"/>
      <c r="L4715" s="3"/>
      <c r="M4715" s="3" t="str">
        <f>IFERROR(__xludf.DUMMYFUNCTION("""COMPUTED_VALUE"""),"")</f>
        <v/>
      </c>
    </row>
    <row r="4716" ht="48.0" customHeight="1">
      <c r="A4716" s="3"/>
      <c r="B4716" s="4"/>
      <c r="C4716" s="4"/>
      <c r="D4716" s="4"/>
      <c r="E4716" s="4"/>
      <c r="F4716" s="4"/>
      <c r="G4716" s="5"/>
      <c r="H4716" s="6"/>
      <c r="I4716" s="7"/>
      <c r="J4716" s="6"/>
      <c r="K4716" s="6"/>
      <c r="L4716" s="3"/>
      <c r="M4716" s="3" t="str">
        <f>IFERROR(__xludf.DUMMYFUNCTION("""COMPUTED_VALUE"""),"")</f>
        <v/>
      </c>
    </row>
    <row r="4717" ht="48.0" customHeight="1">
      <c r="A4717" s="3"/>
      <c r="B4717" s="4"/>
      <c r="C4717" s="4"/>
      <c r="D4717" s="4"/>
      <c r="E4717" s="4"/>
      <c r="F4717" s="4"/>
      <c r="G4717" s="5"/>
      <c r="H4717" s="6"/>
      <c r="I4717" s="7"/>
      <c r="J4717" s="6"/>
      <c r="K4717" s="6"/>
      <c r="L4717" s="3"/>
      <c r="M4717" s="3" t="str">
        <f>IFERROR(__xludf.DUMMYFUNCTION("""COMPUTED_VALUE"""),"")</f>
        <v/>
      </c>
    </row>
    <row r="4718" ht="48.0" customHeight="1">
      <c r="A4718" s="3"/>
      <c r="B4718" s="4"/>
      <c r="C4718" s="4"/>
      <c r="D4718" s="4"/>
      <c r="E4718" s="4"/>
      <c r="F4718" s="4"/>
      <c r="G4718" s="5"/>
      <c r="H4718" s="6"/>
      <c r="I4718" s="7"/>
      <c r="J4718" s="6"/>
      <c r="K4718" s="6"/>
      <c r="L4718" s="3"/>
      <c r="M4718" s="3" t="str">
        <f>IFERROR(__xludf.DUMMYFUNCTION("""COMPUTED_VALUE"""),"")</f>
        <v/>
      </c>
    </row>
    <row r="4719" ht="48.0" customHeight="1">
      <c r="A4719" s="3"/>
      <c r="B4719" s="4"/>
      <c r="C4719" s="4"/>
      <c r="D4719" s="4"/>
      <c r="E4719" s="4"/>
      <c r="F4719" s="4"/>
      <c r="G4719" s="5"/>
      <c r="H4719" s="6"/>
      <c r="I4719" s="7"/>
      <c r="J4719" s="6"/>
      <c r="K4719" s="6"/>
      <c r="L4719" s="3"/>
      <c r="M4719" s="3" t="str">
        <f>IFERROR(__xludf.DUMMYFUNCTION("""COMPUTED_VALUE"""),"")</f>
        <v/>
      </c>
    </row>
    <row r="4720" ht="48.0" customHeight="1">
      <c r="A4720" s="3"/>
      <c r="B4720" s="4"/>
      <c r="C4720" s="4"/>
      <c r="D4720" s="4"/>
      <c r="E4720" s="4"/>
      <c r="F4720" s="4"/>
      <c r="G4720" s="5"/>
      <c r="H4720" s="6"/>
      <c r="I4720" s="7"/>
      <c r="J4720" s="6"/>
      <c r="K4720" s="6"/>
      <c r="L4720" s="3"/>
      <c r="M4720" s="3" t="str">
        <f>IFERROR(__xludf.DUMMYFUNCTION("""COMPUTED_VALUE"""),"")</f>
        <v/>
      </c>
    </row>
    <row r="4721" ht="48.0" customHeight="1">
      <c r="A4721" s="3"/>
      <c r="B4721" s="4"/>
      <c r="C4721" s="4"/>
      <c r="D4721" s="4"/>
      <c r="E4721" s="4"/>
      <c r="F4721" s="4"/>
      <c r="G4721" s="5"/>
      <c r="H4721" s="6"/>
      <c r="I4721" s="7"/>
      <c r="J4721" s="6"/>
      <c r="K4721" s="6"/>
      <c r="L4721" s="3"/>
      <c r="M4721" s="3" t="str">
        <f>IFERROR(__xludf.DUMMYFUNCTION("""COMPUTED_VALUE"""),"")</f>
        <v/>
      </c>
    </row>
    <row r="4722" ht="48.0" customHeight="1">
      <c r="A4722" s="3"/>
      <c r="B4722" s="4"/>
      <c r="C4722" s="4"/>
      <c r="D4722" s="4"/>
      <c r="E4722" s="4"/>
      <c r="F4722" s="4"/>
      <c r="G4722" s="5"/>
      <c r="H4722" s="6"/>
      <c r="I4722" s="7"/>
      <c r="J4722" s="6"/>
      <c r="K4722" s="6"/>
      <c r="L4722" s="3"/>
      <c r="M4722" s="3" t="str">
        <f>IFERROR(__xludf.DUMMYFUNCTION("""COMPUTED_VALUE"""),"")</f>
        <v/>
      </c>
    </row>
    <row r="4723" ht="48.0" customHeight="1">
      <c r="A4723" s="3"/>
      <c r="B4723" s="4"/>
      <c r="C4723" s="4"/>
      <c r="D4723" s="4"/>
      <c r="E4723" s="4"/>
      <c r="F4723" s="4"/>
      <c r="G4723" s="5"/>
      <c r="H4723" s="6"/>
      <c r="I4723" s="7"/>
      <c r="J4723" s="6"/>
      <c r="K4723" s="6"/>
      <c r="L4723" s="3"/>
      <c r="M4723" s="3" t="str">
        <f>IFERROR(__xludf.DUMMYFUNCTION("""COMPUTED_VALUE"""),"")</f>
        <v/>
      </c>
    </row>
    <row r="4724" ht="48.0" customHeight="1">
      <c r="A4724" s="3"/>
      <c r="B4724" s="4"/>
      <c r="C4724" s="4"/>
      <c r="D4724" s="4"/>
      <c r="E4724" s="4"/>
      <c r="F4724" s="4"/>
      <c r="G4724" s="5"/>
      <c r="H4724" s="6"/>
      <c r="I4724" s="7"/>
      <c r="J4724" s="6"/>
      <c r="K4724" s="6"/>
      <c r="L4724" s="3"/>
      <c r="M4724" s="3" t="str">
        <f>IFERROR(__xludf.DUMMYFUNCTION("""COMPUTED_VALUE"""),"")</f>
        <v/>
      </c>
    </row>
    <row r="4725" ht="48.0" customHeight="1">
      <c r="A4725" s="3"/>
      <c r="B4725" s="4"/>
      <c r="C4725" s="4"/>
      <c r="D4725" s="4"/>
      <c r="E4725" s="4"/>
      <c r="F4725" s="4"/>
      <c r="G4725" s="5"/>
      <c r="H4725" s="6"/>
      <c r="I4725" s="7"/>
      <c r="J4725" s="6"/>
      <c r="K4725" s="6"/>
      <c r="L4725" s="3"/>
      <c r="M4725" s="3" t="str">
        <f>IFERROR(__xludf.DUMMYFUNCTION("""COMPUTED_VALUE"""),"")</f>
        <v/>
      </c>
    </row>
    <row r="4726" ht="48.0" customHeight="1">
      <c r="A4726" s="3"/>
      <c r="B4726" s="4"/>
      <c r="C4726" s="4"/>
      <c r="D4726" s="4"/>
      <c r="E4726" s="4"/>
      <c r="F4726" s="4"/>
      <c r="G4726" s="5"/>
      <c r="H4726" s="6"/>
      <c r="I4726" s="7"/>
      <c r="J4726" s="6"/>
      <c r="K4726" s="6"/>
      <c r="L4726" s="3"/>
      <c r="M4726" s="3" t="str">
        <f>IFERROR(__xludf.DUMMYFUNCTION("""COMPUTED_VALUE"""),"")</f>
        <v/>
      </c>
    </row>
    <row r="4727" ht="48.0" customHeight="1">
      <c r="A4727" s="3"/>
      <c r="B4727" s="4"/>
      <c r="C4727" s="4"/>
      <c r="D4727" s="4"/>
      <c r="E4727" s="4"/>
      <c r="F4727" s="4"/>
      <c r="G4727" s="5"/>
      <c r="H4727" s="6"/>
      <c r="I4727" s="7"/>
      <c r="J4727" s="6"/>
      <c r="K4727" s="6"/>
      <c r="L4727" s="3"/>
      <c r="M4727" s="3" t="str">
        <f>IFERROR(__xludf.DUMMYFUNCTION("""COMPUTED_VALUE"""),"")</f>
        <v/>
      </c>
    </row>
    <row r="4728" ht="48.0" customHeight="1">
      <c r="A4728" s="3"/>
      <c r="B4728" s="4"/>
      <c r="C4728" s="4"/>
      <c r="D4728" s="4"/>
      <c r="E4728" s="4"/>
      <c r="F4728" s="4"/>
      <c r="G4728" s="5"/>
      <c r="H4728" s="6"/>
      <c r="I4728" s="7"/>
      <c r="J4728" s="6"/>
      <c r="K4728" s="6"/>
      <c r="L4728" s="3"/>
      <c r="M4728" s="3" t="str">
        <f>IFERROR(__xludf.DUMMYFUNCTION("""COMPUTED_VALUE"""),"")</f>
        <v/>
      </c>
    </row>
    <row r="4729" ht="48.0" customHeight="1">
      <c r="A4729" s="3"/>
      <c r="B4729" s="4"/>
      <c r="C4729" s="4"/>
      <c r="D4729" s="4"/>
      <c r="E4729" s="4"/>
      <c r="F4729" s="4"/>
      <c r="G4729" s="5"/>
      <c r="H4729" s="6"/>
      <c r="I4729" s="7"/>
      <c r="J4729" s="6"/>
      <c r="K4729" s="6"/>
      <c r="L4729" s="3"/>
      <c r="M4729" s="3" t="str">
        <f>IFERROR(__xludf.DUMMYFUNCTION("""COMPUTED_VALUE"""),"")</f>
        <v/>
      </c>
    </row>
    <row r="4730" ht="48.0" customHeight="1">
      <c r="A4730" s="3"/>
      <c r="B4730" s="4"/>
      <c r="C4730" s="4"/>
      <c r="D4730" s="4"/>
      <c r="E4730" s="4"/>
      <c r="F4730" s="4"/>
      <c r="G4730" s="5"/>
      <c r="H4730" s="6"/>
      <c r="I4730" s="7"/>
      <c r="J4730" s="6"/>
      <c r="K4730" s="6"/>
      <c r="L4730" s="3"/>
      <c r="M4730" s="3" t="str">
        <f>IFERROR(__xludf.DUMMYFUNCTION("""COMPUTED_VALUE"""),"")</f>
        <v/>
      </c>
    </row>
    <row r="4731" ht="48.0" customHeight="1">
      <c r="A4731" s="3"/>
      <c r="B4731" s="4"/>
      <c r="C4731" s="4"/>
      <c r="D4731" s="4"/>
      <c r="E4731" s="4"/>
      <c r="F4731" s="4"/>
      <c r="G4731" s="5"/>
      <c r="H4731" s="6"/>
      <c r="I4731" s="7"/>
      <c r="J4731" s="6"/>
      <c r="K4731" s="6"/>
      <c r="L4731" s="3"/>
      <c r="M4731" s="3" t="str">
        <f>IFERROR(__xludf.DUMMYFUNCTION("""COMPUTED_VALUE"""),"")</f>
        <v/>
      </c>
    </row>
    <row r="4732" ht="48.0" customHeight="1">
      <c r="A4732" s="3"/>
      <c r="B4732" s="4"/>
      <c r="C4732" s="4"/>
      <c r="D4732" s="4"/>
      <c r="E4732" s="4"/>
      <c r="F4732" s="4"/>
      <c r="G4732" s="5"/>
      <c r="H4732" s="6"/>
      <c r="I4732" s="7"/>
      <c r="J4732" s="6"/>
      <c r="K4732" s="6"/>
      <c r="L4732" s="3"/>
      <c r="M4732" s="3" t="str">
        <f>IFERROR(__xludf.DUMMYFUNCTION("""COMPUTED_VALUE"""),"")</f>
        <v/>
      </c>
    </row>
    <row r="4733" ht="48.0" customHeight="1">
      <c r="A4733" s="3"/>
      <c r="B4733" s="4"/>
      <c r="C4733" s="4"/>
      <c r="D4733" s="4"/>
      <c r="E4733" s="4"/>
      <c r="F4733" s="4"/>
      <c r="G4733" s="5"/>
      <c r="H4733" s="6"/>
      <c r="I4733" s="7"/>
      <c r="J4733" s="6"/>
      <c r="K4733" s="6"/>
      <c r="L4733" s="3"/>
      <c r="M4733" s="3" t="str">
        <f>IFERROR(__xludf.DUMMYFUNCTION("""COMPUTED_VALUE"""),"")</f>
        <v/>
      </c>
    </row>
    <row r="4734" ht="48.0" customHeight="1">
      <c r="A4734" s="3"/>
      <c r="B4734" s="4"/>
      <c r="C4734" s="4"/>
      <c r="D4734" s="4"/>
      <c r="E4734" s="4"/>
      <c r="F4734" s="4"/>
      <c r="G4734" s="5"/>
      <c r="H4734" s="6"/>
      <c r="I4734" s="7"/>
      <c r="J4734" s="6"/>
      <c r="K4734" s="6"/>
      <c r="L4734" s="3"/>
      <c r="M4734" s="3" t="str">
        <f>IFERROR(__xludf.DUMMYFUNCTION("""COMPUTED_VALUE"""),"")</f>
        <v/>
      </c>
    </row>
    <row r="4735" ht="48.0" customHeight="1">
      <c r="A4735" s="3"/>
      <c r="B4735" s="4"/>
      <c r="C4735" s="4"/>
      <c r="D4735" s="4"/>
      <c r="E4735" s="4"/>
      <c r="F4735" s="4"/>
      <c r="G4735" s="5"/>
      <c r="H4735" s="6"/>
      <c r="I4735" s="7"/>
      <c r="J4735" s="6"/>
      <c r="K4735" s="6"/>
      <c r="L4735" s="3"/>
      <c r="M4735" s="3" t="str">
        <f>IFERROR(__xludf.DUMMYFUNCTION("""COMPUTED_VALUE"""),"")</f>
        <v/>
      </c>
    </row>
    <row r="4736" ht="48.0" customHeight="1">
      <c r="A4736" s="3"/>
      <c r="B4736" s="4"/>
      <c r="C4736" s="4"/>
      <c r="D4736" s="4"/>
      <c r="E4736" s="4"/>
      <c r="F4736" s="4"/>
      <c r="G4736" s="5"/>
      <c r="H4736" s="6"/>
      <c r="I4736" s="7"/>
      <c r="J4736" s="6"/>
      <c r="K4736" s="6"/>
      <c r="L4736" s="3"/>
      <c r="M4736" s="3" t="str">
        <f>IFERROR(__xludf.DUMMYFUNCTION("""COMPUTED_VALUE"""),"")</f>
        <v/>
      </c>
    </row>
    <row r="4737" ht="48.0" customHeight="1">
      <c r="A4737" s="3"/>
      <c r="B4737" s="4"/>
      <c r="C4737" s="4"/>
      <c r="D4737" s="4"/>
      <c r="E4737" s="4"/>
      <c r="F4737" s="4"/>
      <c r="G4737" s="5"/>
      <c r="H4737" s="6"/>
      <c r="I4737" s="7"/>
      <c r="J4737" s="6"/>
      <c r="K4737" s="6"/>
      <c r="L4737" s="3"/>
      <c r="M4737" s="3" t="str">
        <f>IFERROR(__xludf.DUMMYFUNCTION("""COMPUTED_VALUE"""),"")</f>
        <v/>
      </c>
    </row>
    <row r="4738" ht="48.0" customHeight="1">
      <c r="A4738" s="3"/>
      <c r="B4738" s="4"/>
      <c r="C4738" s="4"/>
      <c r="D4738" s="4"/>
      <c r="E4738" s="4"/>
      <c r="F4738" s="4"/>
      <c r="G4738" s="5"/>
      <c r="H4738" s="6"/>
      <c r="I4738" s="7"/>
      <c r="J4738" s="6"/>
      <c r="K4738" s="6"/>
      <c r="L4738" s="3"/>
      <c r="M4738" s="3" t="str">
        <f>IFERROR(__xludf.DUMMYFUNCTION("""COMPUTED_VALUE"""),"")</f>
        <v/>
      </c>
    </row>
    <row r="4739" ht="48.0" customHeight="1">
      <c r="A4739" s="3"/>
      <c r="B4739" s="4"/>
      <c r="C4739" s="4"/>
      <c r="D4739" s="4"/>
      <c r="E4739" s="4"/>
      <c r="F4739" s="4"/>
      <c r="G4739" s="5"/>
      <c r="H4739" s="6"/>
      <c r="I4739" s="7"/>
      <c r="J4739" s="6"/>
      <c r="K4739" s="6"/>
      <c r="L4739" s="3"/>
      <c r="M4739" s="3" t="str">
        <f>IFERROR(__xludf.DUMMYFUNCTION("""COMPUTED_VALUE"""),"")</f>
        <v/>
      </c>
    </row>
    <row r="4740" ht="48.0" customHeight="1">
      <c r="A4740" s="3"/>
      <c r="B4740" s="4"/>
      <c r="C4740" s="4"/>
      <c r="D4740" s="4"/>
      <c r="E4740" s="4"/>
      <c r="F4740" s="4"/>
      <c r="G4740" s="5"/>
      <c r="H4740" s="6"/>
      <c r="I4740" s="7"/>
      <c r="J4740" s="6"/>
      <c r="K4740" s="6"/>
      <c r="L4740" s="3"/>
      <c r="M4740" s="3" t="str">
        <f>IFERROR(__xludf.DUMMYFUNCTION("""COMPUTED_VALUE"""),"")</f>
        <v/>
      </c>
    </row>
    <row r="4741" ht="48.0" customHeight="1">
      <c r="A4741" s="3"/>
      <c r="B4741" s="4"/>
      <c r="C4741" s="4"/>
      <c r="D4741" s="4"/>
      <c r="E4741" s="4"/>
      <c r="F4741" s="4"/>
      <c r="G4741" s="5"/>
      <c r="H4741" s="6"/>
      <c r="I4741" s="7"/>
      <c r="J4741" s="6"/>
      <c r="K4741" s="6"/>
      <c r="L4741" s="3"/>
      <c r="M4741" s="3" t="str">
        <f>IFERROR(__xludf.DUMMYFUNCTION("""COMPUTED_VALUE"""),"")</f>
        <v/>
      </c>
    </row>
    <row r="4742" ht="48.0" customHeight="1">
      <c r="A4742" s="3"/>
      <c r="B4742" s="4"/>
      <c r="C4742" s="4"/>
      <c r="D4742" s="4"/>
      <c r="E4742" s="4"/>
      <c r="F4742" s="4"/>
      <c r="G4742" s="5"/>
      <c r="H4742" s="6"/>
      <c r="I4742" s="7"/>
      <c r="J4742" s="6"/>
      <c r="K4742" s="6"/>
      <c r="L4742" s="3"/>
      <c r="M4742" s="3" t="str">
        <f>IFERROR(__xludf.DUMMYFUNCTION("""COMPUTED_VALUE"""),"")</f>
        <v/>
      </c>
    </row>
    <row r="4743" ht="48.0" customHeight="1">
      <c r="A4743" s="3"/>
      <c r="B4743" s="4"/>
      <c r="C4743" s="4"/>
      <c r="D4743" s="4"/>
      <c r="E4743" s="4"/>
      <c r="F4743" s="4"/>
      <c r="G4743" s="5"/>
      <c r="H4743" s="6"/>
      <c r="I4743" s="7"/>
      <c r="J4743" s="6"/>
      <c r="K4743" s="6"/>
      <c r="L4743" s="3"/>
      <c r="M4743" s="3" t="str">
        <f>IFERROR(__xludf.DUMMYFUNCTION("""COMPUTED_VALUE"""),"")</f>
        <v/>
      </c>
    </row>
    <row r="4744" ht="48.0" customHeight="1">
      <c r="A4744" s="3"/>
      <c r="B4744" s="4"/>
      <c r="C4744" s="4"/>
      <c r="D4744" s="4"/>
      <c r="E4744" s="4"/>
      <c r="F4744" s="4"/>
      <c r="G4744" s="5"/>
      <c r="H4744" s="6"/>
      <c r="I4744" s="7"/>
      <c r="J4744" s="6"/>
      <c r="K4744" s="6"/>
      <c r="L4744" s="3"/>
      <c r="M4744" s="3" t="str">
        <f>IFERROR(__xludf.DUMMYFUNCTION("""COMPUTED_VALUE"""),"")</f>
        <v/>
      </c>
    </row>
    <row r="4745" ht="48.0" customHeight="1">
      <c r="A4745" s="3"/>
      <c r="B4745" s="4"/>
      <c r="C4745" s="4"/>
      <c r="D4745" s="4"/>
      <c r="E4745" s="4"/>
      <c r="F4745" s="4"/>
      <c r="G4745" s="5"/>
      <c r="H4745" s="6"/>
      <c r="I4745" s="7"/>
      <c r="J4745" s="6"/>
      <c r="K4745" s="6"/>
      <c r="L4745" s="3"/>
      <c r="M4745" s="3" t="str">
        <f>IFERROR(__xludf.DUMMYFUNCTION("""COMPUTED_VALUE"""),"")</f>
        <v/>
      </c>
    </row>
    <row r="4746" ht="48.0" customHeight="1">
      <c r="A4746" s="3"/>
      <c r="B4746" s="4"/>
      <c r="C4746" s="4"/>
      <c r="D4746" s="4"/>
      <c r="E4746" s="4"/>
      <c r="F4746" s="4"/>
      <c r="G4746" s="5"/>
      <c r="H4746" s="6"/>
      <c r="I4746" s="7"/>
      <c r="J4746" s="6"/>
      <c r="K4746" s="6"/>
      <c r="L4746" s="3"/>
      <c r="M4746" s="3" t="str">
        <f>IFERROR(__xludf.DUMMYFUNCTION("""COMPUTED_VALUE"""),"")</f>
        <v/>
      </c>
    </row>
    <row r="4747" ht="48.0" customHeight="1">
      <c r="A4747" s="3"/>
      <c r="B4747" s="4"/>
      <c r="C4747" s="4"/>
      <c r="D4747" s="4"/>
      <c r="E4747" s="4"/>
      <c r="F4747" s="4"/>
      <c r="G4747" s="5"/>
      <c r="H4747" s="6"/>
      <c r="I4747" s="7"/>
      <c r="J4747" s="6"/>
      <c r="K4747" s="6"/>
      <c r="L4747" s="3"/>
      <c r="M4747" s="3" t="str">
        <f>IFERROR(__xludf.DUMMYFUNCTION("""COMPUTED_VALUE"""),"")</f>
        <v/>
      </c>
    </row>
    <row r="4748" ht="48.0" customHeight="1">
      <c r="A4748" s="3"/>
      <c r="B4748" s="4"/>
      <c r="C4748" s="4"/>
      <c r="D4748" s="4"/>
      <c r="E4748" s="4"/>
      <c r="F4748" s="4"/>
      <c r="G4748" s="5"/>
      <c r="H4748" s="6"/>
      <c r="I4748" s="7"/>
      <c r="J4748" s="6"/>
      <c r="K4748" s="6"/>
      <c r="L4748" s="3"/>
      <c r="M4748" s="3" t="str">
        <f>IFERROR(__xludf.DUMMYFUNCTION("""COMPUTED_VALUE"""),"")</f>
        <v/>
      </c>
    </row>
    <row r="4749" ht="48.0" customHeight="1">
      <c r="A4749" s="3"/>
      <c r="B4749" s="4"/>
      <c r="C4749" s="4"/>
      <c r="D4749" s="4"/>
      <c r="E4749" s="4"/>
      <c r="F4749" s="4"/>
      <c r="G4749" s="5"/>
      <c r="H4749" s="6"/>
      <c r="I4749" s="7"/>
      <c r="J4749" s="6"/>
      <c r="K4749" s="6"/>
      <c r="L4749" s="3"/>
      <c r="M4749" s="3" t="str">
        <f>IFERROR(__xludf.DUMMYFUNCTION("""COMPUTED_VALUE"""),"")</f>
        <v/>
      </c>
    </row>
    <row r="4750" ht="48.0" customHeight="1">
      <c r="A4750" s="3"/>
      <c r="B4750" s="4"/>
      <c r="C4750" s="4"/>
      <c r="D4750" s="4"/>
      <c r="E4750" s="4"/>
      <c r="F4750" s="4"/>
      <c r="G4750" s="5"/>
      <c r="H4750" s="6"/>
      <c r="I4750" s="7"/>
      <c r="J4750" s="6"/>
      <c r="K4750" s="6"/>
      <c r="L4750" s="3"/>
      <c r="M4750" s="3" t="str">
        <f>IFERROR(__xludf.DUMMYFUNCTION("""COMPUTED_VALUE"""),"")</f>
        <v/>
      </c>
    </row>
    <row r="4751" ht="48.0" customHeight="1">
      <c r="A4751" s="3"/>
      <c r="B4751" s="4"/>
      <c r="C4751" s="4"/>
      <c r="D4751" s="4"/>
      <c r="E4751" s="4"/>
      <c r="F4751" s="4"/>
      <c r="G4751" s="5"/>
      <c r="H4751" s="6"/>
      <c r="I4751" s="7"/>
      <c r="J4751" s="6"/>
      <c r="K4751" s="6"/>
      <c r="L4751" s="3"/>
      <c r="M4751" s="3" t="str">
        <f>IFERROR(__xludf.DUMMYFUNCTION("""COMPUTED_VALUE"""),"")</f>
        <v/>
      </c>
    </row>
    <row r="4752" ht="48.0" customHeight="1">
      <c r="A4752" s="3"/>
      <c r="B4752" s="4"/>
      <c r="C4752" s="4"/>
      <c r="D4752" s="4"/>
      <c r="E4752" s="4"/>
      <c r="F4752" s="4"/>
      <c r="G4752" s="5"/>
      <c r="H4752" s="6"/>
      <c r="I4752" s="7"/>
      <c r="J4752" s="6"/>
      <c r="K4752" s="6"/>
      <c r="L4752" s="3"/>
      <c r="M4752" s="3" t="str">
        <f>IFERROR(__xludf.DUMMYFUNCTION("""COMPUTED_VALUE"""),"")</f>
        <v/>
      </c>
    </row>
    <row r="4753" ht="48.0" customHeight="1">
      <c r="A4753" s="3"/>
      <c r="B4753" s="4"/>
      <c r="C4753" s="4"/>
      <c r="D4753" s="4"/>
      <c r="E4753" s="4"/>
      <c r="F4753" s="4"/>
      <c r="G4753" s="5"/>
      <c r="H4753" s="6"/>
      <c r="I4753" s="7"/>
      <c r="J4753" s="6"/>
      <c r="K4753" s="6"/>
      <c r="L4753" s="3"/>
      <c r="M4753" s="3" t="str">
        <f>IFERROR(__xludf.DUMMYFUNCTION("""COMPUTED_VALUE"""),"")</f>
        <v/>
      </c>
    </row>
    <row r="4754" ht="48.0" customHeight="1">
      <c r="A4754" s="3"/>
      <c r="B4754" s="4"/>
      <c r="C4754" s="4"/>
      <c r="D4754" s="4"/>
      <c r="E4754" s="4"/>
      <c r="F4754" s="4"/>
      <c r="G4754" s="5"/>
      <c r="H4754" s="6"/>
      <c r="I4754" s="7"/>
      <c r="J4754" s="6"/>
      <c r="K4754" s="6"/>
      <c r="L4754" s="3"/>
      <c r="M4754" s="3" t="str">
        <f>IFERROR(__xludf.DUMMYFUNCTION("""COMPUTED_VALUE"""),"")</f>
        <v/>
      </c>
    </row>
    <row r="4755" ht="48.0" customHeight="1">
      <c r="A4755" s="3"/>
      <c r="B4755" s="4"/>
      <c r="C4755" s="4"/>
      <c r="D4755" s="4"/>
      <c r="E4755" s="4"/>
      <c r="F4755" s="4"/>
      <c r="G4755" s="5"/>
      <c r="H4755" s="6"/>
      <c r="I4755" s="7"/>
      <c r="J4755" s="6"/>
      <c r="K4755" s="6"/>
      <c r="L4755" s="3"/>
      <c r="M4755" s="3" t="str">
        <f>IFERROR(__xludf.DUMMYFUNCTION("""COMPUTED_VALUE"""),"")</f>
        <v/>
      </c>
    </row>
    <row r="4756" ht="48.0" customHeight="1">
      <c r="A4756" s="3"/>
      <c r="B4756" s="4"/>
      <c r="C4756" s="4"/>
      <c r="D4756" s="4"/>
      <c r="E4756" s="4"/>
      <c r="F4756" s="4"/>
      <c r="G4756" s="5"/>
      <c r="H4756" s="6"/>
      <c r="I4756" s="7"/>
      <c r="J4756" s="6"/>
      <c r="K4756" s="6"/>
      <c r="L4756" s="3"/>
      <c r="M4756" s="3" t="str">
        <f>IFERROR(__xludf.DUMMYFUNCTION("""COMPUTED_VALUE"""),"")</f>
        <v/>
      </c>
    </row>
    <row r="4757" ht="48.0" customHeight="1">
      <c r="A4757" s="3"/>
      <c r="B4757" s="4"/>
      <c r="C4757" s="4"/>
      <c r="D4757" s="4"/>
      <c r="E4757" s="4"/>
      <c r="F4757" s="4"/>
      <c r="G4757" s="5"/>
      <c r="H4757" s="6"/>
      <c r="I4757" s="7"/>
      <c r="J4757" s="6"/>
      <c r="K4757" s="6"/>
      <c r="L4757" s="3"/>
      <c r="M4757" s="3" t="str">
        <f>IFERROR(__xludf.DUMMYFUNCTION("""COMPUTED_VALUE"""),"")</f>
        <v/>
      </c>
    </row>
    <row r="4758" ht="48.0" customHeight="1">
      <c r="A4758" s="3"/>
      <c r="B4758" s="4"/>
      <c r="C4758" s="4"/>
      <c r="D4758" s="4"/>
      <c r="E4758" s="4"/>
      <c r="F4758" s="4"/>
      <c r="G4758" s="5"/>
      <c r="H4758" s="6"/>
      <c r="I4758" s="7"/>
      <c r="J4758" s="6"/>
      <c r="K4758" s="6"/>
      <c r="L4758" s="3"/>
      <c r="M4758" s="3" t="str">
        <f>IFERROR(__xludf.DUMMYFUNCTION("""COMPUTED_VALUE"""),"")</f>
        <v/>
      </c>
    </row>
    <row r="4759" ht="48.0" customHeight="1">
      <c r="A4759" s="3"/>
      <c r="B4759" s="4"/>
      <c r="C4759" s="4"/>
      <c r="D4759" s="4"/>
      <c r="E4759" s="4"/>
      <c r="F4759" s="4"/>
      <c r="G4759" s="5"/>
      <c r="H4759" s="6"/>
      <c r="I4759" s="7"/>
      <c r="J4759" s="6"/>
      <c r="K4759" s="6"/>
      <c r="L4759" s="3"/>
      <c r="M4759" s="3" t="str">
        <f>IFERROR(__xludf.DUMMYFUNCTION("""COMPUTED_VALUE"""),"")</f>
        <v/>
      </c>
    </row>
    <row r="4760" ht="48.0" customHeight="1">
      <c r="A4760" s="3"/>
      <c r="B4760" s="4"/>
      <c r="C4760" s="4"/>
      <c r="D4760" s="4"/>
      <c r="E4760" s="4"/>
      <c r="F4760" s="4"/>
      <c r="G4760" s="5"/>
      <c r="H4760" s="6"/>
      <c r="I4760" s="7"/>
      <c r="J4760" s="6"/>
      <c r="K4760" s="6"/>
      <c r="L4760" s="3"/>
      <c r="M4760" s="3" t="str">
        <f>IFERROR(__xludf.DUMMYFUNCTION("""COMPUTED_VALUE"""),"")</f>
        <v/>
      </c>
    </row>
    <row r="4761" ht="48.0" customHeight="1">
      <c r="A4761" s="3"/>
      <c r="B4761" s="4"/>
      <c r="C4761" s="4"/>
      <c r="D4761" s="4"/>
      <c r="E4761" s="4"/>
      <c r="F4761" s="4"/>
      <c r="G4761" s="5"/>
      <c r="H4761" s="6"/>
      <c r="I4761" s="7"/>
      <c r="J4761" s="6"/>
      <c r="K4761" s="6"/>
      <c r="L4761" s="3"/>
      <c r="M4761" s="3" t="str">
        <f>IFERROR(__xludf.DUMMYFUNCTION("""COMPUTED_VALUE"""),"")</f>
        <v/>
      </c>
    </row>
    <row r="4762" ht="48.0" customHeight="1">
      <c r="A4762" s="3"/>
      <c r="B4762" s="4"/>
      <c r="C4762" s="4"/>
      <c r="D4762" s="4"/>
      <c r="E4762" s="4"/>
      <c r="F4762" s="4"/>
      <c r="G4762" s="5"/>
      <c r="H4762" s="6"/>
      <c r="I4762" s="7"/>
      <c r="J4762" s="6"/>
      <c r="K4762" s="6"/>
      <c r="L4762" s="3"/>
      <c r="M4762" s="3" t="str">
        <f>IFERROR(__xludf.DUMMYFUNCTION("""COMPUTED_VALUE"""),"")</f>
        <v/>
      </c>
    </row>
    <row r="4763" ht="48.0" customHeight="1">
      <c r="A4763" s="3"/>
      <c r="B4763" s="4"/>
      <c r="C4763" s="4"/>
      <c r="D4763" s="4"/>
      <c r="E4763" s="4"/>
      <c r="F4763" s="4"/>
      <c r="G4763" s="5"/>
      <c r="H4763" s="6"/>
      <c r="I4763" s="7"/>
      <c r="J4763" s="6"/>
      <c r="K4763" s="6"/>
      <c r="L4763" s="3"/>
      <c r="M4763" s="3" t="str">
        <f>IFERROR(__xludf.DUMMYFUNCTION("""COMPUTED_VALUE"""),"")</f>
        <v/>
      </c>
    </row>
    <row r="4764" ht="48.0" customHeight="1">
      <c r="A4764" s="3"/>
      <c r="B4764" s="4"/>
      <c r="C4764" s="4"/>
      <c r="D4764" s="4"/>
      <c r="E4764" s="4"/>
      <c r="F4764" s="4"/>
      <c r="G4764" s="5"/>
      <c r="H4764" s="6"/>
      <c r="I4764" s="7"/>
      <c r="J4764" s="6"/>
      <c r="K4764" s="6"/>
      <c r="L4764" s="3"/>
      <c r="M4764" s="3" t="str">
        <f>IFERROR(__xludf.DUMMYFUNCTION("""COMPUTED_VALUE"""),"")</f>
        <v/>
      </c>
    </row>
    <row r="4765" ht="48.0" customHeight="1">
      <c r="A4765" s="3"/>
      <c r="B4765" s="4"/>
      <c r="C4765" s="4"/>
      <c r="D4765" s="4"/>
      <c r="E4765" s="4"/>
      <c r="F4765" s="4"/>
      <c r="G4765" s="5"/>
      <c r="H4765" s="6"/>
      <c r="I4765" s="7"/>
      <c r="J4765" s="6"/>
      <c r="K4765" s="6"/>
      <c r="L4765" s="3"/>
      <c r="M4765" s="3" t="str">
        <f>IFERROR(__xludf.DUMMYFUNCTION("""COMPUTED_VALUE"""),"")</f>
        <v/>
      </c>
    </row>
    <row r="4766" ht="48.0" customHeight="1">
      <c r="A4766" s="3"/>
      <c r="B4766" s="4"/>
      <c r="C4766" s="4"/>
      <c r="D4766" s="4"/>
      <c r="E4766" s="4"/>
      <c r="F4766" s="4"/>
      <c r="G4766" s="5"/>
      <c r="H4766" s="6"/>
      <c r="I4766" s="7"/>
      <c r="J4766" s="6"/>
      <c r="K4766" s="6"/>
      <c r="L4766" s="3"/>
      <c r="M4766" s="3" t="str">
        <f>IFERROR(__xludf.DUMMYFUNCTION("""COMPUTED_VALUE"""),"")</f>
        <v/>
      </c>
    </row>
    <row r="4767" ht="48.0" customHeight="1">
      <c r="A4767" s="3"/>
      <c r="B4767" s="4"/>
      <c r="C4767" s="4"/>
      <c r="D4767" s="4"/>
      <c r="E4767" s="4"/>
      <c r="F4767" s="4"/>
      <c r="G4767" s="5"/>
      <c r="H4767" s="6"/>
      <c r="I4767" s="7"/>
      <c r="J4767" s="6"/>
      <c r="K4767" s="6"/>
      <c r="L4767" s="3"/>
      <c r="M4767" s="3" t="str">
        <f>IFERROR(__xludf.DUMMYFUNCTION("""COMPUTED_VALUE"""),"")</f>
        <v/>
      </c>
    </row>
    <row r="4768" ht="48.0" customHeight="1">
      <c r="A4768" s="3"/>
      <c r="B4768" s="4"/>
      <c r="C4768" s="4"/>
      <c r="D4768" s="4"/>
      <c r="E4768" s="4"/>
      <c r="F4768" s="4"/>
      <c r="G4768" s="5"/>
      <c r="H4768" s="6"/>
      <c r="I4768" s="7"/>
      <c r="J4768" s="6"/>
      <c r="K4768" s="6"/>
      <c r="L4768" s="3"/>
      <c r="M4768" s="3" t="str">
        <f>IFERROR(__xludf.DUMMYFUNCTION("""COMPUTED_VALUE"""),"")</f>
        <v/>
      </c>
    </row>
    <row r="4769" ht="48.0" customHeight="1">
      <c r="A4769" s="3"/>
      <c r="B4769" s="4"/>
      <c r="C4769" s="4"/>
      <c r="D4769" s="4"/>
      <c r="E4769" s="4"/>
      <c r="F4769" s="4"/>
      <c r="G4769" s="5"/>
      <c r="H4769" s="6"/>
      <c r="I4769" s="7"/>
      <c r="J4769" s="6"/>
      <c r="K4769" s="6"/>
      <c r="L4769" s="3"/>
      <c r="M4769" s="3" t="str">
        <f>IFERROR(__xludf.DUMMYFUNCTION("""COMPUTED_VALUE"""),"")</f>
        <v/>
      </c>
    </row>
    <row r="4770" ht="48.0" customHeight="1">
      <c r="A4770" s="3"/>
      <c r="B4770" s="4"/>
      <c r="C4770" s="4"/>
      <c r="D4770" s="4"/>
      <c r="E4770" s="4"/>
      <c r="F4770" s="4"/>
      <c r="G4770" s="5"/>
      <c r="H4770" s="6"/>
      <c r="I4770" s="7"/>
      <c r="J4770" s="6"/>
      <c r="K4770" s="6"/>
      <c r="L4770" s="3"/>
      <c r="M4770" s="3" t="str">
        <f>IFERROR(__xludf.DUMMYFUNCTION("""COMPUTED_VALUE"""),"")</f>
        <v/>
      </c>
    </row>
    <row r="4771" ht="48.0" customHeight="1">
      <c r="A4771" s="3"/>
      <c r="B4771" s="4"/>
      <c r="C4771" s="4"/>
      <c r="D4771" s="4"/>
      <c r="E4771" s="4"/>
      <c r="F4771" s="4"/>
      <c r="G4771" s="5"/>
      <c r="H4771" s="6"/>
      <c r="I4771" s="7"/>
      <c r="J4771" s="6"/>
      <c r="K4771" s="6"/>
      <c r="L4771" s="3"/>
      <c r="M4771" s="3" t="str">
        <f>IFERROR(__xludf.DUMMYFUNCTION("""COMPUTED_VALUE"""),"")</f>
        <v/>
      </c>
    </row>
    <row r="4772" ht="48.0" customHeight="1">
      <c r="A4772" s="3"/>
      <c r="B4772" s="4"/>
      <c r="C4772" s="4"/>
      <c r="D4772" s="4"/>
      <c r="E4772" s="4"/>
      <c r="F4772" s="4"/>
      <c r="G4772" s="5"/>
      <c r="H4772" s="6"/>
      <c r="I4772" s="7"/>
      <c r="J4772" s="6"/>
      <c r="K4772" s="6"/>
      <c r="L4772" s="3"/>
      <c r="M4772" s="3" t="str">
        <f>IFERROR(__xludf.DUMMYFUNCTION("""COMPUTED_VALUE"""),"")</f>
        <v/>
      </c>
    </row>
    <row r="4773" ht="48.0" customHeight="1">
      <c r="A4773" s="3"/>
      <c r="B4773" s="4"/>
      <c r="C4773" s="4"/>
      <c r="D4773" s="4"/>
      <c r="E4773" s="4"/>
      <c r="F4773" s="4"/>
      <c r="G4773" s="5"/>
      <c r="H4773" s="6"/>
      <c r="I4773" s="7"/>
      <c r="J4773" s="6"/>
      <c r="K4773" s="6"/>
      <c r="L4773" s="3"/>
      <c r="M4773" s="3" t="str">
        <f>IFERROR(__xludf.DUMMYFUNCTION("""COMPUTED_VALUE"""),"")</f>
        <v/>
      </c>
    </row>
    <row r="4774" ht="48.0" customHeight="1">
      <c r="A4774" s="3"/>
      <c r="B4774" s="4"/>
      <c r="C4774" s="4"/>
      <c r="D4774" s="4"/>
      <c r="E4774" s="4"/>
      <c r="F4774" s="4"/>
      <c r="G4774" s="5"/>
      <c r="H4774" s="6"/>
      <c r="I4774" s="7"/>
      <c r="J4774" s="6"/>
      <c r="K4774" s="6"/>
      <c r="L4774" s="3"/>
      <c r="M4774" s="3" t="str">
        <f>IFERROR(__xludf.DUMMYFUNCTION("""COMPUTED_VALUE"""),"")</f>
        <v/>
      </c>
    </row>
    <row r="4775" ht="48.0" customHeight="1">
      <c r="A4775" s="3"/>
      <c r="B4775" s="4"/>
      <c r="C4775" s="4"/>
      <c r="D4775" s="4"/>
      <c r="E4775" s="4"/>
      <c r="F4775" s="4"/>
      <c r="G4775" s="5"/>
      <c r="H4775" s="6"/>
      <c r="I4775" s="7"/>
      <c r="J4775" s="6"/>
      <c r="K4775" s="6"/>
      <c r="L4775" s="3"/>
      <c r="M4775" s="3" t="str">
        <f>IFERROR(__xludf.DUMMYFUNCTION("""COMPUTED_VALUE"""),"")</f>
        <v/>
      </c>
    </row>
    <row r="4776" ht="48.0" customHeight="1">
      <c r="A4776" s="3"/>
      <c r="B4776" s="4"/>
      <c r="C4776" s="4"/>
      <c r="D4776" s="4"/>
      <c r="E4776" s="4"/>
      <c r="F4776" s="4"/>
      <c r="G4776" s="5"/>
      <c r="H4776" s="6"/>
      <c r="I4776" s="7"/>
      <c r="J4776" s="6"/>
      <c r="K4776" s="6"/>
      <c r="L4776" s="3"/>
      <c r="M4776" s="3" t="str">
        <f>IFERROR(__xludf.DUMMYFUNCTION("""COMPUTED_VALUE"""),"")</f>
        <v/>
      </c>
    </row>
    <row r="4777" ht="48.0" customHeight="1">
      <c r="A4777" s="3"/>
      <c r="B4777" s="4"/>
      <c r="C4777" s="4"/>
      <c r="D4777" s="4"/>
      <c r="E4777" s="4"/>
      <c r="F4777" s="4"/>
      <c r="G4777" s="5"/>
      <c r="H4777" s="6"/>
      <c r="I4777" s="7"/>
      <c r="J4777" s="6"/>
      <c r="K4777" s="6"/>
      <c r="L4777" s="3"/>
      <c r="M4777" s="3" t="str">
        <f>IFERROR(__xludf.DUMMYFUNCTION("""COMPUTED_VALUE"""),"")</f>
        <v/>
      </c>
    </row>
    <row r="4778" ht="48.0" customHeight="1">
      <c r="A4778" s="3"/>
      <c r="B4778" s="4"/>
      <c r="C4778" s="4"/>
      <c r="D4778" s="4"/>
      <c r="E4778" s="4"/>
      <c r="F4778" s="4"/>
      <c r="G4778" s="5"/>
      <c r="H4778" s="6"/>
      <c r="I4778" s="7"/>
      <c r="J4778" s="6"/>
      <c r="K4778" s="6"/>
      <c r="L4778" s="3"/>
      <c r="M4778" s="3" t="str">
        <f>IFERROR(__xludf.DUMMYFUNCTION("""COMPUTED_VALUE"""),"")</f>
        <v/>
      </c>
    </row>
    <row r="4779" ht="48.0" customHeight="1">
      <c r="A4779" s="3"/>
      <c r="B4779" s="4"/>
      <c r="C4779" s="4"/>
      <c r="D4779" s="4"/>
      <c r="E4779" s="4"/>
      <c r="F4779" s="4"/>
      <c r="G4779" s="5"/>
      <c r="H4779" s="6"/>
      <c r="I4779" s="7"/>
      <c r="J4779" s="6"/>
      <c r="K4779" s="6"/>
      <c r="L4779" s="3"/>
      <c r="M4779" s="3" t="str">
        <f>IFERROR(__xludf.DUMMYFUNCTION("""COMPUTED_VALUE"""),"")</f>
        <v/>
      </c>
    </row>
    <row r="4780" ht="48.0" customHeight="1">
      <c r="A4780" s="3"/>
      <c r="B4780" s="4"/>
      <c r="C4780" s="4"/>
      <c r="D4780" s="4"/>
      <c r="E4780" s="4"/>
      <c r="F4780" s="4"/>
      <c r="G4780" s="5"/>
      <c r="H4780" s="6"/>
      <c r="I4780" s="7"/>
      <c r="J4780" s="6"/>
      <c r="K4780" s="6"/>
      <c r="L4780" s="3"/>
      <c r="M4780" s="3" t="str">
        <f>IFERROR(__xludf.DUMMYFUNCTION("""COMPUTED_VALUE"""),"")</f>
        <v/>
      </c>
    </row>
    <row r="4781" ht="48.0" customHeight="1">
      <c r="A4781" s="3"/>
      <c r="B4781" s="4"/>
      <c r="C4781" s="4"/>
      <c r="D4781" s="4"/>
      <c r="E4781" s="4"/>
      <c r="F4781" s="4"/>
      <c r="G4781" s="5"/>
      <c r="H4781" s="6"/>
      <c r="I4781" s="7"/>
      <c r="J4781" s="6"/>
      <c r="K4781" s="6"/>
      <c r="L4781" s="3"/>
      <c r="M4781" s="3" t="str">
        <f>IFERROR(__xludf.DUMMYFUNCTION("""COMPUTED_VALUE"""),"")</f>
        <v/>
      </c>
    </row>
    <row r="4782" ht="48.0" customHeight="1">
      <c r="A4782" s="3"/>
      <c r="B4782" s="4"/>
      <c r="C4782" s="4"/>
      <c r="D4782" s="4"/>
      <c r="E4782" s="4"/>
      <c r="F4782" s="4"/>
      <c r="G4782" s="5"/>
      <c r="H4782" s="6"/>
      <c r="I4782" s="7"/>
      <c r="J4782" s="6"/>
      <c r="K4782" s="6"/>
      <c r="L4782" s="3"/>
      <c r="M4782" s="3" t="str">
        <f>IFERROR(__xludf.DUMMYFUNCTION("""COMPUTED_VALUE"""),"")</f>
        <v/>
      </c>
    </row>
    <row r="4783" ht="48.0" customHeight="1">
      <c r="A4783" s="3"/>
      <c r="B4783" s="4"/>
      <c r="C4783" s="4"/>
      <c r="D4783" s="4"/>
      <c r="E4783" s="4"/>
      <c r="F4783" s="4"/>
      <c r="G4783" s="5"/>
      <c r="H4783" s="6"/>
      <c r="I4783" s="7"/>
      <c r="J4783" s="6"/>
      <c r="K4783" s="6"/>
      <c r="L4783" s="3"/>
      <c r="M4783" s="3" t="str">
        <f>IFERROR(__xludf.DUMMYFUNCTION("""COMPUTED_VALUE"""),"")</f>
        <v/>
      </c>
    </row>
    <row r="4784" ht="48.0" customHeight="1">
      <c r="A4784" s="3"/>
      <c r="B4784" s="4"/>
      <c r="C4784" s="4"/>
      <c r="D4784" s="4"/>
      <c r="E4784" s="4"/>
      <c r="F4784" s="4"/>
      <c r="G4784" s="5"/>
      <c r="H4784" s="6"/>
      <c r="I4784" s="7"/>
      <c r="J4784" s="6"/>
      <c r="K4784" s="6"/>
      <c r="L4784" s="3"/>
      <c r="M4784" s="3" t="str">
        <f>IFERROR(__xludf.DUMMYFUNCTION("""COMPUTED_VALUE"""),"")</f>
        <v/>
      </c>
    </row>
    <row r="4785" ht="48.0" customHeight="1">
      <c r="A4785" s="3"/>
      <c r="B4785" s="4"/>
      <c r="C4785" s="4"/>
      <c r="D4785" s="4"/>
      <c r="E4785" s="4"/>
      <c r="F4785" s="4"/>
      <c r="G4785" s="5"/>
      <c r="H4785" s="6"/>
      <c r="I4785" s="7"/>
      <c r="J4785" s="6"/>
      <c r="K4785" s="6"/>
      <c r="L4785" s="3"/>
      <c r="M4785" s="3" t="str">
        <f>IFERROR(__xludf.DUMMYFUNCTION("""COMPUTED_VALUE"""),"")</f>
        <v/>
      </c>
    </row>
    <row r="4786" ht="48.0" customHeight="1">
      <c r="A4786" s="3"/>
      <c r="B4786" s="4"/>
      <c r="C4786" s="4"/>
      <c r="D4786" s="4"/>
      <c r="E4786" s="4"/>
      <c r="F4786" s="4"/>
      <c r="G4786" s="5"/>
      <c r="H4786" s="6"/>
      <c r="I4786" s="7"/>
      <c r="J4786" s="6"/>
      <c r="K4786" s="6"/>
      <c r="L4786" s="3"/>
      <c r="M4786" s="3" t="str">
        <f>IFERROR(__xludf.DUMMYFUNCTION("""COMPUTED_VALUE"""),"")</f>
        <v/>
      </c>
    </row>
    <row r="4787" ht="48.0" customHeight="1">
      <c r="A4787" s="3"/>
      <c r="B4787" s="4"/>
      <c r="C4787" s="4"/>
      <c r="D4787" s="4"/>
      <c r="E4787" s="4"/>
      <c r="F4787" s="4"/>
      <c r="G4787" s="5"/>
      <c r="H4787" s="6"/>
      <c r="I4787" s="7"/>
      <c r="J4787" s="6"/>
      <c r="K4787" s="6"/>
      <c r="L4787" s="3"/>
      <c r="M4787" s="3" t="str">
        <f>IFERROR(__xludf.DUMMYFUNCTION("""COMPUTED_VALUE"""),"")</f>
        <v/>
      </c>
    </row>
    <row r="4788" ht="48.0" customHeight="1">
      <c r="A4788" s="3"/>
      <c r="B4788" s="4"/>
      <c r="C4788" s="4"/>
      <c r="D4788" s="4"/>
      <c r="E4788" s="4"/>
      <c r="F4788" s="4"/>
      <c r="G4788" s="5"/>
      <c r="H4788" s="6"/>
      <c r="I4788" s="7"/>
      <c r="J4788" s="6"/>
      <c r="K4788" s="6"/>
      <c r="L4788" s="3"/>
      <c r="M4788" s="3" t="str">
        <f>IFERROR(__xludf.DUMMYFUNCTION("""COMPUTED_VALUE"""),"")</f>
        <v/>
      </c>
    </row>
    <row r="4789" ht="48.0" customHeight="1">
      <c r="A4789" s="3"/>
      <c r="B4789" s="4"/>
      <c r="C4789" s="4"/>
      <c r="D4789" s="4"/>
      <c r="E4789" s="4"/>
      <c r="F4789" s="4"/>
      <c r="G4789" s="5"/>
      <c r="H4789" s="6"/>
      <c r="I4789" s="7"/>
      <c r="J4789" s="6"/>
      <c r="K4789" s="6"/>
      <c r="L4789" s="3"/>
      <c r="M4789" s="3" t="str">
        <f>IFERROR(__xludf.DUMMYFUNCTION("""COMPUTED_VALUE"""),"")</f>
        <v/>
      </c>
    </row>
    <row r="4790" ht="48.0" customHeight="1">
      <c r="A4790" s="3"/>
      <c r="B4790" s="4"/>
      <c r="C4790" s="4"/>
      <c r="D4790" s="4"/>
      <c r="E4790" s="4"/>
      <c r="F4790" s="4"/>
      <c r="G4790" s="5"/>
      <c r="H4790" s="6"/>
      <c r="I4790" s="7"/>
      <c r="J4790" s="6"/>
      <c r="K4790" s="6"/>
      <c r="L4790" s="3"/>
      <c r="M4790" s="3" t="str">
        <f>IFERROR(__xludf.DUMMYFUNCTION("""COMPUTED_VALUE"""),"")</f>
        <v/>
      </c>
    </row>
    <row r="4791" ht="48.0" customHeight="1">
      <c r="A4791" s="3"/>
      <c r="B4791" s="4"/>
      <c r="C4791" s="4"/>
      <c r="D4791" s="4"/>
      <c r="E4791" s="4"/>
      <c r="F4791" s="4"/>
      <c r="G4791" s="5"/>
      <c r="H4791" s="6"/>
      <c r="I4791" s="7"/>
      <c r="J4791" s="6"/>
      <c r="K4791" s="6"/>
      <c r="L4791" s="3"/>
      <c r="M4791" s="3" t="str">
        <f>IFERROR(__xludf.DUMMYFUNCTION("""COMPUTED_VALUE"""),"")</f>
        <v/>
      </c>
    </row>
    <row r="4792" ht="48.0" customHeight="1">
      <c r="A4792" s="3"/>
      <c r="B4792" s="4"/>
      <c r="C4792" s="4"/>
      <c r="D4792" s="4"/>
      <c r="E4792" s="4"/>
      <c r="F4792" s="4"/>
      <c r="G4792" s="5"/>
      <c r="H4792" s="6"/>
      <c r="I4792" s="7"/>
      <c r="J4792" s="6"/>
      <c r="K4792" s="6"/>
      <c r="L4792" s="3"/>
      <c r="M4792" s="3" t="str">
        <f>IFERROR(__xludf.DUMMYFUNCTION("""COMPUTED_VALUE"""),"")</f>
        <v/>
      </c>
    </row>
    <row r="4793" ht="48.0" customHeight="1">
      <c r="A4793" s="3"/>
      <c r="B4793" s="4"/>
      <c r="C4793" s="4"/>
      <c r="D4793" s="4"/>
      <c r="E4793" s="4"/>
      <c r="F4793" s="4"/>
      <c r="G4793" s="5"/>
      <c r="H4793" s="6"/>
      <c r="I4793" s="7"/>
      <c r="J4793" s="6"/>
      <c r="K4793" s="6"/>
      <c r="L4793" s="3"/>
      <c r="M4793" s="3" t="str">
        <f>IFERROR(__xludf.DUMMYFUNCTION("""COMPUTED_VALUE"""),"")</f>
        <v/>
      </c>
    </row>
    <row r="4794" ht="48.0" customHeight="1">
      <c r="A4794" s="3"/>
      <c r="B4794" s="4"/>
      <c r="C4794" s="4"/>
      <c r="D4794" s="4"/>
      <c r="E4794" s="4"/>
      <c r="F4794" s="4"/>
      <c r="G4794" s="5"/>
      <c r="H4794" s="6"/>
      <c r="I4794" s="7"/>
      <c r="J4794" s="6"/>
      <c r="K4794" s="6"/>
      <c r="L4794" s="3"/>
      <c r="M4794" s="3" t="str">
        <f>IFERROR(__xludf.DUMMYFUNCTION("""COMPUTED_VALUE"""),"")</f>
        <v/>
      </c>
    </row>
    <row r="4795" ht="48.0" customHeight="1">
      <c r="A4795" s="3"/>
      <c r="B4795" s="4"/>
      <c r="C4795" s="4"/>
      <c r="D4795" s="4"/>
      <c r="E4795" s="4"/>
      <c r="F4795" s="4"/>
      <c r="G4795" s="5"/>
      <c r="H4795" s="6"/>
      <c r="I4795" s="7"/>
      <c r="J4795" s="6"/>
      <c r="K4795" s="6"/>
      <c r="L4795" s="3"/>
      <c r="M4795" s="3" t="str">
        <f>IFERROR(__xludf.DUMMYFUNCTION("""COMPUTED_VALUE"""),"")</f>
        <v/>
      </c>
    </row>
    <row r="4796" ht="48.0" customHeight="1">
      <c r="A4796" s="3"/>
      <c r="B4796" s="4"/>
      <c r="C4796" s="4"/>
      <c r="D4796" s="4"/>
      <c r="E4796" s="4"/>
      <c r="F4796" s="4"/>
      <c r="G4796" s="5"/>
      <c r="H4796" s="6"/>
      <c r="I4796" s="7"/>
      <c r="J4796" s="6"/>
      <c r="K4796" s="6"/>
      <c r="L4796" s="3"/>
      <c r="M4796" s="3" t="str">
        <f>IFERROR(__xludf.DUMMYFUNCTION("""COMPUTED_VALUE"""),"")</f>
        <v/>
      </c>
    </row>
    <row r="4797" ht="48.0" customHeight="1">
      <c r="A4797" s="3"/>
      <c r="B4797" s="4"/>
      <c r="C4797" s="4"/>
      <c r="D4797" s="4"/>
      <c r="E4797" s="4"/>
      <c r="F4797" s="4"/>
      <c r="G4797" s="5"/>
      <c r="H4797" s="6"/>
      <c r="I4797" s="7"/>
      <c r="J4797" s="6"/>
      <c r="K4797" s="6"/>
      <c r="L4797" s="3"/>
      <c r="M4797" s="3" t="str">
        <f>IFERROR(__xludf.DUMMYFUNCTION("""COMPUTED_VALUE"""),"")</f>
        <v/>
      </c>
    </row>
    <row r="4798" ht="48.0" customHeight="1">
      <c r="A4798" s="3"/>
      <c r="B4798" s="4"/>
      <c r="C4798" s="4"/>
      <c r="D4798" s="4"/>
      <c r="E4798" s="4"/>
      <c r="F4798" s="4"/>
      <c r="G4798" s="5"/>
      <c r="H4798" s="6"/>
      <c r="I4798" s="7"/>
      <c r="J4798" s="6"/>
      <c r="K4798" s="6"/>
      <c r="L4798" s="3"/>
      <c r="M4798" s="3" t="str">
        <f>IFERROR(__xludf.DUMMYFUNCTION("""COMPUTED_VALUE"""),"")</f>
        <v/>
      </c>
    </row>
    <row r="4799" ht="48.0" customHeight="1">
      <c r="A4799" s="3"/>
      <c r="B4799" s="4"/>
      <c r="C4799" s="4"/>
      <c r="D4799" s="4"/>
      <c r="E4799" s="4"/>
      <c r="F4799" s="4"/>
      <c r="G4799" s="5"/>
      <c r="H4799" s="6"/>
      <c r="I4799" s="7"/>
      <c r="J4799" s="6"/>
      <c r="K4799" s="6"/>
      <c r="L4799" s="3"/>
      <c r="M4799" s="3" t="str">
        <f>IFERROR(__xludf.DUMMYFUNCTION("""COMPUTED_VALUE"""),"")</f>
        <v/>
      </c>
    </row>
    <row r="4800" ht="48.0" customHeight="1">
      <c r="A4800" s="3"/>
      <c r="B4800" s="4"/>
      <c r="C4800" s="4"/>
      <c r="D4800" s="4"/>
      <c r="E4800" s="4"/>
      <c r="F4800" s="4"/>
      <c r="G4800" s="5"/>
      <c r="H4800" s="6"/>
      <c r="I4800" s="7"/>
      <c r="J4800" s="6"/>
      <c r="K4800" s="6"/>
      <c r="L4800" s="3"/>
      <c r="M4800" s="3" t="str">
        <f>IFERROR(__xludf.DUMMYFUNCTION("""COMPUTED_VALUE"""),"")</f>
        <v/>
      </c>
    </row>
    <row r="4801" ht="48.0" customHeight="1">
      <c r="A4801" s="3"/>
      <c r="B4801" s="4"/>
      <c r="C4801" s="4"/>
      <c r="D4801" s="4"/>
      <c r="E4801" s="4"/>
      <c r="F4801" s="4"/>
      <c r="G4801" s="5"/>
      <c r="H4801" s="6"/>
      <c r="I4801" s="7"/>
      <c r="J4801" s="6"/>
      <c r="K4801" s="6"/>
      <c r="L4801" s="3"/>
      <c r="M4801" s="3" t="str">
        <f>IFERROR(__xludf.DUMMYFUNCTION("""COMPUTED_VALUE"""),"")</f>
        <v/>
      </c>
    </row>
    <row r="4802" ht="48.0" customHeight="1">
      <c r="A4802" s="3"/>
      <c r="B4802" s="4"/>
      <c r="C4802" s="4"/>
      <c r="D4802" s="4"/>
      <c r="E4802" s="4"/>
      <c r="F4802" s="4"/>
      <c r="G4802" s="5"/>
      <c r="H4802" s="6"/>
      <c r="I4802" s="7"/>
      <c r="J4802" s="6"/>
      <c r="K4802" s="6"/>
      <c r="L4802" s="3"/>
      <c r="M4802" s="3" t="str">
        <f>IFERROR(__xludf.DUMMYFUNCTION("""COMPUTED_VALUE"""),"")</f>
        <v/>
      </c>
    </row>
    <row r="4803" ht="48.0" customHeight="1">
      <c r="A4803" s="3"/>
      <c r="B4803" s="4"/>
      <c r="C4803" s="4"/>
      <c r="D4803" s="4"/>
      <c r="E4803" s="4"/>
      <c r="F4803" s="4"/>
      <c r="G4803" s="5"/>
      <c r="H4803" s="6"/>
      <c r="I4803" s="7"/>
      <c r="J4803" s="6"/>
      <c r="K4803" s="6"/>
      <c r="L4803" s="3"/>
      <c r="M4803" s="3" t="str">
        <f>IFERROR(__xludf.DUMMYFUNCTION("""COMPUTED_VALUE"""),"")</f>
        <v/>
      </c>
    </row>
    <row r="4804" ht="48.0" customHeight="1">
      <c r="A4804" s="3"/>
      <c r="B4804" s="4"/>
      <c r="C4804" s="4"/>
      <c r="D4804" s="4"/>
      <c r="E4804" s="4"/>
      <c r="F4804" s="4"/>
      <c r="G4804" s="5"/>
      <c r="H4804" s="6"/>
      <c r="I4804" s="7"/>
      <c r="J4804" s="6"/>
      <c r="K4804" s="6"/>
      <c r="L4804" s="3"/>
      <c r="M4804" s="3" t="str">
        <f>IFERROR(__xludf.DUMMYFUNCTION("""COMPUTED_VALUE"""),"")</f>
        <v/>
      </c>
    </row>
    <row r="4805" ht="48.0" customHeight="1">
      <c r="A4805" s="3"/>
      <c r="B4805" s="4"/>
      <c r="C4805" s="4"/>
      <c r="D4805" s="4"/>
      <c r="E4805" s="4"/>
      <c r="F4805" s="4"/>
      <c r="G4805" s="5"/>
      <c r="H4805" s="6"/>
      <c r="I4805" s="7"/>
      <c r="J4805" s="6"/>
      <c r="K4805" s="6"/>
      <c r="L4805" s="3"/>
      <c r="M4805" s="3" t="str">
        <f>IFERROR(__xludf.DUMMYFUNCTION("""COMPUTED_VALUE"""),"")</f>
        <v/>
      </c>
    </row>
    <row r="4806" ht="48.0" customHeight="1">
      <c r="A4806" s="3"/>
      <c r="B4806" s="4"/>
      <c r="C4806" s="4"/>
      <c r="D4806" s="4"/>
      <c r="E4806" s="4"/>
      <c r="F4806" s="4"/>
      <c r="G4806" s="5"/>
      <c r="H4806" s="6"/>
      <c r="I4806" s="7"/>
      <c r="J4806" s="6"/>
      <c r="K4806" s="6"/>
      <c r="L4806" s="3"/>
      <c r="M4806" s="3" t="str">
        <f>IFERROR(__xludf.DUMMYFUNCTION("""COMPUTED_VALUE"""),"")</f>
        <v/>
      </c>
    </row>
    <row r="4807" ht="48.0" customHeight="1">
      <c r="A4807" s="3"/>
      <c r="B4807" s="4"/>
      <c r="C4807" s="4"/>
      <c r="D4807" s="4"/>
      <c r="E4807" s="4"/>
      <c r="F4807" s="4"/>
      <c r="G4807" s="5"/>
      <c r="H4807" s="6"/>
      <c r="I4807" s="7"/>
      <c r="J4807" s="6"/>
      <c r="K4807" s="6"/>
      <c r="L4807" s="3"/>
      <c r="M4807" s="3" t="str">
        <f>IFERROR(__xludf.DUMMYFUNCTION("""COMPUTED_VALUE"""),"")</f>
        <v/>
      </c>
    </row>
    <row r="4808" ht="48.0" customHeight="1">
      <c r="A4808" s="3"/>
      <c r="B4808" s="4"/>
      <c r="C4808" s="4"/>
      <c r="D4808" s="4"/>
      <c r="E4808" s="4"/>
      <c r="F4808" s="4"/>
      <c r="G4808" s="5"/>
      <c r="H4808" s="6"/>
      <c r="I4808" s="7"/>
      <c r="J4808" s="6"/>
      <c r="K4808" s="6"/>
      <c r="L4808" s="3"/>
      <c r="M4808" s="3" t="str">
        <f>IFERROR(__xludf.DUMMYFUNCTION("""COMPUTED_VALUE"""),"")</f>
        <v/>
      </c>
    </row>
    <row r="4809" ht="48.0" customHeight="1">
      <c r="A4809" s="3"/>
      <c r="B4809" s="4"/>
      <c r="C4809" s="4"/>
      <c r="D4809" s="4"/>
      <c r="E4809" s="4"/>
      <c r="F4809" s="4"/>
      <c r="G4809" s="5"/>
      <c r="H4809" s="6"/>
      <c r="I4809" s="7"/>
      <c r="J4809" s="6"/>
      <c r="K4809" s="6"/>
      <c r="L4809" s="3"/>
      <c r="M4809" s="3" t="str">
        <f>IFERROR(__xludf.DUMMYFUNCTION("""COMPUTED_VALUE"""),"")</f>
        <v/>
      </c>
    </row>
    <row r="4810" ht="48.0" customHeight="1">
      <c r="A4810" s="3"/>
      <c r="B4810" s="4"/>
      <c r="C4810" s="4"/>
      <c r="D4810" s="4"/>
      <c r="E4810" s="4"/>
      <c r="F4810" s="4"/>
      <c r="G4810" s="5"/>
      <c r="H4810" s="6"/>
      <c r="I4810" s="7"/>
      <c r="J4810" s="6"/>
      <c r="K4810" s="6"/>
      <c r="L4810" s="3"/>
      <c r="M4810" s="3" t="str">
        <f>IFERROR(__xludf.DUMMYFUNCTION("""COMPUTED_VALUE"""),"")</f>
        <v/>
      </c>
    </row>
    <row r="4811" ht="48.0" customHeight="1">
      <c r="A4811" s="3"/>
      <c r="B4811" s="4"/>
      <c r="C4811" s="4"/>
      <c r="D4811" s="4"/>
      <c r="E4811" s="4"/>
      <c r="F4811" s="4"/>
      <c r="G4811" s="5"/>
      <c r="H4811" s="6"/>
      <c r="I4811" s="7"/>
      <c r="J4811" s="6"/>
      <c r="K4811" s="6"/>
      <c r="L4811" s="3"/>
      <c r="M4811" s="3" t="str">
        <f>IFERROR(__xludf.DUMMYFUNCTION("""COMPUTED_VALUE"""),"")</f>
        <v/>
      </c>
    </row>
    <row r="4812" ht="48.0" customHeight="1">
      <c r="A4812" s="3"/>
      <c r="B4812" s="4"/>
      <c r="C4812" s="4"/>
      <c r="D4812" s="4"/>
      <c r="E4812" s="4"/>
      <c r="F4812" s="4"/>
      <c r="G4812" s="5"/>
      <c r="H4812" s="6"/>
      <c r="I4812" s="7"/>
      <c r="J4812" s="6"/>
      <c r="K4812" s="6"/>
      <c r="L4812" s="3"/>
      <c r="M4812" s="3" t="str">
        <f>IFERROR(__xludf.DUMMYFUNCTION("""COMPUTED_VALUE"""),"")</f>
        <v/>
      </c>
    </row>
    <row r="4813" ht="48.0" customHeight="1">
      <c r="A4813" s="3"/>
      <c r="B4813" s="4"/>
      <c r="C4813" s="4"/>
      <c r="D4813" s="4"/>
      <c r="E4813" s="4"/>
      <c r="F4813" s="4"/>
      <c r="G4813" s="5"/>
      <c r="H4813" s="6"/>
      <c r="I4813" s="7"/>
      <c r="J4813" s="6"/>
      <c r="K4813" s="6"/>
      <c r="L4813" s="3"/>
      <c r="M4813" s="3" t="str">
        <f>IFERROR(__xludf.DUMMYFUNCTION("""COMPUTED_VALUE"""),"")</f>
        <v/>
      </c>
    </row>
    <row r="4814" ht="48.0" customHeight="1">
      <c r="A4814" s="3"/>
      <c r="B4814" s="4"/>
      <c r="C4814" s="4"/>
      <c r="D4814" s="4"/>
      <c r="E4814" s="4"/>
      <c r="F4814" s="4"/>
      <c r="G4814" s="5"/>
      <c r="H4814" s="6"/>
      <c r="I4814" s="7"/>
      <c r="J4814" s="6"/>
      <c r="K4814" s="6"/>
      <c r="L4814" s="3"/>
      <c r="M4814" s="3" t="str">
        <f>IFERROR(__xludf.DUMMYFUNCTION("""COMPUTED_VALUE"""),"")</f>
        <v/>
      </c>
    </row>
    <row r="4815" ht="48.0" customHeight="1">
      <c r="A4815" s="3"/>
      <c r="B4815" s="4"/>
      <c r="C4815" s="4"/>
      <c r="D4815" s="4"/>
      <c r="E4815" s="4"/>
      <c r="F4815" s="4"/>
      <c r="G4815" s="5"/>
      <c r="H4815" s="6"/>
      <c r="I4815" s="7"/>
      <c r="J4815" s="6"/>
      <c r="K4815" s="6"/>
      <c r="L4815" s="3"/>
      <c r="M4815" s="3" t="str">
        <f>IFERROR(__xludf.DUMMYFUNCTION("""COMPUTED_VALUE"""),"")</f>
        <v/>
      </c>
    </row>
    <row r="4816" ht="48.0" customHeight="1">
      <c r="A4816" s="3"/>
      <c r="B4816" s="4"/>
      <c r="C4816" s="4"/>
      <c r="D4816" s="4"/>
      <c r="E4816" s="4"/>
      <c r="F4816" s="4"/>
      <c r="G4816" s="5"/>
      <c r="H4816" s="6"/>
      <c r="I4816" s="7"/>
      <c r="J4816" s="6"/>
      <c r="K4816" s="6"/>
      <c r="L4816" s="3"/>
      <c r="M4816" s="3" t="str">
        <f>IFERROR(__xludf.DUMMYFUNCTION("""COMPUTED_VALUE"""),"")</f>
        <v/>
      </c>
    </row>
    <row r="4817" ht="48.0" customHeight="1">
      <c r="A4817" s="3"/>
      <c r="B4817" s="4"/>
      <c r="C4817" s="4"/>
      <c r="D4817" s="4"/>
      <c r="E4817" s="4"/>
      <c r="F4817" s="4"/>
      <c r="G4817" s="5"/>
      <c r="H4817" s="6"/>
      <c r="I4817" s="7"/>
      <c r="J4817" s="6"/>
      <c r="K4817" s="6"/>
      <c r="L4817" s="3"/>
      <c r="M4817" s="3" t="str">
        <f>IFERROR(__xludf.DUMMYFUNCTION("""COMPUTED_VALUE"""),"")</f>
        <v/>
      </c>
    </row>
    <row r="4818" ht="48.0" customHeight="1">
      <c r="A4818" s="3"/>
      <c r="B4818" s="4"/>
      <c r="C4818" s="4"/>
      <c r="D4818" s="4"/>
      <c r="E4818" s="4"/>
      <c r="F4818" s="4"/>
      <c r="G4818" s="5"/>
      <c r="H4818" s="6"/>
      <c r="I4818" s="7"/>
      <c r="J4818" s="6"/>
      <c r="K4818" s="6"/>
      <c r="L4818" s="3"/>
      <c r="M4818" s="3" t="str">
        <f>IFERROR(__xludf.DUMMYFUNCTION("""COMPUTED_VALUE"""),"")</f>
        <v/>
      </c>
    </row>
    <row r="4819" ht="48.0" customHeight="1">
      <c r="A4819" s="3"/>
      <c r="B4819" s="4"/>
      <c r="C4819" s="4"/>
      <c r="D4819" s="4"/>
      <c r="E4819" s="4"/>
      <c r="F4819" s="4"/>
      <c r="G4819" s="5"/>
      <c r="H4819" s="6"/>
      <c r="I4819" s="7"/>
      <c r="J4819" s="6"/>
      <c r="K4819" s="6"/>
      <c r="L4819" s="3"/>
      <c r="M4819" s="3" t="str">
        <f>IFERROR(__xludf.DUMMYFUNCTION("""COMPUTED_VALUE"""),"")</f>
        <v/>
      </c>
    </row>
    <row r="4820" ht="48.0" customHeight="1">
      <c r="A4820" s="3"/>
      <c r="B4820" s="4"/>
      <c r="C4820" s="4"/>
      <c r="D4820" s="4"/>
      <c r="E4820" s="4"/>
      <c r="F4820" s="4"/>
      <c r="G4820" s="5"/>
      <c r="H4820" s="6"/>
      <c r="I4820" s="7"/>
      <c r="J4820" s="6"/>
      <c r="K4820" s="6"/>
      <c r="L4820" s="3"/>
      <c r="M4820" s="3" t="str">
        <f>IFERROR(__xludf.DUMMYFUNCTION("""COMPUTED_VALUE"""),"")</f>
        <v/>
      </c>
    </row>
    <row r="4821" ht="48.0" customHeight="1">
      <c r="A4821" s="3"/>
      <c r="B4821" s="4"/>
      <c r="C4821" s="4"/>
      <c r="D4821" s="4"/>
      <c r="E4821" s="4"/>
      <c r="F4821" s="4"/>
      <c r="G4821" s="5"/>
      <c r="H4821" s="6"/>
      <c r="I4821" s="7"/>
      <c r="J4821" s="6"/>
      <c r="K4821" s="6"/>
      <c r="L4821" s="3"/>
      <c r="M4821" s="3" t="str">
        <f>IFERROR(__xludf.DUMMYFUNCTION("""COMPUTED_VALUE"""),"")</f>
        <v/>
      </c>
    </row>
    <row r="4822" ht="48.0" customHeight="1">
      <c r="A4822" s="3"/>
      <c r="B4822" s="4"/>
      <c r="C4822" s="4"/>
      <c r="D4822" s="4"/>
      <c r="E4822" s="4"/>
      <c r="F4822" s="4"/>
      <c r="G4822" s="5"/>
      <c r="H4822" s="6"/>
      <c r="I4822" s="7"/>
      <c r="J4822" s="6"/>
      <c r="K4822" s="6"/>
      <c r="L4822" s="3"/>
      <c r="M4822" s="3" t="str">
        <f>IFERROR(__xludf.DUMMYFUNCTION("""COMPUTED_VALUE"""),"")</f>
        <v/>
      </c>
    </row>
    <row r="4823" ht="48.0" customHeight="1">
      <c r="A4823" s="3"/>
      <c r="B4823" s="4"/>
      <c r="C4823" s="4"/>
      <c r="D4823" s="4"/>
      <c r="E4823" s="4"/>
      <c r="F4823" s="4"/>
      <c r="G4823" s="5"/>
      <c r="H4823" s="6"/>
      <c r="I4823" s="7"/>
      <c r="J4823" s="6"/>
      <c r="K4823" s="6"/>
      <c r="L4823" s="3"/>
      <c r="M4823" s="3" t="str">
        <f>IFERROR(__xludf.DUMMYFUNCTION("""COMPUTED_VALUE"""),"")</f>
        <v/>
      </c>
    </row>
    <row r="4824" ht="48.0" customHeight="1">
      <c r="A4824" s="3"/>
      <c r="B4824" s="4"/>
      <c r="C4824" s="4"/>
      <c r="D4824" s="4"/>
      <c r="E4824" s="4"/>
      <c r="F4824" s="4"/>
      <c r="G4824" s="5"/>
      <c r="H4824" s="6"/>
      <c r="I4824" s="7"/>
      <c r="J4824" s="6"/>
      <c r="K4824" s="6"/>
      <c r="L4824" s="3"/>
      <c r="M4824" s="3" t="str">
        <f>IFERROR(__xludf.DUMMYFUNCTION("""COMPUTED_VALUE"""),"")</f>
        <v/>
      </c>
    </row>
    <row r="4825" ht="48.0" customHeight="1">
      <c r="A4825" s="3"/>
      <c r="B4825" s="4"/>
      <c r="C4825" s="4"/>
      <c r="D4825" s="4"/>
      <c r="E4825" s="4"/>
      <c r="F4825" s="4"/>
      <c r="G4825" s="5"/>
      <c r="H4825" s="6"/>
      <c r="I4825" s="7"/>
      <c r="J4825" s="6"/>
      <c r="K4825" s="6"/>
      <c r="L4825" s="3"/>
      <c r="M4825" s="3" t="str">
        <f>IFERROR(__xludf.DUMMYFUNCTION("""COMPUTED_VALUE"""),"")</f>
        <v/>
      </c>
    </row>
    <row r="4826" ht="48.0" customHeight="1">
      <c r="A4826" s="3"/>
      <c r="B4826" s="4"/>
      <c r="C4826" s="4"/>
      <c r="D4826" s="4"/>
      <c r="E4826" s="4"/>
      <c r="F4826" s="4"/>
      <c r="G4826" s="5"/>
      <c r="H4826" s="6"/>
      <c r="I4826" s="7"/>
      <c r="J4826" s="6"/>
      <c r="K4826" s="6"/>
      <c r="L4826" s="3"/>
      <c r="M4826" s="3" t="str">
        <f>IFERROR(__xludf.DUMMYFUNCTION("""COMPUTED_VALUE"""),"")</f>
        <v/>
      </c>
    </row>
    <row r="4827" ht="48.0" customHeight="1">
      <c r="A4827" s="3"/>
      <c r="B4827" s="4"/>
      <c r="C4827" s="4"/>
      <c r="D4827" s="4"/>
      <c r="E4827" s="4"/>
      <c r="F4827" s="4"/>
      <c r="G4827" s="5"/>
      <c r="H4827" s="6"/>
      <c r="I4827" s="7"/>
      <c r="J4827" s="6"/>
      <c r="K4827" s="6"/>
      <c r="L4827" s="3"/>
      <c r="M4827" s="3" t="str">
        <f>IFERROR(__xludf.DUMMYFUNCTION("""COMPUTED_VALUE"""),"")</f>
        <v/>
      </c>
    </row>
    <row r="4828" ht="48.0" customHeight="1">
      <c r="A4828" s="3"/>
      <c r="B4828" s="4"/>
      <c r="C4828" s="4"/>
      <c r="D4828" s="4"/>
      <c r="E4828" s="4"/>
      <c r="F4828" s="4"/>
      <c r="G4828" s="5"/>
      <c r="H4828" s="6"/>
      <c r="I4828" s="7"/>
      <c r="J4828" s="6"/>
      <c r="K4828" s="6"/>
      <c r="L4828" s="3"/>
      <c r="M4828" s="3" t="str">
        <f>IFERROR(__xludf.DUMMYFUNCTION("""COMPUTED_VALUE"""),"")</f>
        <v/>
      </c>
    </row>
    <row r="4829" ht="48.0" customHeight="1">
      <c r="A4829" s="3"/>
      <c r="B4829" s="4"/>
      <c r="C4829" s="4"/>
      <c r="D4829" s="4"/>
      <c r="E4829" s="4"/>
      <c r="F4829" s="4"/>
      <c r="G4829" s="5"/>
      <c r="H4829" s="6"/>
      <c r="I4829" s="7"/>
      <c r="J4829" s="6"/>
      <c r="K4829" s="6"/>
      <c r="L4829" s="3"/>
      <c r="M4829" s="3" t="str">
        <f>IFERROR(__xludf.DUMMYFUNCTION("""COMPUTED_VALUE"""),"")</f>
        <v/>
      </c>
    </row>
    <row r="4830" ht="48.0" customHeight="1">
      <c r="A4830" s="3"/>
      <c r="B4830" s="4"/>
      <c r="C4830" s="4"/>
      <c r="D4830" s="4"/>
      <c r="E4830" s="4"/>
      <c r="F4830" s="4"/>
      <c r="G4830" s="5"/>
      <c r="H4830" s="6"/>
      <c r="I4830" s="7"/>
      <c r="J4830" s="6"/>
      <c r="K4830" s="6"/>
      <c r="L4830" s="3"/>
      <c r="M4830" s="3" t="str">
        <f>IFERROR(__xludf.DUMMYFUNCTION("""COMPUTED_VALUE"""),"")</f>
        <v/>
      </c>
    </row>
    <row r="4831" ht="48.0" customHeight="1">
      <c r="A4831" s="3"/>
      <c r="B4831" s="4"/>
      <c r="C4831" s="4"/>
      <c r="D4831" s="4"/>
      <c r="E4831" s="4"/>
      <c r="F4831" s="4"/>
      <c r="G4831" s="5"/>
      <c r="H4831" s="6"/>
      <c r="I4831" s="7"/>
      <c r="J4831" s="6"/>
      <c r="K4831" s="6"/>
      <c r="L4831" s="3"/>
      <c r="M4831" s="3" t="str">
        <f>IFERROR(__xludf.DUMMYFUNCTION("""COMPUTED_VALUE"""),"")</f>
        <v/>
      </c>
    </row>
    <row r="4832" ht="48.0" customHeight="1">
      <c r="A4832" s="3"/>
      <c r="B4832" s="4"/>
      <c r="C4832" s="4"/>
      <c r="D4832" s="4"/>
      <c r="E4832" s="4"/>
      <c r="F4832" s="4"/>
      <c r="G4832" s="5"/>
      <c r="H4832" s="6"/>
      <c r="I4832" s="7"/>
      <c r="J4832" s="6"/>
      <c r="K4832" s="6"/>
      <c r="L4832" s="3"/>
      <c r="M4832" s="3" t="str">
        <f>IFERROR(__xludf.DUMMYFUNCTION("""COMPUTED_VALUE"""),"")</f>
        <v/>
      </c>
    </row>
    <row r="4833" ht="48.0" customHeight="1">
      <c r="A4833" s="3"/>
      <c r="B4833" s="4"/>
      <c r="C4833" s="4"/>
      <c r="D4833" s="4"/>
      <c r="E4833" s="4"/>
      <c r="F4833" s="4"/>
      <c r="G4833" s="5"/>
      <c r="H4833" s="6"/>
      <c r="I4833" s="7"/>
      <c r="J4833" s="6"/>
      <c r="K4833" s="6"/>
      <c r="L4833" s="3"/>
      <c r="M4833" s="3" t="str">
        <f>IFERROR(__xludf.DUMMYFUNCTION("""COMPUTED_VALUE"""),"")</f>
        <v/>
      </c>
    </row>
    <row r="4834" ht="48.0" customHeight="1">
      <c r="A4834" s="3"/>
      <c r="B4834" s="4"/>
      <c r="C4834" s="4"/>
      <c r="D4834" s="4"/>
      <c r="E4834" s="4"/>
      <c r="F4834" s="4"/>
      <c r="G4834" s="5"/>
      <c r="H4834" s="6"/>
      <c r="I4834" s="7"/>
      <c r="J4834" s="6"/>
      <c r="K4834" s="6"/>
      <c r="L4834" s="3"/>
      <c r="M4834" s="3" t="str">
        <f>IFERROR(__xludf.DUMMYFUNCTION("""COMPUTED_VALUE"""),"")</f>
        <v/>
      </c>
    </row>
    <row r="4835" ht="48.0" customHeight="1">
      <c r="A4835" s="3"/>
      <c r="B4835" s="4"/>
      <c r="C4835" s="4"/>
      <c r="D4835" s="4"/>
      <c r="E4835" s="4"/>
      <c r="F4835" s="4"/>
      <c r="G4835" s="5"/>
      <c r="H4835" s="6"/>
      <c r="I4835" s="7"/>
      <c r="J4835" s="6"/>
      <c r="K4835" s="6"/>
      <c r="L4835" s="3"/>
      <c r="M4835" s="3" t="str">
        <f>IFERROR(__xludf.DUMMYFUNCTION("""COMPUTED_VALUE"""),"")</f>
        <v/>
      </c>
    </row>
    <row r="4836" ht="48.0" customHeight="1">
      <c r="A4836" s="3"/>
      <c r="B4836" s="4"/>
      <c r="C4836" s="4"/>
      <c r="D4836" s="4"/>
      <c r="E4836" s="4"/>
      <c r="F4836" s="4"/>
      <c r="G4836" s="5"/>
      <c r="H4836" s="6"/>
      <c r="I4836" s="7"/>
      <c r="J4836" s="6"/>
      <c r="K4836" s="6"/>
      <c r="L4836" s="3"/>
      <c r="M4836" s="3" t="str">
        <f>IFERROR(__xludf.DUMMYFUNCTION("""COMPUTED_VALUE"""),"")</f>
        <v/>
      </c>
    </row>
    <row r="4837" ht="48.0" customHeight="1">
      <c r="A4837" s="3"/>
      <c r="B4837" s="4"/>
      <c r="C4837" s="4"/>
      <c r="D4837" s="4"/>
      <c r="E4837" s="4"/>
      <c r="F4837" s="4"/>
      <c r="G4837" s="5"/>
      <c r="H4837" s="6"/>
      <c r="I4837" s="7"/>
      <c r="J4837" s="6"/>
      <c r="K4837" s="6"/>
      <c r="L4837" s="3"/>
      <c r="M4837" s="3" t="str">
        <f>IFERROR(__xludf.DUMMYFUNCTION("""COMPUTED_VALUE"""),"")</f>
        <v/>
      </c>
    </row>
    <row r="4838" ht="48.0" customHeight="1">
      <c r="A4838" s="3"/>
      <c r="B4838" s="4"/>
      <c r="C4838" s="4"/>
      <c r="D4838" s="4"/>
      <c r="E4838" s="4"/>
      <c r="F4838" s="4"/>
      <c r="G4838" s="5"/>
      <c r="H4838" s="6"/>
      <c r="I4838" s="7"/>
      <c r="J4838" s="6"/>
      <c r="K4838" s="6"/>
      <c r="L4838" s="3"/>
      <c r="M4838" s="3" t="str">
        <f>IFERROR(__xludf.DUMMYFUNCTION("""COMPUTED_VALUE"""),"")</f>
        <v/>
      </c>
    </row>
    <row r="4839" ht="48.0" customHeight="1">
      <c r="A4839" s="3"/>
      <c r="B4839" s="4"/>
      <c r="C4839" s="4"/>
      <c r="D4839" s="4"/>
      <c r="E4839" s="4"/>
      <c r="F4839" s="4"/>
      <c r="G4839" s="5"/>
      <c r="H4839" s="6"/>
      <c r="I4839" s="7"/>
      <c r="J4839" s="6"/>
      <c r="K4839" s="6"/>
      <c r="L4839" s="3"/>
      <c r="M4839" s="3" t="str">
        <f>IFERROR(__xludf.DUMMYFUNCTION("""COMPUTED_VALUE"""),"")</f>
        <v/>
      </c>
    </row>
    <row r="4840" ht="48.0" customHeight="1">
      <c r="A4840" s="3"/>
      <c r="B4840" s="4"/>
      <c r="C4840" s="4"/>
      <c r="D4840" s="4"/>
      <c r="E4840" s="4"/>
      <c r="F4840" s="4"/>
      <c r="G4840" s="5"/>
      <c r="H4840" s="6"/>
      <c r="I4840" s="7"/>
      <c r="J4840" s="6"/>
      <c r="K4840" s="6"/>
      <c r="L4840" s="3"/>
      <c r="M4840" s="3" t="str">
        <f>IFERROR(__xludf.DUMMYFUNCTION("""COMPUTED_VALUE"""),"")</f>
        <v/>
      </c>
    </row>
    <row r="4841" ht="48.0" customHeight="1">
      <c r="A4841" s="3"/>
      <c r="B4841" s="4"/>
      <c r="C4841" s="4"/>
      <c r="D4841" s="4"/>
      <c r="E4841" s="4"/>
      <c r="F4841" s="4"/>
      <c r="G4841" s="5"/>
      <c r="H4841" s="6"/>
      <c r="I4841" s="7"/>
      <c r="J4841" s="6"/>
      <c r="K4841" s="6"/>
      <c r="L4841" s="3"/>
      <c r="M4841" s="3" t="str">
        <f>IFERROR(__xludf.DUMMYFUNCTION("""COMPUTED_VALUE"""),"")</f>
        <v/>
      </c>
    </row>
    <row r="4842" ht="48.0" customHeight="1">
      <c r="A4842" s="3"/>
      <c r="B4842" s="4"/>
      <c r="C4842" s="4"/>
      <c r="D4842" s="4"/>
      <c r="E4842" s="4"/>
      <c r="F4842" s="4"/>
      <c r="G4842" s="5"/>
      <c r="H4842" s="6"/>
      <c r="I4842" s="7"/>
      <c r="J4842" s="6"/>
      <c r="K4842" s="6"/>
      <c r="L4842" s="3"/>
      <c r="M4842" s="3" t="str">
        <f>IFERROR(__xludf.DUMMYFUNCTION("""COMPUTED_VALUE"""),"")</f>
        <v/>
      </c>
    </row>
    <row r="4843" ht="48.0" customHeight="1">
      <c r="A4843" s="3"/>
      <c r="B4843" s="4"/>
      <c r="C4843" s="4"/>
      <c r="D4843" s="4"/>
      <c r="E4843" s="4"/>
      <c r="F4843" s="4"/>
      <c r="G4843" s="5"/>
      <c r="H4843" s="6"/>
      <c r="I4843" s="7"/>
      <c r="J4843" s="6"/>
      <c r="K4843" s="6"/>
      <c r="L4843" s="3"/>
      <c r="M4843" s="3" t="str">
        <f>IFERROR(__xludf.DUMMYFUNCTION("""COMPUTED_VALUE"""),"")</f>
        <v/>
      </c>
    </row>
    <row r="4844" ht="48.0" customHeight="1">
      <c r="A4844" s="3"/>
      <c r="B4844" s="4"/>
      <c r="C4844" s="4"/>
      <c r="D4844" s="4"/>
      <c r="E4844" s="4"/>
      <c r="F4844" s="4"/>
      <c r="G4844" s="5"/>
      <c r="H4844" s="6"/>
      <c r="I4844" s="7"/>
      <c r="J4844" s="6"/>
      <c r="K4844" s="6"/>
      <c r="L4844" s="3"/>
      <c r="M4844" s="3" t="str">
        <f>IFERROR(__xludf.DUMMYFUNCTION("""COMPUTED_VALUE"""),"")</f>
        <v/>
      </c>
    </row>
    <row r="4845" ht="48.0" customHeight="1">
      <c r="A4845" s="3"/>
      <c r="B4845" s="4"/>
      <c r="C4845" s="4"/>
      <c r="D4845" s="4"/>
      <c r="E4845" s="4"/>
      <c r="F4845" s="4"/>
      <c r="G4845" s="5"/>
      <c r="H4845" s="6"/>
      <c r="I4845" s="7"/>
      <c r="J4845" s="6"/>
      <c r="K4845" s="6"/>
      <c r="L4845" s="3"/>
      <c r="M4845" s="3" t="str">
        <f>IFERROR(__xludf.DUMMYFUNCTION("""COMPUTED_VALUE"""),"")</f>
        <v/>
      </c>
    </row>
    <row r="4846" ht="48.0" customHeight="1">
      <c r="A4846" s="3"/>
      <c r="B4846" s="4"/>
      <c r="C4846" s="4"/>
      <c r="D4846" s="4"/>
      <c r="E4846" s="4"/>
      <c r="F4846" s="4"/>
      <c r="G4846" s="5"/>
      <c r="H4846" s="6"/>
      <c r="I4846" s="7"/>
      <c r="J4846" s="6"/>
      <c r="K4846" s="6"/>
      <c r="L4846" s="3"/>
      <c r="M4846" s="3" t="str">
        <f>IFERROR(__xludf.DUMMYFUNCTION("""COMPUTED_VALUE"""),"")</f>
        <v/>
      </c>
    </row>
    <row r="4847" ht="48.0" customHeight="1">
      <c r="A4847" s="3"/>
      <c r="B4847" s="4"/>
      <c r="C4847" s="4"/>
      <c r="D4847" s="4"/>
      <c r="E4847" s="4"/>
      <c r="F4847" s="4"/>
      <c r="G4847" s="5"/>
      <c r="H4847" s="6"/>
      <c r="I4847" s="7"/>
      <c r="J4847" s="6"/>
      <c r="K4847" s="6"/>
      <c r="L4847" s="3"/>
      <c r="M4847" s="3" t="str">
        <f>IFERROR(__xludf.DUMMYFUNCTION("""COMPUTED_VALUE"""),"")</f>
        <v/>
      </c>
    </row>
    <row r="4848" ht="48.0" customHeight="1">
      <c r="A4848" s="3"/>
      <c r="B4848" s="4"/>
      <c r="C4848" s="4"/>
      <c r="D4848" s="4"/>
      <c r="E4848" s="4"/>
      <c r="F4848" s="4"/>
      <c r="G4848" s="5"/>
      <c r="H4848" s="6"/>
      <c r="I4848" s="7"/>
      <c r="J4848" s="6"/>
      <c r="K4848" s="6"/>
      <c r="L4848" s="3"/>
      <c r="M4848" s="3" t="str">
        <f>IFERROR(__xludf.DUMMYFUNCTION("""COMPUTED_VALUE"""),"")</f>
        <v/>
      </c>
    </row>
    <row r="4849" ht="48.0" customHeight="1">
      <c r="A4849" s="3"/>
      <c r="B4849" s="4"/>
      <c r="C4849" s="4"/>
      <c r="D4849" s="4"/>
      <c r="E4849" s="4"/>
      <c r="F4849" s="4"/>
      <c r="G4849" s="5"/>
      <c r="H4849" s="6"/>
      <c r="I4849" s="7"/>
      <c r="J4849" s="6"/>
      <c r="K4849" s="6"/>
      <c r="L4849" s="3"/>
      <c r="M4849" s="3" t="str">
        <f>IFERROR(__xludf.DUMMYFUNCTION("""COMPUTED_VALUE"""),"")</f>
        <v/>
      </c>
    </row>
    <row r="4850" ht="48.0" customHeight="1">
      <c r="A4850" s="3"/>
      <c r="B4850" s="4"/>
      <c r="C4850" s="4"/>
      <c r="D4850" s="4"/>
      <c r="E4850" s="4"/>
      <c r="F4850" s="4"/>
      <c r="G4850" s="5"/>
      <c r="H4850" s="6"/>
      <c r="I4850" s="7"/>
      <c r="J4850" s="6"/>
      <c r="K4850" s="6"/>
      <c r="L4850" s="3"/>
      <c r="M4850" s="3" t="str">
        <f>IFERROR(__xludf.DUMMYFUNCTION("""COMPUTED_VALUE"""),"")</f>
        <v/>
      </c>
    </row>
    <row r="4851" ht="48.0" customHeight="1">
      <c r="A4851" s="3"/>
      <c r="B4851" s="4"/>
      <c r="C4851" s="4"/>
      <c r="D4851" s="4"/>
      <c r="E4851" s="4"/>
      <c r="F4851" s="4"/>
      <c r="G4851" s="5"/>
      <c r="H4851" s="6"/>
      <c r="I4851" s="7"/>
      <c r="J4851" s="6"/>
      <c r="K4851" s="6"/>
      <c r="L4851" s="3"/>
      <c r="M4851" s="3" t="str">
        <f>IFERROR(__xludf.DUMMYFUNCTION("""COMPUTED_VALUE"""),"")</f>
        <v/>
      </c>
    </row>
    <row r="4852" ht="48.0" customHeight="1">
      <c r="A4852" s="3"/>
      <c r="B4852" s="4"/>
      <c r="C4852" s="4"/>
      <c r="D4852" s="4"/>
      <c r="E4852" s="4"/>
      <c r="F4852" s="4"/>
      <c r="G4852" s="5"/>
      <c r="H4852" s="6"/>
      <c r="I4852" s="7"/>
      <c r="J4852" s="6"/>
      <c r="K4852" s="6"/>
      <c r="L4852" s="3"/>
      <c r="M4852" s="3" t="str">
        <f>IFERROR(__xludf.DUMMYFUNCTION("""COMPUTED_VALUE"""),"")</f>
        <v/>
      </c>
    </row>
    <row r="4853" ht="48.0" customHeight="1">
      <c r="A4853" s="3"/>
      <c r="B4853" s="4"/>
      <c r="C4853" s="4"/>
      <c r="D4853" s="4"/>
      <c r="E4853" s="4"/>
      <c r="F4853" s="4"/>
      <c r="G4853" s="5"/>
      <c r="H4853" s="6"/>
      <c r="I4853" s="7"/>
      <c r="J4853" s="6"/>
      <c r="K4853" s="6"/>
      <c r="L4853" s="3"/>
      <c r="M4853" s="3" t="str">
        <f>IFERROR(__xludf.DUMMYFUNCTION("""COMPUTED_VALUE"""),"")</f>
        <v/>
      </c>
    </row>
    <row r="4854" ht="48.0" customHeight="1">
      <c r="A4854" s="3"/>
      <c r="B4854" s="4"/>
      <c r="C4854" s="4"/>
      <c r="D4854" s="4"/>
      <c r="E4854" s="4"/>
      <c r="F4854" s="4"/>
      <c r="G4854" s="5"/>
      <c r="H4854" s="6"/>
      <c r="I4854" s="7"/>
      <c r="J4854" s="6"/>
      <c r="K4854" s="6"/>
      <c r="L4854" s="3"/>
      <c r="M4854" s="3" t="str">
        <f>IFERROR(__xludf.DUMMYFUNCTION("""COMPUTED_VALUE"""),"")</f>
        <v/>
      </c>
    </row>
    <row r="4855" ht="48.0" customHeight="1">
      <c r="A4855" s="3"/>
      <c r="B4855" s="4"/>
      <c r="C4855" s="4"/>
      <c r="D4855" s="4"/>
      <c r="E4855" s="4"/>
      <c r="F4855" s="4"/>
      <c r="G4855" s="5"/>
      <c r="H4855" s="6"/>
      <c r="I4855" s="7"/>
      <c r="J4855" s="6"/>
      <c r="K4855" s="6"/>
      <c r="L4855" s="3"/>
      <c r="M4855" s="3" t="str">
        <f>IFERROR(__xludf.DUMMYFUNCTION("""COMPUTED_VALUE"""),"")</f>
        <v/>
      </c>
    </row>
    <row r="4856" ht="48.0" customHeight="1">
      <c r="A4856" s="3"/>
      <c r="B4856" s="4"/>
      <c r="C4856" s="4"/>
      <c r="D4856" s="4"/>
      <c r="E4856" s="4"/>
      <c r="F4856" s="4"/>
      <c r="G4856" s="5"/>
      <c r="H4856" s="6"/>
      <c r="I4856" s="7"/>
      <c r="J4856" s="6"/>
      <c r="K4856" s="6"/>
      <c r="L4856" s="3"/>
      <c r="M4856" s="3" t="str">
        <f>IFERROR(__xludf.DUMMYFUNCTION("""COMPUTED_VALUE"""),"")</f>
        <v/>
      </c>
    </row>
    <row r="4857" ht="48.0" customHeight="1">
      <c r="A4857" s="3"/>
      <c r="B4857" s="4"/>
      <c r="C4857" s="4"/>
      <c r="D4857" s="4"/>
      <c r="E4857" s="4"/>
      <c r="F4857" s="4"/>
      <c r="G4857" s="5"/>
      <c r="H4857" s="6"/>
      <c r="I4857" s="7"/>
      <c r="J4857" s="6"/>
      <c r="K4857" s="6"/>
      <c r="L4857" s="3"/>
      <c r="M4857" s="3" t="str">
        <f>IFERROR(__xludf.DUMMYFUNCTION("""COMPUTED_VALUE"""),"")</f>
        <v/>
      </c>
    </row>
    <row r="4858" ht="48.0" customHeight="1">
      <c r="A4858" s="3"/>
      <c r="B4858" s="4"/>
      <c r="C4858" s="4"/>
      <c r="D4858" s="4"/>
      <c r="E4858" s="4"/>
      <c r="F4858" s="4"/>
      <c r="G4858" s="5"/>
      <c r="H4858" s="6"/>
      <c r="I4858" s="7"/>
      <c r="J4858" s="6"/>
      <c r="K4858" s="6"/>
      <c r="L4858" s="3"/>
      <c r="M4858" s="3" t="str">
        <f>IFERROR(__xludf.DUMMYFUNCTION("""COMPUTED_VALUE"""),"")</f>
        <v/>
      </c>
    </row>
    <row r="4859" ht="48.0" customHeight="1">
      <c r="A4859" s="3"/>
      <c r="B4859" s="4"/>
      <c r="C4859" s="4"/>
      <c r="D4859" s="4"/>
      <c r="E4859" s="4"/>
      <c r="F4859" s="4"/>
      <c r="G4859" s="5"/>
      <c r="H4859" s="6"/>
      <c r="I4859" s="7"/>
      <c r="J4859" s="6"/>
      <c r="K4859" s="6"/>
      <c r="L4859" s="3"/>
      <c r="M4859" s="3" t="str">
        <f>IFERROR(__xludf.DUMMYFUNCTION("""COMPUTED_VALUE"""),"")</f>
        <v/>
      </c>
    </row>
    <row r="4860" ht="48.0" customHeight="1">
      <c r="A4860" s="3"/>
      <c r="B4860" s="4"/>
      <c r="C4860" s="4"/>
      <c r="D4860" s="4"/>
      <c r="E4860" s="4"/>
      <c r="F4860" s="4"/>
      <c r="G4860" s="5"/>
      <c r="H4860" s="6"/>
      <c r="I4860" s="7"/>
      <c r="J4860" s="6"/>
      <c r="K4860" s="6"/>
      <c r="L4860" s="3"/>
      <c r="M4860" s="3" t="str">
        <f>IFERROR(__xludf.DUMMYFUNCTION("""COMPUTED_VALUE"""),"")</f>
        <v/>
      </c>
    </row>
    <row r="4861" ht="48.0" customHeight="1">
      <c r="A4861" s="3"/>
      <c r="B4861" s="4"/>
      <c r="C4861" s="4"/>
      <c r="D4861" s="4"/>
      <c r="E4861" s="4"/>
      <c r="F4861" s="4"/>
      <c r="G4861" s="5"/>
      <c r="H4861" s="6"/>
      <c r="I4861" s="7"/>
      <c r="J4861" s="6"/>
      <c r="K4861" s="6"/>
      <c r="L4861" s="3"/>
      <c r="M4861" s="3" t="str">
        <f>IFERROR(__xludf.DUMMYFUNCTION("""COMPUTED_VALUE"""),"")</f>
        <v/>
      </c>
    </row>
    <row r="4862" ht="48.0" customHeight="1">
      <c r="A4862" s="3"/>
      <c r="B4862" s="4"/>
      <c r="C4862" s="4"/>
      <c r="D4862" s="4"/>
      <c r="E4862" s="4"/>
      <c r="F4862" s="4"/>
      <c r="G4862" s="5"/>
      <c r="H4862" s="6"/>
      <c r="I4862" s="7"/>
      <c r="J4862" s="6"/>
      <c r="K4862" s="6"/>
      <c r="L4862" s="3"/>
      <c r="M4862" s="3" t="str">
        <f>IFERROR(__xludf.DUMMYFUNCTION("""COMPUTED_VALUE"""),"")</f>
        <v/>
      </c>
    </row>
    <row r="4863" ht="48.0" customHeight="1">
      <c r="A4863" s="3"/>
      <c r="B4863" s="4"/>
      <c r="C4863" s="4"/>
      <c r="D4863" s="4"/>
      <c r="E4863" s="4"/>
      <c r="F4863" s="4"/>
      <c r="G4863" s="5"/>
      <c r="H4863" s="6"/>
      <c r="I4863" s="7"/>
      <c r="J4863" s="6"/>
      <c r="K4863" s="6"/>
      <c r="L4863" s="3"/>
      <c r="M4863" s="3" t="str">
        <f>IFERROR(__xludf.DUMMYFUNCTION("""COMPUTED_VALUE"""),"")</f>
        <v/>
      </c>
    </row>
    <row r="4864" ht="48.0" customHeight="1">
      <c r="A4864" s="3"/>
      <c r="B4864" s="4"/>
      <c r="C4864" s="4"/>
      <c r="D4864" s="4"/>
      <c r="E4864" s="4"/>
      <c r="F4864" s="4"/>
      <c r="G4864" s="5"/>
      <c r="H4864" s="6"/>
      <c r="I4864" s="7"/>
      <c r="J4864" s="6"/>
      <c r="K4864" s="6"/>
      <c r="L4864" s="3"/>
      <c r="M4864" s="3" t="str">
        <f>IFERROR(__xludf.DUMMYFUNCTION("""COMPUTED_VALUE"""),"")</f>
        <v/>
      </c>
    </row>
    <row r="4865" ht="48.0" customHeight="1">
      <c r="A4865" s="3"/>
      <c r="B4865" s="4"/>
      <c r="C4865" s="4"/>
      <c r="D4865" s="4"/>
      <c r="E4865" s="4"/>
      <c r="F4865" s="4"/>
      <c r="G4865" s="5"/>
      <c r="H4865" s="6"/>
      <c r="I4865" s="7"/>
      <c r="J4865" s="6"/>
      <c r="K4865" s="6"/>
      <c r="L4865" s="3"/>
      <c r="M4865" s="3" t="str">
        <f>IFERROR(__xludf.DUMMYFUNCTION("""COMPUTED_VALUE"""),"")</f>
        <v/>
      </c>
    </row>
    <row r="4866" ht="48.0" customHeight="1">
      <c r="A4866" s="3"/>
      <c r="B4866" s="4"/>
      <c r="C4866" s="4"/>
      <c r="D4866" s="4"/>
      <c r="E4866" s="4"/>
      <c r="F4866" s="4"/>
      <c r="G4866" s="5"/>
      <c r="H4866" s="6"/>
      <c r="I4866" s="7"/>
      <c r="J4866" s="6"/>
      <c r="K4866" s="6"/>
      <c r="L4866" s="3"/>
      <c r="M4866" s="3" t="str">
        <f>IFERROR(__xludf.DUMMYFUNCTION("""COMPUTED_VALUE"""),"")</f>
        <v/>
      </c>
    </row>
    <row r="4867" ht="48.0" customHeight="1">
      <c r="A4867" s="3"/>
      <c r="B4867" s="4"/>
      <c r="C4867" s="4"/>
      <c r="D4867" s="4"/>
      <c r="E4867" s="4"/>
      <c r="F4867" s="4"/>
      <c r="G4867" s="5"/>
      <c r="H4867" s="6"/>
      <c r="I4867" s="7"/>
      <c r="J4867" s="6"/>
      <c r="K4867" s="6"/>
      <c r="L4867" s="3"/>
      <c r="M4867" s="3" t="str">
        <f>IFERROR(__xludf.DUMMYFUNCTION("""COMPUTED_VALUE"""),"")</f>
        <v/>
      </c>
    </row>
    <row r="4868" ht="48.0" customHeight="1">
      <c r="A4868" s="3"/>
      <c r="B4868" s="4"/>
      <c r="C4868" s="4"/>
      <c r="D4868" s="4"/>
      <c r="E4868" s="4"/>
      <c r="F4868" s="4"/>
      <c r="G4868" s="5"/>
      <c r="H4868" s="6"/>
      <c r="I4868" s="7"/>
      <c r="J4868" s="6"/>
      <c r="K4868" s="6"/>
      <c r="L4868" s="3"/>
      <c r="M4868" s="3" t="str">
        <f>IFERROR(__xludf.DUMMYFUNCTION("""COMPUTED_VALUE"""),"")</f>
        <v/>
      </c>
    </row>
    <row r="4869" ht="48.0" customHeight="1">
      <c r="A4869" s="3"/>
      <c r="B4869" s="4"/>
      <c r="C4869" s="4"/>
      <c r="D4869" s="4"/>
      <c r="E4869" s="4"/>
      <c r="F4869" s="4"/>
      <c r="G4869" s="5"/>
      <c r="H4869" s="6"/>
      <c r="I4869" s="7"/>
      <c r="J4869" s="6"/>
      <c r="K4869" s="6"/>
      <c r="L4869" s="3"/>
      <c r="M4869" s="3" t="str">
        <f>IFERROR(__xludf.DUMMYFUNCTION("""COMPUTED_VALUE"""),"")</f>
        <v/>
      </c>
    </row>
    <row r="4870" ht="48.0" customHeight="1">
      <c r="A4870" s="3"/>
      <c r="B4870" s="4"/>
      <c r="C4870" s="4"/>
      <c r="D4870" s="4"/>
      <c r="E4870" s="4"/>
      <c r="F4870" s="4"/>
      <c r="G4870" s="5"/>
      <c r="H4870" s="6"/>
      <c r="I4870" s="7"/>
      <c r="J4870" s="6"/>
      <c r="K4870" s="6"/>
      <c r="L4870" s="3"/>
      <c r="M4870" s="3" t="str">
        <f>IFERROR(__xludf.DUMMYFUNCTION("""COMPUTED_VALUE"""),"")</f>
        <v/>
      </c>
    </row>
    <row r="4871" ht="48.0" customHeight="1">
      <c r="A4871" s="3"/>
      <c r="B4871" s="4"/>
      <c r="C4871" s="4"/>
      <c r="D4871" s="4"/>
      <c r="E4871" s="4"/>
      <c r="F4871" s="4"/>
      <c r="G4871" s="5"/>
      <c r="H4871" s="6"/>
      <c r="I4871" s="7"/>
      <c r="J4871" s="6"/>
      <c r="K4871" s="6"/>
      <c r="L4871" s="3"/>
      <c r="M4871" s="3" t="str">
        <f>IFERROR(__xludf.DUMMYFUNCTION("""COMPUTED_VALUE"""),"")</f>
        <v/>
      </c>
    </row>
    <row r="4872" ht="48.0" customHeight="1">
      <c r="A4872" s="3"/>
      <c r="B4872" s="4"/>
      <c r="C4872" s="4"/>
      <c r="D4872" s="4"/>
      <c r="E4872" s="4"/>
      <c r="F4872" s="4"/>
      <c r="G4872" s="5"/>
      <c r="H4872" s="6"/>
      <c r="I4872" s="7"/>
      <c r="J4872" s="6"/>
      <c r="K4872" s="6"/>
      <c r="L4872" s="3"/>
      <c r="M4872" s="3" t="str">
        <f>IFERROR(__xludf.DUMMYFUNCTION("""COMPUTED_VALUE"""),"")</f>
        <v/>
      </c>
    </row>
    <row r="4873" ht="48.0" customHeight="1">
      <c r="A4873" s="3"/>
      <c r="B4873" s="4"/>
      <c r="C4873" s="4"/>
      <c r="D4873" s="4"/>
      <c r="E4873" s="4"/>
      <c r="F4873" s="4"/>
      <c r="G4873" s="5"/>
      <c r="H4873" s="6"/>
      <c r="I4873" s="7"/>
      <c r="J4873" s="6"/>
      <c r="K4873" s="6"/>
      <c r="L4873" s="3"/>
      <c r="M4873" s="3" t="str">
        <f>IFERROR(__xludf.DUMMYFUNCTION("""COMPUTED_VALUE"""),"")</f>
        <v/>
      </c>
    </row>
    <row r="4874" ht="48.0" customHeight="1">
      <c r="A4874" s="3"/>
      <c r="B4874" s="4"/>
      <c r="C4874" s="4"/>
      <c r="D4874" s="4"/>
      <c r="E4874" s="4"/>
      <c r="F4874" s="4"/>
      <c r="G4874" s="5"/>
      <c r="H4874" s="6"/>
      <c r="I4874" s="7"/>
      <c r="J4874" s="6"/>
      <c r="K4874" s="6"/>
      <c r="L4874" s="3"/>
      <c r="M4874" s="3" t="str">
        <f>IFERROR(__xludf.DUMMYFUNCTION("""COMPUTED_VALUE"""),"")</f>
        <v/>
      </c>
    </row>
    <row r="4875" ht="48.0" customHeight="1">
      <c r="A4875" s="3"/>
      <c r="B4875" s="4"/>
      <c r="C4875" s="4"/>
      <c r="D4875" s="4"/>
      <c r="E4875" s="4"/>
      <c r="F4875" s="4"/>
      <c r="G4875" s="5"/>
      <c r="H4875" s="6"/>
      <c r="I4875" s="7"/>
      <c r="J4875" s="6"/>
      <c r="K4875" s="6"/>
      <c r="L4875" s="3"/>
      <c r="M4875" s="3" t="str">
        <f>IFERROR(__xludf.DUMMYFUNCTION("""COMPUTED_VALUE"""),"")</f>
        <v/>
      </c>
    </row>
    <row r="4876" ht="48.0" customHeight="1">
      <c r="A4876" s="3"/>
      <c r="B4876" s="4"/>
      <c r="C4876" s="4"/>
      <c r="D4876" s="4"/>
      <c r="E4876" s="4"/>
      <c r="F4876" s="4"/>
      <c r="G4876" s="5"/>
      <c r="H4876" s="6"/>
      <c r="I4876" s="7"/>
      <c r="J4876" s="6"/>
      <c r="K4876" s="6"/>
      <c r="L4876" s="3"/>
      <c r="M4876" s="3" t="str">
        <f>IFERROR(__xludf.DUMMYFUNCTION("""COMPUTED_VALUE"""),"")</f>
        <v/>
      </c>
    </row>
    <row r="4877" ht="48.0" customHeight="1">
      <c r="A4877" s="3"/>
      <c r="B4877" s="4"/>
      <c r="C4877" s="4"/>
      <c r="D4877" s="4"/>
      <c r="E4877" s="4"/>
      <c r="F4877" s="4"/>
      <c r="G4877" s="5"/>
      <c r="H4877" s="6"/>
      <c r="I4877" s="7"/>
      <c r="J4877" s="6"/>
      <c r="K4877" s="6"/>
      <c r="L4877" s="3"/>
      <c r="M4877" s="3" t="str">
        <f>IFERROR(__xludf.DUMMYFUNCTION("""COMPUTED_VALUE"""),"")</f>
        <v/>
      </c>
    </row>
    <row r="4878" ht="48.0" customHeight="1">
      <c r="A4878" s="3"/>
      <c r="B4878" s="4"/>
      <c r="C4878" s="4"/>
      <c r="D4878" s="4"/>
      <c r="E4878" s="4"/>
      <c r="F4878" s="4"/>
      <c r="G4878" s="5"/>
      <c r="H4878" s="6"/>
      <c r="I4878" s="7"/>
      <c r="J4878" s="6"/>
      <c r="K4878" s="6"/>
      <c r="L4878" s="3"/>
      <c r="M4878" s="3" t="str">
        <f>IFERROR(__xludf.DUMMYFUNCTION("""COMPUTED_VALUE"""),"")</f>
        <v/>
      </c>
    </row>
    <row r="4879" ht="48.0" customHeight="1">
      <c r="A4879" s="3"/>
      <c r="B4879" s="4"/>
      <c r="C4879" s="4"/>
      <c r="D4879" s="4"/>
      <c r="E4879" s="4"/>
      <c r="F4879" s="4"/>
      <c r="G4879" s="5"/>
      <c r="H4879" s="6"/>
      <c r="I4879" s="7"/>
      <c r="J4879" s="6"/>
      <c r="K4879" s="6"/>
      <c r="L4879" s="3"/>
      <c r="M4879" s="3" t="str">
        <f>IFERROR(__xludf.DUMMYFUNCTION("""COMPUTED_VALUE"""),"")</f>
        <v/>
      </c>
    </row>
    <row r="4880" ht="48.0" customHeight="1">
      <c r="A4880" s="3"/>
      <c r="B4880" s="4"/>
      <c r="C4880" s="4"/>
      <c r="D4880" s="4"/>
      <c r="E4880" s="4"/>
      <c r="F4880" s="4"/>
      <c r="G4880" s="5"/>
      <c r="H4880" s="6"/>
      <c r="I4880" s="7"/>
      <c r="J4880" s="6"/>
      <c r="K4880" s="6"/>
      <c r="L4880" s="3"/>
      <c r="M4880" s="3" t="str">
        <f>IFERROR(__xludf.DUMMYFUNCTION("""COMPUTED_VALUE"""),"")</f>
        <v/>
      </c>
    </row>
    <row r="4881" ht="48.0" customHeight="1">
      <c r="A4881" s="3"/>
      <c r="B4881" s="4"/>
      <c r="C4881" s="4"/>
      <c r="D4881" s="4"/>
      <c r="E4881" s="4"/>
      <c r="F4881" s="4"/>
      <c r="G4881" s="5"/>
      <c r="H4881" s="6"/>
      <c r="I4881" s="7"/>
      <c r="J4881" s="6"/>
      <c r="K4881" s="6"/>
      <c r="L4881" s="3"/>
      <c r="M4881" s="3" t="str">
        <f>IFERROR(__xludf.DUMMYFUNCTION("""COMPUTED_VALUE"""),"")</f>
        <v/>
      </c>
    </row>
    <row r="4882" ht="48.0" customHeight="1">
      <c r="A4882" s="3"/>
      <c r="B4882" s="4"/>
      <c r="C4882" s="4"/>
      <c r="D4882" s="4"/>
      <c r="E4882" s="4"/>
      <c r="F4882" s="4"/>
      <c r="G4882" s="5"/>
      <c r="H4882" s="6"/>
      <c r="I4882" s="7"/>
      <c r="J4882" s="6"/>
      <c r="K4882" s="6"/>
      <c r="L4882" s="3"/>
      <c r="M4882" s="3" t="str">
        <f>IFERROR(__xludf.DUMMYFUNCTION("""COMPUTED_VALUE"""),"")</f>
        <v/>
      </c>
    </row>
    <row r="4883" ht="48.0" customHeight="1">
      <c r="A4883" s="3"/>
      <c r="B4883" s="4"/>
      <c r="C4883" s="4"/>
      <c r="D4883" s="4"/>
      <c r="E4883" s="4"/>
      <c r="F4883" s="4"/>
      <c r="G4883" s="5"/>
      <c r="H4883" s="6"/>
      <c r="I4883" s="7"/>
      <c r="J4883" s="6"/>
      <c r="K4883" s="6"/>
      <c r="L4883" s="3"/>
      <c r="M4883" s="3" t="str">
        <f>IFERROR(__xludf.DUMMYFUNCTION("""COMPUTED_VALUE"""),"")</f>
        <v/>
      </c>
    </row>
    <row r="4884" ht="48.0" customHeight="1">
      <c r="A4884" s="3"/>
      <c r="B4884" s="4"/>
      <c r="C4884" s="4"/>
      <c r="D4884" s="4"/>
      <c r="E4884" s="4"/>
      <c r="F4884" s="4"/>
      <c r="G4884" s="5"/>
      <c r="H4884" s="6"/>
      <c r="I4884" s="7"/>
      <c r="J4884" s="6"/>
      <c r="K4884" s="6"/>
      <c r="L4884" s="3"/>
      <c r="M4884" s="3" t="str">
        <f>IFERROR(__xludf.DUMMYFUNCTION("""COMPUTED_VALUE"""),"")</f>
        <v/>
      </c>
    </row>
    <row r="4885" ht="48.0" customHeight="1">
      <c r="A4885" s="3"/>
      <c r="B4885" s="4"/>
      <c r="C4885" s="4"/>
      <c r="D4885" s="4"/>
      <c r="E4885" s="4"/>
      <c r="F4885" s="4"/>
      <c r="G4885" s="5"/>
      <c r="H4885" s="6"/>
      <c r="I4885" s="7"/>
      <c r="J4885" s="6"/>
      <c r="K4885" s="6"/>
      <c r="L4885" s="3"/>
      <c r="M4885" s="3" t="str">
        <f>IFERROR(__xludf.DUMMYFUNCTION("""COMPUTED_VALUE"""),"")</f>
        <v/>
      </c>
    </row>
    <row r="4886" ht="48.0" customHeight="1">
      <c r="A4886" s="3"/>
      <c r="B4886" s="4"/>
      <c r="C4886" s="4"/>
      <c r="D4886" s="4"/>
      <c r="E4886" s="4"/>
      <c r="F4886" s="4"/>
      <c r="G4886" s="5"/>
      <c r="H4886" s="6"/>
      <c r="I4886" s="7"/>
      <c r="J4886" s="6"/>
      <c r="K4886" s="6"/>
      <c r="L4886" s="3"/>
      <c r="M4886" s="3" t="str">
        <f>IFERROR(__xludf.DUMMYFUNCTION("""COMPUTED_VALUE"""),"")</f>
        <v/>
      </c>
    </row>
    <row r="4887" ht="48.0" customHeight="1">
      <c r="A4887" s="3"/>
      <c r="B4887" s="4"/>
      <c r="C4887" s="4"/>
      <c r="D4887" s="4"/>
      <c r="E4887" s="4"/>
      <c r="F4887" s="4"/>
      <c r="G4887" s="5"/>
      <c r="H4887" s="6"/>
      <c r="I4887" s="7"/>
      <c r="J4887" s="6"/>
      <c r="K4887" s="6"/>
      <c r="L4887" s="3"/>
      <c r="M4887" s="3" t="str">
        <f>IFERROR(__xludf.DUMMYFUNCTION("""COMPUTED_VALUE"""),"")</f>
        <v/>
      </c>
    </row>
    <row r="4888" ht="48.0" customHeight="1">
      <c r="A4888" s="3"/>
      <c r="B4888" s="4"/>
      <c r="C4888" s="4"/>
      <c r="D4888" s="4"/>
      <c r="E4888" s="4"/>
      <c r="F4888" s="4"/>
      <c r="G4888" s="5"/>
      <c r="H4888" s="6"/>
      <c r="I4888" s="7"/>
      <c r="J4888" s="6"/>
      <c r="K4888" s="6"/>
      <c r="L4888" s="3"/>
      <c r="M4888" s="3" t="str">
        <f>IFERROR(__xludf.DUMMYFUNCTION("""COMPUTED_VALUE"""),"")</f>
        <v/>
      </c>
    </row>
    <row r="4889" ht="48.0" customHeight="1">
      <c r="A4889" s="3"/>
      <c r="B4889" s="4"/>
      <c r="C4889" s="4"/>
      <c r="D4889" s="4"/>
      <c r="E4889" s="4"/>
      <c r="F4889" s="4"/>
      <c r="G4889" s="5"/>
      <c r="H4889" s="6"/>
      <c r="I4889" s="7"/>
      <c r="J4889" s="6"/>
      <c r="K4889" s="6"/>
      <c r="L4889" s="3"/>
      <c r="M4889" s="3" t="str">
        <f>IFERROR(__xludf.DUMMYFUNCTION("""COMPUTED_VALUE"""),"")</f>
        <v/>
      </c>
    </row>
    <row r="4890" ht="48.0" customHeight="1">
      <c r="A4890" s="3"/>
      <c r="B4890" s="4"/>
      <c r="C4890" s="4"/>
      <c r="D4890" s="4"/>
      <c r="E4890" s="4"/>
      <c r="F4890" s="4"/>
      <c r="G4890" s="5"/>
      <c r="H4890" s="6"/>
      <c r="I4890" s="7"/>
      <c r="J4890" s="6"/>
      <c r="K4890" s="6"/>
      <c r="L4890" s="3"/>
      <c r="M4890" s="3" t="str">
        <f>IFERROR(__xludf.DUMMYFUNCTION("""COMPUTED_VALUE"""),"")</f>
        <v/>
      </c>
    </row>
    <row r="4891" ht="48.0" customHeight="1">
      <c r="A4891" s="3"/>
      <c r="B4891" s="4"/>
      <c r="C4891" s="4"/>
      <c r="D4891" s="4"/>
      <c r="E4891" s="4"/>
      <c r="F4891" s="4"/>
      <c r="G4891" s="5"/>
      <c r="H4891" s="6"/>
      <c r="I4891" s="7"/>
      <c r="J4891" s="6"/>
      <c r="K4891" s="6"/>
      <c r="L4891" s="3"/>
      <c r="M4891" s="3" t="str">
        <f>IFERROR(__xludf.DUMMYFUNCTION("""COMPUTED_VALUE"""),"")</f>
        <v/>
      </c>
    </row>
    <row r="4892" ht="48.0" customHeight="1">
      <c r="A4892" s="3"/>
      <c r="B4892" s="4"/>
      <c r="C4892" s="4"/>
      <c r="D4892" s="4"/>
      <c r="E4892" s="4"/>
      <c r="F4892" s="4"/>
      <c r="G4892" s="5"/>
      <c r="H4892" s="6"/>
      <c r="I4892" s="7"/>
      <c r="J4892" s="6"/>
      <c r="K4892" s="6"/>
      <c r="L4892" s="3"/>
      <c r="M4892" s="3" t="str">
        <f>IFERROR(__xludf.DUMMYFUNCTION("""COMPUTED_VALUE"""),"")</f>
        <v/>
      </c>
    </row>
    <row r="4893" ht="48.0" customHeight="1">
      <c r="A4893" s="3"/>
      <c r="B4893" s="4"/>
      <c r="C4893" s="4"/>
      <c r="D4893" s="4"/>
      <c r="E4893" s="4"/>
      <c r="F4893" s="4"/>
      <c r="G4893" s="5"/>
      <c r="H4893" s="6"/>
      <c r="I4893" s="7"/>
      <c r="J4893" s="6"/>
      <c r="K4893" s="6"/>
      <c r="L4893" s="3"/>
      <c r="M4893" s="3" t="str">
        <f>IFERROR(__xludf.DUMMYFUNCTION("""COMPUTED_VALUE"""),"")</f>
        <v/>
      </c>
    </row>
    <row r="4894" ht="48.0" customHeight="1">
      <c r="A4894" s="3"/>
      <c r="B4894" s="4"/>
      <c r="C4894" s="4"/>
      <c r="D4894" s="4"/>
      <c r="E4894" s="4"/>
      <c r="F4894" s="4"/>
      <c r="G4894" s="5"/>
      <c r="H4894" s="6"/>
      <c r="I4894" s="7"/>
      <c r="J4894" s="6"/>
      <c r="K4894" s="6"/>
      <c r="L4894" s="3"/>
      <c r="M4894" s="3" t="str">
        <f>IFERROR(__xludf.DUMMYFUNCTION("""COMPUTED_VALUE"""),"")</f>
        <v/>
      </c>
    </row>
    <row r="4895" ht="48.0" customHeight="1">
      <c r="A4895" s="3"/>
      <c r="B4895" s="4"/>
      <c r="C4895" s="4"/>
      <c r="D4895" s="4"/>
      <c r="E4895" s="4"/>
      <c r="F4895" s="4"/>
      <c r="G4895" s="5"/>
      <c r="H4895" s="6"/>
      <c r="I4895" s="7"/>
      <c r="J4895" s="6"/>
      <c r="K4895" s="6"/>
      <c r="L4895" s="3"/>
      <c r="M4895" s="3" t="str">
        <f>IFERROR(__xludf.DUMMYFUNCTION("""COMPUTED_VALUE"""),"")</f>
        <v/>
      </c>
    </row>
    <row r="4896" ht="48.0" customHeight="1">
      <c r="A4896" s="3"/>
      <c r="B4896" s="4"/>
      <c r="C4896" s="4"/>
      <c r="D4896" s="4"/>
      <c r="E4896" s="4"/>
      <c r="F4896" s="4"/>
      <c r="G4896" s="5"/>
      <c r="H4896" s="6"/>
      <c r="I4896" s="7"/>
      <c r="J4896" s="6"/>
      <c r="K4896" s="6"/>
      <c r="L4896" s="3"/>
      <c r="M4896" s="3" t="str">
        <f>IFERROR(__xludf.DUMMYFUNCTION("""COMPUTED_VALUE"""),"")</f>
        <v/>
      </c>
    </row>
    <row r="4897" ht="48.0" customHeight="1">
      <c r="A4897" s="3"/>
      <c r="B4897" s="4"/>
      <c r="C4897" s="4"/>
      <c r="D4897" s="4"/>
      <c r="E4897" s="4"/>
      <c r="F4897" s="4"/>
      <c r="G4897" s="5"/>
      <c r="H4897" s="6"/>
      <c r="I4897" s="7"/>
      <c r="J4897" s="6"/>
      <c r="K4897" s="6"/>
      <c r="L4897" s="3"/>
      <c r="M4897" s="3" t="str">
        <f>IFERROR(__xludf.DUMMYFUNCTION("""COMPUTED_VALUE"""),"")</f>
        <v/>
      </c>
    </row>
    <row r="4898" ht="48.0" customHeight="1">
      <c r="A4898" s="3"/>
      <c r="B4898" s="4"/>
      <c r="C4898" s="4"/>
      <c r="D4898" s="4"/>
      <c r="E4898" s="4"/>
      <c r="F4898" s="4"/>
      <c r="G4898" s="5"/>
      <c r="H4898" s="6"/>
      <c r="I4898" s="7"/>
      <c r="J4898" s="6"/>
      <c r="K4898" s="6"/>
      <c r="L4898" s="3"/>
      <c r="M4898" s="3" t="str">
        <f>IFERROR(__xludf.DUMMYFUNCTION("""COMPUTED_VALUE"""),"")</f>
        <v/>
      </c>
    </row>
    <row r="4899" ht="48.0" customHeight="1">
      <c r="A4899" s="3"/>
      <c r="B4899" s="4"/>
      <c r="C4899" s="4"/>
      <c r="D4899" s="4"/>
      <c r="E4899" s="4"/>
      <c r="F4899" s="4"/>
      <c r="G4899" s="5"/>
      <c r="H4899" s="6"/>
      <c r="I4899" s="7"/>
      <c r="J4899" s="6"/>
      <c r="K4899" s="6"/>
      <c r="L4899" s="3"/>
      <c r="M4899" s="3" t="str">
        <f>IFERROR(__xludf.DUMMYFUNCTION("""COMPUTED_VALUE"""),"")</f>
        <v/>
      </c>
    </row>
    <row r="4900" ht="48.0" customHeight="1">
      <c r="A4900" s="3"/>
      <c r="B4900" s="4"/>
      <c r="C4900" s="4"/>
      <c r="D4900" s="4"/>
      <c r="E4900" s="4"/>
      <c r="F4900" s="4"/>
      <c r="G4900" s="5"/>
      <c r="H4900" s="6"/>
      <c r="I4900" s="7"/>
      <c r="J4900" s="6"/>
      <c r="K4900" s="6"/>
      <c r="L4900" s="3"/>
      <c r="M4900" s="3" t="str">
        <f>IFERROR(__xludf.DUMMYFUNCTION("""COMPUTED_VALUE"""),"")</f>
        <v/>
      </c>
    </row>
    <row r="4901" ht="48.0" customHeight="1">
      <c r="A4901" s="3"/>
      <c r="B4901" s="4"/>
      <c r="C4901" s="4"/>
      <c r="D4901" s="4"/>
      <c r="E4901" s="4"/>
      <c r="F4901" s="4"/>
      <c r="G4901" s="5"/>
      <c r="H4901" s="6"/>
      <c r="I4901" s="7"/>
      <c r="J4901" s="6"/>
      <c r="K4901" s="6"/>
      <c r="L4901" s="3"/>
      <c r="M4901" s="3" t="str">
        <f>IFERROR(__xludf.DUMMYFUNCTION("""COMPUTED_VALUE"""),"")</f>
        <v/>
      </c>
    </row>
    <row r="4902" ht="48.0" customHeight="1">
      <c r="A4902" s="3"/>
      <c r="B4902" s="4"/>
      <c r="C4902" s="4"/>
      <c r="D4902" s="4"/>
      <c r="E4902" s="4"/>
      <c r="F4902" s="4"/>
      <c r="G4902" s="5"/>
      <c r="H4902" s="6"/>
      <c r="I4902" s="7"/>
      <c r="J4902" s="6"/>
      <c r="K4902" s="6"/>
      <c r="L4902" s="3"/>
      <c r="M4902" s="3" t="str">
        <f>IFERROR(__xludf.DUMMYFUNCTION("""COMPUTED_VALUE"""),"")</f>
        <v/>
      </c>
    </row>
    <row r="4903" ht="48.0" customHeight="1">
      <c r="A4903" s="3"/>
      <c r="B4903" s="4"/>
      <c r="C4903" s="4"/>
      <c r="D4903" s="4"/>
      <c r="E4903" s="4"/>
      <c r="F4903" s="4"/>
      <c r="G4903" s="5"/>
      <c r="H4903" s="6"/>
      <c r="I4903" s="7"/>
      <c r="J4903" s="6"/>
      <c r="K4903" s="6"/>
      <c r="L4903" s="3"/>
      <c r="M4903" s="3" t="str">
        <f>IFERROR(__xludf.DUMMYFUNCTION("""COMPUTED_VALUE"""),"")</f>
        <v/>
      </c>
    </row>
    <row r="4904" ht="48.0" customHeight="1">
      <c r="A4904" s="3"/>
      <c r="B4904" s="4"/>
      <c r="C4904" s="4"/>
      <c r="D4904" s="4"/>
      <c r="E4904" s="4"/>
      <c r="F4904" s="4"/>
      <c r="G4904" s="5"/>
      <c r="H4904" s="6"/>
      <c r="I4904" s="7"/>
      <c r="J4904" s="6"/>
      <c r="K4904" s="6"/>
      <c r="L4904" s="3"/>
      <c r="M4904" s="3" t="str">
        <f>IFERROR(__xludf.DUMMYFUNCTION("""COMPUTED_VALUE"""),"")</f>
        <v/>
      </c>
    </row>
    <row r="4905" ht="48.0" customHeight="1">
      <c r="A4905" s="3"/>
      <c r="B4905" s="4"/>
      <c r="C4905" s="4"/>
      <c r="D4905" s="4"/>
      <c r="E4905" s="4"/>
      <c r="F4905" s="4"/>
      <c r="G4905" s="5"/>
      <c r="H4905" s="6"/>
      <c r="I4905" s="7"/>
      <c r="J4905" s="6"/>
      <c r="K4905" s="6"/>
      <c r="L4905" s="3"/>
      <c r="M4905" s="3" t="str">
        <f>IFERROR(__xludf.DUMMYFUNCTION("""COMPUTED_VALUE"""),"")</f>
        <v/>
      </c>
    </row>
    <row r="4906" ht="48.0" customHeight="1">
      <c r="A4906" s="3"/>
      <c r="B4906" s="4"/>
      <c r="C4906" s="4"/>
      <c r="D4906" s="4"/>
      <c r="E4906" s="4"/>
      <c r="F4906" s="4"/>
      <c r="G4906" s="5"/>
      <c r="H4906" s="6"/>
      <c r="I4906" s="7"/>
      <c r="J4906" s="6"/>
      <c r="K4906" s="6"/>
      <c r="L4906" s="3"/>
      <c r="M4906" s="3" t="str">
        <f>IFERROR(__xludf.DUMMYFUNCTION("""COMPUTED_VALUE"""),"")</f>
        <v/>
      </c>
    </row>
    <row r="4907" ht="48.0" customHeight="1">
      <c r="A4907" s="3"/>
      <c r="B4907" s="4"/>
      <c r="C4907" s="4"/>
      <c r="D4907" s="4"/>
      <c r="E4907" s="4"/>
      <c r="F4907" s="4"/>
      <c r="G4907" s="5"/>
      <c r="H4907" s="6"/>
      <c r="I4907" s="7"/>
      <c r="J4907" s="6"/>
      <c r="K4907" s="6"/>
      <c r="L4907" s="3"/>
      <c r="M4907" s="3" t="str">
        <f>IFERROR(__xludf.DUMMYFUNCTION("""COMPUTED_VALUE"""),"")</f>
        <v/>
      </c>
    </row>
    <row r="4908" ht="48.0" customHeight="1">
      <c r="A4908" s="3"/>
      <c r="B4908" s="4"/>
      <c r="C4908" s="4"/>
      <c r="D4908" s="4"/>
      <c r="E4908" s="4"/>
      <c r="F4908" s="4"/>
      <c r="G4908" s="5"/>
      <c r="H4908" s="6"/>
      <c r="I4908" s="7"/>
      <c r="J4908" s="6"/>
      <c r="K4908" s="6"/>
      <c r="L4908" s="3"/>
      <c r="M4908" s="3" t="str">
        <f>IFERROR(__xludf.DUMMYFUNCTION("""COMPUTED_VALUE"""),"")</f>
        <v/>
      </c>
    </row>
    <row r="4909" ht="48.0" customHeight="1">
      <c r="A4909" s="3"/>
      <c r="B4909" s="4"/>
      <c r="C4909" s="4"/>
      <c r="D4909" s="4"/>
      <c r="E4909" s="4"/>
      <c r="F4909" s="4"/>
      <c r="G4909" s="5"/>
      <c r="H4909" s="6"/>
      <c r="I4909" s="7"/>
      <c r="J4909" s="6"/>
      <c r="K4909" s="6"/>
      <c r="L4909" s="3"/>
      <c r="M4909" s="3" t="str">
        <f>IFERROR(__xludf.DUMMYFUNCTION("""COMPUTED_VALUE"""),"")</f>
        <v/>
      </c>
    </row>
    <row r="4910" ht="48.0" customHeight="1">
      <c r="A4910" s="3"/>
      <c r="B4910" s="4"/>
      <c r="C4910" s="4"/>
      <c r="D4910" s="4"/>
      <c r="E4910" s="4"/>
      <c r="F4910" s="4"/>
      <c r="G4910" s="5"/>
      <c r="H4910" s="6"/>
      <c r="I4910" s="7"/>
      <c r="J4910" s="6"/>
      <c r="K4910" s="6"/>
      <c r="L4910" s="3"/>
      <c r="M4910" s="3" t="str">
        <f>IFERROR(__xludf.DUMMYFUNCTION("""COMPUTED_VALUE"""),"")</f>
        <v/>
      </c>
    </row>
    <row r="4911" ht="48.0" customHeight="1">
      <c r="A4911" s="3"/>
      <c r="B4911" s="4"/>
      <c r="C4911" s="4"/>
      <c r="D4911" s="4"/>
      <c r="E4911" s="4"/>
      <c r="F4911" s="4"/>
      <c r="G4911" s="5"/>
      <c r="H4911" s="6"/>
      <c r="I4911" s="7"/>
      <c r="J4911" s="6"/>
      <c r="K4911" s="6"/>
      <c r="L4911" s="3"/>
      <c r="M4911" s="3" t="str">
        <f>IFERROR(__xludf.DUMMYFUNCTION("""COMPUTED_VALUE"""),"")</f>
        <v/>
      </c>
    </row>
    <row r="4912" ht="48.0" customHeight="1">
      <c r="A4912" s="3"/>
      <c r="B4912" s="4"/>
      <c r="C4912" s="4"/>
      <c r="D4912" s="4"/>
      <c r="E4912" s="4"/>
      <c r="F4912" s="4"/>
      <c r="G4912" s="5"/>
      <c r="H4912" s="6"/>
      <c r="I4912" s="7"/>
      <c r="J4912" s="6"/>
      <c r="K4912" s="6"/>
      <c r="L4912" s="3"/>
      <c r="M4912" s="3" t="str">
        <f>IFERROR(__xludf.DUMMYFUNCTION("""COMPUTED_VALUE"""),"")</f>
        <v/>
      </c>
    </row>
    <row r="4913" ht="48.0" customHeight="1">
      <c r="A4913" s="3"/>
      <c r="B4913" s="4"/>
      <c r="C4913" s="4"/>
      <c r="D4913" s="4"/>
      <c r="E4913" s="4"/>
      <c r="F4913" s="4"/>
      <c r="G4913" s="5"/>
      <c r="H4913" s="6"/>
      <c r="I4913" s="7"/>
      <c r="J4913" s="6"/>
      <c r="K4913" s="6"/>
      <c r="L4913" s="3"/>
      <c r="M4913" s="3" t="str">
        <f>IFERROR(__xludf.DUMMYFUNCTION("""COMPUTED_VALUE"""),"")</f>
        <v/>
      </c>
    </row>
    <row r="4914" ht="48.0" customHeight="1">
      <c r="A4914" s="3"/>
      <c r="B4914" s="4"/>
      <c r="C4914" s="4"/>
      <c r="D4914" s="4"/>
      <c r="E4914" s="4"/>
      <c r="F4914" s="4"/>
      <c r="G4914" s="5"/>
      <c r="H4914" s="6"/>
      <c r="I4914" s="7"/>
      <c r="J4914" s="6"/>
      <c r="K4914" s="6"/>
      <c r="L4914" s="3"/>
      <c r="M4914" s="3" t="str">
        <f>IFERROR(__xludf.DUMMYFUNCTION("""COMPUTED_VALUE"""),"")</f>
        <v/>
      </c>
    </row>
    <row r="4915" ht="48.0" customHeight="1">
      <c r="A4915" s="3"/>
      <c r="B4915" s="4"/>
      <c r="C4915" s="4"/>
      <c r="D4915" s="4"/>
      <c r="E4915" s="4"/>
      <c r="F4915" s="4"/>
      <c r="G4915" s="5"/>
      <c r="H4915" s="6"/>
      <c r="I4915" s="7"/>
      <c r="J4915" s="6"/>
      <c r="K4915" s="6"/>
      <c r="L4915" s="3"/>
      <c r="M4915" s="3" t="str">
        <f>IFERROR(__xludf.DUMMYFUNCTION("""COMPUTED_VALUE"""),"")</f>
        <v/>
      </c>
    </row>
    <row r="4916" ht="48.0" customHeight="1">
      <c r="A4916" s="3"/>
      <c r="B4916" s="4"/>
      <c r="C4916" s="4"/>
      <c r="D4916" s="4"/>
      <c r="E4916" s="4"/>
      <c r="F4916" s="4"/>
      <c r="G4916" s="5"/>
      <c r="H4916" s="6"/>
      <c r="I4916" s="7"/>
      <c r="J4916" s="6"/>
      <c r="K4916" s="6"/>
      <c r="L4916" s="3"/>
      <c r="M4916" s="3" t="str">
        <f>IFERROR(__xludf.DUMMYFUNCTION("""COMPUTED_VALUE"""),"")</f>
        <v/>
      </c>
    </row>
    <row r="4917" ht="48.0" customHeight="1">
      <c r="A4917" s="3"/>
      <c r="B4917" s="4"/>
      <c r="C4917" s="4"/>
      <c r="D4917" s="4"/>
      <c r="E4917" s="4"/>
      <c r="F4917" s="4"/>
      <c r="G4917" s="5"/>
      <c r="H4917" s="6"/>
      <c r="I4917" s="7"/>
      <c r="J4917" s="6"/>
      <c r="K4917" s="6"/>
      <c r="L4917" s="3"/>
      <c r="M4917" s="3" t="str">
        <f>IFERROR(__xludf.DUMMYFUNCTION("""COMPUTED_VALUE"""),"")</f>
        <v/>
      </c>
    </row>
    <row r="4918" ht="48.0" customHeight="1">
      <c r="A4918" s="3"/>
      <c r="B4918" s="4"/>
      <c r="C4918" s="4"/>
      <c r="D4918" s="4"/>
      <c r="E4918" s="4"/>
      <c r="F4918" s="4"/>
      <c r="G4918" s="5"/>
      <c r="H4918" s="6"/>
      <c r="I4918" s="7"/>
      <c r="J4918" s="6"/>
      <c r="K4918" s="6"/>
      <c r="L4918" s="3"/>
      <c r="M4918" s="3" t="str">
        <f>IFERROR(__xludf.DUMMYFUNCTION("""COMPUTED_VALUE"""),"")</f>
        <v/>
      </c>
    </row>
    <row r="4919" ht="48.0" customHeight="1">
      <c r="A4919" s="3"/>
      <c r="B4919" s="4"/>
      <c r="C4919" s="4"/>
      <c r="D4919" s="4"/>
      <c r="E4919" s="4"/>
      <c r="F4919" s="4"/>
      <c r="G4919" s="5"/>
      <c r="H4919" s="6"/>
      <c r="I4919" s="7"/>
      <c r="J4919" s="6"/>
      <c r="K4919" s="6"/>
      <c r="L4919" s="3"/>
      <c r="M4919" s="3" t="str">
        <f>IFERROR(__xludf.DUMMYFUNCTION("""COMPUTED_VALUE"""),"")</f>
        <v/>
      </c>
    </row>
    <row r="4920" ht="48.0" customHeight="1">
      <c r="A4920" s="3"/>
      <c r="B4920" s="4"/>
      <c r="C4920" s="4"/>
      <c r="D4920" s="4"/>
      <c r="E4920" s="4"/>
      <c r="F4920" s="4"/>
      <c r="G4920" s="5"/>
      <c r="H4920" s="6"/>
      <c r="I4920" s="7"/>
      <c r="J4920" s="6"/>
      <c r="K4920" s="6"/>
      <c r="L4920" s="3"/>
      <c r="M4920" s="3" t="str">
        <f>IFERROR(__xludf.DUMMYFUNCTION("""COMPUTED_VALUE"""),"")</f>
        <v/>
      </c>
    </row>
    <row r="4921" ht="48.0" customHeight="1">
      <c r="A4921" s="3"/>
      <c r="B4921" s="4"/>
      <c r="C4921" s="4"/>
      <c r="D4921" s="4"/>
      <c r="E4921" s="4"/>
      <c r="F4921" s="4"/>
      <c r="G4921" s="5"/>
      <c r="H4921" s="6"/>
      <c r="I4921" s="7"/>
      <c r="J4921" s="6"/>
      <c r="K4921" s="6"/>
      <c r="L4921" s="3"/>
      <c r="M4921" s="3" t="str">
        <f>IFERROR(__xludf.DUMMYFUNCTION("""COMPUTED_VALUE"""),"")</f>
        <v/>
      </c>
    </row>
    <row r="4922" ht="48.0" customHeight="1">
      <c r="A4922" s="3"/>
      <c r="B4922" s="4"/>
      <c r="C4922" s="4"/>
      <c r="D4922" s="4"/>
      <c r="E4922" s="4"/>
      <c r="F4922" s="4"/>
      <c r="G4922" s="5"/>
      <c r="H4922" s="6"/>
      <c r="I4922" s="7"/>
      <c r="J4922" s="6"/>
      <c r="K4922" s="6"/>
      <c r="L4922" s="3"/>
      <c r="M4922" s="3" t="str">
        <f>IFERROR(__xludf.DUMMYFUNCTION("""COMPUTED_VALUE"""),"")</f>
        <v/>
      </c>
    </row>
    <row r="4923" ht="48.0" customHeight="1">
      <c r="A4923" s="3"/>
      <c r="B4923" s="4"/>
      <c r="C4923" s="4"/>
      <c r="D4923" s="4"/>
      <c r="E4923" s="4"/>
      <c r="F4923" s="4"/>
      <c r="G4923" s="5"/>
      <c r="H4923" s="6"/>
      <c r="I4923" s="7"/>
      <c r="J4923" s="6"/>
      <c r="K4923" s="6"/>
      <c r="L4923" s="3"/>
      <c r="M4923" s="3" t="str">
        <f>IFERROR(__xludf.DUMMYFUNCTION("""COMPUTED_VALUE"""),"")</f>
        <v/>
      </c>
    </row>
    <row r="4924" ht="48.0" customHeight="1">
      <c r="A4924" s="3"/>
      <c r="B4924" s="4"/>
      <c r="C4924" s="4"/>
      <c r="D4924" s="4"/>
      <c r="E4924" s="4"/>
      <c r="F4924" s="4"/>
      <c r="G4924" s="5"/>
      <c r="H4924" s="6"/>
      <c r="I4924" s="7"/>
      <c r="J4924" s="6"/>
      <c r="K4924" s="6"/>
      <c r="L4924" s="3"/>
      <c r="M4924" s="3" t="str">
        <f>IFERROR(__xludf.DUMMYFUNCTION("""COMPUTED_VALUE"""),"")</f>
        <v/>
      </c>
    </row>
    <row r="4925" ht="48.0" customHeight="1">
      <c r="A4925" s="3"/>
      <c r="B4925" s="4"/>
      <c r="C4925" s="4"/>
      <c r="D4925" s="4"/>
      <c r="E4925" s="4"/>
      <c r="F4925" s="4"/>
      <c r="G4925" s="5"/>
      <c r="H4925" s="6"/>
      <c r="I4925" s="7"/>
      <c r="J4925" s="6"/>
      <c r="K4925" s="6"/>
      <c r="L4925" s="3"/>
      <c r="M4925" s="3" t="str">
        <f>IFERROR(__xludf.DUMMYFUNCTION("""COMPUTED_VALUE"""),"")</f>
        <v/>
      </c>
    </row>
    <row r="4926" ht="48.0" customHeight="1">
      <c r="A4926" s="3"/>
      <c r="B4926" s="4"/>
      <c r="C4926" s="4"/>
      <c r="D4926" s="4"/>
      <c r="E4926" s="4"/>
      <c r="F4926" s="4"/>
      <c r="G4926" s="5"/>
      <c r="H4926" s="6"/>
      <c r="I4926" s="7"/>
      <c r="J4926" s="6"/>
      <c r="K4926" s="6"/>
      <c r="L4926" s="3"/>
      <c r="M4926" s="3" t="str">
        <f>IFERROR(__xludf.DUMMYFUNCTION("""COMPUTED_VALUE"""),"")</f>
        <v/>
      </c>
    </row>
    <row r="4927" ht="48.0" customHeight="1">
      <c r="A4927" s="3"/>
      <c r="B4927" s="4"/>
      <c r="C4927" s="4"/>
      <c r="D4927" s="4"/>
      <c r="E4927" s="4"/>
      <c r="F4927" s="4"/>
      <c r="G4927" s="5"/>
      <c r="H4927" s="6"/>
      <c r="I4927" s="7"/>
      <c r="J4927" s="6"/>
      <c r="K4927" s="6"/>
      <c r="L4927" s="3"/>
      <c r="M4927" s="3" t="str">
        <f>IFERROR(__xludf.DUMMYFUNCTION("""COMPUTED_VALUE"""),"")</f>
        <v/>
      </c>
    </row>
    <row r="4928" ht="48.0" customHeight="1">
      <c r="A4928" s="3"/>
      <c r="B4928" s="4"/>
      <c r="C4928" s="4"/>
      <c r="D4928" s="4"/>
      <c r="E4928" s="4"/>
      <c r="F4928" s="4"/>
      <c r="G4928" s="5"/>
      <c r="H4928" s="6"/>
      <c r="I4928" s="7"/>
      <c r="J4928" s="6"/>
      <c r="K4928" s="6"/>
      <c r="L4928" s="3"/>
      <c r="M4928" s="3" t="str">
        <f>IFERROR(__xludf.DUMMYFUNCTION("""COMPUTED_VALUE"""),"")</f>
        <v/>
      </c>
    </row>
    <row r="4929" ht="48.0" customHeight="1">
      <c r="A4929" s="3"/>
      <c r="B4929" s="4"/>
      <c r="C4929" s="4"/>
      <c r="D4929" s="4"/>
      <c r="E4929" s="4"/>
      <c r="F4929" s="4"/>
      <c r="G4929" s="5"/>
      <c r="H4929" s="6"/>
      <c r="I4929" s="7"/>
      <c r="J4929" s="6"/>
      <c r="K4929" s="6"/>
      <c r="L4929" s="3"/>
      <c r="M4929" s="3" t="str">
        <f>IFERROR(__xludf.DUMMYFUNCTION("""COMPUTED_VALUE"""),"")</f>
        <v/>
      </c>
    </row>
    <row r="4930" ht="48.0" customHeight="1">
      <c r="A4930" s="3"/>
      <c r="B4930" s="4"/>
      <c r="C4930" s="4"/>
      <c r="D4930" s="4"/>
      <c r="E4930" s="4"/>
      <c r="F4930" s="4"/>
      <c r="G4930" s="5"/>
      <c r="H4930" s="6"/>
      <c r="I4930" s="7"/>
      <c r="J4930" s="6"/>
      <c r="K4930" s="6"/>
      <c r="L4930" s="3"/>
      <c r="M4930" s="3" t="str">
        <f>IFERROR(__xludf.DUMMYFUNCTION("""COMPUTED_VALUE"""),"")</f>
        <v/>
      </c>
    </row>
    <row r="4931" ht="48.0" customHeight="1">
      <c r="A4931" s="3"/>
      <c r="B4931" s="4"/>
      <c r="C4931" s="4"/>
      <c r="D4931" s="4"/>
      <c r="E4931" s="4"/>
      <c r="F4931" s="4"/>
      <c r="G4931" s="5"/>
      <c r="H4931" s="6"/>
      <c r="I4931" s="7"/>
      <c r="J4931" s="6"/>
      <c r="K4931" s="6"/>
      <c r="L4931" s="3"/>
      <c r="M4931" s="3" t="str">
        <f>IFERROR(__xludf.DUMMYFUNCTION("""COMPUTED_VALUE"""),"")</f>
        <v/>
      </c>
    </row>
    <row r="4932" ht="48.0" customHeight="1">
      <c r="A4932" s="3"/>
      <c r="B4932" s="4"/>
      <c r="C4932" s="4"/>
      <c r="D4932" s="4"/>
      <c r="E4932" s="4"/>
      <c r="F4932" s="4"/>
      <c r="G4932" s="5"/>
      <c r="H4932" s="6"/>
      <c r="I4932" s="7"/>
      <c r="J4932" s="6"/>
      <c r="K4932" s="6"/>
      <c r="L4932" s="3"/>
      <c r="M4932" s="3" t="str">
        <f>IFERROR(__xludf.DUMMYFUNCTION("""COMPUTED_VALUE"""),"")</f>
        <v/>
      </c>
    </row>
    <row r="4933" ht="48.0" customHeight="1">
      <c r="A4933" s="3"/>
      <c r="B4933" s="4"/>
      <c r="C4933" s="4"/>
      <c r="D4933" s="4"/>
      <c r="E4933" s="4"/>
      <c r="F4933" s="4"/>
      <c r="G4933" s="5"/>
      <c r="H4933" s="6"/>
      <c r="I4933" s="7"/>
      <c r="J4933" s="6"/>
      <c r="K4933" s="6"/>
      <c r="L4933" s="3"/>
      <c r="M4933" s="3" t="str">
        <f>IFERROR(__xludf.DUMMYFUNCTION("""COMPUTED_VALUE"""),"")</f>
        <v/>
      </c>
    </row>
    <row r="4934" ht="48.0" customHeight="1">
      <c r="A4934" s="3"/>
      <c r="B4934" s="4"/>
      <c r="C4934" s="4"/>
      <c r="D4934" s="4"/>
      <c r="E4934" s="4"/>
      <c r="F4934" s="4"/>
      <c r="G4934" s="5"/>
      <c r="H4934" s="6"/>
      <c r="I4934" s="7"/>
      <c r="J4934" s="6"/>
      <c r="K4934" s="6"/>
      <c r="L4934" s="3"/>
      <c r="M4934" s="3" t="str">
        <f>IFERROR(__xludf.DUMMYFUNCTION("""COMPUTED_VALUE"""),"")</f>
        <v/>
      </c>
    </row>
    <row r="4935" ht="48.0" customHeight="1">
      <c r="A4935" s="3"/>
      <c r="B4935" s="4"/>
      <c r="C4935" s="4"/>
      <c r="D4935" s="4"/>
      <c r="E4935" s="4"/>
      <c r="F4935" s="4"/>
      <c r="G4935" s="5"/>
      <c r="H4935" s="6"/>
      <c r="I4935" s="7"/>
      <c r="J4935" s="6"/>
      <c r="K4935" s="6"/>
      <c r="L4935" s="3"/>
      <c r="M4935" s="3" t="str">
        <f>IFERROR(__xludf.DUMMYFUNCTION("""COMPUTED_VALUE"""),"")</f>
        <v/>
      </c>
    </row>
    <row r="4936" ht="48.0" customHeight="1">
      <c r="A4936" s="3"/>
      <c r="B4936" s="4"/>
      <c r="C4936" s="4"/>
      <c r="D4936" s="4"/>
      <c r="E4936" s="4"/>
      <c r="F4936" s="4"/>
      <c r="G4936" s="5"/>
      <c r="H4936" s="6"/>
      <c r="I4936" s="7"/>
      <c r="J4936" s="6"/>
      <c r="K4936" s="6"/>
      <c r="L4936" s="3"/>
      <c r="M4936" s="3" t="str">
        <f>IFERROR(__xludf.DUMMYFUNCTION("""COMPUTED_VALUE"""),"")</f>
        <v/>
      </c>
    </row>
    <row r="4937" ht="48.0" customHeight="1">
      <c r="A4937" s="3"/>
      <c r="B4937" s="4"/>
      <c r="C4937" s="4"/>
      <c r="D4937" s="4"/>
      <c r="E4937" s="4"/>
      <c r="F4937" s="4"/>
      <c r="G4937" s="5"/>
      <c r="H4937" s="6"/>
      <c r="I4937" s="7"/>
      <c r="J4937" s="6"/>
      <c r="K4937" s="6"/>
      <c r="L4937" s="3"/>
      <c r="M4937" s="3" t="str">
        <f>IFERROR(__xludf.DUMMYFUNCTION("""COMPUTED_VALUE"""),"")</f>
        <v/>
      </c>
    </row>
    <row r="4938" ht="48.0" customHeight="1">
      <c r="A4938" s="3"/>
      <c r="B4938" s="4"/>
      <c r="C4938" s="4"/>
      <c r="D4938" s="4"/>
      <c r="E4938" s="4"/>
      <c r="F4938" s="4"/>
      <c r="G4938" s="5"/>
      <c r="H4938" s="6"/>
      <c r="I4938" s="7"/>
      <c r="J4938" s="6"/>
      <c r="K4938" s="6"/>
      <c r="L4938" s="3"/>
      <c r="M4938" s="3" t="str">
        <f>IFERROR(__xludf.DUMMYFUNCTION("""COMPUTED_VALUE"""),"")</f>
        <v/>
      </c>
    </row>
    <row r="4939" ht="48.0" customHeight="1">
      <c r="A4939" s="3"/>
      <c r="B4939" s="4"/>
      <c r="C4939" s="4"/>
      <c r="D4939" s="4"/>
      <c r="E4939" s="4"/>
      <c r="F4939" s="4"/>
      <c r="G4939" s="5"/>
      <c r="H4939" s="6"/>
      <c r="I4939" s="7"/>
      <c r="J4939" s="6"/>
      <c r="K4939" s="6"/>
      <c r="L4939" s="3"/>
      <c r="M4939" s="3" t="str">
        <f>IFERROR(__xludf.DUMMYFUNCTION("""COMPUTED_VALUE"""),"")</f>
        <v/>
      </c>
    </row>
    <row r="4940" ht="48.0" customHeight="1">
      <c r="A4940" s="3"/>
      <c r="B4940" s="4"/>
      <c r="C4940" s="4"/>
      <c r="D4940" s="4"/>
      <c r="E4940" s="4"/>
      <c r="F4940" s="4"/>
      <c r="G4940" s="5"/>
      <c r="H4940" s="6"/>
      <c r="I4940" s="7"/>
      <c r="J4940" s="6"/>
      <c r="K4940" s="6"/>
      <c r="L4940" s="3"/>
      <c r="M4940" s="3" t="str">
        <f>IFERROR(__xludf.DUMMYFUNCTION("""COMPUTED_VALUE"""),"")</f>
        <v/>
      </c>
    </row>
    <row r="4941" ht="48.0" customHeight="1">
      <c r="A4941" s="3"/>
      <c r="B4941" s="4"/>
      <c r="C4941" s="4"/>
      <c r="D4941" s="4"/>
      <c r="E4941" s="4"/>
      <c r="F4941" s="4"/>
      <c r="G4941" s="5"/>
      <c r="H4941" s="6"/>
      <c r="I4941" s="7"/>
      <c r="J4941" s="6"/>
      <c r="K4941" s="6"/>
      <c r="L4941" s="3"/>
      <c r="M4941" s="3" t="str">
        <f>IFERROR(__xludf.DUMMYFUNCTION("""COMPUTED_VALUE"""),"")</f>
        <v/>
      </c>
    </row>
    <row r="4942" ht="48.0" customHeight="1">
      <c r="A4942" s="3"/>
      <c r="B4942" s="4"/>
      <c r="C4942" s="4"/>
      <c r="D4942" s="4"/>
      <c r="E4942" s="4"/>
      <c r="F4942" s="4"/>
      <c r="G4942" s="5"/>
      <c r="H4942" s="6"/>
      <c r="I4942" s="7"/>
      <c r="J4942" s="6"/>
      <c r="K4942" s="6"/>
      <c r="L4942" s="3"/>
      <c r="M4942" s="3" t="str">
        <f>IFERROR(__xludf.DUMMYFUNCTION("""COMPUTED_VALUE"""),"")</f>
        <v/>
      </c>
    </row>
    <row r="4943" ht="48.0" customHeight="1">
      <c r="A4943" s="3"/>
      <c r="B4943" s="4"/>
      <c r="C4943" s="4"/>
      <c r="D4943" s="4"/>
      <c r="E4943" s="4"/>
      <c r="F4943" s="4"/>
      <c r="G4943" s="5"/>
      <c r="H4943" s="6"/>
      <c r="I4943" s="7"/>
      <c r="J4943" s="6"/>
      <c r="K4943" s="6"/>
      <c r="L4943" s="3"/>
      <c r="M4943" s="3" t="str">
        <f>IFERROR(__xludf.DUMMYFUNCTION("""COMPUTED_VALUE"""),"")</f>
        <v/>
      </c>
    </row>
    <row r="4944" ht="48.0" customHeight="1">
      <c r="A4944" s="3"/>
      <c r="B4944" s="4"/>
      <c r="C4944" s="4"/>
      <c r="D4944" s="4"/>
      <c r="E4944" s="4"/>
      <c r="F4944" s="4"/>
      <c r="G4944" s="5"/>
      <c r="H4944" s="6"/>
      <c r="I4944" s="7"/>
      <c r="J4944" s="6"/>
      <c r="K4944" s="6"/>
      <c r="L4944" s="3"/>
      <c r="M4944" s="3" t="str">
        <f>IFERROR(__xludf.DUMMYFUNCTION("""COMPUTED_VALUE"""),"")</f>
        <v/>
      </c>
    </row>
    <row r="4945" ht="48.0" customHeight="1">
      <c r="A4945" s="3"/>
      <c r="B4945" s="4"/>
      <c r="C4945" s="4"/>
      <c r="D4945" s="4"/>
      <c r="E4945" s="4"/>
      <c r="F4945" s="4"/>
      <c r="G4945" s="5"/>
      <c r="H4945" s="6"/>
      <c r="I4945" s="7"/>
      <c r="J4945" s="6"/>
      <c r="K4945" s="6"/>
      <c r="L4945" s="3"/>
      <c r="M4945" s="3" t="str">
        <f>IFERROR(__xludf.DUMMYFUNCTION("""COMPUTED_VALUE"""),"")</f>
        <v/>
      </c>
    </row>
    <row r="4946" ht="48.0" customHeight="1">
      <c r="A4946" s="3"/>
      <c r="B4946" s="4"/>
      <c r="C4946" s="4"/>
      <c r="D4946" s="4"/>
      <c r="E4946" s="4"/>
      <c r="F4946" s="4"/>
      <c r="G4946" s="5"/>
      <c r="H4946" s="6"/>
      <c r="I4946" s="7"/>
      <c r="J4946" s="6"/>
      <c r="K4946" s="6"/>
      <c r="L4946" s="3"/>
      <c r="M4946" s="3" t="str">
        <f>IFERROR(__xludf.DUMMYFUNCTION("""COMPUTED_VALUE"""),"")</f>
        <v/>
      </c>
    </row>
    <row r="4947" ht="48.0" customHeight="1">
      <c r="A4947" s="3"/>
      <c r="B4947" s="4"/>
      <c r="C4947" s="4"/>
      <c r="D4947" s="4"/>
      <c r="E4947" s="4"/>
      <c r="F4947" s="4"/>
      <c r="G4947" s="5"/>
      <c r="H4947" s="6"/>
      <c r="I4947" s="7"/>
      <c r="J4947" s="6"/>
      <c r="K4947" s="6"/>
      <c r="L4947" s="3"/>
      <c r="M4947" s="3" t="str">
        <f>IFERROR(__xludf.DUMMYFUNCTION("""COMPUTED_VALUE"""),"")</f>
        <v/>
      </c>
    </row>
    <row r="4948" ht="48.0" customHeight="1">
      <c r="A4948" s="3"/>
      <c r="B4948" s="4"/>
      <c r="C4948" s="4"/>
      <c r="D4948" s="4"/>
      <c r="E4948" s="4"/>
      <c r="F4948" s="4"/>
      <c r="G4948" s="5"/>
      <c r="H4948" s="6"/>
      <c r="I4948" s="7"/>
      <c r="J4948" s="6"/>
      <c r="K4948" s="6"/>
      <c r="L4948" s="3"/>
      <c r="M4948" s="3" t="str">
        <f>IFERROR(__xludf.DUMMYFUNCTION("""COMPUTED_VALUE"""),"")</f>
        <v/>
      </c>
    </row>
    <row r="4949" ht="48.0" customHeight="1">
      <c r="A4949" s="3"/>
      <c r="B4949" s="4"/>
      <c r="C4949" s="4"/>
      <c r="D4949" s="4"/>
      <c r="E4949" s="4"/>
      <c r="F4949" s="4"/>
      <c r="G4949" s="5"/>
      <c r="H4949" s="6"/>
      <c r="I4949" s="7"/>
      <c r="J4949" s="6"/>
      <c r="K4949" s="6"/>
      <c r="L4949" s="3"/>
      <c r="M4949" s="3" t="str">
        <f>IFERROR(__xludf.DUMMYFUNCTION("""COMPUTED_VALUE"""),"")</f>
        <v/>
      </c>
    </row>
    <row r="4950" ht="48.0" customHeight="1">
      <c r="A4950" s="3"/>
      <c r="B4950" s="4"/>
      <c r="C4950" s="4"/>
      <c r="D4950" s="4"/>
      <c r="E4950" s="4"/>
      <c r="F4950" s="4"/>
      <c r="G4950" s="5"/>
      <c r="H4950" s="6"/>
      <c r="I4950" s="7"/>
      <c r="J4950" s="6"/>
      <c r="K4950" s="6"/>
      <c r="L4950" s="3"/>
      <c r="M4950" s="3" t="str">
        <f>IFERROR(__xludf.DUMMYFUNCTION("""COMPUTED_VALUE"""),"")</f>
        <v/>
      </c>
    </row>
    <row r="4951" ht="48.0" customHeight="1">
      <c r="A4951" s="3"/>
      <c r="B4951" s="4"/>
      <c r="C4951" s="4"/>
      <c r="D4951" s="4"/>
      <c r="E4951" s="4"/>
      <c r="F4951" s="4"/>
      <c r="G4951" s="5"/>
      <c r="H4951" s="6"/>
      <c r="I4951" s="7"/>
      <c r="J4951" s="6"/>
      <c r="K4951" s="6"/>
      <c r="L4951" s="3"/>
      <c r="M4951" s="3" t="str">
        <f>IFERROR(__xludf.DUMMYFUNCTION("""COMPUTED_VALUE"""),"")</f>
        <v/>
      </c>
    </row>
    <row r="4952" ht="48.0" customHeight="1">
      <c r="A4952" s="3"/>
      <c r="B4952" s="4"/>
      <c r="C4952" s="4"/>
      <c r="D4952" s="4"/>
      <c r="E4952" s="4"/>
      <c r="F4952" s="4"/>
      <c r="G4952" s="5"/>
      <c r="H4952" s="6"/>
      <c r="I4952" s="7"/>
      <c r="J4952" s="6"/>
      <c r="K4952" s="6"/>
      <c r="L4952" s="3"/>
      <c r="M4952" s="3" t="str">
        <f>IFERROR(__xludf.DUMMYFUNCTION("""COMPUTED_VALUE"""),"")</f>
        <v/>
      </c>
    </row>
    <row r="4953" ht="48.0" customHeight="1">
      <c r="A4953" s="3"/>
      <c r="B4953" s="4"/>
      <c r="C4953" s="4"/>
      <c r="D4953" s="4"/>
      <c r="E4953" s="4"/>
      <c r="F4953" s="4"/>
      <c r="G4953" s="5"/>
      <c r="H4953" s="6"/>
      <c r="I4953" s="7"/>
      <c r="J4953" s="6"/>
      <c r="K4953" s="6"/>
      <c r="L4953" s="3"/>
      <c r="M4953" s="3" t="str">
        <f>IFERROR(__xludf.DUMMYFUNCTION("""COMPUTED_VALUE"""),"")</f>
        <v/>
      </c>
    </row>
    <row r="4954" ht="48.0" customHeight="1">
      <c r="A4954" s="3"/>
      <c r="B4954" s="4"/>
      <c r="C4954" s="4"/>
      <c r="D4954" s="4"/>
      <c r="E4954" s="4"/>
      <c r="F4954" s="4"/>
      <c r="G4954" s="5"/>
      <c r="H4954" s="6"/>
      <c r="I4954" s="7"/>
      <c r="J4954" s="6"/>
      <c r="K4954" s="6"/>
      <c r="L4954" s="3"/>
      <c r="M4954" s="3" t="str">
        <f>IFERROR(__xludf.DUMMYFUNCTION("""COMPUTED_VALUE"""),"")</f>
        <v/>
      </c>
    </row>
    <row r="4955" ht="48.0" customHeight="1">
      <c r="A4955" s="3"/>
      <c r="B4955" s="4"/>
      <c r="C4955" s="4"/>
      <c r="D4955" s="4"/>
      <c r="E4955" s="4"/>
      <c r="F4955" s="4"/>
      <c r="G4955" s="5"/>
      <c r="H4955" s="6"/>
      <c r="I4955" s="7"/>
      <c r="J4955" s="6"/>
      <c r="K4955" s="6"/>
      <c r="L4955" s="3"/>
      <c r="M4955" s="3" t="str">
        <f>IFERROR(__xludf.DUMMYFUNCTION("""COMPUTED_VALUE"""),"")</f>
        <v/>
      </c>
    </row>
    <row r="4956" ht="48.0" customHeight="1">
      <c r="A4956" s="3"/>
      <c r="B4956" s="4"/>
      <c r="C4956" s="4"/>
      <c r="D4956" s="4"/>
      <c r="E4956" s="4"/>
      <c r="F4956" s="4"/>
      <c r="G4956" s="5"/>
      <c r="H4956" s="6"/>
      <c r="I4956" s="7"/>
      <c r="J4956" s="6"/>
      <c r="K4956" s="6"/>
      <c r="L4956" s="3"/>
      <c r="M4956" s="3" t="str">
        <f>IFERROR(__xludf.DUMMYFUNCTION("""COMPUTED_VALUE"""),"")</f>
        <v/>
      </c>
    </row>
    <row r="4957" ht="48.0" customHeight="1">
      <c r="A4957" s="3"/>
      <c r="B4957" s="4"/>
      <c r="C4957" s="4"/>
      <c r="D4957" s="4"/>
      <c r="E4957" s="4"/>
      <c r="F4957" s="4"/>
      <c r="G4957" s="5"/>
      <c r="H4957" s="6"/>
      <c r="I4957" s="7"/>
      <c r="J4957" s="6"/>
      <c r="K4957" s="6"/>
      <c r="L4957" s="3"/>
      <c r="M4957" s="3" t="str">
        <f>IFERROR(__xludf.DUMMYFUNCTION("""COMPUTED_VALUE"""),"")</f>
        <v/>
      </c>
    </row>
    <row r="4958" ht="48.0" customHeight="1">
      <c r="A4958" s="3"/>
      <c r="B4958" s="4"/>
      <c r="C4958" s="4"/>
      <c r="D4958" s="4"/>
      <c r="E4958" s="4"/>
      <c r="F4958" s="4"/>
      <c r="G4958" s="5"/>
      <c r="H4958" s="6"/>
      <c r="I4958" s="7"/>
      <c r="J4958" s="6"/>
      <c r="K4958" s="6"/>
      <c r="L4958" s="3"/>
      <c r="M4958" s="3" t="str">
        <f>IFERROR(__xludf.DUMMYFUNCTION("""COMPUTED_VALUE"""),"")</f>
        <v/>
      </c>
    </row>
    <row r="4959" ht="48.0" customHeight="1">
      <c r="A4959" s="3"/>
      <c r="B4959" s="4"/>
      <c r="C4959" s="4"/>
      <c r="D4959" s="4"/>
      <c r="E4959" s="4"/>
      <c r="F4959" s="4"/>
      <c r="G4959" s="5"/>
      <c r="H4959" s="6"/>
      <c r="I4959" s="7"/>
      <c r="J4959" s="6"/>
      <c r="K4959" s="6"/>
      <c r="L4959" s="3"/>
      <c r="M4959" s="3" t="str">
        <f>IFERROR(__xludf.DUMMYFUNCTION("""COMPUTED_VALUE"""),"")</f>
        <v/>
      </c>
    </row>
    <row r="4960" ht="48.0" customHeight="1">
      <c r="A4960" s="3"/>
      <c r="B4960" s="4"/>
      <c r="C4960" s="4"/>
      <c r="D4960" s="4"/>
      <c r="E4960" s="4"/>
      <c r="F4960" s="4"/>
      <c r="G4960" s="5"/>
      <c r="H4960" s="6"/>
      <c r="I4960" s="7"/>
      <c r="J4960" s="6"/>
      <c r="K4960" s="6"/>
      <c r="L4960" s="3"/>
      <c r="M4960" s="3" t="str">
        <f>IFERROR(__xludf.DUMMYFUNCTION("""COMPUTED_VALUE"""),"")</f>
        <v/>
      </c>
    </row>
    <row r="4961" ht="48.0" customHeight="1">
      <c r="A4961" s="3"/>
      <c r="B4961" s="4"/>
      <c r="C4961" s="4"/>
      <c r="D4961" s="4"/>
      <c r="E4961" s="4"/>
      <c r="F4961" s="4"/>
      <c r="G4961" s="5"/>
      <c r="H4961" s="6"/>
      <c r="I4961" s="7"/>
      <c r="J4961" s="6"/>
      <c r="K4961" s="6"/>
      <c r="L4961" s="3"/>
      <c r="M4961" s="3" t="str">
        <f>IFERROR(__xludf.DUMMYFUNCTION("""COMPUTED_VALUE"""),"")</f>
        <v/>
      </c>
    </row>
    <row r="4962" ht="48.0" customHeight="1">
      <c r="A4962" s="3"/>
      <c r="B4962" s="4"/>
      <c r="C4962" s="4"/>
      <c r="D4962" s="4"/>
      <c r="E4962" s="4"/>
      <c r="F4962" s="4"/>
      <c r="G4962" s="5"/>
      <c r="H4962" s="6"/>
      <c r="I4962" s="7"/>
      <c r="J4962" s="6"/>
      <c r="K4962" s="6"/>
      <c r="L4962" s="3"/>
      <c r="M4962" s="3" t="str">
        <f>IFERROR(__xludf.DUMMYFUNCTION("""COMPUTED_VALUE"""),"")</f>
        <v/>
      </c>
    </row>
    <row r="4963" ht="48.0" customHeight="1">
      <c r="A4963" s="3"/>
      <c r="B4963" s="4"/>
      <c r="C4963" s="4"/>
      <c r="D4963" s="4"/>
      <c r="E4963" s="4"/>
      <c r="F4963" s="4"/>
      <c r="G4963" s="5"/>
      <c r="H4963" s="6"/>
      <c r="I4963" s="7"/>
      <c r="J4963" s="6"/>
      <c r="K4963" s="6"/>
      <c r="L4963" s="3"/>
      <c r="M4963" s="3" t="str">
        <f>IFERROR(__xludf.DUMMYFUNCTION("""COMPUTED_VALUE"""),"")</f>
        <v/>
      </c>
    </row>
    <row r="4964" ht="48.0" customHeight="1">
      <c r="A4964" s="3"/>
      <c r="B4964" s="4"/>
      <c r="C4964" s="4"/>
      <c r="D4964" s="4"/>
      <c r="E4964" s="4"/>
      <c r="F4964" s="4"/>
      <c r="G4964" s="5"/>
      <c r="H4964" s="6"/>
      <c r="I4964" s="7"/>
      <c r="J4964" s="6"/>
      <c r="K4964" s="6"/>
      <c r="L4964" s="3"/>
      <c r="M4964" s="3" t="str">
        <f>IFERROR(__xludf.DUMMYFUNCTION("""COMPUTED_VALUE"""),"")</f>
        <v/>
      </c>
    </row>
    <row r="4965" ht="48.0" customHeight="1">
      <c r="A4965" s="3"/>
      <c r="B4965" s="4"/>
      <c r="C4965" s="4"/>
      <c r="D4965" s="4"/>
      <c r="E4965" s="4"/>
      <c r="F4965" s="4"/>
      <c r="G4965" s="5"/>
      <c r="H4965" s="6"/>
      <c r="I4965" s="7"/>
      <c r="J4965" s="6"/>
      <c r="K4965" s="6"/>
      <c r="L4965" s="3"/>
      <c r="M4965" s="3" t="str">
        <f>IFERROR(__xludf.DUMMYFUNCTION("""COMPUTED_VALUE"""),"")</f>
        <v/>
      </c>
    </row>
    <row r="4966" ht="48.0" customHeight="1">
      <c r="A4966" s="3"/>
      <c r="B4966" s="4"/>
      <c r="C4966" s="4"/>
      <c r="D4966" s="4"/>
      <c r="E4966" s="4"/>
      <c r="F4966" s="4"/>
      <c r="G4966" s="5"/>
      <c r="H4966" s="6"/>
      <c r="I4966" s="7"/>
      <c r="J4966" s="6"/>
      <c r="K4966" s="6"/>
      <c r="L4966" s="3"/>
      <c r="M4966" s="3" t="str">
        <f>IFERROR(__xludf.DUMMYFUNCTION("""COMPUTED_VALUE"""),"")</f>
        <v/>
      </c>
    </row>
    <row r="4967" ht="48.0" customHeight="1">
      <c r="A4967" s="3"/>
      <c r="B4967" s="4"/>
      <c r="C4967" s="4"/>
      <c r="D4967" s="4"/>
      <c r="E4967" s="4"/>
      <c r="F4967" s="4"/>
      <c r="G4967" s="5"/>
      <c r="H4967" s="6"/>
      <c r="I4967" s="7"/>
      <c r="J4967" s="6"/>
      <c r="K4967" s="6"/>
      <c r="L4967" s="3"/>
      <c r="M4967" s="3" t="str">
        <f>IFERROR(__xludf.DUMMYFUNCTION("""COMPUTED_VALUE"""),"")</f>
        <v/>
      </c>
    </row>
    <row r="4968" ht="48.0" customHeight="1">
      <c r="A4968" s="3"/>
      <c r="B4968" s="4"/>
      <c r="C4968" s="4"/>
      <c r="D4968" s="4"/>
      <c r="E4968" s="4"/>
      <c r="F4968" s="4"/>
      <c r="G4968" s="5"/>
      <c r="H4968" s="6"/>
      <c r="I4968" s="7"/>
      <c r="J4968" s="6"/>
      <c r="K4968" s="6"/>
      <c r="L4968" s="3"/>
      <c r="M4968" s="3" t="str">
        <f>IFERROR(__xludf.DUMMYFUNCTION("""COMPUTED_VALUE"""),"")</f>
        <v/>
      </c>
    </row>
    <row r="4969" ht="48.0" customHeight="1">
      <c r="A4969" s="3"/>
      <c r="B4969" s="4"/>
      <c r="C4969" s="4"/>
      <c r="D4969" s="4"/>
      <c r="E4969" s="4"/>
      <c r="F4969" s="4"/>
      <c r="G4969" s="5"/>
      <c r="H4969" s="6"/>
      <c r="I4969" s="7"/>
      <c r="J4969" s="6"/>
      <c r="K4969" s="6"/>
      <c r="L4969" s="3"/>
      <c r="M4969" s="3" t="str">
        <f>IFERROR(__xludf.DUMMYFUNCTION("""COMPUTED_VALUE"""),"")</f>
        <v/>
      </c>
    </row>
    <row r="4970" ht="48.0" customHeight="1">
      <c r="A4970" s="3"/>
      <c r="B4970" s="4"/>
      <c r="C4970" s="4"/>
      <c r="D4970" s="4"/>
      <c r="E4970" s="4"/>
      <c r="F4970" s="4"/>
      <c r="G4970" s="5"/>
      <c r="H4970" s="6"/>
      <c r="I4970" s="7"/>
      <c r="J4970" s="6"/>
      <c r="K4970" s="6"/>
      <c r="L4970" s="3"/>
      <c r="M4970" s="3" t="str">
        <f>IFERROR(__xludf.DUMMYFUNCTION("""COMPUTED_VALUE"""),"")</f>
        <v/>
      </c>
    </row>
    <row r="4971" ht="48.0" customHeight="1">
      <c r="A4971" s="3"/>
      <c r="B4971" s="4"/>
      <c r="C4971" s="4"/>
      <c r="D4971" s="4"/>
      <c r="E4971" s="4"/>
      <c r="F4971" s="4"/>
      <c r="G4971" s="5"/>
      <c r="H4971" s="6"/>
      <c r="I4971" s="7"/>
      <c r="J4971" s="6"/>
      <c r="K4971" s="6"/>
      <c r="L4971" s="3"/>
      <c r="M4971" s="3" t="str">
        <f>IFERROR(__xludf.DUMMYFUNCTION("""COMPUTED_VALUE"""),"")</f>
        <v/>
      </c>
    </row>
    <row r="4972" ht="48.0" customHeight="1">
      <c r="A4972" s="3"/>
      <c r="B4972" s="4"/>
      <c r="C4972" s="4"/>
      <c r="D4972" s="4"/>
      <c r="E4972" s="4"/>
      <c r="F4972" s="4"/>
      <c r="G4972" s="5"/>
      <c r="H4972" s="6"/>
      <c r="I4972" s="7"/>
      <c r="J4972" s="6"/>
      <c r="K4972" s="6"/>
      <c r="L4972" s="3"/>
      <c r="M4972" s="3" t="str">
        <f>IFERROR(__xludf.DUMMYFUNCTION("""COMPUTED_VALUE"""),"")</f>
        <v/>
      </c>
    </row>
    <row r="4973" ht="48.0" customHeight="1">
      <c r="A4973" s="3"/>
      <c r="B4973" s="4"/>
      <c r="C4973" s="4"/>
      <c r="D4973" s="4"/>
      <c r="E4973" s="4"/>
      <c r="F4973" s="4"/>
      <c r="G4973" s="5"/>
      <c r="H4973" s="6"/>
      <c r="I4973" s="7"/>
      <c r="J4973" s="6"/>
      <c r="K4973" s="6"/>
      <c r="L4973" s="3"/>
      <c r="M4973" s="3" t="str">
        <f>IFERROR(__xludf.DUMMYFUNCTION("""COMPUTED_VALUE"""),"")</f>
        <v/>
      </c>
    </row>
    <row r="4974" ht="48.0" customHeight="1">
      <c r="A4974" s="3"/>
      <c r="B4974" s="4"/>
      <c r="C4974" s="4"/>
      <c r="D4974" s="4"/>
      <c r="E4974" s="4"/>
      <c r="F4974" s="4"/>
      <c r="G4974" s="5"/>
      <c r="H4974" s="6"/>
      <c r="I4974" s="7"/>
      <c r="J4974" s="6"/>
      <c r="K4974" s="6"/>
      <c r="L4974" s="3"/>
      <c r="M4974" s="3" t="str">
        <f>IFERROR(__xludf.DUMMYFUNCTION("""COMPUTED_VALUE"""),"")</f>
        <v/>
      </c>
    </row>
    <row r="4975" ht="48.0" customHeight="1">
      <c r="A4975" s="3"/>
      <c r="B4975" s="4"/>
      <c r="C4975" s="4"/>
      <c r="D4975" s="4"/>
      <c r="E4975" s="4"/>
      <c r="F4975" s="4"/>
      <c r="G4975" s="5"/>
      <c r="H4975" s="6"/>
      <c r="I4975" s="7"/>
      <c r="J4975" s="6"/>
      <c r="K4975" s="6"/>
      <c r="L4975" s="3"/>
      <c r="M4975" s="3" t="str">
        <f>IFERROR(__xludf.DUMMYFUNCTION("""COMPUTED_VALUE"""),"")</f>
        <v/>
      </c>
    </row>
    <row r="4976" ht="48.0" customHeight="1">
      <c r="A4976" s="3"/>
      <c r="B4976" s="4"/>
      <c r="C4976" s="4"/>
      <c r="D4976" s="4"/>
      <c r="E4976" s="4"/>
      <c r="F4976" s="4"/>
      <c r="G4976" s="5"/>
      <c r="H4976" s="6"/>
      <c r="I4976" s="7"/>
      <c r="J4976" s="6"/>
      <c r="K4976" s="6"/>
      <c r="L4976" s="3"/>
      <c r="M4976" s="3" t="str">
        <f>IFERROR(__xludf.DUMMYFUNCTION("""COMPUTED_VALUE"""),"")</f>
        <v/>
      </c>
    </row>
    <row r="4977" ht="48.0" customHeight="1">
      <c r="A4977" s="3"/>
      <c r="B4977" s="4"/>
      <c r="C4977" s="4"/>
      <c r="D4977" s="4"/>
      <c r="E4977" s="4"/>
      <c r="F4977" s="4"/>
      <c r="G4977" s="5"/>
      <c r="H4977" s="6"/>
      <c r="I4977" s="7"/>
      <c r="J4977" s="6"/>
      <c r="K4977" s="6"/>
      <c r="L4977" s="3"/>
      <c r="M4977" s="3" t="str">
        <f>IFERROR(__xludf.DUMMYFUNCTION("""COMPUTED_VALUE"""),"")</f>
        <v/>
      </c>
    </row>
    <row r="4978" ht="48.0" customHeight="1">
      <c r="A4978" s="3"/>
      <c r="B4978" s="4"/>
      <c r="C4978" s="4"/>
      <c r="D4978" s="4"/>
      <c r="E4978" s="4"/>
      <c r="F4978" s="4"/>
      <c r="G4978" s="5"/>
      <c r="H4978" s="6"/>
      <c r="I4978" s="7"/>
      <c r="J4978" s="6"/>
      <c r="K4978" s="6"/>
      <c r="L4978" s="3"/>
      <c r="M4978" s="3" t="str">
        <f>IFERROR(__xludf.DUMMYFUNCTION("""COMPUTED_VALUE"""),"")</f>
        <v/>
      </c>
    </row>
    <row r="4979" ht="48.0" customHeight="1">
      <c r="A4979" s="3"/>
      <c r="B4979" s="4"/>
      <c r="C4979" s="4"/>
      <c r="D4979" s="4"/>
      <c r="E4979" s="4"/>
      <c r="F4979" s="4"/>
      <c r="G4979" s="5"/>
      <c r="H4979" s="6"/>
      <c r="I4979" s="7"/>
      <c r="J4979" s="6"/>
      <c r="K4979" s="6"/>
      <c r="L4979" s="3"/>
      <c r="M4979" s="3" t="str">
        <f>IFERROR(__xludf.DUMMYFUNCTION("""COMPUTED_VALUE"""),"")</f>
        <v/>
      </c>
    </row>
    <row r="4980" ht="48.0" customHeight="1">
      <c r="A4980" s="3"/>
      <c r="B4980" s="4"/>
      <c r="C4980" s="4"/>
      <c r="D4980" s="4"/>
      <c r="E4980" s="4"/>
      <c r="F4980" s="4"/>
      <c r="G4980" s="5"/>
      <c r="H4980" s="6"/>
      <c r="I4980" s="7"/>
      <c r="J4980" s="6"/>
      <c r="K4980" s="6"/>
      <c r="L4980" s="3"/>
      <c r="M4980" s="3" t="str">
        <f>IFERROR(__xludf.DUMMYFUNCTION("""COMPUTED_VALUE"""),"")</f>
        <v/>
      </c>
    </row>
    <row r="4981" ht="48.0" customHeight="1">
      <c r="A4981" s="3"/>
      <c r="B4981" s="4"/>
      <c r="C4981" s="4"/>
      <c r="D4981" s="4"/>
      <c r="E4981" s="4"/>
      <c r="F4981" s="4"/>
      <c r="G4981" s="5"/>
      <c r="H4981" s="6"/>
      <c r="I4981" s="7"/>
      <c r="J4981" s="6"/>
      <c r="K4981" s="6"/>
      <c r="L4981" s="3"/>
      <c r="M4981" s="3" t="str">
        <f>IFERROR(__xludf.DUMMYFUNCTION("""COMPUTED_VALUE"""),"")</f>
        <v/>
      </c>
    </row>
    <row r="4982" ht="48.0" customHeight="1">
      <c r="A4982" s="3"/>
      <c r="B4982" s="4"/>
      <c r="C4982" s="4"/>
      <c r="D4982" s="4"/>
      <c r="E4982" s="4"/>
      <c r="F4982" s="4"/>
      <c r="G4982" s="5"/>
      <c r="H4982" s="6"/>
      <c r="I4982" s="7"/>
      <c r="J4982" s="6"/>
      <c r="K4982" s="6"/>
      <c r="L4982" s="3"/>
      <c r="M4982" s="3" t="str">
        <f>IFERROR(__xludf.DUMMYFUNCTION("""COMPUTED_VALUE"""),"")</f>
        <v/>
      </c>
    </row>
    <row r="4983" ht="48.0" customHeight="1">
      <c r="A4983" s="3"/>
      <c r="B4983" s="4"/>
      <c r="C4983" s="4"/>
      <c r="D4983" s="4"/>
      <c r="E4983" s="4"/>
      <c r="F4983" s="4"/>
      <c r="G4983" s="5"/>
      <c r="H4983" s="6"/>
      <c r="I4983" s="7"/>
      <c r="J4983" s="6"/>
      <c r="K4983" s="6"/>
      <c r="L4983" s="3"/>
      <c r="M4983" s="3" t="str">
        <f>IFERROR(__xludf.DUMMYFUNCTION("""COMPUTED_VALUE"""),"")</f>
        <v/>
      </c>
    </row>
    <row r="4984" ht="48.0" customHeight="1">
      <c r="A4984" s="3"/>
      <c r="B4984" s="4"/>
      <c r="C4984" s="4"/>
      <c r="D4984" s="4"/>
      <c r="E4984" s="4"/>
      <c r="F4984" s="4"/>
      <c r="G4984" s="5"/>
      <c r="H4984" s="6"/>
      <c r="I4984" s="7"/>
      <c r="J4984" s="6"/>
      <c r="K4984" s="6"/>
      <c r="L4984" s="3"/>
      <c r="M4984" s="3" t="str">
        <f>IFERROR(__xludf.DUMMYFUNCTION("""COMPUTED_VALUE"""),"")</f>
        <v/>
      </c>
    </row>
    <row r="4985" ht="48.0" customHeight="1">
      <c r="A4985" s="3"/>
      <c r="B4985" s="4"/>
      <c r="C4985" s="4"/>
      <c r="D4985" s="4"/>
      <c r="E4985" s="4"/>
      <c r="F4985" s="4"/>
      <c r="G4985" s="5"/>
      <c r="H4985" s="6"/>
      <c r="I4985" s="7"/>
      <c r="J4985" s="6"/>
      <c r="K4985" s="6"/>
      <c r="L4985" s="3"/>
      <c r="M4985" s="3" t="str">
        <f>IFERROR(__xludf.DUMMYFUNCTION("""COMPUTED_VALUE"""),"")</f>
        <v/>
      </c>
    </row>
    <row r="4986" ht="48.0" customHeight="1">
      <c r="A4986" s="3"/>
      <c r="B4986" s="4"/>
      <c r="C4986" s="4"/>
      <c r="D4986" s="4"/>
      <c r="E4986" s="4"/>
      <c r="F4986" s="4"/>
      <c r="G4986" s="5"/>
      <c r="H4986" s="6"/>
      <c r="I4986" s="7"/>
      <c r="J4986" s="6"/>
      <c r="K4986" s="6"/>
      <c r="L4986" s="3"/>
      <c r="M4986" s="3" t="str">
        <f>IFERROR(__xludf.DUMMYFUNCTION("""COMPUTED_VALUE"""),"")</f>
        <v/>
      </c>
    </row>
    <row r="4987" ht="48.0" customHeight="1">
      <c r="A4987" s="3"/>
      <c r="B4987" s="4"/>
      <c r="C4987" s="4"/>
      <c r="D4987" s="4"/>
      <c r="E4987" s="4"/>
      <c r="F4987" s="4"/>
      <c r="G4987" s="5"/>
      <c r="H4987" s="6"/>
      <c r="I4987" s="7"/>
      <c r="J4987" s="6"/>
      <c r="K4987" s="6"/>
      <c r="L4987" s="3"/>
      <c r="M4987" s="3" t="str">
        <f>IFERROR(__xludf.DUMMYFUNCTION("""COMPUTED_VALUE"""),"")</f>
        <v/>
      </c>
    </row>
    <row r="4988" ht="48.0" customHeight="1">
      <c r="A4988" s="3"/>
      <c r="B4988" s="4"/>
      <c r="C4988" s="4"/>
      <c r="D4988" s="4"/>
      <c r="E4988" s="4"/>
      <c r="F4988" s="4"/>
      <c r="G4988" s="5"/>
      <c r="H4988" s="6"/>
      <c r="I4988" s="7"/>
      <c r="J4988" s="6"/>
      <c r="K4988" s="6"/>
      <c r="L4988" s="3"/>
      <c r="M4988" s="3" t="str">
        <f>IFERROR(__xludf.DUMMYFUNCTION("""COMPUTED_VALUE"""),"")</f>
        <v/>
      </c>
    </row>
    <row r="4989" ht="48.0" customHeight="1">
      <c r="A4989" s="3"/>
      <c r="B4989" s="4"/>
      <c r="C4989" s="4"/>
      <c r="D4989" s="4"/>
      <c r="E4989" s="4"/>
      <c r="F4989" s="4"/>
      <c r="G4989" s="5"/>
      <c r="H4989" s="6"/>
      <c r="I4989" s="7"/>
      <c r="J4989" s="6"/>
      <c r="K4989" s="6"/>
      <c r="L4989" s="3"/>
      <c r="M4989" s="3" t="str">
        <f>IFERROR(__xludf.DUMMYFUNCTION("""COMPUTED_VALUE"""),"")</f>
        <v/>
      </c>
    </row>
    <row r="4990" ht="48.0" customHeight="1">
      <c r="A4990" s="3"/>
      <c r="B4990" s="4"/>
      <c r="C4990" s="4"/>
      <c r="D4990" s="4"/>
      <c r="E4990" s="4"/>
      <c r="F4990" s="4"/>
      <c r="G4990" s="5"/>
      <c r="H4990" s="6"/>
      <c r="I4990" s="7"/>
      <c r="J4990" s="6"/>
      <c r="K4990" s="6"/>
      <c r="L4990" s="3"/>
      <c r="M4990" s="3" t="str">
        <f>IFERROR(__xludf.DUMMYFUNCTION("""COMPUTED_VALUE"""),"")</f>
        <v/>
      </c>
    </row>
    <row r="4991" ht="48.0" customHeight="1">
      <c r="A4991" s="3"/>
      <c r="B4991" s="4"/>
      <c r="C4991" s="4"/>
      <c r="D4991" s="4"/>
      <c r="E4991" s="4"/>
      <c r="F4991" s="4"/>
      <c r="G4991" s="5"/>
      <c r="H4991" s="6"/>
      <c r="I4991" s="7"/>
      <c r="J4991" s="6"/>
      <c r="K4991" s="6"/>
      <c r="L4991" s="3"/>
      <c r="M4991" s="3" t="str">
        <f>IFERROR(__xludf.DUMMYFUNCTION("""COMPUTED_VALUE"""),"")</f>
        <v/>
      </c>
    </row>
    <row r="4992" ht="48.0" customHeight="1">
      <c r="A4992" s="3"/>
      <c r="B4992" s="4"/>
      <c r="C4992" s="4"/>
      <c r="D4992" s="4"/>
      <c r="E4992" s="4"/>
      <c r="F4992" s="4"/>
      <c r="G4992" s="5"/>
      <c r="H4992" s="6"/>
      <c r="I4992" s="7"/>
      <c r="J4992" s="6"/>
      <c r="K4992" s="6"/>
      <c r="L4992" s="3"/>
      <c r="M4992" s="3" t="str">
        <f>IFERROR(__xludf.DUMMYFUNCTION("""COMPUTED_VALUE"""),"")</f>
        <v/>
      </c>
    </row>
    <row r="4993" ht="48.0" customHeight="1">
      <c r="A4993" s="3"/>
      <c r="B4993" s="4"/>
      <c r="C4993" s="4"/>
      <c r="D4993" s="4"/>
      <c r="E4993" s="4"/>
      <c r="F4993" s="4"/>
      <c r="G4993" s="5"/>
      <c r="H4993" s="6"/>
      <c r="I4993" s="7"/>
      <c r="J4993" s="6"/>
      <c r="K4993" s="6"/>
      <c r="L4993" s="3"/>
      <c r="M4993" s="3" t="str">
        <f>IFERROR(__xludf.DUMMYFUNCTION("""COMPUTED_VALUE"""),"")</f>
        <v/>
      </c>
    </row>
    <row r="4994" ht="48.0" customHeight="1">
      <c r="A4994" s="3"/>
      <c r="B4994" s="4"/>
      <c r="C4994" s="4"/>
      <c r="D4994" s="4"/>
      <c r="E4994" s="4"/>
      <c r="F4994" s="4"/>
      <c r="G4994" s="5"/>
      <c r="H4994" s="6"/>
      <c r="I4994" s="7"/>
      <c r="J4994" s="6"/>
      <c r="K4994" s="6"/>
      <c r="L4994" s="3"/>
      <c r="M4994" s="3" t="str">
        <f>IFERROR(__xludf.DUMMYFUNCTION("""COMPUTED_VALUE"""),"")</f>
        <v/>
      </c>
    </row>
    <row r="4995" ht="48.0" customHeight="1">
      <c r="A4995" s="3"/>
      <c r="B4995" s="4"/>
      <c r="C4995" s="4"/>
      <c r="D4995" s="4"/>
      <c r="E4995" s="4"/>
      <c r="F4995" s="4"/>
      <c r="G4995" s="5"/>
      <c r="H4995" s="6"/>
      <c r="I4995" s="7"/>
      <c r="J4995" s="6"/>
      <c r="K4995" s="6"/>
      <c r="L4995" s="3"/>
      <c r="M4995" s="3" t="str">
        <f>IFERROR(__xludf.DUMMYFUNCTION("""COMPUTED_VALUE"""),"")</f>
        <v/>
      </c>
    </row>
    <row r="4996" ht="48.0" customHeight="1">
      <c r="A4996" s="3"/>
      <c r="B4996" s="4"/>
      <c r="C4996" s="4"/>
      <c r="D4996" s="4"/>
      <c r="E4996" s="4"/>
      <c r="F4996" s="4"/>
      <c r="G4996" s="5"/>
      <c r="H4996" s="6"/>
      <c r="I4996" s="7"/>
      <c r="J4996" s="6"/>
      <c r="K4996" s="6"/>
      <c r="L4996" s="3"/>
      <c r="M4996" s="3" t="str">
        <f>IFERROR(__xludf.DUMMYFUNCTION("""COMPUTED_VALUE"""),"")</f>
        <v/>
      </c>
    </row>
    <row r="4997" ht="48.0" customHeight="1">
      <c r="A4997" s="3"/>
      <c r="B4997" s="4"/>
      <c r="C4997" s="4"/>
      <c r="D4997" s="4"/>
      <c r="E4997" s="4"/>
      <c r="F4997" s="4"/>
      <c r="G4997" s="5"/>
      <c r="H4997" s="6"/>
      <c r="I4997" s="7"/>
      <c r="J4997" s="6"/>
      <c r="K4997" s="6"/>
      <c r="L4997" s="3"/>
      <c r="M4997" s="3" t="str">
        <f>IFERROR(__xludf.DUMMYFUNCTION("""COMPUTED_VALUE"""),"")</f>
        <v/>
      </c>
    </row>
    <row r="4998" ht="48.0" customHeight="1">
      <c r="A4998" s="3"/>
      <c r="B4998" s="4"/>
      <c r="C4998" s="4"/>
      <c r="D4998" s="4"/>
      <c r="E4998" s="4"/>
      <c r="F4998" s="4"/>
      <c r="G4998" s="5"/>
      <c r="H4998" s="6"/>
      <c r="I4998" s="7"/>
      <c r="J4998" s="6"/>
      <c r="K4998" s="6"/>
      <c r="L4998" s="3"/>
      <c r="M4998" s="3" t="str">
        <f>IFERROR(__xludf.DUMMYFUNCTION("""COMPUTED_VALUE"""),"")</f>
        <v/>
      </c>
    </row>
    <row r="4999" ht="48.0" customHeight="1">
      <c r="A4999" s="3"/>
      <c r="B4999" s="4"/>
      <c r="C4999" s="4"/>
      <c r="D4999" s="4"/>
      <c r="E4999" s="4"/>
      <c r="F4999" s="4"/>
      <c r="G4999" s="5"/>
      <c r="H4999" s="6"/>
      <c r="I4999" s="7"/>
      <c r="J4999" s="6"/>
      <c r="K4999" s="6"/>
      <c r="L4999" s="3"/>
      <c r="M4999" s="3" t="str">
        <f>IFERROR(__xludf.DUMMYFUNCTION("""COMPUTED_VALUE"""),"")</f>
        <v/>
      </c>
    </row>
    <row r="5000" ht="48.0" customHeight="1">
      <c r="A5000" s="3"/>
      <c r="B5000" s="4"/>
      <c r="C5000" s="4"/>
      <c r="D5000" s="4"/>
      <c r="E5000" s="4"/>
      <c r="F5000" s="4"/>
      <c r="G5000" s="5"/>
      <c r="H5000" s="6"/>
      <c r="I5000" s="7"/>
      <c r="J5000" s="6"/>
      <c r="K5000" s="6"/>
      <c r="L5000" s="3"/>
      <c r="M5000" s="3" t="str">
        <f>IFERROR(__xludf.DUMMYFUNCTION("""COMPUTED_VALUE"""),"")</f>
        <v/>
      </c>
    </row>
  </sheetData>
  <printOptions/>
  <pageMargins bottom="0.75" footer="0.0" header="0.0" left="0.7" right="0.7" top="0.75"/>
  <pageSetup orientation="landscape"/>
  <drawing r:id="rId1"/>
</worksheet>
</file>