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prieto\Desktop\Oftalmologos\"/>
    </mc:Choice>
  </mc:AlternateContent>
  <xr:revisionPtr revIDLastSave="0" documentId="13_ncr:1_{5004D9A6-8627-4FAB-8612-61224587B0C2}" xr6:coauthVersionLast="47" xr6:coauthVersionMax="47" xr10:uidLastSave="{00000000-0000-0000-0000-000000000000}"/>
  <bookViews>
    <workbookView xWindow="-108" yWindow="-108" windowWidth="23256" windowHeight="12576" firstSheet="3" activeTab="10" xr2:uid="{EA876578-99F6-4CC3-8C52-BE2FBDDB0D36}"/>
  </bookViews>
  <sheets>
    <sheet name="GLOBAL OFTALMOLOGOS OPTICENTRO" sheetId="10" r:id="rId1"/>
    <sheet name="MATRIZ" sheetId="11" r:id="rId2"/>
    <sheet name="AZURDUY" sheetId="17" r:id="rId3"/>
    <sheet name="POTOSI" sheetId="12" r:id="rId4"/>
    <sheet name="TUPIZA" sheetId="13" r:id="rId5"/>
    <sheet name="LA PAZ 1" sheetId="14" r:id="rId6"/>
    <sheet name="TARIJA 1" sheetId="15" r:id="rId7"/>
    <sheet name="YACUIBA" sheetId="16" r:id="rId8"/>
    <sheet name="TARIJA 2" sheetId="18" r:id="rId9"/>
    <sheet name="LA PAZ 2" sheetId="19" r:id="rId10"/>
    <sheet name="PARAGUAY" sheetId="2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0" l="1"/>
  <c r="B27" i="20"/>
  <c r="B26" i="20"/>
  <c r="H12" i="19"/>
  <c r="H13" i="19"/>
  <c r="H14" i="19"/>
  <c r="H15" i="19"/>
  <c r="H16" i="19"/>
  <c r="H17" i="19"/>
  <c r="H18" i="19"/>
  <c r="H19" i="19"/>
  <c r="H20" i="19"/>
  <c r="H21" i="19"/>
  <c r="G12" i="19"/>
  <c r="G13" i="19"/>
  <c r="G14" i="19"/>
  <c r="G15" i="19"/>
  <c r="G16" i="19"/>
  <c r="G17" i="19"/>
  <c r="G18" i="19"/>
  <c r="H16" i="16"/>
  <c r="G16" i="16"/>
  <c r="F13" i="16"/>
  <c r="H13" i="16" s="1"/>
  <c r="F14" i="16"/>
  <c r="H14" i="16" s="1"/>
  <c r="F15" i="16"/>
  <c r="H15" i="16" s="1"/>
  <c r="F16" i="16"/>
  <c r="F17" i="16"/>
  <c r="H17" i="16" s="1"/>
  <c r="F18" i="16"/>
  <c r="H18" i="16" s="1"/>
  <c r="I7" i="15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I27" i="15"/>
  <c r="B27" i="15"/>
  <c r="F4" i="13"/>
  <c r="G5" i="13"/>
  <c r="G11" i="13"/>
  <c r="G14" i="12"/>
  <c r="G13" i="12"/>
  <c r="G12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F12" i="12"/>
  <c r="F23" i="12"/>
  <c r="H23" i="12" s="1"/>
  <c r="F24" i="12"/>
  <c r="F25" i="12"/>
  <c r="F26" i="12"/>
  <c r="H26" i="12" s="1"/>
  <c r="K27" i="12"/>
  <c r="L27" i="12"/>
  <c r="G15" i="16" l="1"/>
  <c r="G18" i="16"/>
  <c r="G14" i="16"/>
  <c r="G17" i="16"/>
  <c r="G13" i="16"/>
  <c r="H25" i="12"/>
  <c r="H24" i="12"/>
  <c r="J38" i="11"/>
  <c r="B38" i="11"/>
  <c r="G17" i="11"/>
  <c r="G15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G16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F14" i="11"/>
  <c r="B42" i="11"/>
  <c r="B41" i="11"/>
  <c r="B40" i="11"/>
  <c r="B39" i="11"/>
  <c r="C10" i="11"/>
  <c r="B10" i="11"/>
  <c r="B11" i="11"/>
  <c r="J11" i="11"/>
  <c r="B91" i="10"/>
  <c r="H94" i="10"/>
  <c r="J87" i="10"/>
  <c r="B87" i="10"/>
  <c r="F83" i="10"/>
  <c r="H83" i="10" s="1"/>
  <c r="F80" i="10"/>
  <c r="G80" i="10" s="1"/>
  <c r="F81" i="10"/>
  <c r="H81" i="10" s="1"/>
  <c r="F82" i="10"/>
  <c r="G82" i="10" s="1"/>
  <c r="L85" i="10"/>
  <c r="B18" i="10"/>
  <c r="J18" i="10"/>
  <c r="F7" i="10"/>
  <c r="G7" i="10" s="1"/>
  <c r="F6" i="10"/>
  <c r="G6" i="10" s="1"/>
  <c r="F5" i="10"/>
  <c r="G5" i="10" s="1"/>
  <c r="F4" i="10"/>
  <c r="G4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K17" i="10"/>
  <c r="M15" i="10" s="1"/>
  <c r="L17" i="10"/>
  <c r="N15" i="10" s="1"/>
  <c r="C17" i="10"/>
  <c r="E4" i="10" s="1"/>
  <c r="B17" i="10"/>
  <c r="D4" i="10" s="1"/>
  <c r="G81" i="10" l="1"/>
  <c r="B88" i="10"/>
  <c r="M4" i="10"/>
  <c r="H82" i="10"/>
  <c r="H80" i="10"/>
  <c r="G83" i="10"/>
  <c r="B22" i="19" l="1"/>
  <c r="J22" i="19"/>
  <c r="J8" i="19"/>
  <c r="L7" i="19"/>
  <c r="L20" i="19"/>
  <c r="K20" i="19"/>
  <c r="M19" i="19" s="1"/>
  <c r="B21" i="18"/>
  <c r="J21" i="18"/>
  <c r="K19" i="18"/>
  <c r="L19" i="18"/>
  <c r="F10" i="18"/>
  <c r="F11" i="18"/>
  <c r="F12" i="18"/>
  <c r="F13" i="18"/>
  <c r="F14" i="18"/>
  <c r="F15" i="18"/>
  <c r="F16" i="18"/>
  <c r="F9" i="18"/>
  <c r="C19" i="18"/>
  <c r="B19" i="18"/>
  <c r="J21" i="16"/>
  <c r="L19" i="16"/>
  <c r="K19" i="16"/>
  <c r="B21" i="16"/>
  <c r="F12" i="16"/>
  <c r="C19" i="16"/>
  <c r="B19" i="16"/>
  <c r="J9" i="16"/>
  <c r="F5" i="16"/>
  <c r="F4" i="16"/>
  <c r="B8" i="16"/>
  <c r="K25" i="15"/>
  <c r="J25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10" i="15"/>
  <c r="C25" i="15"/>
  <c r="B25" i="15"/>
  <c r="B27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12" i="14"/>
  <c r="C25" i="14"/>
  <c r="B25" i="14"/>
  <c r="I27" i="14"/>
  <c r="J8" i="14"/>
  <c r="K8" i="14"/>
  <c r="K25" i="14"/>
  <c r="J25" i="14"/>
  <c r="F10" i="13"/>
  <c r="K6" i="13"/>
  <c r="M4" i="13" s="1"/>
  <c r="J6" i="13"/>
  <c r="L4" i="13" s="1"/>
  <c r="K12" i="13"/>
  <c r="M11" i="13" s="1"/>
  <c r="J12" i="13"/>
  <c r="L11" i="13" s="1"/>
  <c r="I7" i="13"/>
  <c r="I14" i="13"/>
  <c r="B14" i="13"/>
  <c r="B12" i="13"/>
  <c r="C6" i="13"/>
  <c r="B6" i="13"/>
  <c r="F11" i="13"/>
  <c r="J29" i="12"/>
  <c r="L8" i="12"/>
  <c r="L28" i="12" s="1"/>
  <c r="K8" i="12"/>
  <c r="K28" i="12" s="1"/>
  <c r="B29" i="12"/>
  <c r="C27" i="12"/>
  <c r="B27" i="12"/>
  <c r="B8" i="12"/>
  <c r="L14" i="17"/>
  <c r="B16" i="17"/>
  <c r="C14" i="17"/>
  <c r="B14" i="17"/>
  <c r="F4" i="17"/>
  <c r="C7" i="17"/>
  <c r="B7" i="17"/>
  <c r="K36" i="11"/>
  <c r="K10" i="11"/>
  <c r="L10" i="11"/>
  <c r="L36" i="11"/>
  <c r="C36" i="11"/>
  <c r="B36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G14" i="11"/>
  <c r="F5" i="11"/>
  <c r="F6" i="11"/>
  <c r="F7" i="11"/>
  <c r="F8" i="11"/>
  <c r="F4" i="11"/>
  <c r="E4" i="11"/>
  <c r="D4" i="11"/>
  <c r="N7" i="10"/>
  <c r="M7" i="10"/>
  <c r="N80" i="10"/>
  <c r="K85" i="10"/>
  <c r="F21" i="10"/>
  <c r="C85" i="10"/>
  <c r="B85" i="10"/>
  <c r="F79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G45" i="10" s="1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H15" i="18" l="1"/>
  <c r="G15" i="18"/>
  <c r="H14" i="18"/>
  <c r="G14" i="18"/>
  <c r="H10" i="18"/>
  <c r="G10" i="18"/>
  <c r="H13" i="18"/>
  <c r="G13" i="18"/>
  <c r="H16" i="18"/>
  <c r="G16" i="18"/>
  <c r="H12" i="18"/>
  <c r="G12" i="18"/>
  <c r="H11" i="18"/>
  <c r="G11" i="18"/>
  <c r="H23" i="15"/>
  <c r="G23" i="15"/>
  <c r="H19" i="15"/>
  <c r="G19" i="15"/>
  <c r="H15" i="15"/>
  <c r="G15" i="15"/>
  <c r="H11" i="15"/>
  <c r="G11" i="15"/>
  <c r="G22" i="15"/>
  <c r="H22" i="15"/>
  <c r="G18" i="15"/>
  <c r="H18" i="15"/>
  <c r="G14" i="15"/>
  <c r="H14" i="15"/>
  <c r="G21" i="15"/>
  <c r="H21" i="15"/>
  <c r="H17" i="15"/>
  <c r="G17" i="15"/>
  <c r="G13" i="15"/>
  <c r="H13" i="15"/>
  <c r="G24" i="15"/>
  <c r="H24" i="15"/>
  <c r="H20" i="15"/>
  <c r="G20" i="15"/>
  <c r="H16" i="15"/>
  <c r="G16" i="15"/>
  <c r="H12" i="15"/>
  <c r="G12" i="15"/>
  <c r="D10" i="15"/>
  <c r="F25" i="15"/>
  <c r="H25" i="15" s="1"/>
  <c r="B13" i="13"/>
  <c r="H11" i="13"/>
  <c r="E26" i="12"/>
  <c r="E25" i="12"/>
  <c r="E23" i="12"/>
  <c r="E24" i="12"/>
  <c r="D23" i="12"/>
  <c r="D25" i="12"/>
  <c r="D26" i="12"/>
  <c r="D24" i="12"/>
  <c r="B90" i="10"/>
  <c r="D82" i="10"/>
  <c r="D83" i="10"/>
  <c r="D80" i="10"/>
  <c r="D81" i="10"/>
  <c r="E82" i="10"/>
  <c r="E81" i="10"/>
  <c r="E83" i="10"/>
  <c r="E80" i="10"/>
  <c r="D7" i="10"/>
  <c r="F85" i="10"/>
  <c r="E7" i="10"/>
  <c r="H10" i="10"/>
  <c r="N19" i="19"/>
  <c r="M19" i="14"/>
  <c r="D11" i="13"/>
  <c r="K37" i="11"/>
  <c r="F36" i="11"/>
  <c r="H36" i="11" s="1"/>
  <c r="N35" i="11"/>
  <c r="M35" i="11"/>
  <c r="F10" i="11"/>
  <c r="N84" i="10"/>
  <c r="N83" i="10"/>
  <c r="N81" i="10"/>
  <c r="N82" i="10"/>
  <c r="M83" i="10"/>
  <c r="M84" i="10"/>
  <c r="M81" i="10"/>
  <c r="M80" i="10"/>
  <c r="M82" i="10"/>
  <c r="G21" i="10"/>
  <c r="F17" i="10"/>
  <c r="H17" i="10" l="1"/>
  <c r="F86" i="10"/>
  <c r="L12" i="14"/>
  <c r="F6" i="14"/>
  <c r="G6" i="14" s="1"/>
  <c r="M76" i="10"/>
  <c r="M11" i="10"/>
  <c r="D12" i="10"/>
  <c r="H11" i="10"/>
  <c r="H13" i="10"/>
  <c r="C26" i="20"/>
  <c r="D10" i="20"/>
  <c r="B5" i="20"/>
  <c r="D4" i="20" s="1"/>
  <c r="F4" i="19"/>
  <c r="F11" i="19"/>
  <c r="N11" i="19"/>
  <c r="K7" i="19"/>
  <c r="K21" i="19" s="1"/>
  <c r="C20" i="19"/>
  <c r="B20" i="19"/>
  <c r="B24" i="19" s="1"/>
  <c r="B8" i="19"/>
  <c r="B7" i="19"/>
  <c r="K5" i="18"/>
  <c r="K20" i="18" s="1"/>
  <c r="B5" i="18"/>
  <c r="F4" i="18"/>
  <c r="G4" i="18" s="1"/>
  <c r="G5" i="16"/>
  <c r="N17" i="16"/>
  <c r="M17" i="16"/>
  <c r="L8" i="16"/>
  <c r="K8" i="16"/>
  <c r="C8" i="16"/>
  <c r="E5" i="16" s="1"/>
  <c r="D5" i="16"/>
  <c r="L21" i="15"/>
  <c r="F4" i="15"/>
  <c r="K6" i="15"/>
  <c r="J6" i="15"/>
  <c r="B6" i="15"/>
  <c r="M12" i="14"/>
  <c r="C8" i="14"/>
  <c r="E7" i="14" s="1"/>
  <c r="B8" i="14"/>
  <c r="D7" i="14" s="1"/>
  <c r="I9" i="14"/>
  <c r="B9" i="14"/>
  <c r="F7" i="14"/>
  <c r="H7" i="14" s="1"/>
  <c r="D10" i="13"/>
  <c r="B7" i="13"/>
  <c r="F5" i="13"/>
  <c r="C12" i="13"/>
  <c r="N12" i="12"/>
  <c r="M16" i="12"/>
  <c r="C8" i="12"/>
  <c r="B9" i="12"/>
  <c r="F13" i="12"/>
  <c r="F14" i="12"/>
  <c r="F15" i="12"/>
  <c r="F16" i="12"/>
  <c r="F17" i="12"/>
  <c r="F18" i="12"/>
  <c r="F19" i="12"/>
  <c r="F20" i="12"/>
  <c r="F21" i="12"/>
  <c r="F22" i="12"/>
  <c r="F4" i="12"/>
  <c r="F5" i="17"/>
  <c r="F6" i="17"/>
  <c r="F11" i="17"/>
  <c r="L7" i="17"/>
  <c r="N5" i="17" s="1"/>
  <c r="K7" i="17"/>
  <c r="N13" i="17"/>
  <c r="H76" i="10"/>
  <c r="G77" i="10"/>
  <c r="H78" i="10"/>
  <c r="G79" i="10"/>
  <c r="M14" i="11"/>
  <c r="N76" i="10"/>
  <c r="C37" i="12"/>
  <c r="C96" i="10"/>
  <c r="N6" i="16" l="1"/>
  <c r="N5" i="16"/>
  <c r="N7" i="16"/>
  <c r="M6" i="16"/>
  <c r="M5" i="16"/>
  <c r="M7" i="16"/>
  <c r="F6" i="15"/>
  <c r="G4" i="15"/>
  <c r="E11" i="13"/>
  <c r="G27" i="12"/>
  <c r="F27" i="12"/>
  <c r="H27" i="12" s="1"/>
  <c r="B23" i="16"/>
  <c r="B23" i="18"/>
  <c r="B22" i="18"/>
  <c r="B29" i="15"/>
  <c r="B28" i="15"/>
  <c r="B30" i="12"/>
  <c r="B31" i="12"/>
  <c r="M5" i="17"/>
  <c r="B22" i="16"/>
  <c r="B16" i="13"/>
  <c r="B15" i="13"/>
  <c r="D4" i="13"/>
  <c r="B23" i="19"/>
  <c r="D6" i="14"/>
  <c r="E6" i="14"/>
  <c r="B17" i="17"/>
  <c r="C86" i="10"/>
  <c r="H6" i="14"/>
  <c r="B26" i="14"/>
  <c r="B28" i="14"/>
  <c r="B29" i="14"/>
  <c r="M4" i="11"/>
  <c r="M14" i="10"/>
  <c r="M13" i="10"/>
  <c r="M12" i="10"/>
  <c r="E11" i="10"/>
  <c r="D14" i="10"/>
  <c r="D11" i="10"/>
  <c r="E12" i="10"/>
  <c r="H14" i="10"/>
  <c r="E13" i="10"/>
  <c r="D13" i="10"/>
  <c r="H12" i="10"/>
  <c r="E14" i="10"/>
  <c r="M8" i="10"/>
  <c r="M10" i="10"/>
  <c r="M9" i="10"/>
  <c r="M6" i="10"/>
  <c r="M5" i="10"/>
  <c r="B86" i="10"/>
  <c r="K86" i="10"/>
  <c r="H5" i="16"/>
  <c r="J26" i="14"/>
  <c r="G7" i="14"/>
  <c r="M18" i="12"/>
  <c r="M17" i="12"/>
  <c r="M19" i="12"/>
  <c r="M22" i="12"/>
  <c r="M15" i="12"/>
  <c r="M21" i="12"/>
  <c r="M14" i="12"/>
  <c r="M12" i="12"/>
  <c r="M20" i="12"/>
  <c r="M13" i="12"/>
  <c r="M8" i="11"/>
  <c r="M7" i="11"/>
  <c r="D77" i="10"/>
  <c r="D78" i="10"/>
  <c r="M79" i="10"/>
  <c r="M78" i="10"/>
  <c r="M77" i="10"/>
  <c r="N78" i="10"/>
  <c r="N77" i="10"/>
  <c r="N79" i="10"/>
  <c r="E77" i="10"/>
  <c r="E79" i="10"/>
  <c r="D79" i="10"/>
  <c r="E76" i="10"/>
  <c r="D76" i="10"/>
  <c r="E78" i="10"/>
  <c r="H77" i="10"/>
  <c r="G78" i="10"/>
  <c r="G76" i="10"/>
  <c r="H79" i="10"/>
  <c r="B6" i="20"/>
  <c r="J6" i="18"/>
  <c r="B6" i="18"/>
  <c r="B9" i="16"/>
  <c r="B7" i="15"/>
  <c r="J9" i="12"/>
  <c r="J8" i="17"/>
  <c r="B8" i="17"/>
  <c r="M27" i="12" l="1"/>
  <c r="B92" i="10"/>
  <c r="M17" i="10"/>
  <c r="D9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F12" i="19"/>
  <c r="F13" i="19"/>
  <c r="F14" i="19"/>
  <c r="F15" i="19"/>
  <c r="F16" i="19"/>
  <c r="F17" i="19"/>
  <c r="F18" i="19"/>
  <c r="C7" i="19"/>
  <c r="F8" i="16"/>
  <c r="G10" i="15"/>
  <c r="F5" i="14"/>
  <c r="F4" i="14"/>
  <c r="G10" i="13"/>
  <c r="E4" i="13"/>
  <c r="F5" i="12"/>
  <c r="F6" i="12"/>
  <c r="G4" i="12"/>
  <c r="H31" i="17"/>
  <c r="D5" i="17"/>
  <c r="E6" i="17"/>
  <c r="G5" i="17"/>
  <c r="G6" i="17"/>
  <c r="F7" i="17"/>
  <c r="D6" i="17"/>
  <c r="F12" i="13" l="1"/>
  <c r="D26" i="20"/>
  <c r="G12" i="16"/>
  <c r="F19" i="16"/>
  <c r="H19" i="16" s="1"/>
  <c r="F8" i="12"/>
  <c r="H8" i="12" s="1"/>
  <c r="F20" i="19"/>
  <c r="N8" i="11"/>
  <c r="N7" i="11"/>
  <c r="N4" i="11"/>
  <c r="D16" i="11"/>
  <c r="D24" i="11"/>
  <c r="D32" i="11"/>
  <c r="D15" i="11"/>
  <c r="D17" i="11"/>
  <c r="D25" i="11"/>
  <c r="D33" i="11"/>
  <c r="D14" i="11"/>
  <c r="D34" i="11"/>
  <c r="D27" i="11"/>
  <c r="D18" i="11"/>
  <c r="D26" i="11"/>
  <c r="D23" i="11"/>
  <c r="D19" i="11"/>
  <c r="D20" i="11"/>
  <c r="D28" i="11"/>
  <c r="D22" i="11"/>
  <c r="D21" i="11"/>
  <c r="D29" i="11"/>
  <c r="D30" i="11"/>
  <c r="D31" i="11"/>
  <c r="G4" i="14"/>
  <c r="F8" i="14"/>
  <c r="H4" i="13"/>
  <c r="K13" i="13"/>
  <c r="H85" i="10"/>
  <c r="K26" i="14"/>
  <c r="E10" i="13"/>
  <c r="B21" i="19"/>
  <c r="G4" i="13"/>
  <c r="E5" i="17"/>
  <c r="H5" i="17"/>
  <c r="H6" i="17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D36" i="11" l="1"/>
  <c r="D12" i="13"/>
  <c r="H25" i="20"/>
  <c r="H23" i="20"/>
  <c r="H21" i="20"/>
  <c r="H19" i="20"/>
  <c r="H17" i="20"/>
  <c r="H24" i="20"/>
  <c r="H22" i="20"/>
  <c r="H20" i="20"/>
  <c r="H18" i="20"/>
  <c r="H16" i="20"/>
  <c r="N6" i="11"/>
  <c r="G12" i="13"/>
  <c r="E9" i="18"/>
  <c r="H39" i="15"/>
  <c r="H10" i="15"/>
  <c r="M6" i="12"/>
  <c r="E6" i="12"/>
  <c r="D9" i="10"/>
  <c r="E10" i="10"/>
  <c r="G6" i="12"/>
  <c r="F6" i="13" l="1"/>
  <c r="H6" i="13" s="1"/>
  <c r="G11" i="17"/>
  <c r="M6" i="11"/>
  <c r="B37" i="11"/>
  <c r="C37" i="11"/>
  <c r="D10" i="10"/>
  <c r="D8" i="10"/>
  <c r="D6" i="10"/>
  <c r="E9" i="10"/>
  <c r="D5" i="10"/>
  <c r="E8" i="10"/>
  <c r="E6" i="10"/>
  <c r="E5" i="10"/>
  <c r="H6" i="12"/>
  <c r="D17" i="10" l="1"/>
  <c r="N11" i="10"/>
  <c r="N12" i="10"/>
  <c r="N13" i="10"/>
  <c r="N14" i="10"/>
  <c r="N6" i="10"/>
  <c r="N4" i="10"/>
  <c r="N8" i="10"/>
  <c r="N9" i="10"/>
  <c r="N10" i="10"/>
  <c r="N5" i="10"/>
  <c r="E19" i="20"/>
  <c r="E23" i="20"/>
  <c r="E18" i="20"/>
  <c r="E16" i="20"/>
  <c r="E20" i="20"/>
  <c r="E24" i="20"/>
  <c r="E21" i="20"/>
  <c r="E25" i="20"/>
  <c r="E17" i="20"/>
  <c r="E22" i="20"/>
  <c r="N17" i="10" l="1"/>
  <c r="N41" i="20"/>
  <c r="H42" i="20"/>
  <c r="H43" i="20"/>
  <c r="H44" i="20"/>
  <c r="H45" i="20"/>
  <c r="H41" i="20"/>
  <c r="H40" i="20"/>
  <c r="H37" i="20"/>
  <c r="H33" i="20"/>
  <c r="F10" i="20"/>
  <c r="G10" i="20" s="1"/>
  <c r="M46" i="11"/>
  <c r="E17" i="16"/>
  <c r="N12" i="16"/>
  <c r="M13" i="16"/>
  <c r="L22" i="13"/>
  <c r="F17" i="18"/>
  <c r="F18" i="18"/>
  <c r="M17" i="18"/>
  <c r="M28" i="18"/>
  <c r="E24" i="15"/>
  <c r="H45" i="12"/>
  <c r="M37" i="12"/>
  <c r="H34" i="19"/>
  <c r="H31" i="19"/>
  <c r="H27" i="19"/>
  <c r="F5" i="19"/>
  <c r="F6" i="19"/>
  <c r="M29" i="19"/>
  <c r="M40" i="14"/>
  <c r="D41" i="14"/>
  <c r="H45" i="14"/>
  <c r="H44" i="14"/>
  <c r="H43" i="14"/>
  <c r="H42" i="14"/>
  <c r="H40" i="14"/>
  <c r="H37" i="14"/>
  <c r="H33" i="14"/>
  <c r="L35" i="14"/>
  <c r="G12" i="14"/>
  <c r="C26" i="14"/>
  <c r="M24" i="17"/>
  <c r="M96" i="10"/>
  <c r="C22" i="13"/>
  <c r="C28" i="18"/>
  <c r="D9" i="18"/>
  <c r="D41" i="20"/>
  <c r="C35" i="20"/>
  <c r="H35" i="20" s="1"/>
  <c r="L26" i="20"/>
  <c r="N24" i="20" s="1"/>
  <c r="K26" i="20"/>
  <c r="B30" i="20" s="1"/>
  <c r="F15" i="20"/>
  <c r="H15" i="20" s="1"/>
  <c r="F14" i="20"/>
  <c r="G14" i="20" s="1"/>
  <c r="F13" i="20"/>
  <c r="H13" i="20" s="1"/>
  <c r="F12" i="20"/>
  <c r="H12" i="20" s="1"/>
  <c r="F11" i="20"/>
  <c r="H11" i="20" s="1"/>
  <c r="F9" i="20"/>
  <c r="G9" i="20" s="1"/>
  <c r="L5" i="20"/>
  <c r="N4" i="20" s="1"/>
  <c r="K5" i="20"/>
  <c r="C5" i="20"/>
  <c r="F4" i="20"/>
  <c r="C29" i="19"/>
  <c r="C35" i="14"/>
  <c r="C24" i="17"/>
  <c r="C46" i="11"/>
  <c r="G17" i="18" l="1"/>
  <c r="H17" i="18"/>
  <c r="F7" i="19"/>
  <c r="F19" i="18"/>
  <c r="F25" i="14"/>
  <c r="G25" i="14"/>
  <c r="E4" i="20"/>
  <c r="C27" i="20"/>
  <c r="L13" i="15"/>
  <c r="M19" i="15"/>
  <c r="H29" i="19"/>
  <c r="M4" i="17"/>
  <c r="M7" i="17" s="1"/>
  <c r="L15" i="17"/>
  <c r="M15" i="18"/>
  <c r="M16" i="18"/>
  <c r="M14" i="18"/>
  <c r="M13" i="18"/>
  <c r="M12" i="18"/>
  <c r="M18" i="18"/>
  <c r="M9" i="18"/>
  <c r="M11" i="18"/>
  <c r="M22" i="15"/>
  <c r="M21" i="15"/>
  <c r="M20" i="15"/>
  <c r="M13" i="15"/>
  <c r="H35" i="14"/>
  <c r="M12" i="16"/>
  <c r="N11" i="16"/>
  <c r="D17" i="16"/>
  <c r="M11" i="15"/>
  <c r="M18" i="15"/>
  <c r="M10" i="15"/>
  <c r="M17" i="15"/>
  <c r="M16" i="15"/>
  <c r="M24" i="15"/>
  <c r="M15" i="15"/>
  <c r="M23" i="15"/>
  <c r="M14" i="15"/>
  <c r="N5" i="20"/>
  <c r="M24" i="20"/>
  <c r="K27" i="20"/>
  <c r="L27" i="20"/>
  <c r="M4" i="20"/>
  <c r="M5" i="20" s="1"/>
  <c r="M15" i="20"/>
  <c r="M14" i="20"/>
  <c r="N14" i="20"/>
  <c r="N15" i="20"/>
  <c r="M13" i="20"/>
  <c r="N13" i="20"/>
  <c r="M12" i="20"/>
  <c r="N12" i="20"/>
  <c r="M11" i="20"/>
  <c r="N11" i="20"/>
  <c r="M9" i="20"/>
  <c r="N9" i="20"/>
  <c r="B29" i="20"/>
  <c r="M10" i="20"/>
  <c r="N10" i="20"/>
  <c r="E18" i="16"/>
  <c r="D18" i="16"/>
  <c r="N16" i="16"/>
  <c r="N15" i="16"/>
  <c r="N13" i="16"/>
  <c r="N14" i="16"/>
  <c r="M11" i="16"/>
  <c r="M16" i="16"/>
  <c r="M15" i="16"/>
  <c r="M14" i="16"/>
  <c r="M10" i="18"/>
  <c r="E22" i="15"/>
  <c r="E23" i="15"/>
  <c r="E21" i="15"/>
  <c r="L16" i="15"/>
  <c r="L12" i="15"/>
  <c r="L20" i="15"/>
  <c r="L24" i="15"/>
  <c r="L10" i="15"/>
  <c r="L23" i="15"/>
  <c r="L19" i="15"/>
  <c r="L15" i="15"/>
  <c r="L22" i="15"/>
  <c r="L18" i="15"/>
  <c r="L14" i="15"/>
  <c r="L11" i="15"/>
  <c r="L17" i="15"/>
  <c r="E10" i="20"/>
  <c r="E14" i="20"/>
  <c r="E12" i="20"/>
  <c r="H14" i="20"/>
  <c r="E11" i="20"/>
  <c r="E15" i="20"/>
  <c r="E9" i="20"/>
  <c r="G11" i="20"/>
  <c r="F26" i="20"/>
  <c r="H26" i="20" s="1"/>
  <c r="H9" i="20"/>
  <c r="E13" i="20"/>
  <c r="H10" i="20"/>
  <c r="F5" i="20"/>
  <c r="H5" i="20" s="1"/>
  <c r="G4" i="20"/>
  <c r="H4" i="20"/>
  <c r="G15" i="20"/>
  <c r="G13" i="20"/>
  <c r="G12" i="20"/>
  <c r="L34" i="15"/>
  <c r="C34" i="15"/>
  <c r="E16" i="15"/>
  <c r="D15" i="15"/>
  <c r="H41" i="14"/>
  <c r="M19" i="16" l="1"/>
  <c r="L25" i="15"/>
  <c r="M19" i="18"/>
  <c r="N19" i="16"/>
  <c r="N26" i="20"/>
  <c r="N27" i="20" s="1"/>
  <c r="G25" i="15"/>
  <c r="M26" i="20"/>
  <c r="M27" i="20" s="1"/>
  <c r="D22" i="15"/>
  <c r="E15" i="15"/>
  <c r="D11" i="15"/>
  <c r="D21" i="15"/>
  <c r="D13" i="15"/>
  <c r="E14" i="15"/>
  <c r="D20" i="15"/>
  <c r="E11" i="15"/>
  <c r="E13" i="15"/>
  <c r="D14" i="15"/>
  <c r="D19" i="15"/>
  <c r="E10" i="15"/>
  <c r="D18" i="15"/>
  <c r="E19" i="15"/>
  <c r="D17" i="15"/>
  <c r="E18" i="15"/>
  <c r="D24" i="15"/>
  <c r="D16" i="15"/>
  <c r="E17" i="15"/>
  <c r="D23" i="15"/>
  <c r="E26" i="20"/>
  <c r="F27" i="20"/>
  <c r="H27" i="20" s="1"/>
  <c r="G5" i="20"/>
  <c r="D5" i="20"/>
  <c r="D27" i="20" s="1"/>
  <c r="E5" i="20"/>
  <c r="G26" i="20"/>
  <c r="M4" i="14"/>
  <c r="M8" i="14" s="1"/>
  <c r="L4" i="14"/>
  <c r="L8" i="14" s="1"/>
  <c r="G6" i="13"/>
  <c r="H39" i="12"/>
  <c r="H37" i="12"/>
  <c r="H35" i="12"/>
  <c r="H44" i="12"/>
  <c r="H43" i="12"/>
  <c r="H42" i="12"/>
  <c r="L37" i="11"/>
  <c r="H14" i="11"/>
  <c r="G71" i="10"/>
  <c r="D6" i="12" l="1"/>
  <c r="H12" i="13"/>
  <c r="E27" i="20"/>
  <c r="G27" i="20"/>
  <c r="H4" i="11"/>
  <c r="F13" i="13" l="1"/>
  <c r="C21" i="19"/>
  <c r="N6" i="12" l="1"/>
  <c r="B28" i="12"/>
  <c r="M5" i="11"/>
  <c r="M10" i="11" s="1"/>
  <c r="N5" i="11"/>
  <c r="N10" i="11" s="1"/>
  <c r="H6" i="10"/>
  <c r="B32" i="12" l="1"/>
  <c r="H4" i="10" l="1"/>
  <c r="H26" i="18" l="1"/>
  <c r="H44" i="15"/>
  <c r="H29" i="10"/>
  <c r="G67" i="10"/>
  <c r="H5" i="13" l="1"/>
  <c r="E21" i="10"/>
  <c r="E17" i="10"/>
  <c r="H21" i="10"/>
  <c r="G4" i="17"/>
  <c r="G7" i="17" s="1"/>
  <c r="L5" i="18"/>
  <c r="L20" i="18" s="1"/>
  <c r="C5" i="18"/>
  <c r="C20" i="18" s="1"/>
  <c r="H37" i="19"/>
  <c r="C6" i="15"/>
  <c r="C26" i="15" s="1"/>
  <c r="D4" i="18" l="1"/>
  <c r="B20" i="18"/>
  <c r="E18" i="19"/>
  <c r="D18" i="19"/>
  <c r="B24" i="18" l="1"/>
  <c r="M18" i="19" l="1"/>
  <c r="N18" i="19"/>
  <c r="D16" i="16"/>
  <c r="H12" i="12"/>
  <c r="E4" i="17" l="1"/>
  <c r="E7" i="17" s="1"/>
  <c r="C15" i="17"/>
  <c r="N4" i="17"/>
  <c r="N7" i="17" s="1"/>
  <c r="E15" i="16"/>
  <c r="E16" i="16"/>
  <c r="D15" i="16"/>
  <c r="D12" i="12"/>
  <c r="G4" i="11" l="1"/>
  <c r="N52" i="11" l="1"/>
  <c r="M21" i="10"/>
  <c r="G22" i="10"/>
  <c r="G23" i="10"/>
  <c r="G24" i="10"/>
  <c r="H25" i="10"/>
  <c r="H26" i="10"/>
  <c r="H27" i="10"/>
  <c r="G28" i="10"/>
  <c r="G29" i="10"/>
  <c r="G30" i="10"/>
  <c r="G31" i="10"/>
  <c r="G32" i="10"/>
  <c r="H33" i="10"/>
  <c r="H34" i="10"/>
  <c r="H35" i="10"/>
  <c r="G36" i="10"/>
  <c r="G37" i="10"/>
  <c r="G38" i="10"/>
  <c r="G39" i="10"/>
  <c r="G40" i="10"/>
  <c r="H41" i="10"/>
  <c r="G42" i="10"/>
  <c r="H43" i="10"/>
  <c r="H44" i="10"/>
  <c r="G46" i="10"/>
  <c r="G47" i="10"/>
  <c r="G48" i="10"/>
  <c r="H49" i="10"/>
  <c r="H50" i="10"/>
  <c r="H51" i="10"/>
  <c r="G52" i="10"/>
  <c r="G53" i="10"/>
  <c r="G54" i="10"/>
  <c r="G55" i="10"/>
  <c r="G56" i="10"/>
  <c r="H57" i="10"/>
  <c r="H58" i="10"/>
  <c r="G59" i="10"/>
  <c r="G60" i="10"/>
  <c r="G61" i="10"/>
  <c r="G62" i="10"/>
  <c r="G63" i="10"/>
  <c r="G64" i="10"/>
  <c r="H65" i="10"/>
  <c r="H66" i="10"/>
  <c r="H67" i="10"/>
  <c r="G68" i="10"/>
  <c r="G69" i="10"/>
  <c r="G70" i="10"/>
  <c r="G72" i="10"/>
  <c r="G73" i="10"/>
  <c r="G74" i="10"/>
  <c r="H75" i="10"/>
  <c r="E25" i="10"/>
  <c r="D23" i="10"/>
  <c r="D52" i="10" l="1"/>
  <c r="D72" i="10"/>
  <c r="E53" i="10"/>
  <c r="D67" i="10"/>
  <c r="D66" i="10"/>
  <c r="D51" i="10"/>
  <c r="D49" i="10"/>
  <c r="D45" i="10"/>
  <c r="D41" i="10"/>
  <c r="D64" i="10"/>
  <c r="D36" i="10"/>
  <c r="D60" i="10"/>
  <c r="D33" i="10"/>
  <c r="D29" i="10"/>
  <c r="D35" i="10"/>
  <c r="D75" i="10"/>
  <c r="D59" i="10"/>
  <c r="D44" i="10"/>
  <c r="D28" i="10"/>
  <c r="D74" i="10"/>
  <c r="D58" i="10"/>
  <c r="D43" i="10"/>
  <c r="D26" i="10"/>
  <c r="D68" i="10"/>
  <c r="D53" i="10"/>
  <c r="D37" i="10"/>
  <c r="E29" i="10"/>
  <c r="E39" i="10"/>
  <c r="E70" i="10"/>
  <c r="D22" i="10"/>
  <c r="E41" i="10"/>
  <c r="E75" i="10"/>
  <c r="E62" i="10"/>
  <c r="E60" i="10"/>
  <c r="H7" i="11"/>
  <c r="G7" i="11"/>
  <c r="E72" i="10"/>
  <c r="E37" i="10"/>
  <c r="E71" i="10"/>
  <c r="E55" i="10"/>
  <c r="E33" i="10"/>
  <c r="E68" i="10"/>
  <c r="E49" i="10"/>
  <c r="E28" i="10"/>
  <c r="E22" i="10"/>
  <c r="E67" i="10"/>
  <c r="E47" i="10"/>
  <c r="E26" i="10"/>
  <c r="E64" i="10"/>
  <c r="E45" i="10"/>
  <c r="M59" i="10"/>
  <c r="M57" i="10"/>
  <c r="M38" i="10"/>
  <c r="H39" i="10"/>
  <c r="M46" i="10"/>
  <c r="M36" i="10"/>
  <c r="G66" i="10"/>
  <c r="M27" i="10"/>
  <c r="G51" i="10"/>
  <c r="G35" i="10"/>
  <c r="N68" i="10"/>
  <c r="N43" i="10"/>
  <c r="H55" i="10"/>
  <c r="H37" i="10"/>
  <c r="N67" i="10"/>
  <c r="N37" i="10"/>
  <c r="N61" i="10"/>
  <c r="N35" i="10"/>
  <c r="H74" i="10"/>
  <c r="N70" i="10"/>
  <c r="N58" i="10"/>
  <c r="N34" i="10"/>
  <c r="H60" i="10"/>
  <c r="M66" i="10"/>
  <c r="N57" i="10"/>
  <c r="N30" i="10"/>
  <c r="N51" i="10"/>
  <c r="N23" i="10"/>
  <c r="H53" i="10"/>
  <c r="N74" i="10"/>
  <c r="N50" i="10"/>
  <c r="H45" i="10"/>
  <c r="G58" i="10"/>
  <c r="N73" i="10"/>
  <c r="N46" i="10"/>
  <c r="H52" i="10"/>
  <c r="H36" i="10"/>
  <c r="G75" i="10"/>
  <c r="G44" i="10"/>
  <c r="M75" i="10"/>
  <c r="M55" i="10"/>
  <c r="M35" i="10"/>
  <c r="N60" i="10"/>
  <c r="N45" i="10"/>
  <c r="N29" i="10"/>
  <c r="H62" i="10"/>
  <c r="H47" i="10"/>
  <c r="H31" i="10"/>
  <c r="G43" i="10"/>
  <c r="M68" i="10"/>
  <c r="M50" i="10"/>
  <c r="M28" i="10"/>
  <c r="N75" i="10"/>
  <c r="N59" i="10"/>
  <c r="N44" i="10"/>
  <c r="N27" i="10"/>
  <c r="H61" i="10"/>
  <c r="H46" i="10"/>
  <c r="H30" i="10"/>
  <c r="M70" i="10"/>
  <c r="M67" i="10"/>
  <c r="M47" i="10"/>
  <c r="H59" i="10"/>
  <c r="H28" i="10"/>
  <c r="M65" i="10"/>
  <c r="M45" i="10"/>
  <c r="M24" i="10"/>
  <c r="N69" i="10"/>
  <c r="N54" i="10"/>
  <c r="N36" i="10"/>
  <c r="N21" i="10"/>
  <c r="H23" i="10"/>
  <c r="H54" i="10"/>
  <c r="H38" i="10"/>
  <c r="H22" i="10"/>
  <c r="M58" i="10"/>
  <c r="M37" i="10"/>
  <c r="H56" i="10"/>
  <c r="H48" i="10"/>
  <c r="H40" i="10"/>
  <c r="H32" i="10"/>
  <c r="H24" i="10"/>
  <c r="H68" i="10"/>
  <c r="M69" i="10"/>
  <c r="M60" i="10"/>
  <c r="M51" i="10"/>
  <c r="M39" i="10"/>
  <c r="M29" i="10"/>
  <c r="H73" i="10"/>
  <c r="G65" i="10"/>
  <c r="G50" i="10"/>
  <c r="G34" i="10"/>
  <c r="G27" i="10"/>
  <c r="H63" i="10"/>
  <c r="H72" i="10"/>
  <c r="H64" i="10"/>
  <c r="G49" i="10"/>
  <c r="G41" i="10"/>
  <c r="G33" i="10"/>
  <c r="G26" i="10"/>
  <c r="G57" i="10"/>
  <c r="H71" i="10"/>
  <c r="G25" i="10"/>
  <c r="M74" i="10"/>
  <c r="M63" i="10"/>
  <c r="M54" i="10"/>
  <c r="M44" i="10"/>
  <c r="M34" i="10"/>
  <c r="M23" i="10"/>
  <c r="H42" i="10"/>
  <c r="H70" i="10"/>
  <c r="M72" i="10"/>
  <c r="M62" i="10"/>
  <c r="M53" i="10"/>
  <c r="M43" i="10"/>
  <c r="M31" i="10"/>
  <c r="M22" i="10"/>
  <c r="N66" i="10"/>
  <c r="N53" i="10"/>
  <c r="N42" i="10"/>
  <c r="N28" i="10"/>
  <c r="H69" i="10"/>
  <c r="M71" i="10"/>
  <c r="M61" i="10"/>
  <c r="M52" i="10"/>
  <c r="M42" i="10"/>
  <c r="M30" i="10"/>
  <c r="N65" i="10"/>
  <c r="N52" i="10"/>
  <c r="N38" i="10"/>
  <c r="N71" i="10"/>
  <c r="N63" i="10"/>
  <c r="N56" i="10"/>
  <c r="N48" i="10"/>
  <c r="N40" i="10"/>
  <c r="N32" i="10"/>
  <c r="N25" i="10"/>
  <c r="N72" i="10"/>
  <c r="N64" i="10"/>
  <c r="N49" i="10"/>
  <c r="N41" i="10"/>
  <c r="N33" i="10"/>
  <c r="N26" i="10"/>
  <c r="N62" i="10"/>
  <c r="N55" i="10"/>
  <c r="N47" i="10"/>
  <c r="N39" i="10"/>
  <c r="N31" i="10"/>
  <c r="N24" i="10"/>
  <c r="N22" i="10"/>
  <c r="M73" i="10"/>
  <c r="M64" i="10"/>
  <c r="M49" i="10"/>
  <c r="M41" i="10"/>
  <c r="M33" i="10"/>
  <c r="M26" i="10"/>
  <c r="M56" i="10"/>
  <c r="M48" i="10"/>
  <c r="M40" i="10"/>
  <c r="M32" i="10"/>
  <c r="M25" i="10"/>
  <c r="E31" i="10"/>
  <c r="E24" i="10"/>
  <c r="E69" i="10"/>
  <c r="E61" i="10"/>
  <c r="E54" i="10"/>
  <c r="E46" i="10"/>
  <c r="E38" i="10"/>
  <c r="E30" i="10"/>
  <c r="E23" i="10"/>
  <c r="E44" i="10"/>
  <c r="E66" i="10"/>
  <c r="E35" i="10"/>
  <c r="E59" i="10"/>
  <c r="E52" i="10"/>
  <c r="E36" i="10"/>
  <c r="E74" i="10"/>
  <c r="E58" i="10"/>
  <c r="E51" i="10"/>
  <c r="E43" i="10"/>
  <c r="E73" i="10"/>
  <c r="E65" i="10"/>
  <c r="E57" i="10"/>
  <c r="E50" i="10"/>
  <c r="E42" i="10"/>
  <c r="E34" i="10"/>
  <c r="E27" i="10"/>
  <c r="E63" i="10"/>
  <c r="E56" i="10"/>
  <c r="E48" i="10"/>
  <c r="E40" i="10"/>
  <c r="E32" i="10"/>
  <c r="D73" i="10"/>
  <c r="D65" i="10"/>
  <c r="D57" i="10"/>
  <c r="D50" i="10"/>
  <c r="D42" i="10"/>
  <c r="D34" i="10"/>
  <c r="D27" i="10"/>
  <c r="D71" i="10"/>
  <c r="D63" i="10"/>
  <c r="D56" i="10"/>
  <c r="D48" i="10"/>
  <c r="D40" i="10"/>
  <c r="D32" i="10"/>
  <c r="D25" i="10"/>
  <c r="D70" i="10"/>
  <c r="D62" i="10"/>
  <c r="D55" i="10"/>
  <c r="D47" i="10"/>
  <c r="D39" i="10"/>
  <c r="D31" i="10"/>
  <c r="D24" i="10"/>
  <c r="D21" i="10"/>
  <c r="D69" i="10"/>
  <c r="D61" i="10"/>
  <c r="D54" i="10"/>
  <c r="D46" i="10"/>
  <c r="D38" i="10"/>
  <c r="D30" i="10"/>
  <c r="H5" i="10"/>
  <c r="D86" i="10" l="1"/>
  <c r="E86" i="10"/>
  <c r="M85" i="10"/>
  <c r="G85" i="10"/>
  <c r="N85" i="10"/>
  <c r="D85" i="10"/>
  <c r="E85" i="10"/>
  <c r="H9" i="10"/>
  <c r="H8" i="10"/>
  <c r="G17" i="10" l="1"/>
  <c r="H8" i="16"/>
  <c r="M14" i="19" l="1"/>
  <c r="M15" i="19"/>
  <c r="M16" i="19"/>
  <c r="M17" i="19"/>
  <c r="N14" i="19"/>
  <c r="N15" i="19"/>
  <c r="N16" i="19"/>
  <c r="N17" i="19"/>
  <c r="G11" i="19"/>
  <c r="M13" i="19"/>
  <c r="D17" i="19"/>
  <c r="E17" i="19"/>
  <c r="N13" i="19"/>
  <c r="E14" i="11" l="1"/>
  <c r="B20" i="16"/>
  <c r="C20" i="16"/>
  <c r="M31" i="11"/>
  <c r="N31" i="11"/>
  <c r="N34" i="11"/>
  <c r="N33" i="11"/>
  <c r="N32" i="11"/>
  <c r="M33" i="11"/>
  <c r="M32" i="11"/>
  <c r="M34" i="11"/>
  <c r="H32" i="17"/>
  <c r="H30" i="13"/>
  <c r="H31" i="13"/>
  <c r="H32" i="13"/>
  <c r="H29" i="13"/>
  <c r="H47" i="12"/>
  <c r="G8" i="11"/>
  <c r="G5" i="11" l="1"/>
  <c r="H6" i="11"/>
  <c r="G6" i="11"/>
  <c r="H5" i="11"/>
  <c r="E21" i="12"/>
  <c r="E22" i="12"/>
  <c r="D21" i="12"/>
  <c r="D22" i="12"/>
  <c r="M6" i="19"/>
  <c r="B25" i="19"/>
  <c r="H6" i="19"/>
  <c r="H30" i="18"/>
  <c r="H34" i="18"/>
  <c r="H35" i="18"/>
  <c r="H36" i="18"/>
  <c r="H37" i="18"/>
  <c r="H38" i="18"/>
  <c r="H33" i="18"/>
  <c r="N18" i="18"/>
  <c r="H4" i="17"/>
  <c r="H21" i="12"/>
  <c r="E17" i="12"/>
  <c r="N16" i="12"/>
  <c r="D18" i="12"/>
  <c r="B26" i="15" l="1"/>
  <c r="F5" i="18"/>
  <c r="H5" i="18" s="1"/>
  <c r="K20" i="16"/>
  <c r="B24" i="16" s="1"/>
  <c r="N6" i="19"/>
  <c r="L21" i="19"/>
  <c r="E6" i="19"/>
  <c r="L20" i="16"/>
  <c r="N10" i="17"/>
  <c r="G6" i="15"/>
  <c r="D20" i="12"/>
  <c r="D17" i="12"/>
  <c r="D19" i="12"/>
  <c r="H22" i="12"/>
  <c r="M16" i="11"/>
  <c r="M20" i="11"/>
  <c r="M24" i="11"/>
  <c r="M28" i="11"/>
  <c r="M23" i="11"/>
  <c r="M17" i="11"/>
  <c r="M21" i="11"/>
  <c r="M25" i="11"/>
  <c r="M29" i="11"/>
  <c r="M18" i="11"/>
  <c r="M22" i="11"/>
  <c r="M26" i="11"/>
  <c r="M30" i="11"/>
  <c r="M15" i="11"/>
  <c r="M19" i="11"/>
  <c r="M27" i="11"/>
  <c r="N19" i="11"/>
  <c r="N16" i="11"/>
  <c r="N20" i="11"/>
  <c r="N24" i="11"/>
  <c r="N28" i="11"/>
  <c r="N23" i="11"/>
  <c r="N17" i="11"/>
  <c r="N21" i="11"/>
  <c r="N25" i="11"/>
  <c r="N29" i="11"/>
  <c r="N14" i="11"/>
  <c r="N18" i="11"/>
  <c r="N22" i="11"/>
  <c r="N26" i="11"/>
  <c r="N30" i="11"/>
  <c r="N15" i="11"/>
  <c r="N27" i="11"/>
  <c r="D6" i="19"/>
  <c r="G6" i="19"/>
  <c r="N19" i="12"/>
  <c r="N22" i="12"/>
  <c r="N18" i="12"/>
  <c r="N17" i="12"/>
  <c r="N21" i="12"/>
  <c r="N20" i="12"/>
  <c r="E18" i="12"/>
  <c r="E19" i="12"/>
  <c r="E20" i="12"/>
  <c r="H19" i="12"/>
  <c r="H17" i="12"/>
  <c r="H20" i="12"/>
  <c r="H18" i="12"/>
  <c r="H4" i="16"/>
  <c r="H18" i="18"/>
  <c r="H4" i="18"/>
  <c r="H11" i="17"/>
  <c r="H12" i="16"/>
  <c r="H4" i="15"/>
  <c r="H10" i="13"/>
  <c r="H14" i="12"/>
  <c r="H15" i="12"/>
  <c r="H5" i="12"/>
  <c r="H4" i="12"/>
  <c r="H8" i="11"/>
  <c r="H10" i="11"/>
  <c r="D5" i="19"/>
  <c r="D5" i="14"/>
  <c r="H44" i="11"/>
  <c r="H38" i="19"/>
  <c r="N35" i="19"/>
  <c r="H35" i="19"/>
  <c r="D35" i="19"/>
  <c r="N5" i="19"/>
  <c r="M5" i="19"/>
  <c r="N34" i="18"/>
  <c r="D34" i="18"/>
  <c r="H28" i="18"/>
  <c r="N13" i="18"/>
  <c r="E16" i="18"/>
  <c r="D15" i="18"/>
  <c r="H33" i="17"/>
  <c r="N30" i="17"/>
  <c r="H30" i="17"/>
  <c r="D30" i="17"/>
  <c r="H29" i="17"/>
  <c r="H26" i="17"/>
  <c r="H24" i="17"/>
  <c r="H22" i="17"/>
  <c r="K14" i="17"/>
  <c r="N11" i="17"/>
  <c r="H43" i="15"/>
  <c r="H42" i="15"/>
  <c r="H41" i="15"/>
  <c r="M40" i="15"/>
  <c r="H40" i="15"/>
  <c r="D40" i="15"/>
  <c r="H36" i="15"/>
  <c r="H34" i="15"/>
  <c r="H32" i="15"/>
  <c r="K26" i="15"/>
  <c r="M28" i="13"/>
  <c r="H28" i="13"/>
  <c r="D28" i="13"/>
  <c r="H27" i="13"/>
  <c r="H24" i="13"/>
  <c r="H22" i="13"/>
  <c r="H20" i="13"/>
  <c r="L10" i="13"/>
  <c r="J13" i="13"/>
  <c r="H46" i="12"/>
  <c r="N43" i="12"/>
  <c r="D43" i="12"/>
  <c r="H56" i="11"/>
  <c r="H55" i="11"/>
  <c r="H54" i="11"/>
  <c r="H53" i="11"/>
  <c r="H52" i="11"/>
  <c r="D52" i="11"/>
  <c r="H51" i="11"/>
  <c r="H48" i="11"/>
  <c r="H46" i="11"/>
  <c r="B18" i="17" l="1"/>
  <c r="M13" i="17"/>
  <c r="K15" i="17"/>
  <c r="M10" i="17"/>
  <c r="M36" i="11"/>
  <c r="N14" i="17"/>
  <c r="N36" i="11"/>
  <c r="H7" i="19"/>
  <c r="F21" i="19"/>
  <c r="D4" i="17"/>
  <c r="D7" i="17" s="1"/>
  <c r="H19" i="18"/>
  <c r="H8" i="14"/>
  <c r="H5" i="14"/>
  <c r="G10" i="11"/>
  <c r="G5" i="19"/>
  <c r="F20" i="16"/>
  <c r="H20" i="16" s="1"/>
  <c r="H6" i="15"/>
  <c r="H13" i="12"/>
  <c r="D4" i="16"/>
  <c r="H4" i="19"/>
  <c r="E12" i="16"/>
  <c r="D16" i="19"/>
  <c r="D15" i="19"/>
  <c r="H11" i="19"/>
  <c r="D12" i="19"/>
  <c r="D13" i="19"/>
  <c r="D14" i="19"/>
  <c r="H5" i="19"/>
  <c r="G4" i="19"/>
  <c r="G9" i="18"/>
  <c r="G18" i="18"/>
  <c r="G5" i="18"/>
  <c r="N4" i="18"/>
  <c r="N5" i="18" s="1"/>
  <c r="E4" i="18"/>
  <c r="E5" i="18" s="1"/>
  <c r="E10" i="18"/>
  <c r="H9" i="18"/>
  <c r="E15" i="18"/>
  <c r="E11" i="18"/>
  <c r="D12" i="18"/>
  <c r="E13" i="18"/>
  <c r="H7" i="17"/>
  <c r="B15" i="17"/>
  <c r="D14" i="16"/>
  <c r="D4" i="15"/>
  <c r="D6" i="15" s="1"/>
  <c r="L4" i="15"/>
  <c r="L6" i="15" s="1"/>
  <c r="J26" i="15"/>
  <c r="B30" i="15" s="1"/>
  <c r="D13" i="14"/>
  <c r="H12" i="14"/>
  <c r="D16" i="14"/>
  <c r="D18" i="14"/>
  <c r="D24" i="14"/>
  <c r="D12" i="14"/>
  <c r="H4" i="14"/>
  <c r="G5" i="14"/>
  <c r="G8" i="14" s="1"/>
  <c r="C13" i="13"/>
  <c r="H13" i="13"/>
  <c r="M4" i="12"/>
  <c r="G5" i="12"/>
  <c r="G8" i="12" s="1"/>
  <c r="G28" i="12" s="1"/>
  <c r="C28" i="12"/>
  <c r="H16" i="12"/>
  <c r="E5" i="11"/>
  <c r="L86" i="10"/>
  <c r="G4" i="16"/>
  <c r="G19" i="16"/>
  <c r="D11" i="19"/>
  <c r="D4" i="19"/>
  <c r="D7" i="19" s="1"/>
  <c r="N17" i="18"/>
  <c r="N9" i="18"/>
  <c r="N10" i="18"/>
  <c r="N11" i="18"/>
  <c r="E12" i="18"/>
  <c r="N12" i="18"/>
  <c r="E14" i="18"/>
  <c r="N15" i="18"/>
  <c r="D13" i="18"/>
  <c r="D14" i="18"/>
  <c r="N16" i="18"/>
  <c r="N14" i="18"/>
  <c r="D16" i="18"/>
  <c r="D12" i="16"/>
  <c r="D13" i="16"/>
  <c r="D14" i="14"/>
  <c r="D20" i="14"/>
  <c r="D21" i="14"/>
  <c r="D23" i="14"/>
  <c r="M5" i="13"/>
  <c r="M6" i="13" s="1"/>
  <c r="L9" i="13"/>
  <c r="L12" i="13" s="1"/>
  <c r="D16" i="12"/>
  <c r="M11" i="19"/>
  <c r="E4" i="19"/>
  <c r="M12" i="19"/>
  <c r="M4" i="19"/>
  <c r="M7" i="19" s="1"/>
  <c r="E11" i="19"/>
  <c r="E12" i="19"/>
  <c r="E15" i="19"/>
  <c r="E16" i="19"/>
  <c r="N4" i="19"/>
  <c r="N7" i="19" s="1"/>
  <c r="E5" i="19"/>
  <c r="N12" i="19"/>
  <c r="N20" i="19" s="1"/>
  <c r="E13" i="19"/>
  <c r="E14" i="19"/>
  <c r="D5" i="18"/>
  <c r="D10" i="18"/>
  <c r="D19" i="18" s="1"/>
  <c r="D11" i="18"/>
  <c r="M4" i="18"/>
  <c r="M5" i="18" s="1"/>
  <c r="D11" i="17"/>
  <c r="E11" i="17"/>
  <c r="M11" i="17"/>
  <c r="M14" i="17" s="1"/>
  <c r="M4" i="16"/>
  <c r="M8" i="16" s="1"/>
  <c r="N4" i="16"/>
  <c r="N8" i="16" s="1"/>
  <c r="E4" i="16"/>
  <c r="E14" i="16"/>
  <c r="E13" i="16"/>
  <c r="D12" i="15"/>
  <c r="D25" i="15" s="1"/>
  <c r="M12" i="15"/>
  <c r="M25" i="15" s="1"/>
  <c r="M4" i="15"/>
  <c r="M6" i="15" s="1"/>
  <c r="E12" i="15"/>
  <c r="E20" i="15"/>
  <c r="E4" i="15"/>
  <c r="E6" i="15" s="1"/>
  <c r="E4" i="14"/>
  <c r="E16" i="14"/>
  <c r="E17" i="14"/>
  <c r="E23" i="14"/>
  <c r="E24" i="14"/>
  <c r="D4" i="14"/>
  <c r="D8" i="14" s="1"/>
  <c r="E13" i="14"/>
  <c r="E12" i="14"/>
  <c r="E14" i="14"/>
  <c r="E15" i="14"/>
  <c r="E18" i="14"/>
  <c r="E19" i="14"/>
  <c r="E20" i="14"/>
  <c r="E21" i="14"/>
  <c r="E22" i="14"/>
  <c r="E5" i="14"/>
  <c r="D15" i="14"/>
  <c r="D17" i="14"/>
  <c r="D19" i="14"/>
  <c r="D22" i="14"/>
  <c r="M10" i="13"/>
  <c r="D5" i="13"/>
  <c r="D6" i="13" s="1"/>
  <c r="E5" i="13"/>
  <c r="E6" i="13" s="1"/>
  <c r="L5" i="13"/>
  <c r="L6" i="13" s="1"/>
  <c r="M9" i="13"/>
  <c r="D13" i="12"/>
  <c r="D14" i="12"/>
  <c r="E13" i="12"/>
  <c r="N4" i="12"/>
  <c r="N5" i="12"/>
  <c r="N14" i="12"/>
  <c r="E4" i="12"/>
  <c r="E16" i="12"/>
  <c r="D4" i="12"/>
  <c r="E12" i="12"/>
  <c r="E14" i="12"/>
  <c r="E15" i="12"/>
  <c r="D5" i="12"/>
  <c r="E5" i="12"/>
  <c r="M5" i="12"/>
  <c r="N13" i="12"/>
  <c r="D15" i="12"/>
  <c r="N15" i="12"/>
  <c r="D7" i="11"/>
  <c r="E6" i="11"/>
  <c r="E7" i="11"/>
  <c r="E8" i="11"/>
  <c r="E17" i="11"/>
  <c r="E33" i="11"/>
  <c r="E34" i="11"/>
  <c r="E19" i="11"/>
  <c r="E20" i="11"/>
  <c r="E21" i="11"/>
  <c r="E24" i="11"/>
  <c r="E25" i="11"/>
  <c r="E15" i="11"/>
  <c r="E16" i="11"/>
  <c r="E18" i="11"/>
  <c r="E22" i="11"/>
  <c r="E23" i="11"/>
  <c r="E26" i="11"/>
  <c r="E27" i="11"/>
  <c r="E28" i="11"/>
  <c r="E29" i="11"/>
  <c r="E30" i="11"/>
  <c r="E31" i="11"/>
  <c r="E32" i="11"/>
  <c r="D5" i="11"/>
  <c r="D6" i="11"/>
  <c r="D8" i="11"/>
  <c r="M20" i="19" l="1"/>
  <c r="D19" i="16"/>
  <c r="D25" i="14"/>
  <c r="M12" i="13"/>
  <c r="D8" i="12"/>
  <c r="N8" i="12"/>
  <c r="N27" i="12"/>
  <c r="M8" i="12"/>
  <c r="D27" i="12"/>
  <c r="E27" i="12"/>
  <c r="J16" i="17"/>
  <c r="D14" i="17"/>
  <c r="D15" i="17" s="1"/>
  <c r="E14" i="17"/>
  <c r="E10" i="11"/>
  <c r="D10" i="11"/>
  <c r="D37" i="11" s="1"/>
  <c r="N19" i="18"/>
  <c r="M15" i="17"/>
  <c r="E19" i="16"/>
  <c r="E19" i="18"/>
  <c r="E25" i="15"/>
  <c r="E20" i="19"/>
  <c r="D20" i="19"/>
  <c r="E25" i="14"/>
  <c r="G36" i="11"/>
  <c r="G37" i="11" s="1"/>
  <c r="E8" i="14"/>
  <c r="E8" i="12"/>
  <c r="G20" i="19"/>
  <c r="E36" i="11"/>
  <c r="B20" i="17"/>
  <c r="E7" i="19"/>
  <c r="M37" i="11"/>
  <c r="F26" i="15"/>
  <c r="H26" i="15" s="1"/>
  <c r="G19" i="18"/>
  <c r="D8" i="16"/>
  <c r="E12" i="13"/>
  <c r="E13" i="13" s="1"/>
  <c r="G7" i="19"/>
  <c r="B19" i="17"/>
  <c r="F37" i="11"/>
  <c r="H37" i="11" s="1"/>
  <c r="E8" i="16"/>
  <c r="G26" i="15"/>
  <c r="G86" i="10"/>
  <c r="G8" i="16"/>
  <c r="F20" i="18"/>
  <c r="H20" i="18" s="1"/>
  <c r="F26" i="14"/>
  <c r="B17" i="13"/>
  <c r="B18" i="13"/>
  <c r="B33" i="12"/>
  <c r="F28" i="12"/>
  <c r="H28" i="12" s="1"/>
  <c r="N15" i="17"/>
  <c r="N102" i="10"/>
  <c r="F14" i="17" l="1"/>
  <c r="H12" i="17"/>
  <c r="H13" i="17"/>
  <c r="M28" i="12"/>
  <c r="G21" i="19"/>
  <c r="N20" i="18"/>
  <c r="D20" i="16"/>
  <c r="G20" i="16"/>
  <c r="E21" i="19"/>
  <c r="M21" i="19"/>
  <c r="D21" i="19"/>
  <c r="G20" i="18"/>
  <c r="G13" i="13"/>
  <c r="L26" i="15"/>
  <c r="D26" i="15"/>
  <c r="N21" i="19"/>
  <c r="E20" i="18"/>
  <c r="D20" i="18"/>
  <c r="M20" i="18"/>
  <c r="E15" i="17"/>
  <c r="N20" i="16"/>
  <c r="M20" i="16"/>
  <c r="M26" i="15"/>
  <c r="E26" i="15"/>
  <c r="D26" i="14"/>
  <c r="G26" i="14"/>
  <c r="L13" i="13"/>
  <c r="M13" i="13"/>
  <c r="D13" i="13"/>
  <c r="N28" i="12"/>
  <c r="D28" i="12"/>
  <c r="E28" i="12"/>
  <c r="N37" i="11"/>
  <c r="E37" i="11"/>
  <c r="E20" i="16"/>
  <c r="E26" i="14"/>
  <c r="G14" i="17" l="1"/>
  <c r="G15" i="17" s="1"/>
  <c r="F15" i="17"/>
  <c r="H15" i="17" s="1"/>
  <c r="H14" i="17"/>
  <c r="H86" i="10"/>
  <c r="D102" i="10"/>
  <c r="H106" i="10"/>
  <c r="H105" i="10"/>
  <c r="H104" i="10"/>
  <c r="H103" i="10"/>
  <c r="H102" i="10"/>
  <c r="H101" i="10"/>
  <c r="H98" i="10"/>
  <c r="H96" i="10"/>
  <c r="M86" i="10" l="1"/>
  <c r="N86" i="10"/>
  <c r="L23" i="14" l="1"/>
  <c r="L19" i="14"/>
  <c r="L18" i="14"/>
  <c r="L13" i="14"/>
  <c r="L20" i="14"/>
  <c r="L24" i="14"/>
  <c r="L15" i="14"/>
  <c r="L14" i="14"/>
  <c r="L21" i="14"/>
  <c r="L16" i="14"/>
  <c r="L17" i="14"/>
  <c r="L22" i="14"/>
  <c r="M21" i="14"/>
  <c r="M17" i="14"/>
  <c r="M14" i="14"/>
  <c r="M23" i="14"/>
  <c r="M18" i="14"/>
  <c r="M16" i="14"/>
  <c r="M20" i="14"/>
  <c r="M13" i="14"/>
  <c r="M15" i="14"/>
  <c r="M24" i="14"/>
  <c r="M22" i="14"/>
  <c r="L25" i="14" l="1"/>
  <c r="L26" i="14" s="1"/>
  <c r="M25" i="14"/>
  <c r="M26" i="14" s="1"/>
  <c r="B30" i="14"/>
  <c r="B31" i="14"/>
</calcChain>
</file>

<file path=xl/sharedStrings.xml><?xml version="1.0" encoding="utf-8"?>
<sst xmlns="http://schemas.openxmlformats.org/spreadsheetml/2006/main" count="858" uniqueCount="141">
  <si>
    <t>Gran Total</t>
  </si>
  <si>
    <t>Cantidad de Tickets</t>
  </si>
  <si>
    <t>Recaudacion (Bs.)</t>
  </si>
  <si>
    <t>Participacion Unidades</t>
  </si>
  <si>
    <t>Participacion Recaudación</t>
  </si>
  <si>
    <t>var uni</t>
  </si>
  <si>
    <t>var</t>
  </si>
  <si>
    <t>VAR RECETA Q</t>
  </si>
  <si>
    <t>VAR RECETA %</t>
  </si>
  <si>
    <t>VENTAS MIA</t>
  </si>
  <si>
    <t>TICKET PROMEDIO</t>
  </si>
  <si>
    <t>TICKETS</t>
  </si>
  <si>
    <t>RUBROS</t>
  </si>
  <si>
    <t>lente</t>
  </si>
  <si>
    <t>montura</t>
  </si>
  <si>
    <t>gafa</t>
  </si>
  <si>
    <t>lc</t>
  </si>
  <si>
    <t>Arapa Fernando</t>
  </si>
  <si>
    <t>Arroyo Kathia</t>
  </si>
  <si>
    <t>Baron Vilma (santa Barbara)</t>
  </si>
  <si>
    <t>Camargo Juan Manuel</t>
  </si>
  <si>
    <t>Carvajal Karla</t>
  </si>
  <si>
    <t>Cespedes Antonio</t>
  </si>
  <si>
    <t>Costales Felipe</t>
  </si>
  <si>
    <t>Franz Carlos</t>
  </si>
  <si>
    <t>Guerra Alfredo</t>
  </si>
  <si>
    <t>Guerra Freddy</t>
  </si>
  <si>
    <t>Laredo Ivan</t>
  </si>
  <si>
    <t>Mina Marcela</t>
  </si>
  <si>
    <t>Monasterio Remberto</t>
  </si>
  <si>
    <t>Moya David</t>
  </si>
  <si>
    <t>Murillo Fernado</t>
  </si>
  <si>
    <t>Murillo Marcelo</t>
  </si>
  <si>
    <t>Mendoza Maria Cecilia</t>
  </si>
  <si>
    <t>Murillo Diego</t>
  </si>
  <si>
    <t>Murillo Gonzalo</t>
  </si>
  <si>
    <t>Olguin Rolando</t>
  </si>
  <si>
    <t>otro producto</t>
  </si>
  <si>
    <t xml:space="preserve">otro producto </t>
  </si>
  <si>
    <t xml:space="preserve">servicio </t>
  </si>
  <si>
    <t>Aguirre Gustavo</t>
  </si>
  <si>
    <t>Barrios Bianca A.</t>
  </si>
  <si>
    <t>Castro Francisco</t>
  </si>
  <si>
    <t>D'arlach Eduardo</t>
  </si>
  <si>
    <t>Mancilla Juan Jesus</t>
  </si>
  <si>
    <t>Mora Angela</t>
  </si>
  <si>
    <t>Tapia William</t>
  </si>
  <si>
    <t>Barrios Javier</t>
  </si>
  <si>
    <t>Romanelli Alexia</t>
  </si>
  <si>
    <t>Chinga Walter</t>
  </si>
  <si>
    <t>Fernandez Gonzalo</t>
  </si>
  <si>
    <t>Antunez Felix Jose</t>
  </si>
  <si>
    <t>Barrios Fernando</t>
  </si>
  <si>
    <t>Herbas Marcelo</t>
  </si>
  <si>
    <t>Ortiz Andrea</t>
  </si>
  <si>
    <t>Rodriguez Jonaide</t>
  </si>
  <si>
    <t>Jurado Maria Gabriela</t>
  </si>
  <si>
    <t>Rios Nelly</t>
  </si>
  <si>
    <t>Lezama Daniel Jesús</t>
  </si>
  <si>
    <t>Yahualca De Michel Evelin</t>
  </si>
  <si>
    <t xml:space="preserve">Total compañía </t>
  </si>
  <si>
    <t>Neutro Del Cliente</t>
  </si>
  <si>
    <t>Total POTOSI</t>
  </si>
  <si>
    <t>Total TUPIZA</t>
  </si>
  <si>
    <t>Total LA PAZ 1</t>
  </si>
  <si>
    <t>Total YACUIBA</t>
  </si>
  <si>
    <t>Total AZURDUY</t>
  </si>
  <si>
    <t>Total TARIJA 2</t>
  </si>
  <si>
    <t>Total LA PAZ 2</t>
  </si>
  <si>
    <t>Receta De Optica</t>
  </si>
  <si>
    <t>Receta Antigua</t>
  </si>
  <si>
    <t>Otros Insumos</t>
  </si>
  <si>
    <t>Receta De Departamento</t>
  </si>
  <si>
    <t>Receta De Pais</t>
  </si>
  <si>
    <t>Receta Del Sistema</t>
  </si>
  <si>
    <t>Receta Lente</t>
  </si>
  <si>
    <t>Garcia Vania</t>
  </si>
  <si>
    <t>Zamora Olker (iptk)</t>
  </si>
  <si>
    <t>Total Matriz</t>
  </si>
  <si>
    <t>Total TARIJA 1</t>
  </si>
  <si>
    <t>TOTAL MEDICOS INTERNOS</t>
  </si>
  <si>
    <t>TOTAL MEDICOS EXTERNOS</t>
  </si>
  <si>
    <t>GRAN TOTAL</t>
  </si>
  <si>
    <t xml:space="preserve">TOTAL MEDICOS EXTERNOS </t>
  </si>
  <si>
    <t xml:space="preserve">GRAN TOTAL </t>
  </si>
  <si>
    <t xml:space="preserve">TOTAL MEDICOS INTERNOS </t>
  </si>
  <si>
    <t>TOTAL MRDICOS INTRNOS</t>
  </si>
  <si>
    <t>Salazar Melody  Visual Healt (deriv. Privado)</t>
  </si>
  <si>
    <t>Salazar Melody Visual Healt (deriv.opt.)</t>
  </si>
  <si>
    <t>Herrera Emely</t>
  </si>
  <si>
    <t>Baron Vilma Visual Health (deriv. Opt.)</t>
  </si>
  <si>
    <t>Baron Vilma Visual Health (deriv. Privado)</t>
  </si>
  <si>
    <t>Vaca Silvia</t>
  </si>
  <si>
    <t>Valdivia Armando</t>
  </si>
  <si>
    <t>Vidaurre Henry</t>
  </si>
  <si>
    <t>Total PARAGUAY</t>
  </si>
  <si>
    <t>Arapa Fernando Visualt Healt (deriv.opt)</t>
  </si>
  <si>
    <t>MEDICOS INTERNOS 2024</t>
  </si>
  <si>
    <t xml:space="preserve">MEDICOS INTERNOS </t>
  </si>
  <si>
    <t>MEDICOS EXTERNOS 2024</t>
  </si>
  <si>
    <t>2023 tkts</t>
  </si>
  <si>
    <t>VAR MEDICOS INTERNOS 2024  VS INTERNOS 2023</t>
  </si>
  <si>
    <t>VAR MEDICOS EXTERNOS 2024 VS  EXTERNOS 2023</t>
  </si>
  <si>
    <t>VAR MEDICOS INTERNOS 2024 VS INTERNOS 2023</t>
  </si>
  <si>
    <t>VAR MEDICOS EXTERNOS 2024 VS EXTERNOS 2023</t>
  </si>
  <si>
    <t>VAR MEDICOS INTERNOS 2024 VS INTERNOS 2022</t>
  </si>
  <si>
    <t>VAR MEDICOS INTERNOS2024 VS EXTERNOS 2023</t>
  </si>
  <si>
    <t>Rodrigo Luis Alfonso</t>
  </si>
  <si>
    <t>Yucra Cristian</t>
  </si>
  <si>
    <t>Nieto Claudia</t>
  </si>
  <si>
    <t>TOTAL PARTICIPACION DE MEDICOS 2024 VS MEDICOS 2023</t>
  </si>
  <si>
    <t>Martinez Lourdes</t>
  </si>
  <si>
    <t>Lafargue Zoe</t>
  </si>
  <si>
    <t>Contreras Ricardo</t>
  </si>
  <si>
    <t>Servicio Otros</t>
  </si>
  <si>
    <t>Juré David Ramon</t>
  </si>
  <si>
    <t>Acosta Enrique Carlos</t>
  </si>
  <si>
    <t>Menacho Luis Carlos</t>
  </si>
  <si>
    <t>Pescador Javier</t>
  </si>
  <si>
    <t>Ayllon Weimar Hugo</t>
  </si>
  <si>
    <t>Martinez Lourdes Cristina</t>
  </si>
  <si>
    <t>Vasquez Luis Alejandro</t>
  </si>
  <si>
    <t>Baya Jose Antonio</t>
  </si>
  <si>
    <t>Gomez Geziel</t>
  </si>
  <si>
    <t>Gutierrez Walter</t>
  </si>
  <si>
    <t>Milazzo Miguel Angel</t>
  </si>
  <si>
    <t>Velasquez Aida</t>
  </si>
  <si>
    <t>Bustios Rafael</t>
  </si>
  <si>
    <t>Caja De Salud De La Banca Privada</t>
  </si>
  <si>
    <t>Di Lella Fernando</t>
  </si>
  <si>
    <t>Echague Ramiro</t>
  </si>
  <si>
    <t>Latorre Rocio</t>
  </si>
  <si>
    <t>Leguizamon Clara</t>
  </si>
  <si>
    <t>Manotti Jazmin</t>
  </si>
  <si>
    <t>Ross Ericka</t>
  </si>
  <si>
    <t>Sarquis Ramon</t>
  </si>
  <si>
    <t>Sonego Sergio</t>
  </si>
  <si>
    <t>Vargas Noris</t>
  </si>
  <si>
    <t>Viveros Ana</t>
  </si>
  <si>
    <t>Watlez Raquel</t>
  </si>
  <si>
    <t>Yutaka Maeda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</si>
</sst>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Bs&quot;_-;\-* #,##0.00\ &quot;Bs&quot;_-;_-* &quot;-&quot;??\ &quot;Bs&quot;_-;_-@_-"/>
    <numFmt numFmtId="43" formatCode="_-* #,##0.00_-;\-* #,##0.00_-;_-* &quot;-&quot;??_-;_-@_-"/>
    <numFmt numFmtId="164" formatCode="_-* #,##0.00\ _B_s_-;\-* #,##0.00\ _B_s_-;_-* &quot;-&quot;??\ _B_s_-;_-@_-"/>
    <numFmt numFmtId="165" formatCode="_(* #,##0.00_);_(* \(#,##0.00\);_(* &quot;-&quot;??_);_(@_)"/>
    <numFmt numFmtId="166" formatCode="#,##0.00\ &quot;Bs&quot;"/>
    <numFmt numFmtId="167" formatCode="#,##0\ &quot;Bs&quot;"/>
    <numFmt numFmtId="168" formatCode="_-* #,##0\ &quot;Bs&quot;_-;\-* #,##0\ &quot;Bs&quot;_-;_-* &quot;-&quot;??\ &quot;Bs&quot;_-;_-@_-"/>
    <numFmt numFmtId="169" formatCode="_-* #,##0_-;\-* #,##0_-;_-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Helvetica Neue"/>
      <family val="2"/>
    </font>
    <font>
      <b/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8">
    <xf numFmtId="0" fontId="0" fillId="0" borderId="0" xfId="0"/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0" fillId="2" borderId="0" xfId="0" applyFill="1" applyAlignment="1">
      <alignment horizontal="right" vertical="top"/>
    </xf>
    <xf numFmtId="10" fontId="0" fillId="2" borderId="0" xfId="0" applyNumberFormat="1" applyFill="1" applyAlignment="1">
      <alignment horizontal="right" vertical="top"/>
    </xf>
    <xf numFmtId="0" fontId="3" fillId="2" borderId="0" xfId="0" applyFont="1" applyFill="1" applyAlignment="1">
      <alignment horizontal="right" vertical="top"/>
    </xf>
    <xf numFmtId="9" fontId="0" fillId="2" borderId="0" xfId="2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165" fontId="4" fillId="3" borderId="0" xfId="0" applyNumberFormat="1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9" fontId="4" fillId="3" borderId="0" xfId="2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9" fontId="4" fillId="0" borderId="0" xfId="2" applyFont="1" applyFill="1" applyAlignment="1">
      <alignment horizontal="center" vertical="top"/>
    </xf>
    <xf numFmtId="0" fontId="6" fillId="2" borderId="0" xfId="0" applyFont="1" applyFill="1" applyAlignment="1">
      <alignment horizontal="left" vertical="top"/>
    </xf>
    <xf numFmtId="4" fontId="6" fillId="2" borderId="0" xfId="0" applyNumberFormat="1" applyFont="1" applyFill="1" applyAlignment="1">
      <alignment horizontal="left" vertical="top"/>
    </xf>
    <xf numFmtId="9" fontId="7" fillId="2" borderId="0" xfId="2" applyFont="1" applyFill="1" applyAlignment="1">
      <alignment horizontal="center" vertical="top"/>
    </xf>
    <xf numFmtId="4" fontId="5" fillId="2" borderId="0" xfId="0" applyNumberFormat="1" applyFont="1" applyFill="1" applyAlignment="1">
      <alignment horizontal="center" vertical="top"/>
    </xf>
    <xf numFmtId="9" fontId="5" fillId="2" borderId="0" xfId="2" applyFont="1" applyFill="1" applyAlignment="1">
      <alignment horizontal="center" vertical="top"/>
    </xf>
    <xf numFmtId="9" fontId="0" fillId="2" borderId="0" xfId="2" applyFont="1" applyFill="1" applyAlignment="1">
      <alignment horizontal="righ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horizontal="right" vertical="top"/>
    </xf>
    <xf numFmtId="9" fontId="5" fillId="2" borderId="0" xfId="0" applyNumberFormat="1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/>
    </xf>
    <xf numFmtId="10" fontId="5" fillId="2" borderId="0" xfId="0" applyNumberFormat="1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164" fontId="5" fillId="2" borderId="0" xfId="0" applyNumberFormat="1" applyFont="1" applyFill="1" applyAlignment="1">
      <alignment horizontal="center" vertical="top"/>
    </xf>
    <xf numFmtId="0" fontId="10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left" vertical="top"/>
    </xf>
    <xf numFmtId="43" fontId="9" fillId="3" borderId="0" xfId="1" applyFont="1" applyFill="1" applyAlignment="1">
      <alignment horizontal="right"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top" wrapText="1"/>
    </xf>
    <xf numFmtId="9" fontId="9" fillId="2" borderId="0" xfId="2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9" fillId="2" borderId="0" xfId="0" applyFont="1" applyFill="1" applyAlignment="1">
      <alignment horizontal="right" vertical="top"/>
    </xf>
    <xf numFmtId="0" fontId="2" fillId="2" borderId="0" xfId="0" applyFont="1" applyFill="1" applyAlignment="1">
      <alignment horizontal="left" vertical="top"/>
    </xf>
    <xf numFmtId="43" fontId="2" fillId="2" borderId="0" xfId="1" applyFont="1" applyFill="1" applyAlignment="1">
      <alignment horizontal="right" vertical="top"/>
    </xf>
    <xf numFmtId="9" fontId="2" fillId="2" borderId="0" xfId="2" applyFont="1" applyFill="1" applyAlignment="1">
      <alignment horizontal="right" vertical="top"/>
    </xf>
    <xf numFmtId="0" fontId="2" fillId="6" borderId="0" xfId="0" applyFont="1" applyFill="1" applyAlignment="1">
      <alignment horizontal="left" vertical="top"/>
    </xf>
    <xf numFmtId="43" fontId="2" fillId="6" borderId="0" xfId="1" applyFont="1" applyFill="1" applyAlignment="1">
      <alignment horizontal="right" vertical="top"/>
    </xf>
    <xf numFmtId="9" fontId="2" fillId="6" borderId="0" xfId="2" applyFont="1" applyFill="1" applyAlignment="1">
      <alignment horizontal="right" vertical="top"/>
    </xf>
    <xf numFmtId="0" fontId="2" fillId="6" borderId="0" xfId="0" applyFont="1" applyFill="1" applyAlignment="1">
      <alignment horizontal="center" vertical="top"/>
    </xf>
    <xf numFmtId="0" fontId="2" fillId="6" borderId="0" xfId="0" applyFont="1" applyFill="1" applyAlignment="1">
      <alignment horizontal="right" vertical="top"/>
    </xf>
    <xf numFmtId="0" fontId="9" fillId="3" borderId="1" xfId="0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top"/>
    </xf>
    <xf numFmtId="0" fontId="14" fillId="3" borderId="1" xfId="0" applyFont="1" applyFill="1" applyBorder="1" applyAlignment="1">
      <alignment horizontal="center" vertical="top"/>
    </xf>
    <xf numFmtId="43" fontId="2" fillId="6" borderId="0" xfId="1" applyFont="1" applyFill="1" applyAlignment="1">
      <alignment horizontal="center" vertical="center"/>
    </xf>
    <xf numFmtId="43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right" vertical="top"/>
    </xf>
    <xf numFmtId="0" fontId="12" fillId="3" borderId="0" xfId="0" applyFont="1" applyFill="1" applyAlignment="1">
      <alignment horizontal="center" vertical="top"/>
    </xf>
    <xf numFmtId="43" fontId="12" fillId="3" borderId="0" xfId="1" applyFont="1" applyFill="1" applyAlignment="1">
      <alignment horizontal="center" vertical="top"/>
    </xf>
    <xf numFmtId="0" fontId="12" fillId="3" borderId="0" xfId="0" applyFont="1" applyFill="1" applyAlignment="1">
      <alignment horizontal="center" vertical="center"/>
    </xf>
    <xf numFmtId="43" fontId="12" fillId="3" borderId="0" xfId="1" applyFont="1" applyFill="1" applyAlignment="1">
      <alignment horizontal="center" vertical="center"/>
    </xf>
    <xf numFmtId="9" fontId="12" fillId="3" borderId="0" xfId="2" applyFont="1" applyFill="1" applyAlignment="1">
      <alignment horizontal="center" vertical="center"/>
    </xf>
    <xf numFmtId="10" fontId="12" fillId="3" borderId="0" xfId="0" applyNumberFormat="1" applyFont="1" applyFill="1" applyAlignment="1">
      <alignment horizontal="center" vertical="top"/>
    </xf>
    <xf numFmtId="0" fontId="2" fillId="7" borderId="0" xfId="0" applyFont="1" applyFill="1" applyAlignment="1">
      <alignment horizontal="left" vertical="top"/>
    </xf>
    <xf numFmtId="43" fontId="2" fillId="7" borderId="0" xfId="1" applyFont="1" applyFill="1" applyAlignment="1">
      <alignment horizontal="right" vertical="top"/>
    </xf>
    <xf numFmtId="9" fontId="2" fillId="7" borderId="0" xfId="1" applyNumberFormat="1" applyFont="1" applyFill="1" applyAlignment="1">
      <alignment horizontal="right" vertical="top"/>
    </xf>
    <xf numFmtId="9" fontId="2" fillId="7" borderId="0" xfId="2" applyFont="1" applyFill="1" applyAlignment="1">
      <alignment horizontal="right" vertical="top"/>
    </xf>
    <xf numFmtId="0" fontId="2" fillId="7" borderId="0" xfId="2" applyNumberFormat="1" applyFont="1" applyFill="1" applyAlignment="1">
      <alignment horizontal="center" vertical="top"/>
    </xf>
    <xf numFmtId="0" fontId="2" fillId="7" borderId="0" xfId="0" applyFont="1" applyFill="1" applyAlignment="1">
      <alignment horizontal="right" vertical="top"/>
    </xf>
    <xf numFmtId="10" fontId="2" fillId="7" borderId="0" xfId="0" applyNumberFormat="1" applyFont="1" applyFill="1" applyAlignment="1">
      <alignment horizontal="right" vertical="top"/>
    </xf>
    <xf numFmtId="9" fontId="2" fillId="2" borderId="0" xfId="1" applyNumberFormat="1" applyFont="1" applyFill="1" applyAlignment="1">
      <alignment horizontal="right" vertical="top"/>
    </xf>
    <xf numFmtId="0" fontId="2" fillId="2" borderId="0" xfId="2" applyNumberFormat="1" applyFont="1" applyFill="1" applyAlignment="1">
      <alignment horizontal="center" vertical="top"/>
    </xf>
    <xf numFmtId="10" fontId="2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center" vertical="top"/>
    </xf>
    <xf numFmtId="10" fontId="2" fillId="6" borderId="0" xfId="0" applyNumberFormat="1" applyFont="1" applyFill="1" applyAlignment="1">
      <alignment horizontal="right" vertical="top"/>
    </xf>
    <xf numFmtId="0" fontId="10" fillId="3" borderId="0" xfId="0" applyFont="1" applyFill="1" applyAlignment="1">
      <alignment horizontal="center" vertical="center"/>
    </xf>
    <xf numFmtId="43" fontId="2" fillId="2" borderId="0" xfId="1" applyFont="1" applyFill="1" applyAlignment="1">
      <alignment horizontal="center" vertical="top"/>
    </xf>
    <xf numFmtId="43" fontId="2" fillId="6" borderId="0" xfId="1" applyFont="1" applyFill="1" applyAlignment="1">
      <alignment horizontal="center" vertical="top"/>
    </xf>
    <xf numFmtId="166" fontId="0" fillId="2" borderId="0" xfId="0" applyNumberFormat="1" applyFill="1" applyAlignment="1">
      <alignment horizontal="center" vertical="top"/>
    </xf>
    <xf numFmtId="166" fontId="0" fillId="0" borderId="0" xfId="0" applyNumberFormat="1" applyAlignment="1">
      <alignment horizontal="right" vertical="top"/>
    </xf>
    <xf numFmtId="166" fontId="9" fillId="3" borderId="0" xfId="1" applyNumberFormat="1" applyFont="1" applyFill="1" applyAlignment="1">
      <alignment horizontal="right" vertical="top"/>
    </xf>
    <xf numFmtId="166" fontId="2" fillId="6" borderId="0" xfId="1" applyNumberFormat="1" applyFont="1" applyFill="1" applyAlignment="1">
      <alignment horizontal="right" vertical="top"/>
    </xf>
    <xf numFmtId="166" fontId="9" fillId="2" borderId="0" xfId="1" applyNumberFormat="1" applyFont="1" applyFill="1" applyAlignment="1">
      <alignment horizontal="right" vertical="top"/>
    </xf>
    <xf numFmtId="166" fontId="5" fillId="2" borderId="0" xfId="0" applyNumberFormat="1" applyFont="1" applyFill="1" applyAlignment="1">
      <alignment horizontal="center" vertical="top"/>
    </xf>
    <xf numFmtId="166" fontId="6" fillId="2" borderId="0" xfId="0" applyNumberFormat="1" applyFont="1" applyFill="1" applyAlignment="1">
      <alignment horizontal="left" vertical="top"/>
    </xf>
    <xf numFmtId="2" fontId="6" fillId="2" borderId="0" xfId="0" applyNumberFormat="1" applyFon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1" fontId="0" fillId="2" borderId="0" xfId="0" applyNumberFormat="1" applyFill="1" applyAlignment="1">
      <alignment horizontal="center" vertical="top"/>
    </xf>
    <xf numFmtId="44" fontId="6" fillId="2" borderId="0" xfId="0" applyNumberFormat="1" applyFont="1" applyFill="1" applyAlignment="1">
      <alignment horizontal="left" vertical="top"/>
    </xf>
    <xf numFmtId="44" fontId="0" fillId="0" borderId="0" xfId="0" applyNumberFormat="1" applyAlignment="1">
      <alignment horizontal="right" vertical="top"/>
    </xf>
    <xf numFmtId="44" fontId="9" fillId="3" borderId="0" xfId="1" applyNumberFormat="1" applyFont="1" applyFill="1" applyAlignment="1">
      <alignment horizontal="right" vertical="top"/>
    </xf>
    <xf numFmtId="44" fontId="2" fillId="6" borderId="0" xfId="1" applyNumberFormat="1" applyFont="1" applyFill="1" applyAlignment="1">
      <alignment horizontal="right" vertical="top"/>
    </xf>
    <xf numFmtId="44" fontId="0" fillId="0" borderId="0" xfId="3" applyFont="1" applyAlignment="1">
      <alignment horizontal="right" vertical="top"/>
    </xf>
    <xf numFmtId="44" fontId="9" fillId="3" borderId="0" xfId="3" applyFont="1" applyFill="1" applyAlignment="1">
      <alignment horizontal="right" vertical="top"/>
    </xf>
    <xf numFmtId="44" fontId="2" fillId="6" borderId="0" xfId="3" applyFont="1" applyFill="1" applyAlignment="1">
      <alignment horizontal="right" vertical="top"/>
    </xf>
    <xf numFmtId="44" fontId="6" fillId="2" borderId="0" xfId="3" applyFont="1" applyFill="1" applyAlignment="1">
      <alignment horizontal="left" vertical="top"/>
    </xf>
    <xf numFmtId="44" fontId="12" fillId="3" borderId="0" xfId="3" applyFont="1" applyFill="1" applyAlignment="1">
      <alignment horizontal="center" vertical="center"/>
    </xf>
    <xf numFmtId="44" fontId="2" fillId="7" borderId="0" xfId="3" applyFont="1" applyFill="1" applyAlignment="1">
      <alignment horizontal="right" vertical="top"/>
    </xf>
    <xf numFmtId="167" fontId="6" fillId="2" borderId="0" xfId="0" applyNumberFormat="1" applyFont="1" applyFill="1" applyAlignment="1">
      <alignment horizontal="left" vertical="top"/>
    </xf>
    <xf numFmtId="44" fontId="0" fillId="2" borderId="0" xfId="3" applyFont="1" applyFill="1" applyAlignment="1">
      <alignment horizontal="center" vertical="top"/>
    </xf>
    <xf numFmtId="168" fontId="6" fillId="2" borderId="0" xfId="3" applyNumberFormat="1" applyFont="1" applyFill="1" applyAlignment="1">
      <alignment horizontal="left" vertical="top"/>
    </xf>
    <xf numFmtId="44" fontId="12" fillId="3" borderId="0" xfId="3" applyFont="1" applyFill="1" applyAlignment="1">
      <alignment horizontal="center" vertical="top"/>
    </xf>
    <xf numFmtId="44" fontId="0" fillId="0" borderId="0" xfId="3" applyFont="1"/>
    <xf numFmtId="9" fontId="0" fillId="2" borderId="0" xfId="0" applyNumberFormat="1" applyFill="1" applyAlignment="1">
      <alignment horizontal="right" vertical="top"/>
    </xf>
    <xf numFmtId="1" fontId="6" fillId="2" borderId="0" xfId="0" applyNumberFormat="1" applyFont="1" applyFill="1" applyAlignment="1">
      <alignment horizontal="left" vertical="top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center" vertical="top" wrapText="1"/>
    </xf>
    <xf numFmtId="0" fontId="18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43" fontId="20" fillId="6" borderId="0" xfId="1" applyFont="1" applyFill="1" applyAlignment="1">
      <alignment horizontal="right" vertical="center"/>
    </xf>
    <xf numFmtId="44" fontId="20" fillId="6" borderId="0" xfId="3" applyFont="1" applyFill="1" applyAlignment="1">
      <alignment horizontal="right" vertical="center"/>
    </xf>
    <xf numFmtId="9" fontId="20" fillId="6" borderId="0" xfId="2" applyFont="1" applyFill="1" applyAlignment="1">
      <alignment horizontal="right" vertical="center"/>
    </xf>
    <xf numFmtId="0" fontId="15" fillId="3" borderId="0" xfId="0" applyFont="1" applyFill="1" applyAlignment="1">
      <alignment horizontal="left" vertical="top"/>
    </xf>
    <xf numFmtId="0" fontId="17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center" wrapText="1"/>
    </xf>
    <xf numFmtId="0" fontId="19" fillId="6" borderId="0" xfId="0" applyFont="1" applyFill="1" applyAlignment="1">
      <alignment horizontal="left" vertical="top"/>
    </xf>
    <xf numFmtId="0" fontId="9" fillId="3" borderId="0" xfId="0" applyFont="1" applyFill="1" applyAlignment="1">
      <alignment horizontal="left" vertical="center" wrapText="1"/>
    </xf>
    <xf numFmtId="44" fontId="0" fillId="0" borderId="0" xfId="3" applyFont="1" applyAlignment="1">
      <alignment horizontal="right" vertical="top" wrapText="1"/>
    </xf>
    <xf numFmtId="44" fontId="2" fillId="2" borderId="0" xfId="3" applyFont="1" applyFill="1" applyAlignment="1">
      <alignment horizontal="right" vertical="top"/>
    </xf>
    <xf numFmtId="44" fontId="5" fillId="2" borderId="0" xfId="3" applyFont="1" applyFill="1" applyAlignment="1">
      <alignment horizontal="center" vertical="top"/>
    </xf>
    <xf numFmtId="44" fontId="1" fillId="0" borderId="0" xfId="3" applyFont="1" applyAlignment="1">
      <alignment horizontal="center" vertical="top" wrapText="1"/>
    </xf>
    <xf numFmtId="0" fontId="8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9" fontId="15" fillId="3" borderId="0" xfId="1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/>
    </xf>
    <xf numFmtId="169" fontId="20" fillId="6" borderId="0" xfId="1" applyNumberFormat="1" applyFont="1" applyFill="1" applyAlignment="1">
      <alignment horizontal="center" vertical="center"/>
    </xf>
    <xf numFmtId="17" fontId="0" fillId="2" borderId="0" xfId="0" applyNumberForma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169" fontId="21" fillId="3" borderId="0" xfId="1" applyNumberFormat="1" applyFont="1" applyFill="1" applyAlignment="1">
      <alignment horizontal="center" vertical="center"/>
    </xf>
    <xf numFmtId="169" fontId="19" fillId="6" borderId="0" xfId="1" applyNumberFormat="1" applyFont="1" applyFill="1" applyAlignment="1">
      <alignment horizontal="center" vertical="center"/>
    </xf>
    <xf numFmtId="169" fontId="16" fillId="3" borderId="0" xfId="1" applyNumberFormat="1" applyFont="1" applyFill="1" applyAlignment="1">
      <alignment horizontal="center" vertical="center"/>
    </xf>
    <xf numFmtId="169" fontId="19" fillId="7" borderId="0" xfId="1" applyNumberFormat="1" applyFont="1" applyFill="1" applyAlignment="1">
      <alignment horizontal="center" vertical="center"/>
    </xf>
    <xf numFmtId="169" fontId="17" fillId="3" borderId="0" xfId="1" applyNumberFormat="1" applyFont="1" applyFill="1" applyAlignment="1">
      <alignment horizontal="center" vertical="center"/>
    </xf>
    <xf numFmtId="169" fontId="15" fillId="3" borderId="0" xfId="1" applyNumberFormat="1" applyFont="1" applyFill="1" applyAlignment="1">
      <alignment horizontal="center" vertical="center"/>
    </xf>
    <xf numFmtId="169" fontId="15" fillId="3" borderId="0" xfId="1" applyNumberFormat="1" applyFont="1" applyFill="1" applyAlignment="1">
      <alignment horizontal="center" vertical="top"/>
    </xf>
    <xf numFmtId="169" fontId="14" fillId="3" borderId="0" xfId="1" applyNumberFormat="1" applyFont="1" applyFill="1" applyAlignment="1">
      <alignment horizontal="center" vertical="top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center" vertical="top" wrapText="1"/>
    </xf>
    <xf numFmtId="166" fontId="9" fillId="3" borderId="0" xfId="3" applyNumberFormat="1" applyFont="1" applyFill="1" applyAlignment="1">
      <alignment horizontal="right" vertical="top"/>
    </xf>
    <xf numFmtId="14" fontId="8" fillId="2" borderId="0" xfId="0" applyNumberFormat="1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14" fontId="8" fillId="8" borderId="0" xfId="0" applyNumberFormat="1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horizontal="left" vertical="top" wrapText="1" indent="1"/>
    </xf>
    <xf numFmtId="0" fontId="2" fillId="8" borderId="0" xfId="0" applyFont="1" applyFill="1" applyAlignment="1">
      <alignment horizontal="center" vertical="top" wrapText="1"/>
    </xf>
    <xf numFmtId="44" fontId="0" fillId="8" borderId="0" xfId="3" applyFont="1" applyFill="1" applyAlignment="1">
      <alignment horizontal="right" vertical="top"/>
    </xf>
    <xf numFmtId="9" fontId="0" fillId="8" borderId="0" xfId="2" applyFont="1" applyFill="1" applyAlignment="1">
      <alignment horizontal="right" vertical="top"/>
    </xf>
    <xf numFmtId="10" fontId="0" fillId="8" borderId="0" xfId="0" applyNumberFormat="1" applyFill="1" applyAlignment="1">
      <alignment horizontal="right" vertical="top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right" vertical="top"/>
    </xf>
    <xf numFmtId="44" fontId="0" fillId="8" borderId="0" xfId="0" applyNumberFormat="1" applyFill="1" applyAlignment="1">
      <alignment horizontal="right" vertical="top"/>
    </xf>
    <xf numFmtId="9" fontId="0" fillId="8" borderId="0" xfId="2" applyFont="1" applyFill="1" applyAlignment="1">
      <alignment horizontal="center" vertical="top"/>
    </xf>
    <xf numFmtId="0" fontId="2" fillId="8" borderId="0" xfId="0" applyFont="1" applyFill="1" applyAlignment="1">
      <alignment horizontal="left" vertical="top"/>
    </xf>
    <xf numFmtId="43" fontId="2" fillId="8" borderId="0" xfId="1" applyFont="1" applyFill="1" applyAlignment="1">
      <alignment horizontal="right" vertical="top"/>
    </xf>
    <xf numFmtId="9" fontId="2" fillId="8" borderId="0" xfId="2" applyFont="1" applyFill="1" applyAlignment="1">
      <alignment horizontal="right" vertical="top"/>
    </xf>
    <xf numFmtId="0" fontId="5" fillId="8" borderId="0" xfId="0" applyFont="1" applyFill="1" applyAlignment="1">
      <alignment horizontal="center" vertical="top"/>
    </xf>
    <xf numFmtId="0" fontId="6" fillId="8" borderId="0" xfId="0" applyFont="1" applyFill="1" applyAlignment="1">
      <alignment horizontal="left" vertical="top"/>
    </xf>
    <xf numFmtId="44" fontId="6" fillId="8" borderId="0" xfId="3" applyFont="1" applyFill="1" applyAlignment="1">
      <alignment horizontal="left" vertical="top"/>
    </xf>
    <xf numFmtId="4" fontId="5" fillId="8" borderId="0" xfId="0" applyNumberFormat="1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2" fillId="9" borderId="0" xfId="0" applyFont="1" applyFill="1" applyAlignment="1">
      <alignment vertical="top"/>
    </xf>
    <xf numFmtId="0" fontId="2" fillId="9" borderId="0" xfId="0" applyFont="1" applyFill="1" applyAlignment="1">
      <alignment horizontal="left" vertical="top" wrapText="1" indent="1"/>
    </xf>
    <xf numFmtId="0" fontId="2" fillId="9" borderId="0" xfId="0" applyFont="1" applyFill="1" applyAlignment="1">
      <alignment horizontal="center" vertical="top" wrapText="1"/>
    </xf>
    <xf numFmtId="166" fontId="0" fillId="9" borderId="0" xfId="0" applyNumberFormat="1" applyFill="1" applyAlignment="1">
      <alignment horizontal="right" vertical="top"/>
    </xf>
    <xf numFmtId="9" fontId="0" fillId="9" borderId="0" xfId="2" applyFont="1" applyFill="1" applyAlignment="1">
      <alignment horizontal="right" vertical="top"/>
    </xf>
    <xf numFmtId="9" fontId="0" fillId="9" borderId="0" xfId="0" applyNumberFormat="1" applyFill="1" applyAlignment="1">
      <alignment horizontal="right" vertical="top"/>
    </xf>
    <xf numFmtId="0" fontId="0" fillId="9" borderId="0" xfId="0" applyFill="1" applyAlignment="1">
      <alignment horizontal="left" vertical="top"/>
    </xf>
    <xf numFmtId="0" fontId="0" fillId="9" borderId="0" xfId="0" applyFill="1" applyAlignment="1">
      <alignment horizontal="right" vertical="top"/>
    </xf>
    <xf numFmtId="10" fontId="0" fillId="9" borderId="0" xfId="0" applyNumberFormat="1" applyFill="1" applyAlignment="1">
      <alignment horizontal="right" vertical="top"/>
    </xf>
    <xf numFmtId="44" fontId="0" fillId="9" borderId="0" xfId="3" applyFont="1" applyFill="1" applyAlignment="1">
      <alignment horizontal="right" vertical="top"/>
    </xf>
    <xf numFmtId="14" fontId="8" fillId="10" borderId="0" xfId="0" applyNumberFormat="1" applyFont="1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2" fillId="10" borderId="0" xfId="0" applyFont="1" applyFill="1" applyAlignment="1">
      <alignment vertical="top"/>
    </xf>
    <xf numFmtId="0" fontId="2" fillId="10" borderId="0" xfId="0" applyFont="1" applyFill="1" applyAlignment="1">
      <alignment horizontal="left" vertical="top" wrapText="1" indent="1"/>
    </xf>
    <xf numFmtId="0" fontId="2" fillId="10" borderId="0" xfId="0" applyFont="1" applyFill="1" applyAlignment="1">
      <alignment horizontal="center" vertical="top" wrapText="1"/>
    </xf>
    <xf numFmtId="9" fontId="0" fillId="10" borderId="0" xfId="2" applyFont="1" applyFill="1" applyAlignment="1">
      <alignment horizontal="right" vertical="top"/>
    </xf>
    <xf numFmtId="10" fontId="0" fillId="10" borderId="0" xfId="0" applyNumberFormat="1" applyFill="1" applyAlignment="1">
      <alignment horizontal="right" vertical="top"/>
    </xf>
    <xf numFmtId="0" fontId="0" fillId="10" borderId="0" xfId="0" applyFill="1" applyAlignment="1">
      <alignment horizontal="left" vertical="top"/>
    </xf>
    <xf numFmtId="0" fontId="0" fillId="10" borderId="0" xfId="0" applyFill="1" applyAlignment="1">
      <alignment horizontal="right" vertical="top"/>
    </xf>
    <xf numFmtId="44" fontId="0" fillId="10" borderId="0" xfId="3" applyFont="1" applyFill="1" applyAlignment="1">
      <alignment horizontal="right" vertical="top"/>
    </xf>
    <xf numFmtId="0" fontId="0" fillId="0" borderId="0" xfId="0" applyFill="1" applyAlignment="1">
      <alignment horizontal="center" vertical="top"/>
    </xf>
    <xf numFmtId="0" fontId="2" fillId="11" borderId="0" xfId="0" applyFont="1" applyFill="1" applyAlignment="1">
      <alignment horizontal="left" vertical="top" wrapText="1" indent="1"/>
    </xf>
    <xf numFmtId="0" fontId="2" fillId="11" borderId="0" xfId="0" applyFont="1" applyFill="1" applyAlignment="1">
      <alignment horizontal="center" vertical="top" wrapText="1"/>
    </xf>
    <xf numFmtId="44" fontId="0" fillId="9" borderId="0" xfId="3" applyFont="1" applyFill="1" applyAlignment="1">
      <alignment horizontal="center" vertical="top"/>
    </xf>
    <xf numFmtId="44" fontId="0" fillId="9" borderId="0" xfId="3" applyFont="1" applyFill="1" applyAlignment="1">
      <alignment horizontal="right" vertical="top" wrapText="1"/>
    </xf>
    <xf numFmtId="0" fontId="0" fillId="9" borderId="0" xfId="0" applyFill="1" applyAlignment="1">
      <alignment horizontal="left" vertical="top" wrapText="1"/>
    </xf>
    <xf numFmtId="0" fontId="0" fillId="9" borderId="0" xfId="0" applyFill="1" applyAlignment="1">
      <alignment horizontal="right" vertical="top" wrapText="1"/>
    </xf>
    <xf numFmtId="0" fontId="0" fillId="7" borderId="0" xfId="0" applyFill="1" applyAlignment="1">
      <alignment horizontal="center" vertical="top"/>
    </xf>
    <xf numFmtId="0" fontId="20" fillId="7" borderId="0" xfId="0" applyFont="1" applyFill="1" applyAlignment="1">
      <alignment horizontal="left" vertical="center"/>
    </xf>
    <xf numFmtId="0" fontId="0" fillId="11" borderId="0" xfId="0" applyFill="1" applyAlignment="1">
      <alignment horizontal="center" vertical="top"/>
    </xf>
    <xf numFmtId="14" fontId="8" fillId="11" borderId="0" xfId="0" applyNumberFormat="1" applyFont="1" applyFill="1" applyAlignment="1">
      <alignment horizontal="center" vertical="top"/>
    </xf>
    <xf numFmtId="0" fontId="0" fillId="11" borderId="0" xfId="0" applyFill="1" applyAlignment="1">
      <alignment horizontal="center" vertical="top"/>
    </xf>
    <xf numFmtId="0" fontId="2" fillId="11" borderId="0" xfId="0" applyFont="1" applyFill="1" applyAlignment="1">
      <alignment vertical="top"/>
    </xf>
    <xf numFmtId="44" fontId="0" fillId="11" borderId="0" xfId="3" applyFont="1" applyFill="1" applyAlignment="1">
      <alignment vertical="top"/>
    </xf>
    <xf numFmtId="9" fontId="0" fillId="11" borderId="0" xfId="2" applyFont="1" applyFill="1" applyAlignment="1">
      <alignment horizontal="right" vertical="top"/>
    </xf>
    <xf numFmtId="10" fontId="0" fillId="11" borderId="0" xfId="0" applyNumberFormat="1" applyFill="1" applyAlignment="1">
      <alignment horizontal="right" vertical="top"/>
    </xf>
    <xf numFmtId="44" fontId="0" fillId="11" borderId="0" xfId="3" applyFont="1" applyFill="1" applyAlignment="1">
      <alignment horizontal="center" vertical="top"/>
    </xf>
    <xf numFmtId="0" fontId="0" fillId="11" borderId="0" xfId="0" applyFill="1" applyAlignment="1">
      <alignment horizontal="left" vertical="top"/>
    </xf>
    <xf numFmtId="0" fontId="0" fillId="11" borderId="0" xfId="0" applyFill="1" applyAlignment="1">
      <alignment horizontal="right" vertical="top"/>
    </xf>
    <xf numFmtId="44" fontId="0" fillId="11" borderId="0" xfId="3" applyFont="1" applyFill="1" applyAlignment="1">
      <alignment horizontal="right" vertical="top"/>
    </xf>
    <xf numFmtId="9" fontId="0" fillId="11" borderId="0" xfId="2" applyFont="1" applyFill="1" applyAlignment="1">
      <alignment horizontal="center" vertical="top"/>
    </xf>
    <xf numFmtId="44" fontId="0" fillId="9" borderId="0" xfId="3" applyFont="1" applyFill="1"/>
    <xf numFmtId="0" fontId="0" fillId="9" borderId="0" xfId="0" applyFill="1"/>
    <xf numFmtId="9" fontId="0" fillId="9" borderId="0" xfId="2" applyFont="1" applyFill="1" applyAlignment="1">
      <alignment horizontal="center" vertical="top"/>
    </xf>
    <xf numFmtId="44" fontId="1" fillId="11" borderId="0" xfId="3" applyFont="1" applyFill="1" applyAlignment="1">
      <alignment horizontal="center" vertical="top" wrapText="1"/>
    </xf>
  </cellXfs>
  <cellStyles count="4">
    <cellStyle name="Millares" xfId="1" builtinId="3"/>
    <cellStyle name="Moneda" xfId="3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BC2C-5705-4B81-A684-E63B033D6782}">
  <sheetPr codeName="Hoja1"/>
  <dimension ref="A1:O107"/>
  <sheetViews>
    <sheetView showGridLines="0" zoomScale="71" zoomScaleNormal="71" workbookViewId="0">
      <pane xSplit="1" topLeftCell="B1" activePane="topRight" state="frozen"/>
      <selection pane="topRight" activeCell="F11" sqref="F11"/>
    </sheetView>
  </sheetViews>
  <sheetFormatPr baseColWidth="10" defaultColWidth="8.88671875" defaultRowHeight="14.4"/>
  <cols>
    <col min="1" max="1" width="48.88671875" style="1" customWidth="1"/>
    <col min="2" max="2" width="22.33203125" style="1" customWidth="1"/>
    <col min="3" max="3" width="30.44140625" style="77" customWidth="1"/>
    <col min="4" max="4" width="23.33203125" style="1" customWidth="1"/>
    <col min="5" max="5" width="19.88671875" style="1" customWidth="1"/>
    <col min="6" max="7" width="14.44140625" style="1" customWidth="1"/>
    <col min="8" max="8" width="11.44140625" style="1" customWidth="1"/>
    <col min="9" max="9" width="8.88671875" style="1"/>
    <col min="10" max="10" width="26.44140625" style="1" customWidth="1"/>
    <col min="11" max="11" width="21" style="1" customWidth="1"/>
    <col min="12" max="12" width="26.5546875" style="1" customWidth="1"/>
    <col min="13" max="13" width="31.109375" style="1" bestFit="1" customWidth="1"/>
    <col min="14" max="14" width="14.109375" style="1" customWidth="1"/>
    <col min="15" max="16384" width="8.88671875" style="1"/>
  </cols>
  <sheetData>
    <row r="1" spans="1:14" ht="18.600000000000001" thickBot="1">
      <c r="A1" s="49" t="s">
        <v>60</v>
      </c>
      <c r="B1" s="146">
        <v>45488</v>
      </c>
      <c r="C1" s="146"/>
      <c r="D1" s="146"/>
      <c r="E1" s="146"/>
      <c r="F1" s="146"/>
      <c r="G1" s="146"/>
      <c r="H1" s="146"/>
      <c r="J1" s="169">
        <v>45122</v>
      </c>
      <c r="K1" s="169"/>
      <c r="L1" s="169"/>
      <c r="M1" s="169"/>
      <c r="N1" s="169"/>
    </row>
    <row r="2" spans="1:14">
      <c r="A2" s="129" t="s">
        <v>97</v>
      </c>
      <c r="B2" s="134" t="s">
        <v>0</v>
      </c>
      <c r="C2" s="134"/>
      <c r="D2" s="134"/>
      <c r="E2" s="134"/>
      <c r="J2" s="170"/>
      <c r="K2" s="171" t="s">
        <v>0</v>
      </c>
      <c r="L2" s="171"/>
      <c r="M2" s="171"/>
      <c r="N2" s="171"/>
    </row>
    <row r="3" spans="1:14" ht="28.8">
      <c r="A3" s="128"/>
      <c r="B3" s="1" t="s">
        <v>1</v>
      </c>
      <c r="C3" s="77" t="s">
        <v>2</v>
      </c>
      <c r="D3" s="20" t="s">
        <v>3</v>
      </c>
      <c r="E3" s="20" t="s">
        <v>4</v>
      </c>
      <c r="F3" s="29" t="s">
        <v>100</v>
      </c>
      <c r="G3" s="29" t="s">
        <v>5</v>
      </c>
      <c r="H3" s="29" t="s">
        <v>6</v>
      </c>
      <c r="J3" s="172">
        <v>2023</v>
      </c>
      <c r="K3" s="170" t="s">
        <v>1</v>
      </c>
      <c r="L3" s="170" t="s">
        <v>2</v>
      </c>
      <c r="M3" s="170" t="s">
        <v>3</v>
      </c>
      <c r="N3" s="170" t="s">
        <v>4</v>
      </c>
    </row>
    <row r="4" spans="1:14" ht="18">
      <c r="A4" s="143" t="s">
        <v>51</v>
      </c>
      <c r="B4" s="144">
        <v>25</v>
      </c>
      <c r="C4" s="78">
        <v>26285</v>
      </c>
      <c r="D4" s="18">
        <f>+B4/$B$17</f>
        <v>8.9285714285714288E-2</v>
      </c>
      <c r="E4" s="102">
        <f>+C4/$C$17</f>
        <v>9.6960776719084873E-2</v>
      </c>
      <c r="F4" s="1">
        <f>IFERROR(+VLOOKUP(A4,$J$4:$K$15,2,FALSE),0)</f>
        <v>9</v>
      </c>
      <c r="G4" s="5">
        <f>IFERROR(+B4-F4,0)</f>
        <v>16</v>
      </c>
      <c r="H4" s="6">
        <f>IFERROR(+(B4/F4)-1,0)</f>
        <v>1.7777777777777777</v>
      </c>
      <c r="J4" s="173" t="s">
        <v>51</v>
      </c>
      <c r="K4" s="174">
        <v>9</v>
      </c>
      <c r="L4" s="175">
        <v>6280</v>
      </c>
      <c r="M4" s="176">
        <f>+K4/$K$17</f>
        <v>3.1578947368421054E-2</v>
      </c>
      <c r="N4" s="177">
        <f>+L4/$L$17</f>
        <v>2.3226570012574894E-2</v>
      </c>
    </row>
    <row r="5" spans="1:14" ht="28.8">
      <c r="A5" s="143" t="s">
        <v>96</v>
      </c>
      <c r="B5" s="144">
        <v>4</v>
      </c>
      <c r="C5" s="78">
        <v>5550</v>
      </c>
      <c r="D5" s="18">
        <f>+B5/$B$17</f>
        <v>1.4285714285714285E-2</v>
      </c>
      <c r="E5" s="102">
        <f>+C5/$C$17</f>
        <v>2.0472981198056728E-2</v>
      </c>
      <c r="F5" s="1">
        <f>IFERROR(+VLOOKUP(A5,$J$4:$K$15,2,FALSE),0)</f>
        <v>0</v>
      </c>
      <c r="G5" s="5">
        <f t="shared" ref="G5:G14" si="0">IFERROR(+B5-F5,0)</f>
        <v>4</v>
      </c>
      <c r="H5" s="6">
        <f>IFERROR(+(B5/F5)-1,0)</f>
        <v>0</v>
      </c>
      <c r="J5" s="173" t="s">
        <v>90</v>
      </c>
      <c r="K5" s="174">
        <v>8</v>
      </c>
      <c r="L5" s="175">
        <v>10280</v>
      </c>
      <c r="M5" s="176">
        <f>+K5/$K$17</f>
        <v>2.8070175438596492E-2</v>
      </c>
      <c r="N5" s="177">
        <f>+L5/$L$17</f>
        <v>3.8020563651157628E-2</v>
      </c>
    </row>
    <row r="6" spans="1:14" ht="28.8">
      <c r="A6" s="143" t="s">
        <v>90</v>
      </c>
      <c r="B6" s="144">
        <v>32</v>
      </c>
      <c r="C6" s="78">
        <v>39110</v>
      </c>
      <c r="D6" s="18">
        <f>+B6/$B$17</f>
        <v>0.11428571428571428</v>
      </c>
      <c r="E6" s="102">
        <f>+C6/$C$17</f>
        <v>0.14426996300108083</v>
      </c>
      <c r="F6" s="1">
        <f>IFERROR(+VLOOKUP(A6,$J$4:$K$15,2,FALSE),0)</f>
        <v>8</v>
      </c>
      <c r="G6" s="5">
        <f t="shared" si="0"/>
        <v>24</v>
      </c>
      <c r="H6" s="6">
        <f>IFERROR(+(B6/F6)-1,0)</f>
        <v>3</v>
      </c>
      <c r="J6" s="173" t="s">
        <v>91</v>
      </c>
      <c r="K6" s="174">
        <v>2</v>
      </c>
      <c r="L6" s="175">
        <v>2400</v>
      </c>
      <c r="M6" s="176">
        <f>+K6/$K$17</f>
        <v>7.0175438596491229E-3</v>
      </c>
      <c r="N6" s="177">
        <f>+L6/$L$17</f>
        <v>8.8763961831496412E-3</v>
      </c>
    </row>
    <row r="7" spans="1:14" ht="18">
      <c r="A7" s="143" t="s">
        <v>91</v>
      </c>
      <c r="B7" s="144">
        <v>7</v>
      </c>
      <c r="C7" s="78">
        <v>5900</v>
      </c>
      <c r="D7" s="18">
        <f>+B7/$B$17</f>
        <v>2.5000000000000001E-2</v>
      </c>
      <c r="E7" s="102">
        <f>+C7/$C$17</f>
        <v>2.1764070102438682E-2</v>
      </c>
      <c r="F7" s="1">
        <f>IFERROR(+VLOOKUP(A7,$J$4:$K$15,2,FALSE),0)</f>
        <v>2</v>
      </c>
      <c r="G7" s="5">
        <f t="shared" si="0"/>
        <v>5</v>
      </c>
      <c r="H7" s="6"/>
      <c r="J7" s="173" t="s">
        <v>52</v>
      </c>
      <c r="K7" s="174">
        <v>45</v>
      </c>
      <c r="L7" s="175">
        <v>45080</v>
      </c>
      <c r="M7" s="176">
        <f>+K7/$K$17</f>
        <v>0.15789473684210525</v>
      </c>
      <c r="N7" s="177">
        <f>+L7/$L$17</f>
        <v>0.16672830830682742</v>
      </c>
    </row>
    <row r="8" spans="1:14" ht="18">
      <c r="A8" s="143" t="s">
        <v>52</v>
      </c>
      <c r="B8" s="144">
        <v>25</v>
      </c>
      <c r="C8" s="78">
        <v>18780</v>
      </c>
      <c r="D8" s="18">
        <f>+B8/$B$17</f>
        <v>8.9285714285714288E-2</v>
      </c>
      <c r="E8" s="102">
        <f>+C8/$C$17</f>
        <v>6.927614178369465E-2</v>
      </c>
      <c r="F8" s="1">
        <f t="shared" ref="F8:F14" si="1">IFERROR(+VLOOKUP(A8,$J$4:$K$15,2,FALSE),0)</f>
        <v>45</v>
      </c>
      <c r="G8" s="5">
        <f t="shared" si="0"/>
        <v>-20</v>
      </c>
      <c r="H8" s="6">
        <f t="shared" ref="H8:H9" si="2">IFERROR(+(B8/F8)-1,0)</f>
        <v>-0.44444444444444442</v>
      </c>
      <c r="J8" s="173" t="s">
        <v>49</v>
      </c>
      <c r="K8" s="174">
        <v>30</v>
      </c>
      <c r="L8" s="175">
        <v>28790</v>
      </c>
      <c r="M8" s="176">
        <f>+K8/$K$17</f>
        <v>0.10526315789473684</v>
      </c>
      <c r="N8" s="177">
        <f>+L8/$L$17</f>
        <v>0.10647976921369924</v>
      </c>
    </row>
    <row r="9" spans="1:14" ht="18">
      <c r="A9" s="143" t="s">
        <v>89</v>
      </c>
      <c r="B9" s="144">
        <v>64</v>
      </c>
      <c r="C9" s="78">
        <v>66660</v>
      </c>
      <c r="D9" s="18">
        <f>+B9/$B$17</f>
        <v>0.22857142857142856</v>
      </c>
      <c r="E9" s="102">
        <f>+C9/$C$17</f>
        <v>0.2458971039031462</v>
      </c>
      <c r="F9" s="1">
        <f t="shared" si="1"/>
        <v>0</v>
      </c>
      <c r="G9" s="5">
        <f t="shared" si="0"/>
        <v>64</v>
      </c>
      <c r="H9" s="6">
        <f t="shared" si="2"/>
        <v>0</v>
      </c>
      <c r="J9" s="173" t="s">
        <v>111</v>
      </c>
      <c r="K9" s="174">
        <v>19</v>
      </c>
      <c r="L9" s="175">
        <v>18310</v>
      </c>
      <c r="M9" s="176">
        <f>+K9/$K$17</f>
        <v>6.6666666666666666E-2</v>
      </c>
      <c r="N9" s="177">
        <f>+L9/$L$17</f>
        <v>6.7719505880612471E-2</v>
      </c>
    </row>
    <row r="10" spans="1:14" ht="18">
      <c r="A10" s="143" t="s">
        <v>111</v>
      </c>
      <c r="B10" s="144">
        <v>43</v>
      </c>
      <c r="C10" s="78">
        <v>35939</v>
      </c>
      <c r="D10" s="18">
        <f>+B10/$B$17</f>
        <v>0.15357142857142858</v>
      </c>
      <c r="E10" s="102">
        <f>+C10/$C$17</f>
        <v>0.1325726975273803</v>
      </c>
      <c r="F10" s="1">
        <f t="shared" si="1"/>
        <v>19</v>
      </c>
      <c r="G10" s="5">
        <f t="shared" si="0"/>
        <v>24</v>
      </c>
      <c r="H10" s="6">
        <f>IFERROR(+(B10/F10)-1,0)</f>
        <v>1.263157894736842</v>
      </c>
      <c r="J10" s="173" t="s">
        <v>120</v>
      </c>
      <c r="K10" s="174">
        <v>17</v>
      </c>
      <c r="L10" s="175">
        <v>15580</v>
      </c>
      <c r="M10" s="176">
        <f>+K10/$K$17</f>
        <v>5.9649122807017542E-2</v>
      </c>
      <c r="N10" s="177">
        <f>+L10/$L$17</f>
        <v>5.7622605222279757E-2</v>
      </c>
    </row>
    <row r="11" spans="1:14" ht="18">
      <c r="A11" s="143" t="s">
        <v>74</v>
      </c>
      <c r="B11" s="144">
        <v>27</v>
      </c>
      <c r="C11" s="78">
        <v>17255</v>
      </c>
      <c r="D11" s="18">
        <f>+B11/$B$17</f>
        <v>9.6428571428571433E-2</v>
      </c>
      <c r="E11" s="102">
        <f>+C11/$C$17</f>
        <v>6.3650682986030424E-2</v>
      </c>
      <c r="F11" s="1">
        <f t="shared" si="1"/>
        <v>42</v>
      </c>
      <c r="G11" s="5">
        <f t="shared" si="0"/>
        <v>-15</v>
      </c>
      <c r="H11" s="6">
        <f t="shared" ref="H11" si="3">IFERROR(+(B11/F11)-1,0)</f>
        <v>-0.3571428571428571</v>
      </c>
      <c r="J11" s="173" t="s">
        <v>74</v>
      </c>
      <c r="K11" s="174">
        <v>42</v>
      </c>
      <c r="L11" s="175">
        <v>26990</v>
      </c>
      <c r="M11" s="176">
        <f>+K11/$K$17</f>
        <v>0.14736842105263157</v>
      </c>
      <c r="N11" s="177">
        <f>+L11/$L$17</f>
        <v>9.9822472076337002E-2</v>
      </c>
    </row>
    <row r="12" spans="1:14" ht="18">
      <c r="A12" s="143" t="s">
        <v>55</v>
      </c>
      <c r="B12" s="144">
        <v>16</v>
      </c>
      <c r="C12" s="78">
        <v>19750</v>
      </c>
      <c r="D12" s="18">
        <f>+B12/$B$17</f>
        <v>5.7142857142857141E-2</v>
      </c>
      <c r="E12" s="102">
        <f>+C12/$C$17</f>
        <v>7.2854302461553222E-2</v>
      </c>
      <c r="F12" s="1">
        <f t="shared" si="1"/>
        <v>19</v>
      </c>
      <c r="G12" s="5">
        <f t="shared" si="0"/>
        <v>-3</v>
      </c>
      <c r="H12" s="6">
        <f>IFERROR(+(B12/F12)-1,0)</f>
        <v>-0.15789473684210531</v>
      </c>
      <c r="J12" s="173" t="s">
        <v>55</v>
      </c>
      <c r="K12" s="174">
        <v>19</v>
      </c>
      <c r="L12" s="175">
        <v>22740</v>
      </c>
      <c r="M12" s="176">
        <f>+K12/$K$17</f>
        <v>6.6666666666666666E-2</v>
      </c>
      <c r="N12" s="177">
        <f>+L12/$L$17</f>
        <v>8.4103853835342857E-2</v>
      </c>
    </row>
    <row r="13" spans="1:14" ht="28.8">
      <c r="A13" s="143" t="s">
        <v>87</v>
      </c>
      <c r="B13" s="144">
        <v>1</v>
      </c>
      <c r="C13" s="78">
        <v>1100</v>
      </c>
      <c r="D13" s="18">
        <f>+B13/$B$17</f>
        <v>3.5714285714285713E-3</v>
      </c>
      <c r="E13" s="102">
        <f>+C13/$C$17</f>
        <v>4.0577079852004323E-3</v>
      </c>
      <c r="F13" s="1">
        <f t="shared" si="1"/>
        <v>7</v>
      </c>
      <c r="G13" s="5">
        <f t="shared" si="0"/>
        <v>-6</v>
      </c>
      <c r="H13" s="6">
        <f t="shared" ref="H13:H14" si="4">IFERROR(+(B13/F13)-1,0)</f>
        <v>-0.85714285714285721</v>
      </c>
      <c r="J13" s="173" t="s">
        <v>87</v>
      </c>
      <c r="K13" s="174">
        <v>7</v>
      </c>
      <c r="L13" s="175">
        <v>6330</v>
      </c>
      <c r="M13" s="176">
        <f>+K13/$K$17</f>
        <v>2.456140350877193E-2</v>
      </c>
      <c r="N13" s="177">
        <f>+L13/$L$17</f>
        <v>2.3411494933057178E-2</v>
      </c>
    </row>
    <row r="14" spans="1:14" ht="28.8">
      <c r="A14" s="143" t="s">
        <v>92</v>
      </c>
      <c r="B14" s="144">
        <v>36</v>
      </c>
      <c r="C14" s="78">
        <v>34760</v>
      </c>
      <c r="D14" s="18">
        <f>+B14/$B$17</f>
        <v>0.12857142857142856</v>
      </c>
      <c r="E14" s="102">
        <f>+C14/$C$17</f>
        <v>0.12822357233233367</v>
      </c>
      <c r="F14" s="1">
        <f t="shared" si="1"/>
        <v>0</v>
      </c>
      <c r="G14" s="5">
        <f t="shared" si="0"/>
        <v>36</v>
      </c>
      <c r="H14" s="6">
        <f t="shared" si="4"/>
        <v>0</v>
      </c>
      <c r="J14" s="173" t="s">
        <v>88</v>
      </c>
      <c r="K14" s="174">
        <v>31</v>
      </c>
      <c r="L14" s="175">
        <v>30590</v>
      </c>
      <c r="M14" s="176">
        <f>+K14/$K$17</f>
        <v>0.10877192982456141</v>
      </c>
      <c r="N14" s="177">
        <f>+L14/$L$17</f>
        <v>0.11313706635106147</v>
      </c>
    </row>
    <row r="15" spans="1:14" ht="18">
      <c r="A15" s="143"/>
      <c r="B15" s="144"/>
      <c r="C15" s="78"/>
      <c r="D15" s="18"/>
      <c r="E15" s="102"/>
      <c r="G15" s="5"/>
      <c r="H15" s="6"/>
      <c r="J15" s="173" t="s">
        <v>121</v>
      </c>
      <c r="K15" s="174">
        <v>56</v>
      </c>
      <c r="L15" s="175">
        <v>57010</v>
      </c>
      <c r="M15" s="176">
        <f>+K15/$K$17</f>
        <v>0.19649122807017544</v>
      </c>
      <c r="N15" s="177">
        <f>+L15/$L$17</f>
        <v>0.21085139433390043</v>
      </c>
    </row>
    <row r="16" spans="1:14" ht="18">
      <c r="A16" s="143"/>
      <c r="B16" s="144"/>
      <c r="C16" s="78"/>
      <c r="D16" s="18"/>
      <c r="E16" s="102"/>
      <c r="G16" s="5"/>
      <c r="H16" s="6"/>
      <c r="J16" s="173"/>
      <c r="K16" s="174"/>
      <c r="L16" s="174"/>
      <c r="M16" s="176"/>
      <c r="N16" s="177"/>
    </row>
    <row r="17" spans="1:14">
      <c r="A17" s="30" t="s">
        <v>80</v>
      </c>
      <c r="B17" s="31">
        <f>SUM(B4:B14)</f>
        <v>280</v>
      </c>
      <c r="C17" s="79">
        <f>SUM(C4:C14)</f>
        <v>271089</v>
      </c>
      <c r="D17" s="32">
        <f>SUM(D4:D14)</f>
        <v>1</v>
      </c>
      <c r="E17" s="32">
        <f>SUM(E4:E14)</f>
        <v>1</v>
      </c>
      <c r="F17" s="33">
        <f>SUM(F4:F14)</f>
        <v>151</v>
      </c>
      <c r="G17" s="34">
        <f>SUM(G4:G14)</f>
        <v>129</v>
      </c>
      <c r="H17" s="6">
        <f>+(B17/F17)-1</f>
        <v>0.85430463576158933</v>
      </c>
      <c r="J17" s="30" t="s">
        <v>0</v>
      </c>
      <c r="K17" s="145">
        <f>SUM(K4:K15)</f>
        <v>285</v>
      </c>
      <c r="L17" s="145">
        <f>SUM(L4:L15)</f>
        <v>270380</v>
      </c>
      <c r="M17" s="35">
        <f>SUM(M4:M14)</f>
        <v>0.80350877192982451</v>
      </c>
      <c r="N17" s="35">
        <f>SUM(N4:N14)</f>
        <v>0.78914860566609946</v>
      </c>
    </row>
    <row r="18" spans="1:14" ht="33.6">
      <c r="A18" s="105" t="s">
        <v>110</v>
      </c>
      <c r="B18" s="130">
        <f>COUNTA(A4:A14)</f>
        <v>11</v>
      </c>
      <c r="C18" s="130"/>
      <c r="D18" s="130"/>
      <c r="E18" s="130"/>
      <c r="F18" s="130"/>
      <c r="G18" s="130"/>
      <c r="H18" s="6"/>
      <c r="J18" s="131">
        <f>COUNTA(J4:J15)</f>
        <v>12</v>
      </c>
      <c r="K18" s="131"/>
      <c r="L18" s="131"/>
      <c r="M18" s="131"/>
      <c r="N18" s="131"/>
    </row>
    <row r="19" spans="1:14" ht="18">
      <c r="A19" s="128" t="s">
        <v>99</v>
      </c>
      <c r="B19" s="21"/>
      <c r="C19" s="78"/>
      <c r="D19" s="4"/>
      <c r="E19" s="4"/>
      <c r="G19" s="5"/>
      <c r="H19" s="6"/>
      <c r="J19" s="178"/>
      <c r="K19" s="179"/>
      <c r="L19" s="179"/>
      <c r="M19" s="176"/>
      <c r="N19" s="180"/>
    </row>
    <row r="20" spans="1:14" ht="18">
      <c r="A20" s="128"/>
      <c r="B20" s="21"/>
      <c r="C20" s="78"/>
      <c r="D20" s="4"/>
      <c r="E20" s="4"/>
      <c r="G20" s="5"/>
      <c r="H20" s="6"/>
      <c r="J20" s="178"/>
      <c r="K20" s="179"/>
      <c r="L20" s="179"/>
      <c r="M20" s="176"/>
      <c r="N20" s="180"/>
    </row>
    <row r="21" spans="1:14" ht="18">
      <c r="A21" s="143" t="s">
        <v>116</v>
      </c>
      <c r="B21" s="144">
        <v>2</v>
      </c>
      <c r="C21" s="144">
        <v>730000</v>
      </c>
      <c r="D21" s="4">
        <f>+B7/$B$85</f>
        <v>1.804123711340206E-2</v>
      </c>
      <c r="E21" s="4">
        <f t="shared" ref="E21:E52" si="5">+C21/$C$85</f>
        <v>5.3058992659760808E-2</v>
      </c>
      <c r="F21" s="1">
        <f>IFERROR(+VLOOKUP(A7,$J$21:$K$84,2,FALSE),0)</f>
        <v>0</v>
      </c>
      <c r="G21" s="5">
        <f>IFERROR(+B7-F21,0)</f>
        <v>7</v>
      </c>
      <c r="H21" s="6">
        <f>IFERROR(+(B7/F21)-1,0)</f>
        <v>0</v>
      </c>
      <c r="J21" s="173" t="s">
        <v>40</v>
      </c>
      <c r="K21" s="174">
        <v>40</v>
      </c>
      <c r="L21" s="181">
        <v>48510</v>
      </c>
      <c r="M21" s="176">
        <f t="shared" ref="M21:M52" si="6">+K21/$K$85</f>
        <v>7.1942446043165464E-2</v>
      </c>
      <c r="N21" s="180">
        <f>+L21/$L$85</f>
        <v>8.87713647842477E-2</v>
      </c>
    </row>
    <row r="22" spans="1:14" ht="18">
      <c r="A22" s="143" t="s">
        <v>40</v>
      </c>
      <c r="B22" s="144">
        <v>37</v>
      </c>
      <c r="C22" s="144">
        <v>35799</v>
      </c>
      <c r="D22" s="4">
        <f t="shared" ref="D22:D53" si="7">+B22/$B$85</f>
        <v>9.5360824742268036E-2</v>
      </c>
      <c r="E22" s="4">
        <f t="shared" si="5"/>
        <v>2.6019984633243523E-3</v>
      </c>
      <c r="F22" s="1">
        <f>IFERROR(+VLOOKUP(A8,$J$21:$K$84,2,FALSE),0)</f>
        <v>0</v>
      </c>
      <c r="G22" s="5">
        <f t="shared" ref="G22:G75" si="8">IFERROR(+B22-F22,0)</f>
        <v>37</v>
      </c>
      <c r="H22" s="6">
        <f t="shared" ref="H22:H62" si="9">IFERROR(+(B22/F22)-1,0)</f>
        <v>0</v>
      </c>
      <c r="J22" s="173" t="s">
        <v>17</v>
      </c>
      <c r="K22" s="174">
        <v>71</v>
      </c>
      <c r="L22" s="181">
        <v>62609</v>
      </c>
      <c r="M22" s="176">
        <f t="shared" si="6"/>
        <v>0.12769784172661872</v>
      </c>
      <c r="N22" s="180">
        <f>+L22/$L$85</f>
        <v>0.11457197233100318</v>
      </c>
    </row>
    <row r="23" spans="1:14" ht="18">
      <c r="A23" s="143" t="s">
        <v>17</v>
      </c>
      <c r="B23" s="144">
        <v>43</v>
      </c>
      <c r="C23" s="144">
        <v>35760</v>
      </c>
      <c r="D23" s="4">
        <f t="shared" si="7"/>
        <v>0.11082474226804123</v>
      </c>
      <c r="E23" s="4">
        <f t="shared" si="5"/>
        <v>2.5991638048123923E-3</v>
      </c>
      <c r="F23" s="1">
        <f>IFERROR(+VLOOKUP(A9,$J$21:$K$84,2,FALSE),0)</f>
        <v>0</v>
      </c>
      <c r="G23" s="5">
        <f t="shared" si="8"/>
        <v>43</v>
      </c>
      <c r="H23" s="6">
        <f t="shared" si="9"/>
        <v>0</v>
      </c>
      <c r="J23" s="173" t="s">
        <v>18</v>
      </c>
      <c r="K23" s="174">
        <v>46</v>
      </c>
      <c r="L23" s="181">
        <v>48390</v>
      </c>
      <c r="M23" s="176">
        <f t="shared" si="6"/>
        <v>8.2733812949640287E-2</v>
      </c>
      <c r="N23" s="180">
        <f>+L23/$L$85</f>
        <v>8.8551769571423342E-2</v>
      </c>
    </row>
    <row r="24" spans="1:14" ht="18">
      <c r="A24" s="143" t="s">
        <v>18</v>
      </c>
      <c r="B24" s="144">
        <v>15</v>
      </c>
      <c r="C24" s="144">
        <v>19070</v>
      </c>
      <c r="D24" s="4">
        <f t="shared" si="7"/>
        <v>3.8659793814432991E-2</v>
      </c>
      <c r="E24" s="4">
        <f t="shared" si="5"/>
        <v>1.3860753287967653E-3</v>
      </c>
      <c r="F24" s="1">
        <f>IFERROR(+VLOOKUP(A10,$J$21:$K$84,2,FALSE),0)</f>
        <v>0</v>
      </c>
      <c r="G24" s="5">
        <f t="shared" si="8"/>
        <v>15</v>
      </c>
      <c r="H24" s="6">
        <f t="shared" si="9"/>
        <v>0</v>
      </c>
      <c r="J24" s="173" t="s">
        <v>119</v>
      </c>
      <c r="K24" s="174">
        <v>2</v>
      </c>
      <c r="L24" s="181">
        <v>2900</v>
      </c>
      <c r="M24" s="176">
        <f t="shared" si="6"/>
        <v>3.5971223021582736E-3</v>
      </c>
      <c r="N24" s="180">
        <f>+L24/$L$85</f>
        <v>5.3068843099220433E-3</v>
      </c>
    </row>
    <row r="25" spans="1:14" ht="18">
      <c r="A25" s="143" t="s">
        <v>19</v>
      </c>
      <c r="B25" s="144">
        <v>3</v>
      </c>
      <c r="C25" s="144">
        <v>2010</v>
      </c>
      <c r="D25" s="4">
        <f t="shared" si="7"/>
        <v>7.7319587628865982E-3</v>
      </c>
      <c r="E25" s="4">
        <f t="shared" si="5"/>
        <v>1.46093938693314E-4</v>
      </c>
      <c r="F25" s="1">
        <f>IFERROR(+VLOOKUP(A11,$J$21:$K$84,2,FALSE),0)</f>
        <v>0</v>
      </c>
      <c r="G25" s="5">
        <f t="shared" si="8"/>
        <v>3</v>
      </c>
      <c r="H25" s="6">
        <f t="shared" si="9"/>
        <v>0</v>
      </c>
      <c r="J25" s="173" t="s">
        <v>19</v>
      </c>
      <c r="K25" s="174">
        <v>1</v>
      </c>
      <c r="L25" s="181">
        <v>450</v>
      </c>
      <c r="M25" s="176">
        <f t="shared" si="6"/>
        <v>1.7985611510791368E-3</v>
      </c>
      <c r="N25" s="180">
        <f>+L25/$L$85</f>
        <v>8.2348204809135159E-4</v>
      </c>
    </row>
    <row r="26" spans="1:14" ht="18">
      <c r="A26" s="143" t="s">
        <v>41</v>
      </c>
      <c r="B26" s="144">
        <v>3</v>
      </c>
      <c r="C26" s="144">
        <v>1950</v>
      </c>
      <c r="D26" s="4">
        <f t="shared" si="7"/>
        <v>7.7319587628865982E-3</v>
      </c>
      <c r="E26" s="4">
        <f t="shared" si="5"/>
        <v>1.417329255979912E-4</v>
      </c>
      <c r="F26" s="1">
        <f>IFERROR(+VLOOKUP(A12,$J$21:$K$84,2,FALSE),0)</f>
        <v>0</v>
      </c>
      <c r="G26" s="5">
        <f t="shared" si="8"/>
        <v>3</v>
      </c>
      <c r="H26" s="6">
        <f>IFERROR(+(B26/F26)-1,0)</f>
        <v>0</v>
      </c>
      <c r="J26" s="173" t="s">
        <v>41</v>
      </c>
      <c r="K26" s="174">
        <v>6</v>
      </c>
      <c r="L26" s="181">
        <v>7620</v>
      </c>
      <c r="M26" s="176">
        <f t="shared" si="6"/>
        <v>1.0791366906474821E-2</v>
      </c>
      <c r="N26" s="180">
        <f>+L26/$L$85</f>
        <v>1.3944296014346887E-2</v>
      </c>
    </row>
    <row r="27" spans="1:14" ht="18">
      <c r="A27" s="143" t="s">
        <v>47</v>
      </c>
      <c r="B27" s="144">
        <v>2</v>
      </c>
      <c r="C27" s="144">
        <v>1900</v>
      </c>
      <c r="D27" s="4">
        <f t="shared" si="7"/>
        <v>5.1546391752577319E-3</v>
      </c>
      <c r="E27" s="4">
        <f t="shared" si="5"/>
        <v>1.3809874801855554E-4</v>
      </c>
      <c r="F27" s="1">
        <f>IFERROR(+VLOOKUP(A13,$J$21:$K$84,2,FALSE),0)</f>
        <v>0</v>
      </c>
      <c r="G27" s="5">
        <f t="shared" si="8"/>
        <v>2</v>
      </c>
      <c r="H27" s="6">
        <f t="shared" si="9"/>
        <v>0</v>
      </c>
      <c r="J27" s="173" t="s">
        <v>47</v>
      </c>
      <c r="K27" s="174">
        <v>2</v>
      </c>
      <c r="L27" s="181">
        <v>4400</v>
      </c>
      <c r="M27" s="176">
        <f t="shared" si="6"/>
        <v>3.5971223021582736E-3</v>
      </c>
      <c r="N27" s="180">
        <f>+L27/$L$85</f>
        <v>8.0518244702265495E-3</v>
      </c>
    </row>
    <row r="28" spans="1:14" ht="18">
      <c r="A28" s="143" t="s">
        <v>122</v>
      </c>
      <c r="B28" s="144">
        <v>1</v>
      </c>
      <c r="C28" s="144">
        <v>1900</v>
      </c>
      <c r="D28" s="4">
        <f t="shared" si="7"/>
        <v>2.5773195876288659E-3</v>
      </c>
      <c r="E28" s="4">
        <f t="shared" si="5"/>
        <v>1.3809874801855554E-4</v>
      </c>
      <c r="F28" s="1">
        <f>IFERROR(+VLOOKUP(A14,$J$21:$K$84,2,FALSE),0)</f>
        <v>0</v>
      </c>
      <c r="G28" s="5">
        <f t="shared" si="8"/>
        <v>1</v>
      </c>
      <c r="H28" s="6">
        <f t="shared" si="9"/>
        <v>0</v>
      </c>
      <c r="J28" s="173" t="s">
        <v>122</v>
      </c>
      <c r="K28" s="174">
        <v>1</v>
      </c>
      <c r="L28" s="181">
        <v>1100</v>
      </c>
      <c r="M28" s="176">
        <f t="shared" si="6"/>
        <v>1.7985611510791368E-3</v>
      </c>
      <c r="N28" s="180">
        <f>+L28/$L$85</f>
        <v>2.0129561175566374E-3</v>
      </c>
    </row>
    <row r="29" spans="1:14" ht="18">
      <c r="A29" s="143" t="s">
        <v>127</v>
      </c>
      <c r="B29" s="144">
        <v>1</v>
      </c>
      <c r="C29" s="144">
        <v>1800000</v>
      </c>
      <c r="D29" s="4">
        <f t="shared" si="7"/>
        <v>2.5773195876288659E-3</v>
      </c>
      <c r="E29" s="4">
        <f t="shared" si="5"/>
        <v>0.13083039285968417</v>
      </c>
      <c r="F29" s="1">
        <f>IFERROR(+VLOOKUP(#REF!,$J$21:$K$84,2,FALSE),0)</f>
        <v>0</v>
      </c>
      <c r="G29" s="5">
        <f t="shared" si="8"/>
        <v>1</v>
      </c>
      <c r="H29" s="6">
        <f>IFERROR(+(B29/F29)-1,0)</f>
        <v>0</v>
      </c>
      <c r="J29" s="173" t="s">
        <v>20</v>
      </c>
      <c r="K29" s="174">
        <v>18</v>
      </c>
      <c r="L29" s="181">
        <v>20150</v>
      </c>
      <c r="M29" s="176">
        <f t="shared" si="6"/>
        <v>3.237410071942446E-2</v>
      </c>
      <c r="N29" s="180">
        <f>+L29/$L$85</f>
        <v>3.6873696153423854E-2</v>
      </c>
    </row>
    <row r="30" spans="1:14" ht="18">
      <c r="A30" s="143" t="s">
        <v>128</v>
      </c>
      <c r="B30" s="144">
        <v>2</v>
      </c>
      <c r="C30" s="144">
        <v>360</v>
      </c>
      <c r="D30" s="4">
        <f t="shared" si="7"/>
        <v>5.1546391752577319E-3</v>
      </c>
      <c r="E30" s="4">
        <f t="shared" si="5"/>
        <v>2.6166078571936836E-5</v>
      </c>
      <c r="F30" s="1">
        <f>IFERROR(+VLOOKUP(#REF!,$J$21:$K$84,2,FALSE),0)</f>
        <v>0</v>
      </c>
      <c r="G30" s="5">
        <f t="shared" si="8"/>
        <v>2</v>
      </c>
      <c r="H30" s="6">
        <f t="shared" si="9"/>
        <v>0</v>
      </c>
      <c r="J30" s="173" t="s">
        <v>42</v>
      </c>
      <c r="K30" s="174">
        <v>38</v>
      </c>
      <c r="L30" s="181">
        <v>38810</v>
      </c>
      <c r="M30" s="176">
        <f t="shared" si="6"/>
        <v>6.83453237410072E-2</v>
      </c>
      <c r="N30" s="180">
        <f>+L30/$L$85</f>
        <v>7.1020751747611896E-2</v>
      </c>
    </row>
    <row r="31" spans="1:14" ht="18">
      <c r="A31" s="143" t="s">
        <v>20</v>
      </c>
      <c r="B31" s="144">
        <v>9</v>
      </c>
      <c r="C31" s="144">
        <v>10830</v>
      </c>
      <c r="D31" s="4">
        <f t="shared" si="7"/>
        <v>2.3195876288659795E-2</v>
      </c>
      <c r="E31" s="4">
        <f t="shared" si="5"/>
        <v>7.8716286370576652E-4</v>
      </c>
      <c r="F31" s="1">
        <f>IFERROR(+VLOOKUP(#REF!,$J$21:$K$84,2,FALSE),0)</f>
        <v>0</v>
      </c>
      <c r="G31" s="5">
        <f t="shared" si="8"/>
        <v>9</v>
      </c>
      <c r="H31" s="6">
        <f t="shared" si="9"/>
        <v>0</v>
      </c>
      <c r="J31" s="173" t="s">
        <v>22</v>
      </c>
      <c r="K31" s="174">
        <v>9</v>
      </c>
      <c r="L31" s="181">
        <v>5710</v>
      </c>
      <c r="M31" s="176">
        <f t="shared" si="6"/>
        <v>1.618705035971223E-2</v>
      </c>
      <c r="N31" s="180">
        <f>+L31/$L$85</f>
        <v>1.0449072210225818E-2</v>
      </c>
    </row>
    <row r="32" spans="1:14" ht="18">
      <c r="A32" s="143" t="s">
        <v>21</v>
      </c>
      <c r="B32" s="144">
        <v>2</v>
      </c>
      <c r="C32" s="144">
        <v>320</v>
      </c>
      <c r="D32" s="4">
        <f t="shared" si="7"/>
        <v>5.1546391752577319E-3</v>
      </c>
      <c r="E32" s="4">
        <f t="shared" si="5"/>
        <v>2.3258736508388301E-5</v>
      </c>
      <c r="F32" s="1">
        <f>IFERROR(+VLOOKUP(#REF!,$J$21:$K$84,2,FALSE),0)</f>
        <v>0</v>
      </c>
      <c r="G32" s="5">
        <f t="shared" si="8"/>
        <v>2</v>
      </c>
      <c r="H32" s="6">
        <f t="shared" si="9"/>
        <v>0</v>
      </c>
      <c r="J32" s="173" t="s">
        <v>23</v>
      </c>
      <c r="K32" s="174">
        <v>16</v>
      </c>
      <c r="L32" s="181">
        <v>21430</v>
      </c>
      <c r="M32" s="176">
        <f t="shared" si="6"/>
        <v>2.8776978417266189E-2</v>
      </c>
      <c r="N32" s="180">
        <f>+L32/$L$85</f>
        <v>3.9216045090217033E-2</v>
      </c>
    </row>
    <row r="33" spans="1:14" ht="18">
      <c r="A33" s="143" t="s">
        <v>42</v>
      </c>
      <c r="B33" s="144">
        <v>39</v>
      </c>
      <c r="C33" s="144">
        <v>38570</v>
      </c>
      <c r="D33" s="4">
        <f t="shared" si="7"/>
        <v>0.10051546391752578</v>
      </c>
      <c r="E33" s="4">
        <f t="shared" si="5"/>
        <v>2.8034045847766774E-3</v>
      </c>
      <c r="F33" s="1">
        <f>IFERROR(+VLOOKUP(#REF!,$J$21:$K$84,2,FALSE),0)</f>
        <v>0</v>
      </c>
      <c r="G33" s="5">
        <f t="shared" si="8"/>
        <v>39</v>
      </c>
      <c r="H33" s="6">
        <f t="shared" si="9"/>
        <v>0</v>
      </c>
      <c r="J33" s="173" t="s">
        <v>43</v>
      </c>
      <c r="K33" s="174">
        <v>8</v>
      </c>
      <c r="L33" s="181">
        <v>5450</v>
      </c>
      <c r="M33" s="176">
        <f t="shared" si="6"/>
        <v>1.4388489208633094E-2</v>
      </c>
      <c r="N33" s="180">
        <f>+L33/$L$85</f>
        <v>9.9732825824397024E-3</v>
      </c>
    </row>
    <row r="34" spans="1:14" ht="18">
      <c r="A34" s="143" t="s">
        <v>22</v>
      </c>
      <c r="B34" s="144">
        <v>7</v>
      </c>
      <c r="C34" s="144">
        <v>10250</v>
      </c>
      <c r="D34" s="4">
        <f t="shared" si="7"/>
        <v>1.804123711340206E-2</v>
      </c>
      <c r="E34" s="4">
        <f t="shared" si="5"/>
        <v>7.4500640378431272E-4</v>
      </c>
      <c r="F34" s="1">
        <f>IFERROR(+VLOOKUP(#REF!,$J$21:$K$84,2,FALSE),0)</f>
        <v>0</v>
      </c>
      <c r="G34" s="5">
        <f t="shared" si="8"/>
        <v>7</v>
      </c>
      <c r="H34" s="6">
        <f t="shared" si="9"/>
        <v>0</v>
      </c>
      <c r="J34" s="173" t="s">
        <v>50</v>
      </c>
      <c r="K34" s="174">
        <v>2</v>
      </c>
      <c r="L34" s="181">
        <v>3550</v>
      </c>
      <c r="M34" s="176">
        <f t="shared" si="6"/>
        <v>3.5971223021582736E-3</v>
      </c>
      <c r="N34" s="180">
        <f>+L34/$L$85</f>
        <v>6.4963583793873295E-3</v>
      </c>
    </row>
    <row r="35" spans="1:14" ht="18">
      <c r="A35" s="143" t="s">
        <v>113</v>
      </c>
      <c r="B35" s="144">
        <v>1</v>
      </c>
      <c r="C35" s="144">
        <v>75000</v>
      </c>
      <c r="D35" s="4">
        <f t="shared" si="7"/>
        <v>2.5773195876288659E-3</v>
      </c>
      <c r="E35" s="4">
        <f t="shared" si="5"/>
        <v>5.4512663691535079E-3</v>
      </c>
      <c r="F35" s="1">
        <f>IFERROR(+VLOOKUP(A17,$J$21:$K$84,2,FALSE),0)</f>
        <v>0</v>
      </c>
      <c r="G35" s="5">
        <f t="shared" si="8"/>
        <v>1</v>
      </c>
      <c r="H35" s="6">
        <f t="shared" si="9"/>
        <v>0</v>
      </c>
      <c r="J35" s="173" t="s">
        <v>24</v>
      </c>
      <c r="K35" s="174">
        <v>4</v>
      </c>
      <c r="L35" s="181">
        <v>5200</v>
      </c>
      <c r="M35" s="176">
        <f t="shared" si="6"/>
        <v>7.1942446043165471E-3</v>
      </c>
      <c r="N35" s="180">
        <f>+L35/$L$85</f>
        <v>9.5157925557222845E-3</v>
      </c>
    </row>
    <row r="36" spans="1:14" ht="18">
      <c r="A36" s="143" t="s">
        <v>23</v>
      </c>
      <c r="B36" s="144">
        <v>10</v>
      </c>
      <c r="C36" s="144">
        <v>10540</v>
      </c>
      <c r="D36" s="4">
        <f t="shared" si="7"/>
        <v>2.5773195876288658E-2</v>
      </c>
      <c r="E36" s="4">
        <f t="shared" si="5"/>
        <v>7.6608463374503962E-4</v>
      </c>
      <c r="F36" s="1">
        <f>IFERROR(+VLOOKUP(A18,$J$21:$K$84,2,FALSE),0)</f>
        <v>0</v>
      </c>
      <c r="G36" s="5">
        <f t="shared" si="8"/>
        <v>10</v>
      </c>
      <c r="H36" s="6">
        <f t="shared" si="9"/>
        <v>0</v>
      </c>
      <c r="J36" s="173" t="s">
        <v>123</v>
      </c>
      <c r="K36" s="174">
        <v>1</v>
      </c>
      <c r="L36" s="181">
        <v>1600</v>
      </c>
      <c r="M36" s="176">
        <f t="shared" si="6"/>
        <v>1.7985611510791368E-3</v>
      </c>
      <c r="N36" s="180">
        <f>+L36/$L$85</f>
        <v>2.9279361709914722E-3</v>
      </c>
    </row>
    <row r="37" spans="1:14" ht="18">
      <c r="A37" s="143" t="s">
        <v>43</v>
      </c>
      <c r="B37" s="144">
        <v>11</v>
      </c>
      <c r="C37" s="144">
        <v>8230</v>
      </c>
      <c r="D37" s="4">
        <f t="shared" si="7"/>
        <v>2.8350515463917526E-2</v>
      </c>
      <c r="E37" s="4">
        <f t="shared" si="5"/>
        <v>5.9818562957511155E-4</v>
      </c>
      <c r="F37" s="1">
        <f>IFERROR(+VLOOKUP(A19,$J$21:$K$84,2,FALSE),0)</f>
        <v>0</v>
      </c>
      <c r="G37" s="5">
        <f t="shared" si="8"/>
        <v>11</v>
      </c>
      <c r="H37" s="6">
        <f t="shared" si="9"/>
        <v>0</v>
      </c>
      <c r="J37" s="173" t="s">
        <v>25</v>
      </c>
      <c r="K37" s="174">
        <v>12</v>
      </c>
      <c r="L37" s="181">
        <v>21750</v>
      </c>
      <c r="M37" s="176">
        <f t="shared" si="6"/>
        <v>2.1582733812949641E-2</v>
      </c>
      <c r="N37" s="180">
        <f>+L37/$L$85</f>
        <v>3.9801632324415324E-2</v>
      </c>
    </row>
    <row r="38" spans="1:14" ht="18">
      <c r="A38" s="143" t="s">
        <v>129</v>
      </c>
      <c r="B38" s="144">
        <v>1</v>
      </c>
      <c r="C38" s="144">
        <v>180000</v>
      </c>
      <c r="D38" s="4">
        <f t="shared" si="7"/>
        <v>2.5773195876288659E-3</v>
      </c>
      <c r="E38" s="4">
        <f t="shared" si="5"/>
        <v>1.3083039285968419E-2</v>
      </c>
      <c r="F38" s="1">
        <f>IFERROR(+VLOOKUP(A20,$J$21:$K$84,2,FALSE),0)</f>
        <v>0</v>
      </c>
      <c r="G38" s="5">
        <f t="shared" si="8"/>
        <v>1</v>
      </c>
      <c r="H38" s="6">
        <f t="shared" si="9"/>
        <v>0</v>
      </c>
      <c r="J38" s="173" t="s">
        <v>26</v>
      </c>
      <c r="K38" s="174">
        <v>12</v>
      </c>
      <c r="L38" s="181">
        <v>16740</v>
      </c>
      <c r="M38" s="176">
        <f t="shared" si="6"/>
        <v>2.1582733812949641E-2</v>
      </c>
      <c r="N38" s="180">
        <f>+L38/$L$85</f>
        <v>3.063353218899828E-2</v>
      </c>
    </row>
    <row r="39" spans="1:14" ht="18">
      <c r="A39" s="143" t="s">
        <v>130</v>
      </c>
      <c r="B39" s="144">
        <v>2</v>
      </c>
      <c r="C39" s="144">
        <v>1480000</v>
      </c>
      <c r="D39" s="4">
        <f t="shared" si="7"/>
        <v>5.1546391752577319E-3</v>
      </c>
      <c r="E39" s="4">
        <f t="shared" si="5"/>
        <v>0.10757165635129588</v>
      </c>
      <c r="F39" s="1">
        <f>IFERROR(+VLOOKUP(A21,$J$21:$K$84,2,FALSE),0)</f>
        <v>0</v>
      </c>
      <c r="G39" s="5">
        <f t="shared" si="8"/>
        <v>2</v>
      </c>
      <c r="H39" s="6">
        <f t="shared" si="9"/>
        <v>0</v>
      </c>
      <c r="J39" s="173" t="s">
        <v>124</v>
      </c>
      <c r="K39" s="174">
        <v>2</v>
      </c>
      <c r="L39" s="181">
        <v>1600</v>
      </c>
      <c r="M39" s="176">
        <f t="shared" si="6"/>
        <v>3.5971223021582736E-3</v>
      </c>
      <c r="N39" s="180">
        <f>+L39/$L$85</f>
        <v>2.9279361709914722E-3</v>
      </c>
    </row>
    <row r="40" spans="1:14" ht="18">
      <c r="A40" s="143" t="s">
        <v>50</v>
      </c>
      <c r="B40" s="144">
        <v>5</v>
      </c>
      <c r="C40" s="144">
        <v>2560</v>
      </c>
      <c r="D40" s="4">
        <f t="shared" si="7"/>
        <v>1.2886597938144329E-2</v>
      </c>
      <c r="E40" s="4">
        <f t="shared" si="5"/>
        <v>1.8606989206710641E-4</v>
      </c>
      <c r="F40" s="1">
        <f>IFERROR(+VLOOKUP(A22,$J$21:$K$84,2,FALSE),0)</f>
        <v>40</v>
      </c>
      <c r="G40" s="5">
        <f t="shared" si="8"/>
        <v>-35</v>
      </c>
      <c r="H40" s="6">
        <f t="shared" si="9"/>
        <v>-0.875</v>
      </c>
      <c r="J40" s="173" t="s">
        <v>53</v>
      </c>
      <c r="K40" s="174">
        <v>3</v>
      </c>
      <c r="L40" s="181">
        <v>1900</v>
      </c>
      <c r="M40" s="176">
        <f t="shared" si="6"/>
        <v>5.3956834532374104E-3</v>
      </c>
      <c r="N40" s="180">
        <f>+L40/$L$85</f>
        <v>3.4769242030523733E-3</v>
      </c>
    </row>
    <row r="41" spans="1:14" ht="18">
      <c r="A41" s="143" t="s">
        <v>24</v>
      </c>
      <c r="B41" s="144">
        <v>3</v>
      </c>
      <c r="C41" s="144">
        <v>5950</v>
      </c>
      <c r="D41" s="4">
        <f t="shared" si="7"/>
        <v>7.7319587628865982E-3</v>
      </c>
      <c r="E41" s="4">
        <f t="shared" si="5"/>
        <v>4.3246713195284494E-4</v>
      </c>
      <c r="F41" s="1">
        <f>IFERROR(+VLOOKUP(A23,$J$21:$K$84,2,FALSE),0)</f>
        <v>71</v>
      </c>
      <c r="G41" s="5">
        <f t="shared" si="8"/>
        <v>-68</v>
      </c>
      <c r="H41" s="6">
        <f t="shared" si="9"/>
        <v>-0.95774647887323949</v>
      </c>
      <c r="J41" s="173" t="s">
        <v>56</v>
      </c>
      <c r="K41" s="174">
        <v>3</v>
      </c>
      <c r="L41" s="181">
        <v>1980</v>
      </c>
      <c r="M41" s="176">
        <f t="shared" si="6"/>
        <v>5.3956834532374104E-3</v>
      </c>
      <c r="N41" s="180">
        <f>+L41/$L$85</f>
        <v>3.6233210116019469E-3</v>
      </c>
    </row>
    <row r="42" spans="1:14" ht="18">
      <c r="A42" s="143" t="s">
        <v>76</v>
      </c>
      <c r="B42" s="144">
        <v>1</v>
      </c>
      <c r="C42" s="144">
        <v>1200</v>
      </c>
      <c r="D42" s="4">
        <f t="shared" si="7"/>
        <v>2.5773195876288659E-3</v>
      </c>
      <c r="E42" s="4">
        <f t="shared" si="5"/>
        <v>8.7220261906456126E-5</v>
      </c>
      <c r="F42" s="1">
        <f>IFERROR(+VLOOKUP(A24,$J$21:$K$84,2,FALSE),0)</f>
        <v>46</v>
      </c>
      <c r="G42" s="5">
        <f t="shared" si="8"/>
        <v>-45</v>
      </c>
      <c r="H42" s="6">
        <f t="shared" si="9"/>
        <v>-0.97826086956521741</v>
      </c>
      <c r="J42" s="173" t="s">
        <v>112</v>
      </c>
      <c r="K42" s="174">
        <v>1</v>
      </c>
      <c r="L42" s="181">
        <v>280</v>
      </c>
      <c r="M42" s="176">
        <f t="shared" si="6"/>
        <v>1.7985611510791368E-3</v>
      </c>
      <c r="N42" s="180">
        <f>+L42/$L$85</f>
        <v>5.1238882992350764E-4</v>
      </c>
    </row>
    <row r="43" spans="1:14" ht="18">
      <c r="A43" s="143" t="s">
        <v>25</v>
      </c>
      <c r="B43" s="144">
        <v>15</v>
      </c>
      <c r="C43" s="144">
        <v>18650</v>
      </c>
      <c r="D43" s="4">
        <f t="shared" si="7"/>
        <v>3.8659793814432991E-2</v>
      </c>
      <c r="E43" s="4">
        <f t="shared" si="5"/>
        <v>1.3555482371295055E-3</v>
      </c>
      <c r="F43" s="1">
        <f>IFERROR(+VLOOKUP(A25,$J$21:$K$84,2,FALSE),0)</f>
        <v>1</v>
      </c>
      <c r="G43" s="5">
        <f t="shared" si="8"/>
        <v>14</v>
      </c>
      <c r="H43" s="6">
        <f t="shared" si="9"/>
        <v>14</v>
      </c>
      <c r="J43" s="173" t="s">
        <v>27</v>
      </c>
      <c r="K43" s="174">
        <v>16</v>
      </c>
      <c r="L43" s="181">
        <v>19050</v>
      </c>
      <c r="M43" s="176">
        <f t="shared" si="6"/>
        <v>2.8776978417266189E-2</v>
      </c>
      <c r="N43" s="180">
        <f>+L43/$L$85</f>
        <v>3.486074003586722E-2</v>
      </c>
    </row>
    <row r="44" spans="1:14" ht="18">
      <c r="A44" s="143" t="s">
        <v>26</v>
      </c>
      <c r="B44" s="144">
        <v>9</v>
      </c>
      <c r="C44" s="144">
        <v>8450</v>
      </c>
      <c r="D44" s="4">
        <f t="shared" si="7"/>
        <v>2.3195876288659795E-2</v>
      </c>
      <c r="E44" s="4">
        <f t="shared" si="5"/>
        <v>6.1417601092462852E-4</v>
      </c>
      <c r="F44" s="1">
        <f>IFERROR(+VLOOKUP(A26,$J$21:$K$84,2,FALSE),0)</f>
        <v>6</v>
      </c>
      <c r="G44" s="5">
        <f t="shared" si="8"/>
        <v>3</v>
      </c>
      <c r="H44" s="6">
        <f t="shared" si="9"/>
        <v>0.5</v>
      </c>
      <c r="J44" s="173" t="s">
        <v>58</v>
      </c>
      <c r="K44" s="174">
        <v>39</v>
      </c>
      <c r="L44" s="181">
        <v>38420</v>
      </c>
      <c r="M44" s="176">
        <f t="shared" si="6"/>
        <v>7.0143884892086325E-2</v>
      </c>
      <c r="N44" s="180">
        <f>+L44/$L$85</f>
        <v>7.0307067305932724E-2</v>
      </c>
    </row>
    <row r="45" spans="1:14" ht="18">
      <c r="A45" s="143" t="s">
        <v>53</v>
      </c>
      <c r="B45" s="144">
        <v>1</v>
      </c>
      <c r="C45" s="144">
        <v>550</v>
      </c>
      <c r="D45" s="4">
        <f t="shared" si="7"/>
        <v>2.5773195876288659E-3</v>
      </c>
      <c r="E45" s="4">
        <f t="shared" si="5"/>
        <v>3.997595337379239E-5</v>
      </c>
      <c r="F45" s="1">
        <f>IFERROR(+VLOOKUP(A27,$J$21:$K$84,2,FALSE),0)</f>
        <v>2</v>
      </c>
      <c r="G45" s="5">
        <f>IFERROR(+B45-F45,0)</f>
        <v>-1</v>
      </c>
      <c r="H45" s="6">
        <f t="shared" si="9"/>
        <v>-0.5</v>
      </c>
      <c r="J45" s="173" t="s">
        <v>44</v>
      </c>
      <c r="K45" s="174">
        <v>15</v>
      </c>
      <c r="L45" s="181">
        <v>11830</v>
      </c>
      <c r="M45" s="176">
        <f t="shared" si="6"/>
        <v>2.6978417266187049E-2</v>
      </c>
      <c r="N45" s="180">
        <f>+L45/$L$85</f>
        <v>2.1648428064268199E-2</v>
      </c>
    </row>
    <row r="46" spans="1:14" ht="18">
      <c r="A46" s="143" t="s">
        <v>56</v>
      </c>
      <c r="B46" s="144">
        <v>1</v>
      </c>
      <c r="C46" s="144">
        <v>1600</v>
      </c>
      <c r="D46" s="4">
        <f t="shared" si="7"/>
        <v>2.5773195876288659E-3</v>
      </c>
      <c r="E46" s="4">
        <f t="shared" si="5"/>
        <v>1.162936825419415E-4</v>
      </c>
      <c r="F46" s="1">
        <f>IFERROR(+VLOOKUP(A28,$J$21:$K$84,2,FALSE),0)</f>
        <v>1</v>
      </c>
      <c r="G46" s="5">
        <f t="shared" si="8"/>
        <v>0</v>
      </c>
      <c r="H46" s="6">
        <f t="shared" si="9"/>
        <v>0</v>
      </c>
      <c r="J46" s="173" t="s">
        <v>33</v>
      </c>
      <c r="K46" s="174">
        <v>10</v>
      </c>
      <c r="L46" s="181">
        <v>10450</v>
      </c>
      <c r="M46" s="176">
        <f t="shared" si="6"/>
        <v>1.7985611510791366E-2</v>
      </c>
      <c r="N46" s="180">
        <f>+L46/$L$85</f>
        <v>1.9123083116788054E-2</v>
      </c>
    </row>
    <row r="47" spans="1:14" ht="18">
      <c r="A47" s="143" t="s">
        <v>115</v>
      </c>
      <c r="B47" s="144">
        <v>2</v>
      </c>
      <c r="C47" s="144">
        <v>2140000</v>
      </c>
      <c r="D47" s="4">
        <f t="shared" si="7"/>
        <v>5.1546391752577319E-3</v>
      </c>
      <c r="E47" s="4">
        <f t="shared" si="5"/>
        <v>0.15554280039984675</v>
      </c>
      <c r="F47" s="1">
        <f>IFERROR(+VLOOKUP(A29,$J$21:$K$84,2,FALSE),0)</f>
        <v>0</v>
      </c>
      <c r="G47" s="5">
        <f t="shared" si="8"/>
        <v>2</v>
      </c>
      <c r="H47" s="6">
        <f t="shared" si="9"/>
        <v>0</v>
      </c>
      <c r="J47" s="173" t="s">
        <v>125</v>
      </c>
      <c r="K47" s="174">
        <v>1</v>
      </c>
      <c r="L47" s="181">
        <v>400</v>
      </c>
      <c r="M47" s="176">
        <f t="shared" si="6"/>
        <v>1.7985611510791368E-3</v>
      </c>
      <c r="N47" s="180">
        <f>+L47/$L$85</f>
        <v>7.3198404274786805E-4</v>
      </c>
    </row>
    <row r="48" spans="1:14" ht="18">
      <c r="A48" s="143" t="s">
        <v>27</v>
      </c>
      <c r="B48" s="144">
        <v>23</v>
      </c>
      <c r="C48" s="144">
        <v>22830</v>
      </c>
      <c r="D48" s="4">
        <f t="shared" si="7"/>
        <v>5.9278350515463915E-2</v>
      </c>
      <c r="E48" s="4">
        <f t="shared" si="5"/>
        <v>1.6593654827703277E-3</v>
      </c>
      <c r="F48" s="1">
        <f>IFERROR(+VLOOKUP(A30,$J$21:$K$84,2,FALSE),0)</f>
        <v>0</v>
      </c>
      <c r="G48" s="5">
        <f t="shared" si="8"/>
        <v>23</v>
      </c>
      <c r="H48" s="6">
        <f t="shared" si="9"/>
        <v>0</v>
      </c>
      <c r="J48" s="173" t="s">
        <v>28</v>
      </c>
      <c r="K48" s="174">
        <v>6</v>
      </c>
      <c r="L48" s="181">
        <v>6420</v>
      </c>
      <c r="M48" s="176">
        <f t="shared" si="6"/>
        <v>1.0791366906474821E-2</v>
      </c>
      <c r="N48" s="180">
        <f>+L48/$L$85</f>
        <v>1.1748343886103282E-2</v>
      </c>
    </row>
    <row r="49" spans="1:14" ht="18">
      <c r="A49" s="143" t="s">
        <v>131</v>
      </c>
      <c r="B49" s="144">
        <v>1</v>
      </c>
      <c r="C49" s="144">
        <v>1780000</v>
      </c>
      <c r="D49" s="4">
        <f t="shared" si="7"/>
        <v>2.5773195876288659E-3</v>
      </c>
      <c r="E49" s="4">
        <f t="shared" si="5"/>
        <v>0.12937672182790991</v>
      </c>
      <c r="F49" s="1">
        <f>IFERROR(+VLOOKUP(A31,$J$21:$K$84,2,FALSE),0)</f>
        <v>18</v>
      </c>
      <c r="G49" s="5">
        <f t="shared" si="8"/>
        <v>-17</v>
      </c>
      <c r="H49" s="6">
        <f t="shared" si="9"/>
        <v>-0.94444444444444442</v>
      </c>
      <c r="J49" s="173" t="s">
        <v>29</v>
      </c>
      <c r="K49" s="174">
        <v>3</v>
      </c>
      <c r="L49" s="181">
        <v>2330</v>
      </c>
      <c r="M49" s="176">
        <f t="shared" si="6"/>
        <v>5.3956834532374104E-3</v>
      </c>
      <c r="N49" s="180">
        <f>+L49/$L$85</f>
        <v>4.2638070490063316E-3</v>
      </c>
    </row>
    <row r="50" spans="1:14" ht="18">
      <c r="A50" s="143" t="s">
        <v>132</v>
      </c>
      <c r="B50" s="144">
        <v>1</v>
      </c>
      <c r="C50" s="144">
        <v>940000</v>
      </c>
      <c r="D50" s="4">
        <f t="shared" si="7"/>
        <v>2.5773195876288659E-3</v>
      </c>
      <c r="E50" s="4">
        <f t="shared" si="5"/>
        <v>6.8322538493390636E-2</v>
      </c>
      <c r="F50" s="1">
        <f>IFERROR(+VLOOKUP(A32,$J$21:$K$84,2,FALSE),0)</f>
        <v>0</v>
      </c>
      <c r="G50" s="5">
        <f t="shared" si="8"/>
        <v>1</v>
      </c>
      <c r="H50" s="6">
        <f t="shared" si="9"/>
        <v>0</v>
      </c>
      <c r="J50" s="173" t="s">
        <v>45</v>
      </c>
      <c r="K50" s="174">
        <v>10</v>
      </c>
      <c r="L50" s="181">
        <v>6939</v>
      </c>
      <c r="M50" s="176">
        <f t="shared" si="6"/>
        <v>1.7985611510791366E-2</v>
      </c>
      <c r="N50" s="180">
        <f>+L50/$L$85</f>
        <v>1.2698093181568643E-2</v>
      </c>
    </row>
    <row r="51" spans="1:14" ht="18">
      <c r="A51" s="143" t="s">
        <v>44</v>
      </c>
      <c r="B51" s="144">
        <v>9</v>
      </c>
      <c r="C51" s="144">
        <v>7010</v>
      </c>
      <c r="D51" s="4">
        <f t="shared" si="7"/>
        <v>2.3195876288659795E-2</v>
      </c>
      <c r="E51" s="4">
        <f t="shared" si="5"/>
        <v>5.0951169663688114E-4</v>
      </c>
      <c r="F51" s="1">
        <f>IFERROR(+VLOOKUP(A33,$J$21:$K$84,2,FALSE),0)</f>
        <v>38</v>
      </c>
      <c r="G51" s="5">
        <f t="shared" si="8"/>
        <v>-29</v>
      </c>
      <c r="H51" s="6">
        <f t="shared" si="9"/>
        <v>-0.76315789473684215</v>
      </c>
      <c r="J51" s="173" t="s">
        <v>30</v>
      </c>
      <c r="K51" s="174">
        <v>4</v>
      </c>
      <c r="L51" s="181">
        <v>6900</v>
      </c>
      <c r="M51" s="176">
        <f t="shared" si="6"/>
        <v>7.1942446043165471E-3</v>
      </c>
      <c r="N51" s="180">
        <f>+L51/$L$85</f>
        <v>1.2626724737400724E-2</v>
      </c>
    </row>
    <row r="52" spans="1:14" ht="18">
      <c r="A52" s="143" t="s">
        <v>133</v>
      </c>
      <c r="B52" s="144">
        <v>1</v>
      </c>
      <c r="C52" s="144">
        <v>260000</v>
      </c>
      <c r="D52" s="4">
        <f t="shared" si="7"/>
        <v>2.5773195876288659E-3</v>
      </c>
      <c r="E52" s="4">
        <f t="shared" si="5"/>
        <v>1.8897723413065493E-2</v>
      </c>
      <c r="F52" s="1">
        <f>IFERROR(+VLOOKUP(A34,$J$21:$K$84,2,FALSE),0)</f>
        <v>9</v>
      </c>
      <c r="G52" s="5">
        <f t="shared" si="8"/>
        <v>-8</v>
      </c>
      <c r="H52" s="6">
        <f t="shared" si="9"/>
        <v>-0.88888888888888884</v>
      </c>
      <c r="J52" s="173" t="s">
        <v>34</v>
      </c>
      <c r="K52" s="174">
        <v>8</v>
      </c>
      <c r="L52" s="181">
        <v>9530</v>
      </c>
      <c r="M52" s="176">
        <f t="shared" si="6"/>
        <v>1.4388489208633094E-2</v>
      </c>
      <c r="N52" s="180">
        <f>+L52/$L$85</f>
        <v>1.7439519818467957E-2</v>
      </c>
    </row>
    <row r="53" spans="1:14" ht="18">
      <c r="A53" s="143" t="s">
        <v>117</v>
      </c>
      <c r="B53" s="144">
        <v>1</v>
      </c>
      <c r="C53" s="144">
        <v>2300</v>
      </c>
      <c r="D53" s="4">
        <f t="shared" si="7"/>
        <v>2.5773195876288659E-3</v>
      </c>
      <c r="E53" s="4">
        <f t="shared" ref="E53:E83" si="10">+C53/$C$85</f>
        <v>1.6717216865404089E-4</v>
      </c>
      <c r="F53" s="1">
        <f>IFERROR(+VLOOKUP(A35,$J$21:$K$84,2,FALSE),0)</f>
        <v>0</v>
      </c>
      <c r="G53" s="5">
        <f t="shared" si="8"/>
        <v>1</v>
      </c>
      <c r="H53" s="6">
        <f t="shared" si="9"/>
        <v>0</v>
      </c>
      <c r="J53" s="173" t="s">
        <v>31</v>
      </c>
      <c r="K53" s="174">
        <v>1</v>
      </c>
      <c r="L53" s="181">
        <v>350</v>
      </c>
      <c r="M53" s="176">
        <f t="shared" ref="M53:M79" si="11">+K53/$K$85</f>
        <v>1.7985611510791368E-3</v>
      </c>
      <c r="N53" s="180">
        <f t="shared" ref="N53:N79" si="12">+L53/$L$85</f>
        <v>6.4048603740438461E-4</v>
      </c>
    </row>
    <row r="54" spans="1:14" ht="18">
      <c r="A54" s="143" t="s">
        <v>33</v>
      </c>
      <c r="B54" s="144">
        <v>4</v>
      </c>
      <c r="C54" s="144">
        <v>4550</v>
      </c>
      <c r="D54" s="4">
        <f t="shared" ref="D54:D83" si="13">+B54/$B$85</f>
        <v>1.0309278350515464E-2</v>
      </c>
      <c r="E54" s="4">
        <f t="shared" si="10"/>
        <v>3.3071015972864612E-4</v>
      </c>
      <c r="F54" s="1">
        <f>IFERROR(+VLOOKUP(A36,$J$21:$K$84,2,FALSE),0)</f>
        <v>16</v>
      </c>
      <c r="G54" s="5">
        <f t="shared" si="8"/>
        <v>-12</v>
      </c>
      <c r="H54" s="6">
        <f t="shared" si="9"/>
        <v>-0.75</v>
      </c>
      <c r="J54" s="173" t="s">
        <v>35</v>
      </c>
      <c r="K54" s="174">
        <v>1</v>
      </c>
      <c r="L54" s="181">
        <v>1500</v>
      </c>
      <c r="M54" s="176">
        <f t="shared" si="11"/>
        <v>1.7985611510791368E-3</v>
      </c>
      <c r="N54" s="180">
        <f t="shared" si="12"/>
        <v>2.7449401603045053E-3</v>
      </c>
    </row>
    <row r="55" spans="1:14" ht="18">
      <c r="A55" s="143" t="s">
        <v>28</v>
      </c>
      <c r="B55" s="144">
        <v>8</v>
      </c>
      <c r="C55" s="144">
        <v>7950</v>
      </c>
      <c r="D55" s="4">
        <f t="shared" si="13"/>
        <v>2.0618556701030927E-2</v>
      </c>
      <c r="E55" s="4">
        <f t="shared" si="10"/>
        <v>5.7783423513027186E-4</v>
      </c>
      <c r="F55" s="1">
        <f>IFERROR(+VLOOKUP(A37,$J$21:$K$84,2,FALSE),0)</f>
        <v>8</v>
      </c>
      <c r="G55" s="5">
        <f t="shared" si="8"/>
        <v>0</v>
      </c>
      <c r="H55" s="6">
        <f t="shared" si="9"/>
        <v>0</v>
      </c>
      <c r="J55" s="173" t="s">
        <v>32</v>
      </c>
      <c r="K55" s="174">
        <v>4</v>
      </c>
      <c r="L55" s="181">
        <v>6300</v>
      </c>
      <c r="M55" s="176">
        <f t="shared" si="11"/>
        <v>7.1942446043165471E-3</v>
      </c>
      <c r="N55" s="180">
        <f t="shared" si="12"/>
        <v>1.1528748673278922E-2</v>
      </c>
    </row>
    <row r="56" spans="1:14" ht="18">
      <c r="A56" s="143" t="s">
        <v>29</v>
      </c>
      <c r="B56" s="144">
        <v>2</v>
      </c>
      <c r="C56" s="144">
        <v>1320</v>
      </c>
      <c r="D56" s="4">
        <f t="shared" si="13"/>
        <v>5.1546391752577319E-3</v>
      </c>
      <c r="E56" s="4">
        <f t="shared" si="10"/>
        <v>9.5942288097101741E-5</v>
      </c>
      <c r="F56" s="1">
        <f>IFERROR(+VLOOKUP(A38,$J$21:$K$84,2,FALSE),0)</f>
        <v>0</v>
      </c>
      <c r="G56" s="5">
        <f t="shared" si="8"/>
        <v>2</v>
      </c>
      <c r="H56" s="6">
        <f t="shared" si="9"/>
        <v>0</v>
      </c>
      <c r="J56" s="173" t="s">
        <v>61</v>
      </c>
      <c r="K56" s="174">
        <v>9</v>
      </c>
      <c r="L56" s="181">
        <v>3554</v>
      </c>
      <c r="M56" s="176">
        <f t="shared" si="11"/>
        <v>1.618705035971223E-2</v>
      </c>
      <c r="N56" s="180">
        <f t="shared" si="12"/>
        <v>6.5036782198148084E-3</v>
      </c>
    </row>
    <row r="57" spans="1:14" ht="18">
      <c r="A57" s="143" t="s">
        <v>45</v>
      </c>
      <c r="B57" s="144">
        <v>16</v>
      </c>
      <c r="C57" s="144">
        <v>13070</v>
      </c>
      <c r="D57" s="4">
        <f t="shared" si="13"/>
        <v>4.1237113402061855E-2</v>
      </c>
      <c r="E57" s="4">
        <f t="shared" si="10"/>
        <v>9.4997401926448456E-4</v>
      </c>
      <c r="F57" s="1">
        <f>IFERROR(+VLOOKUP(A39,$J$21:$K$84,2,FALSE),0)</f>
        <v>0</v>
      </c>
      <c r="G57" s="5">
        <f t="shared" si="8"/>
        <v>16</v>
      </c>
      <c r="H57" s="6">
        <f t="shared" si="9"/>
        <v>0</v>
      </c>
      <c r="J57" s="173" t="s">
        <v>36</v>
      </c>
      <c r="K57" s="174">
        <v>1</v>
      </c>
      <c r="L57" s="181">
        <v>240</v>
      </c>
      <c r="M57" s="176">
        <f t="shared" si="11"/>
        <v>1.7985611510791368E-3</v>
      </c>
      <c r="N57" s="180">
        <f t="shared" si="12"/>
        <v>4.3919042564872086E-4</v>
      </c>
    </row>
    <row r="58" spans="1:14" ht="18">
      <c r="A58" s="143" t="s">
        <v>30</v>
      </c>
      <c r="B58" s="144">
        <v>2</v>
      </c>
      <c r="C58" s="144">
        <v>1780</v>
      </c>
      <c r="D58" s="4">
        <f t="shared" si="13"/>
        <v>5.1546391752577319E-3</v>
      </c>
      <c r="E58" s="4">
        <f t="shared" si="10"/>
        <v>1.2937672182790992E-4</v>
      </c>
      <c r="F58" s="1">
        <f>IFERROR(+VLOOKUP(A40,$J$21:$K$84,2,FALSE),0)</f>
        <v>2</v>
      </c>
      <c r="G58" s="5">
        <f t="shared" si="8"/>
        <v>0</v>
      </c>
      <c r="H58" s="6">
        <f t="shared" si="9"/>
        <v>0</v>
      </c>
      <c r="J58" s="173" t="s">
        <v>54</v>
      </c>
      <c r="K58" s="174">
        <v>1</v>
      </c>
      <c r="L58" s="181">
        <v>800</v>
      </c>
      <c r="M58" s="176">
        <f t="shared" si="11"/>
        <v>1.7985611510791368E-3</v>
      </c>
      <c r="N58" s="180">
        <f t="shared" si="12"/>
        <v>1.4639680854957361E-3</v>
      </c>
    </row>
    <row r="59" spans="1:14" ht="18">
      <c r="A59" s="143" t="s">
        <v>34</v>
      </c>
      <c r="B59" s="144">
        <v>1</v>
      </c>
      <c r="C59" s="144">
        <v>300</v>
      </c>
      <c r="D59" s="4">
        <f t="shared" si="13"/>
        <v>2.5773195876288659E-3</v>
      </c>
      <c r="E59" s="4">
        <f t="shared" si="10"/>
        <v>2.1805065476614031E-5</v>
      </c>
      <c r="F59" s="1">
        <f>IFERROR(+VLOOKUP(A41,$J$21:$K$84,2,FALSE),0)</f>
        <v>4</v>
      </c>
      <c r="G59" s="5">
        <f t="shared" si="8"/>
        <v>-3</v>
      </c>
      <c r="H59" s="6">
        <f t="shared" si="9"/>
        <v>-0.75</v>
      </c>
      <c r="J59" s="173" t="s">
        <v>71</v>
      </c>
      <c r="K59" s="174">
        <v>41</v>
      </c>
      <c r="L59" s="181">
        <v>23298</v>
      </c>
      <c r="M59" s="176">
        <f t="shared" si="11"/>
        <v>7.3741007194244604E-2</v>
      </c>
      <c r="N59" s="180">
        <f t="shared" si="12"/>
        <v>4.2634410569849575E-2</v>
      </c>
    </row>
    <row r="60" spans="1:14" ht="18">
      <c r="A60" s="143" t="s">
        <v>32</v>
      </c>
      <c r="B60" s="144">
        <v>2</v>
      </c>
      <c r="C60" s="144">
        <v>6000</v>
      </c>
      <c r="D60" s="4">
        <f t="shared" si="13"/>
        <v>5.1546391752577319E-3</v>
      </c>
      <c r="E60" s="4">
        <f t="shared" si="10"/>
        <v>4.361013095322806E-4</v>
      </c>
      <c r="F60" s="1">
        <f>IFERROR(+VLOOKUP(A42,$J$21:$K$84,2,FALSE),0)</f>
        <v>0</v>
      </c>
      <c r="G60" s="5">
        <f t="shared" si="8"/>
        <v>2</v>
      </c>
      <c r="H60" s="6">
        <f t="shared" si="9"/>
        <v>0</v>
      </c>
      <c r="J60" s="173" t="s">
        <v>118</v>
      </c>
      <c r="K60" s="174">
        <v>1</v>
      </c>
      <c r="L60" s="181">
        <v>1400</v>
      </c>
      <c r="M60" s="176">
        <f t="shared" si="11"/>
        <v>1.7985611510791368E-3</v>
      </c>
      <c r="N60" s="180">
        <f t="shared" si="12"/>
        <v>2.5619441496175384E-3</v>
      </c>
    </row>
    <row r="61" spans="1:14" ht="18">
      <c r="A61" s="143" t="s">
        <v>61</v>
      </c>
      <c r="B61" s="144">
        <v>5</v>
      </c>
      <c r="C61" s="144">
        <v>1818</v>
      </c>
      <c r="D61" s="4">
        <f t="shared" si="13"/>
        <v>1.2886597938144329E-2</v>
      </c>
      <c r="E61" s="4">
        <f t="shared" si="10"/>
        <v>1.3213869678828103E-4</v>
      </c>
      <c r="F61" s="1">
        <f>IFERROR(+VLOOKUP(A43,$J$21:$K$84,2,FALSE),0)</f>
        <v>12</v>
      </c>
      <c r="G61" s="5">
        <f t="shared" si="8"/>
        <v>-7</v>
      </c>
      <c r="H61" s="6">
        <f t="shared" si="9"/>
        <v>-0.58333333333333326</v>
      </c>
      <c r="J61" s="173" t="s">
        <v>70</v>
      </c>
      <c r="K61" s="174">
        <v>21</v>
      </c>
      <c r="L61" s="181">
        <v>17950</v>
      </c>
      <c r="M61" s="176">
        <f t="shared" si="11"/>
        <v>3.7769784172661872E-2</v>
      </c>
      <c r="N61" s="180">
        <f t="shared" si="12"/>
        <v>3.2847783918310579E-2</v>
      </c>
    </row>
    <row r="62" spans="1:14" ht="18">
      <c r="A62" s="143" t="s">
        <v>109</v>
      </c>
      <c r="B62" s="144">
        <v>1</v>
      </c>
      <c r="C62" s="144">
        <v>800</v>
      </c>
      <c r="D62" s="4">
        <f t="shared" si="13"/>
        <v>2.5773195876288659E-3</v>
      </c>
      <c r="E62" s="4">
        <f t="shared" si="10"/>
        <v>5.8146841270970748E-5</v>
      </c>
      <c r="F62" s="1">
        <f>IFERROR(+VLOOKUP(A44,$J$21:$K$84,2,FALSE),0)</f>
        <v>12</v>
      </c>
      <c r="G62" s="5">
        <f t="shared" si="8"/>
        <v>-11</v>
      </c>
      <c r="H62" s="6">
        <f t="shared" si="9"/>
        <v>-0.91666666666666663</v>
      </c>
      <c r="J62" s="173" t="s">
        <v>72</v>
      </c>
      <c r="K62" s="174">
        <v>13</v>
      </c>
      <c r="L62" s="181">
        <v>9440</v>
      </c>
      <c r="M62" s="176">
        <f t="shared" si="11"/>
        <v>2.3381294964028777E-2</v>
      </c>
      <c r="N62" s="180">
        <f t="shared" si="12"/>
        <v>1.7274823408849688E-2</v>
      </c>
    </row>
    <row r="63" spans="1:14" ht="18">
      <c r="A63" s="143" t="s">
        <v>54</v>
      </c>
      <c r="B63" s="144">
        <v>1</v>
      </c>
      <c r="C63" s="144">
        <v>800</v>
      </c>
      <c r="D63" s="4">
        <f t="shared" si="13"/>
        <v>2.5773195876288659E-3</v>
      </c>
      <c r="E63" s="4">
        <f t="shared" si="10"/>
        <v>5.8146841270970748E-5</v>
      </c>
      <c r="F63" s="1">
        <f>IFERROR(+VLOOKUP(A45,$J$21:$K$84,2,FALSE),0)</f>
        <v>3</v>
      </c>
      <c r="G63" s="5">
        <f t="shared" si="8"/>
        <v>-2</v>
      </c>
      <c r="H63" s="6">
        <f>IFERROR(+(B63/F63)-1,0)</f>
        <v>-0.66666666666666674</v>
      </c>
      <c r="J63" s="173" t="s">
        <v>69</v>
      </c>
      <c r="K63" s="174">
        <v>11</v>
      </c>
      <c r="L63" s="181">
        <v>9060</v>
      </c>
      <c r="M63" s="176">
        <f t="shared" si="11"/>
        <v>1.9784172661870502E-2</v>
      </c>
      <c r="N63" s="180">
        <f t="shared" si="12"/>
        <v>1.6579438568239211E-2</v>
      </c>
    </row>
    <row r="64" spans="1:14" ht="18">
      <c r="A64" s="143" t="s">
        <v>71</v>
      </c>
      <c r="B64" s="144">
        <v>4</v>
      </c>
      <c r="C64" s="144">
        <v>1400</v>
      </c>
      <c r="D64" s="4">
        <f t="shared" si="13"/>
        <v>1.0309278350515464E-2</v>
      </c>
      <c r="E64" s="4">
        <f t="shared" si="10"/>
        <v>1.017569722241988E-4</v>
      </c>
      <c r="F64" s="1">
        <f>IFERROR(+VLOOKUP(A46,$J$21:$K$84,2,FALSE),0)</f>
        <v>3</v>
      </c>
      <c r="G64" s="5">
        <f t="shared" si="8"/>
        <v>1</v>
      </c>
      <c r="H64" s="6">
        <f t="shared" ref="H64:H75" si="14">IFERROR(+(B64/F64)-1,0)</f>
        <v>0.33333333333333326</v>
      </c>
      <c r="J64" s="173" t="s">
        <v>73</v>
      </c>
      <c r="K64" s="174">
        <v>15</v>
      </c>
      <c r="L64" s="181">
        <v>12930</v>
      </c>
      <c r="M64" s="176">
        <f t="shared" si="11"/>
        <v>2.6978417266187049E-2</v>
      </c>
      <c r="N64" s="180">
        <f t="shared" si="12"/>
        <v>2.3661384181824837E-2</v>
      </c>
    </row>
    <row r="65" spans="1:15" ht="18">
      <c r="A65" s="143" t="s">
        <v>70</v>
      </c>
      <c r="B65" s="144">
        <v>23</v>
      </c>
      <c r="C65" s="144">
        <v>866065</v>
      </c>
      <c r="D65" s="4">
        <f t="shared" si="13"/>
        <v>5.9278350515463915E-2</v>
      </c>
      <c r="E65" s="4">
        <f t="shared" si="10"/>
        <v>6.2948680106679103E-2</v>
      </c>
      <c r="F65" s="1">
        <f>IFERROR(+VLOOKUP(A47,$J$21:$K$84,2,FALSE),0)</f>
        <v>0</v>
      </c>
      <c r="G65" s="5">
        <f t="shared" si="8"/>
        <v>23</v>
      </c>
      <c r="H65" s="6">
        <f t="shared" si="14"/>
        <v>0</v>
      </c>
      <c r="J65" s="173" t="s">
        <v>75</v>
      </c>
      <c r="K65" s="174">
        <v>2</v>
      </c>
      <c r="L65" s="181">
        <v>2100</v>
      </c>
      <c r="M65" s="176">
        <f t="shared" si="11"/>
        <v>3.5971223021582736E-3</v>
      </c>
      <c r="N65" s="180">
        <f t="shared" si="12"/>
        <v>3.8429162244263074E-3</v>
      </c>
    </row>
    <row r="66" spans="1:15" ht="18">
      <c r="A66" s="143" t="s">
        <v>72</v>
      </c>
      <c r="B66" s="144">
        <v>14</v>
      </c>
      <c r="C66" s="144">
        <v>16569</v>
      </c>
      <c r="D66" s="4">
        <f t="shared" si="13"/>
        <v>3.608247422680412E-2</v>
      </c>
      <c r="E66" s="4">
        <f t="shared" si="10"/>
        <v>1.204293766273393E-3</v>
      </c>
      <c r="F66" s="1">
        <f>IFERROR(+VLOOKUP(A48,$J$21:$K$84,2,FALSE),0)</f>
        <v>16</v>
      </c>
      <c r="G66" s="5">
        <f t="shared" si="8"/>
        <v>-2</v>
      </c>
      <c r="H66" s="6">
        <f t="shared" si="14"/>
        <v>-0.125</v>
      </c>
      <c r="J66" s="173" t="s">
        <v>57</v>
      </c>
      <c r="K66" s="174">
        <v>5</v>
      </c>
      <c r="L66" s="181">
        <v>4130</v>
      </c>
      <c r="M66" s="176">
        <f t="shared" si="11"/>
        <v>8.9928057553956831E-3</v>
      </c>
      <c r="N66" s="180">
        <f t="shared" si="12"/>
        <v>7.557735241371738E-3</v>
      </c>
    </row>
    <row r="67" spans="1:15" ht="18">
      <c r="A67" s="143" t="s">
        <v>69</v>
      </c>
      <c r="B67" s="144">
        <v>9</v>
      </c>
      <c r="C67" s="144">
        <v>9870</v>
      </c>
      <c r="D67" s="4">
        <f t="shared" si="13"/>
        <v>2.3195876288659795E-2</v>
      </c>
      <c r="E67" s="4">
        <f t="shared" si="10"/>
        <v>7.1738665418060159E-4</v>
      </c>
      <c r="F67" s="1">
        <f>IFERROR(+VLOOKUP(A49,$J$21:$K$84,2,FALSE),0)</f>
        <v>0</v>
      </c>
      <c r="G67" s="5">
        <f>IFERROR(+B67-F67,0)</f>
        <v>9</v>
      </c>
      <c r="H67" s="6">
        <f t="shared" si="14"/>
        <v>0</v>
      </c>
      <c r="J67" s="173" t="s">
        <v>107</v>
      </c>
      <c r="K67" s="174">
        <v>1</v>
      </c>
      <c r="L67" s="181">
        <v>3000</v>
      </c>
      <c r="M67" s="176">
        <f t="shared" si="11"/>
        <v>1.7985611510791368E-3</v>
      </c>
      <c r="N67" s="180">
        <f t="shared" si="12"/>
        <v>5.4898803206090106E-3</v>
      </c>
    </row>
    <row r="68" spans="1:15" ht="18">
      <c r="A68" s="143" t="s">
        <v>73</v>
      </c>
      <c r="B68" s="144">
        <v>6</v>
      </c>
      <c r="C68" s="144">
        <v>5310</v>
      </c>
      <c r="D68" s="4">
        <f t="shared" si="13"/>
        <v>1.5463917525773196E-2</v>
      </c>
      <c r="E68" s="4">
        <f t="shared" si="10"/>
        <v>3.8594965893606832E-4</v>
      </c>
      <c r="F68" s="1">
        <f>IFERROR(+VLOOKUP(A50,$J$21:$K$84,2,FALSE),0)</f>
        <v>0</v>
      </c>
      <c r="G68" s="5">
        <f t="shared" si="8"/>
        <v>6</v>
      </c>
      <c r="H68" s="6">
        <f t="shared" si="14"/>
        <v>0</v>
      </c>
      <c r="J68" s="173" t="s">
        <v>46</v>
      </c>
      <c r="K68" s="174">
        <v>11</v>
      </c>
      <c r="L68" s="181">
        <v>8020</v>
      </c>
      <c r="M68" s="176">
        <f t="shared" si="11"/>
        <v>1.9784172661870502E-2</v>
      </c>
      <c r="N68" s="180">
        <f t="shared" si="12"/>
        <v>1.4676280057094756E-2</v>
      </c>
    </row>
    <row r="69" spans="1:15" ht="18">
      <c r="A69" s="143" t="s">
        <v>75</v>
      </c>
      <c r="B69" s="144">
        <v>6</v>
      </c>
      <c r="C69" s="144">
        <v>723400</v>
      </c>
      <c r="D69" s="4">
        <f t="shared" si="13"/>
        <v>1.5463917525773196E-2</v>
      </c>
      <c r="E69" s="4">
        <f t="shared" si="10"/>
        <v>5.2579281219275298E-2</v>
      </c>
      <c r="F69" s="1">
        <f>IFERROR(+VLOOKUP(A51,$J$21:$K$84,2,FALSE),0)</f>
        <v>15</v>
      </c>
      <c r="G69" s="5">
        <f t="shared" si="8"/>
        <v>-9</v>
      </c>
      <c r="H69" s="6">
        <f t="shared" si="14"/>
        <v>-0.6</v>
      </c>
      <c r="J69" s="173" t="s">
        <v>126</v>
      </c>
      <c r="K69" s="174">
        <v>2</v>
      </c>
      <c r="L69" s="181">
        <v>3300</v>
      </c>
      <c r="M69" s="176">
        <f t="shared" si="11"/>
        <v>3.5971223021582736E-3</v>
      </c>
      <c r="N69" s="180">
        <f t="shared" si="12"/>
        <v>6.0388683526699117E-3</v>
      </c>
    </row>
    <row r="70" spans="1:15" ht="18">
      <c r="A70" s="143" t="s">
        <v>57</v>
      </c>
      <c r="B70" s="144">
        <v>7</v>
      </c>
      <c r="C70" s="144">
        <v>6930</v>
      </c>
      <c r="D70" s="4">
        <f t="shared" si="13"/>
        <v>1.804123711340206E-2</v>
      </c>
      <c r="E70" s="4">
        <f t="shared" si="10"/>
        <v>5.0369701250978411E-4</v>
      </c>
      <c r="F70" s="1">
        <f>IFERROR(+VLOOKUP(A52,$J$21:$K$84,2,FALSE),0)</f>
        <v>0</v>
      </c>
      <c r="G70" s="5">
        <f t="shared" si="8"/>
        <v>7</v>
      </c>
      <c r="H70" s="6">
        <f t="shared" si="14"/>
        <v>0</v>
      </c>
      <c r="J70" s="173" t="s">
        <v>108</v>
      </c>
      <c r="K70" s="174">
        <v>2</v>
      </c>
      <c r="L70" s="181">
        <v>1580</v>
      </c>
      <c r="M70" s="176">
        <f t="shared" si="11"/>
        <v>3.5971223021582736E-3</v>
      </c>
      <c r="N70" s="180">
        <f t="shared" si="12"/>
        <v>2.891336968854079E-3</v>
      </c>
    </row>
    <row r="71" spans="1:15" ht="18">
      <c r="A71" s="143" t="s">
        <v>48</v>
      </c>
      <c r="B71" s="144">
        <v>3</v>
      </c>
      <c r="C71" s="144">
        <v>2150</v>
      </c>
      <c r="D71" s="4">
        <f t="shared" si="13"/>
        <v>7.7319587628865982E-3</v>
      </c>
      <c r="E71" s="4">
        <f t="shared" si="10"/>
        <v>1.5626963591573389E-4</v>
      </c>
      <c r="F71" s="1">
        <f>IFERROR(+VLOOKUP(A53,$J$21:$K$84,2,FALSE),0)</f>
        <v>0</v>
      </c>
      <c r="G71" s="5">
        <f>IFERROR(+B71-F71,0)</f>
        <v>3</v>
      </c>
      <c r="H71" s="6">
        <f t="shared" si="14"/>
        <v>0</v>
      </c>
      <c r="J71" s="173" t="s">
        <v>77</v>
      </c>
      <c r="K71" s="174">
        <v>4</v>
      </c>
      <c r="L71" s="181">
        <v>3110</v>
      </c>
      <c r="M71" s="176">
        <f t="shared" si="11"/>
        <v>7.1942446043165471E-3</v>
      </c>
      <c r="N71" s="180">
        <f t="shared" si="12"/>
        <v>5.6911759323646748E-3</v>
      </c>
    </row>
    <row r="72" spans="1:15" ht="18">
      <c r="A72" s="143" t="s">
        <v>134</v>
      </c>
      <c r="B72" s="144">
        <v>1</v>
      </c>
      <c r="C72" s="144">
        <v>1600</v>
      </c>
      <c r="D72" s="4">
        <f t="shared" si="13"/>
        <v>2.5773195876288659E-3</v>
      </c>
      <c r="E72" s="4">
        <f t="shared" si="10"/>
        <v>1.162936825419415E-4</v>
      </c>
      <c r="F72" s="1">
        <f>IFERROR(+VLOOKUP(A54,$J$21:$K$84,2,FALSE),0)</f>
        <v>10</v>
      </c>
      <c r="G72" s="5">
        <f t="shared" si="8"/>
        <v>-9</v>
      </c>
      <c r="H72" s="6">
        <f t="shared" si="14"/>
        <v>-0.9</v>
      </c>
      <c r="J72" s="178"/>
      <c r="K72" s="179"/>
      <c r="L72" s="181"/>
      <c r="M72" s="176">
        <f t="shared" si="11"/>
        <v>0</v>
      </c>
      <c r="N72" s="180">
        <f t="shared" si="12"/>
        <v>0</v>
      </c>
    </row>
    <row r="73" spans="1:15" ht="18">
      <c r="A73" s="143" t="s">
        <v>135</v>
      </c>
      <c r="B73" s="144">
        <v>1</v>
      </c>
      <c r="C73" s="144">
        <v>180000</v>
      </c>
      <c r="D73" s="4">
        <f t="shared" si="13"/>
        <v>2.5773195876288659E-3</v>
      </c>
      <c r="E73" s="4">
        <f t="shared" si="10"/>
        <v>1.3083039285968419E-2</v>
      </c>
      <c r="F73" s="1">
        <f>IFERROR(+VLOOKUP(A55,$J$21:$K$84,2,FALSE),0)</f>
        <v>6</v>
      </c>
      <c r="G73" s="5">
        <f t="shared" si="8"/>
        <v>-5</v>
      </c>
      <c r="H73" s="6">
        <f t="shared" si="14"/>
        <v>-0.83333333333333337</v>
      </c>
      <c r="I73" s="6"/>
      <c r="J73" s="178"/>
      <c r="K73" s="179"/>
      <c r="L73" s="181"/>
      <c r="M73" s="176">
        <f t="shared" si="11"/>
        <v>0</v>
      </c>
      <c r="N73" s="180">
        <f t="shared" si="12"/>
        <v>0</v>
      </c>
      <c r="O73" s="6"/>
    </row>
    <row r="74" spans="1:15" ht="18">
      <c r="A74" s="143" t="s">
        <v>114</v>
      </c>
      <c r="B74" s="144">
        <v>1</v>
      </c>
      <c r="C74" s="144">
        <v>200</v>
      </c>
      <c r="D74" s="4">
        <f t="shared" si="13"/>
        <v>2.5773195876288659E-3</v>
      </c>
      <c r="E74" s="4">
        <f t="shared" si="10"/>
        <v>1.4536710317742687E-5</v>
      </c>
      <c r="F74" s="1">
        <f>IFERROR(+VLOOKUP(A56,$J$21:$K$84,2,FALSE),0)</f>
        <v>3</v>
      </c>
      <c r="G74" s="5">
        <f t="shared" si="8"/>
        <v>-2</v>
      </c>
      <c r="H74" s="6">
        <f t="shared" si="14"/>
        <v>-0.66666666666666674</v>
      </c>
      <c r="J74" s="178"/>
      <c r="K74" s="179"/>
      <c r="L74" s="181"/>
      <c r="M74" s="176">
        <f t="shared" si="11"/>
        <v>0</v>
      </c>
      <c r="N74" s="180">
        <f t="shared" si="12"/>
        <v>0</v>
      </c>
    </row>
    <row r="75" spans="1:15" ht="18">
      <c r="A75" s="143" t="s">
        <v>136</v>
      </c>
      <c r="B75" s="144">
        <v>1</v>
      </c>
      <c r="C75" s="144">
        <v>180000</v>
      </c>
      <c r="D75" s="4">
        <f t="shared" si="13"/>
        <v>2.5773195876288659E-3</v>
      </c>
      <c r="E75" s="4">
        <f t="shared" si="10"/>
        <v>1.3083039285968419E-2</v>
      </c>
      <c r="F75" s="1">
        <f>IFERROR(+VLOOKUP(A57,$J$21:$K$84,2,FALSE),0)</f>
        <v>10</v>
      </c>
      <c r="G75" s="5">
        <f t="shared" si="8"/>
        <v>-9</v>
      </c>
      <c r="H75" s="6">
        <f t="shared" si="14"/>
        <v>-0.9</v>
      </c>
      <c r="J75" s="178"/>
      <c r="K75" s="179"/>
      <c r="L75" s="181"/>
      <c r="M75" s="176">
        <f t="shared" si="11"/>
        <v>0</v>
      </c>
      <c r="N75" s="180">
        <f t="shared" si="12"/>
        <v>0</v>
      </c>
    </row>
    <row r="76" spans="1:15" ht="18">
      <c r="A76" s="143" t="s">
        <v>93</v>
      </c>
      <c r="B76" s="144">
        <v>1</v>
      </c>
      <c r="C76" s="144">
        <v>800</v>
      </c>
      <c r="D76" s="4">
        <f t="shared" si="13"/>
        <v>2.5773195876288659E-3</v>
      </c>
      <c r="E76" s="4">
        <f t="shared" si="10"/>
        <v>5.8146841270970748E-5</v>
      </c>
      <c r="F76" s="1">
        <f>IFERROR(+VLOOKUP(A58,$J$21:$K$84,2,FALSE),0)</f>
        <v>4</v>
      </c>
      <c r="G76" s="5">
        <f t="shared" ref="G76:G79" si="15">IFERROR(+B76-F76,0)</f>
        <v>-3</v>
      </c>
      <c r="H76" s="6">
        <f t="shared" ref="H76:H79" si="16">IFERROR(+(B76/F76)-1,0)</f>
        <v>-0.75</v>
      </c>
      <c r="J76" s="178"/>
      <c r="K76" s="179"/>
      <c r="L76" s="181"/>
      <c r="M76" s="176">
        <f t="shared" si="11"/>
        <v>0</v>
      </c>
      <c r="N76" s="180">
        <f t="shared" si="12"/>
        <v>0</v>
      </c>
    </row>
    <row r="77" spans="1:15" ht="18">
      <c r="A77" s="143" t="s">
        <v>137</v>
      </c>
      <c r="B77" s="144">
        <v>1</v>
      </c>
      <c r="C77" s="144">
        <v>840000</v>
      </c>
      <c r="D77" s="4">
        <f t="shared" si="13"/>
        <v>2.5773195876288659E-3</v>
      </c>
      <c r="E77" s="4">
        <f t="shared" si="10"/>
        <v>6.1054183334519285E-2</v>
      </c>
      <c r="F77" s="1">
        <f>IFERROR(+VLOOKUP(A59,$J$21:$K$84,2,FALSE),0)</f>
        <v>8</v>
      </c>
      <c r="G77" s="5">
        <f t="shared" si="15"/>
        <v>-7</v>
      </c>
      <c r="H77" s="6">
        <f t="shared" si="16"/>
        <v>-0.875</v>
      </c>
      <c r="J77" s="178"/>
      <c r="K77" s="179"/>
      <c r="L77" s="181"/>
      <c r="M77" s="176">
        <f t="shared" si="11"/>
        <v>0</v>
      </c>
      <c r="N77" s="180">
        <f t="shared" si="12"/>
        <v>0</v>
      </c>
    </row>
    <row r="78" spans="1:15" ht="18">
      <c r="A78" s="143" t="s">
        <v>94</v>
      </c>
      <c r="B78" s="144">
        <v>3</v>
      </c>
      <c r="C78" s="144">
        <v>2000</v>
      </c>
      <c r="D78" s="4">
        <f t="shared" si="13"/>
        <v>7.7319587628865982E-3</v>
      </c>
      <c r="E78" s="4">
        <f t="shared" si="10"/>
        <v>1.4536710317742687E-4</v>
      </c>
      <c r="F78" s="1">
        <f>IFERROR(+VLOOKUP(A60,$J$21:$K$84,2,FALSE),0)</f>
        <v>4</v>
      </c>
      <c r="G78" s="5">
        <f t="shared" si="15"/>
        <v>-1</v>
      </c>
      <c r="H78" s="6">
        <f t="shared" si="16"/>
        <v>-0.25</v>
      </c>
      <c r="J78" s="178"/>
      <c r="K78" s="179"/>
      <c r="L78" s="181"/>
      <c r="M78" s="176">
        <f t="shared" si="11"/>
        <v>0</v>
      </c>
      <c r="N78" s="180">
        <f t="shared" si="12"/>
        <v>0</v>
      </c>
    </row>
    <row r="79" spans="1:15" ht="18">
      <c r="A79" s="143" t="s">
        <v>138</v>
      </c>
      <c r="B79" s="144">
        <v>1</v>
      </c>
      <c r="C79" s="144">
        <v>1250000</v>
      </c>
      <c r="D79" s="4">
        <f t="shared" si="13"/>
        <v>2.5773195876288659E-3</v>
      </c>
      <c r="E79" s="4">
        <f t="shared" si="10"/>
        <v>9.0854439485891794E-2</v>
      </c>
      <c r="F79" s="1">
        <f>IFERROR(+VLOOKUP(A61,$J$21:$K$84,2,FALSE),0)</f>
        <v>9</v>
      </c>
      <c r="G79" s="5">
        <f t="shared" si="15"/>
        <v>-8</v>
      </c>
      <c r="H79" s="6">
        <f t="shared" si="16"/>
        <v>-0.88888888888888884</v>
      </c>
      <c r="J79" s="178"/>
      <c r="K79" s="179"/>
      <c r="L79" s="181"/>
      <c r="M79" s="176">
        <f t="shared" si="11"/>
        <v>0</v>
      </c>
      <c r="N79" s="180">
        <f t="shared" si="12"/>
        <v>0</v>
      </c>
    </row>
    <row r="80" spans="1:15" ht="18">
      <c r="A80" s="143" t="s">
        <v>139</v>
      </c>
      <c r="B80" s="144">
        <v>1</v>
      </c>
      <c r="C80" s="144">
        <v>299000</v>
      </c>
      <c r="D80" s="4">
        <f t="shared" si="13"/>
        <v>2.5773195876288659E-3</v>
      </c>
      <c r="E80" s="4">
        <f t="shared" si="10"/>
        <v>2.1732381925025319E-2</v>
      </c>
      <c r="F80" s="1">
        <f>IFERROR(+VLOOKUP(A62,$J$21:$K$84,2,FALSE),0)</f>
        <v>0</v>
      </c>
      <c r="G80" s="5">
        <f t="shared" ref="G80:G83" si="17">IFERROR(+B80-F80,0)</f>
        <v>1</v>
      </c>
      <c r="H80" s="6">
        <f t="shared" ref="H80:H83" si="18">IFERROR(+(B80/F80)-1,0)</f>
        <v>0</v>
      </c>
      <c r="J80" s="178"/>
      <c r="K80" s="179"/>
      <c r="L80" s="181"/>
      <c r="M80" s="176">
        <f>+K80/$K$85</f>
        <v>0</v>
      </c>
      <c r="N80" s="180">
        <f>+L80/$L$85</f>
        <v>0</v>
      </c>
    </row>
    <row r="81" spans="1:14" ht="18">
      <c r="A81" s="143" t="s">
        <v>59</v>
      </c>
      <c r="B81" s="144">
        <v>1</v>
      </c>
      <c r="C81" s="144">
        <v>1400</v>
      </c>
      <c r="D81" s="4">
        <f t="shared" si="13"/>
        <v>2.5773195876288659E-3</v>
      </c>
      <c r="E81" s="4">
        <f t="shared" si="10"/>
        <v>1.017569722241988E-4</v>
      </c>
      <c r="F81" s="1">
        <f>IFERROR(+VLOOKUP(A63,$J$21:$K$84,2,FALSE),0)</f>
        <v>1</v>
      </c>
      <c r="G81" s="5">
        <f t="shared" si="17"/>
        <v>0</v>
      </c>
      <c r="H81" s="6">
        <f t="shared" si="18"/>
        <v>0</v>
      </c>
      <c r="J81" s="178"/>
      <c r="K81" s="179"/>
      <c r="L81" s="181"/>
      <c r="M81" s="176">
        <f>+K81/$K$85</f>
        <v>0</v>
      </c>
      <c r="N81" s="180">
        <f>+L81/$L$85</f>
        <v>0</v>
      </c>
    </row>
    <row r="82" spans="1:14" ht="18">
      <c r="A82" s="143" t="s">
        <v>140</v>
      </c>
      <c r="B82" s="144">
        <v>1</v>
      </c>
      <c r="C82" s="144">
        <v>360000</v>
      </c>
      <c r="D82" s="4">
        <f t="shared" si="13"/>
        <v>2.5773195876288659E-3</v>
      </c>
      <c r="E82" s="4">
        <f t="shared" si="10"/>
        <v>2.6166078571936837E-2</v>
      </c>
      <c r="F82" s="1">
        <f>IFERROR(+VLOOKUP(A64,$J$21:$K$84,2,FALSE),0)</f>
        <v>41</v>
      </c>
      <c r="G82" s="5">
        <f t="shared" si="17"/>
        <v>-40</v>
      </c>
      <c r="H82" s="6">
        <f t="shared" si="18"/>
        <v>-0.97560975609756095</v>
      </c>
      <c r="J82" s="178"/>
      <c r="K82" s="179"/>
      <c r="L82" s="181"/>
      <c r="M82" s="176">
        <f>+K82/$K$85</f>
        <v>0</v>
      </c>
      <c r="N82" s="180">
        <f>+L82/$L$85</f>
        <v>0</v>
      </c>
    </row>
    <row r="83" spans="1:14" ht="18">
      <c r="A83" s="143" t="s">
        <v>77</v>
      </c>
      <c r="B83" s="144">
        <v>6</v>
      </c>
      <c r="C83" s="144">
        <v>7280</v>
      </c>
      <c r="D83" s="4">
        <f t="shared" si="13"/>
        <v>1.5463917525773196E-2</v>
      </c>
      <c r="E83" s="4">
        <f t="shared" si="10"/>
        <v>5.2913625556583383E-4</v>
      </c>
      <c r="F83" s="1">
        <f>IFERROR(+VLOOKUP(A65,$J$21:$K$84,2,FALSE),0)</f>
        <v>21</v>
      </c>
      <c r="G83" s="5">
        <f t="shared" si="17"/>
        <v>-15</v>
      </c>
      <c r="H83" s="6">
        <f t="shared" si="18"/>
        <v>-0.7142857142857143</v>
      </c>
      <c r="J83" s="178"/>
      <c r="K83" s="179"/>
      <c r="L83" s="181"/>
      <c r="M83" s="176">
        <f>+K83/$K$85</f>
        <v>0</v>
      </c>
      <c r="N83" s="180">
        <f>+L83/$L$85</f>
        <v>0</v>
      </c>
    </row>
    <row r="84" spans="1:14" ht="18">
      <c r="A84" s="19"/>
      <c r="B84" s="21"/>
      <c r="C84" s="78"/>
      <c r="D84" s="4"/>
      <c r="E84" s="4"/>
      <c r="G84" s="5"/>
      <c r="H84" s="6"/>
      <c r="J84" s="178"/>
      <c r="K84" s="179"/>
      <c r="L84" s="181"/>
      <c r="M84" s="176">
        <f>+K84/$K$85</f>
        <v>0</v>
      </c>
      <c r="N84" s="180">
        <f>+L84/$L$85</f>
        <v>0</v>
      </c>
    </row>
    <row r="85" spans="1:14">
      <c r="A85" s="30" t="s">
        <v>81</v>
      </c>
      <c r="B85" s="31">
        <f t="shared" ref="B85:G85" si="19">SUM(B21:B79)</f>
        <v>388</v>
      </c>
      <c r="C85" s="79">
        <f t="shared" si="19"/>
        <v>13758271</v>
      </c>
      <c r="D85" s="32">
        <f t="shared" si="19"/>
        <v>1.0128865979381438</v>
      </c>
      <c r="E85" s="32">
        <f t="shared" si="19"/>
        <v>0.99999999999999989</v>
      </c>
      <c r="F85" s="33">
        <f t="shared" si="19"/>
        <v>377</v>
      </c>
      <c r="G85" s="34">
        <f t="shared" si="19"/>
        <v>16</v>
      </c>
      <c r="H85" s="6">
        <f>+(B85/F85)-1</f>
        <v>2.917771883289122E-2</v>
      </c>
      <c r="J85" s="30" t="s">
        <v>0</v>
      </c>
      <c r="K85" s="31">
        <f>SUM(K21:K84)</f>
        <v>556</v>
      </c>
      <c r="L85" s="92">
        <f>SUM(L21:L84)</f>
        <v>546460</v>
      </c>
      <c r="M85" s="35">
        <f>SUM(M21:M84)</f>
        <v>0.99999999999999944</v>
      </c>
      <c r="N85" s="35">
        <f>SUM(N21:N84)</f>
        <v>0.99999999999999989</v>
      </c>
    </row>
    <row r="86" spans="1:14">
      <c r="A86" s="44" t="s">
        <v>84</v>
      </c>
      <c r="B86" s="45">
        <f>SUM(B17+B85)</f>
        <v>668</v>
      </c>
      <c r="C86" s="80">
        <f>SUM(C17+C85)</f>
        <v>14029360</v>
      </c>
      <c r="D86" s="46">
        <f>SUM(D4:D14,D21:D79)</f>
        <v>2.0128865979381434</v>
      </c>
      <c r="E86" s="46">
        <f>SUM(E14:E14,E70:E79)</f>
        <v>0.30729258471041515</v>
      </c>
      <c r="F86" s="47">
        <f>SUM(F17+F85)</f>
        <v>528</v>
      </c>
      <c r="G86" s="48">
        <f>SUM(G17,G85)</f>
        <v>145</v>
      </c>
      <c r="H86" s="6">
        <f>+(B86/F86)-1</f>
        <v>0.26515151515151514</v>
      </c>
      <c r="J86" s="44"/>
      <c r="K86" s="45">
        <f>SUM(K85+K17)</f>
        <v>841</v>
      </c>
      <c r="L86" s="93">
        <f>SUM(L85+L17)</f>
        <v>816840</v>
      </c>
      <c r="M86" s="46">
        <f>SUM(M85+M17)</f>
        <v>1.803508771929824</v>
      </c>
      <c r="N86" s="46">
        <f>SUM(N85+N17)</f>
        <v>1.7891486056660995</v>
      </c>
    </row>
    <row r="87" spans="1:14" ht="33" customHeight="1">
      <c r="A87" s="107" t="s">
        <v>110</v>
      </c>
      <c r="B87" s="132">
        <f>COUNTA(A7:A83)</f>
        <v>74</v>
      </c>
      <c r="C87" s="132"/>
      <c r="D87" s="132"/>
      <c r="E87" s="132"/>
      <c r="F87" s="132"/>
      <c r="G87" s="132"/>
      <c r="H87" s="6"/>
      <c r="J87" s="110">
        <f>COUNTA(J21:J84)</f>
        <v>51</v>
      </c>
      <c r="K87" s="111"/>
      <c r="L87" s="112"/>
      <c r="M87" s="113"/>
      <c r="N87" s="113"/>
    </row>
    <row r="88" spans="1:14" ht="36">
      <c r="A88" s="37" t="s">
        <v>101</v>
      </c>
      <c r="B88" s="8">
        <f>(+B17-K17)</f>
        <v>-5</v>
      </c>
      <c r="C88" s="81"/>
      <c r="D88" s="38"/>
      <c r="E88" s="38"/>
      <c r="F88" s="39"/>
      <c r="G88" s="40"/>
      <c r="H88" s="6"/>
      <c r="J88" s="41"/>
      <c r="K88" s="42"/>
      <c r="L88" s="42"/>
      <c r="M88" s="43"/>
      <c r="N88" s="43"/>
    </row>
    <row r="89" spans="1:14" ht="21">
      <c r="A89" s="37"/>
      <c r="B89" s="8"/>
      <c r="C89" s="81"/>
      <c r="D89" s="38"/>
      <c r="E89" s="38"/>
      <c r="F89" s="39"/>
      <c r="G89" s="40"/>
      <c r="H89" s="6"/>
      <c r="J89" s="41"/>
      <c r="K89" s="42"/>
      <c r="L89" s="42"/>
      <c r="M89" s="43"/>
      <c r="N89" s="43"/>
    </row>
    <row r="90" spans="1:14" ht="40.5" customHeight="1">
      <c r="A90" s="37" t="s">
        <v>102</v>
      </c>
      <c r="B90" s="8">
        <f>(+B85-K85)</f>
        <v>-168</v>
      </c>
      <c r="C90" s="81"/>
      <c r="D90" s="38"/>
      <c r="E90" s="38"/>
      <c r="F90" s="39"/>
      <c r="G90" s="40"/>
      <c r="H90" s="6"/>
      <c r="J90" s="41"/>
      <c r="K90" s="42"/>
      <c r="L90" s="42"/>
      <c r="M90" s="43"/>
      <c r="N90" s="43"/>
    </row>
    <row r="91" spans="1:14" s="9" customFormat="1" ht="32.25" customHeight="1">
      <c r="A91" s="36" t="s">
        <v>7</v>
      </c>
      <c r="B91" s="8">
        <f>+B86-K86</f>
        <v>-173</v>
      </c>
      <c r="C91" s="82"/>
      <c r="D91" s="22"/>
    </row>
    <row r="92" spans="1:14" s="9" customFormat="1" ht="23.4">
      <c r="A92" s="7" t="s">
        <v>8</v>
      </c>
      <c r="B92" s="10">
        <f>(B86/K86)-1</f>
        <v>-0.20570749108204522</v>
      </c>
      <c r="C92" s="82"/>
      <c r="E92" s="22"/>
    </row>
    <row r="93" spans="1:14" s="9" customFormat="1" ht="23.4" hidden="1">
      <c r="A93" s="11"/>
      <c r="B93" s="12"/>
      <c r="C93" s="82"/>
      <c r="D93" s="22"/>
    </row>
    <row r="94" spans="1:14" s="9" customFormat="1" ht="23.4" hidden="1">
      <c r="A94" s="13" t="s">
        <v>9</v>
      </c>
      <c r="C94" s="83">
        <v>1855362</v>
      </c>
      <c r="H94" s="15">
        <f>+(C94/M94)-1</f>
        <v>-0.88936867478500414</v>
      </c>
      <c r="K94" s="13" t="s">
        <v>9</v>
      </c>
      <c r="M94" s="94">
        <v>16770675</v>
      </c>
      <c r="N94" s="16"/>
    </row>
    <row r="95" spans="1:14" s="9" customFormat="1" ht="23.4" hidden="1">
      <c r="A95" s="13"/>
      <c r="C95" s="83"/>
      <c r="H95" s="17"/>
      <c r="K95" s="13"/>
      <c r="M95" s="94"/>
    </row>
    <row r="96" spans="1:14" s="9" customFormat="1" ht="23.1" hidden="1" customHeight="1">
      <c r="A96" s="13" t="s">
        <v>10</v>
      </c>
      <c r="C96" s="97">
        <f>C94/C98</f>
        <v>1224.6613861386138</v>
      </c>
      <c r="H96" s="17">
        <f>+(C96/M96)-1</f>
        <v>-0.90192879883581556</v>
      </c>
      <c r="K96" s="13" t="s">
        <v>10</v>
      </c>
      <c r="M96" s="94">
        <f>M94/M98</f>
        <v>12487.47207743857</v>
      </c>
    </row>
    <row r="97" spans="1:14" s="9" customFormat="1" ht="23.4" hidden="1">
      <c r="C97" s="82"/>
    </row>
    <row r="98" spans="1:14" s="9" customFormat="1" ht="23.4" hidden="1">
      <c r="A98" s="13" t="s">
        <v>11</v>
      </c>
      <c r="C98" s="13">
        <v>1515</v>
      </c>
      <c r="H98" s="17">
        <f>+(C98/M98)-1</f>
        <v>0.12807148175725991</v>
      </c>
      <c r="K98" s="13" t="s">
        <v>11</v>
      </c>
      <c r="M98" s="13">
        <v>1343</v>
      </c>
    </row>
    <row r="99" spans="1:14" s="9" customFormat="1" ht="23.4" hidden="1">
      <c r="A99" s="13"/>
      <c r="C99" s="83"/>
      <c r="H99" s="17"/>
      <c r="K99" s="13"/>
      <c r="M99" s="13"/>
    </row>
    <row r="100" spans="1:14" s="9" customFormat="1" ht="23.4" hidden="1">
      <c r="A100" s="13" t="s">
        <v>12</v>
      </c>
      <c r="C100" s="82"/>
      <c r="K100" s="13" t="s">
        <v>12</v>
      </c>
    </row>
    <row r="101" spans="1:14" hidden="1">
      <c r="A101" s="1" t="s">
        <v>13</v>
      </c>
      <c r="C101" s="86">
        <v>1338</v>
      </c>
      <c r="H101" s="6">
        <f t="shared" ref="H101:H106" si="20">+(C101/M101)-1</f>
        <v>7.0400000000000018E-2</v>
      </c>
      <c r="K101" s="1" t="s">
        <v>13</v>
      </c>
      <c r="M101" s="1">
        <v>1250</v>
      </c>
    </row>
    <row r="102" spans="1:14" hidden="1">
      <c r="A102" s="1" t="s">
        <v>14</v>
      </c>
      <c r="C102" s="86">
        <v>1049</v>
      </c>
      <c r="D102" s="1">
        <f>+C101/C102</f>
        <v>1.2755004766444233</v>
      </c>
      <c r="H102" s="6">
        <f t="shared" si="20"/>
        <v>0.14145810663764968</v>
      </c>
      <c r="K102" s="1" t="s">
        <v>14</v>
      </c>
      <c r="M102" s="1">
        <v>919</v>
      </c>
      <c r="N102" s="1">
        <f>+M101/M102</f>
        <v>1.3601741022850924</v>
      </c>
    </row>
    <row r="103" spans="1:14" hidden="1">
      <c r="A103" s="1" t="s">
        <v>15</v>
      </c>
      <c r="C103" s="86">
        <v>107</v>
      </c>
      <c r="H103" s="6">
        <f t="shared" si="20"/>
        <v>0.69841269841269837</v>
      </c>
      <c r="K103" s="1" t="s">
        <v>15</v>
      </c>
      <c r="M103" s="1">
        <v>63</v>
      </c>
    </row>
    <row r="104" spans="1:14" hidden="1">
      <c r="A104" s="1" t="s">
        <v>16</v>
      </c>
      <c r="C104" s="86">
        <v>50</v>
      </c>
      <c r="H104" s="6">
        <f t="shared" si="20"/>
        <v>0.66666666666666674</v>
      </c>
      <c r="K104" s="1" t="s">
        <v>16</v>
      </c>
      <c r="M104" s="1">
        <v>30</v>
      </c>
    </row>
    <row r="105" spans="1:14" hidden="1">
      <c r="A105" s="1" t="s">
        <v>37</v>
      </c>
      <c r="C105" s="86">
        <v>2237</v>
      </c>
      <c r="H105" s="6">
        <f t="shared" si="20"/>
        <v>-0.47794632438739793</v>
      </c>
      <c r="K105" s="1" t="s">
        <v>38</v>
      </c>
      <c r="M105" s="1">
        <v>4285</v>
      </c>
    </row>
    <row r="106" spans="1:14" hidden="1">
      <c r="A106" s="1" t="s">
        <v>39</v>
      </c>
      <c r="C106" s="86">
        <v>27</v>
      </c>
      <c r="H106" s="6">
        <f t="shared" si="20"/>
        <v>1.7000000000000002</v>
      </c>
      <c r="K106" s="1" t="s">
        <v>39</v>
      </c>
      <c r="M106" s="1">
        <v>10</v>
      </c>
    </row>
    <row r="107" spans="1:14" hidden="1"/>
  </sheetData>
  <mergeCells count="9">
    <mergeCell ref="B1:H1"/>
    <mergeCell ref="J1:N1"/>
    <mergeCell ref="B2:E2"/>
    <mergeCell ref="K2:N2"/>
    <mergeCell ref="A19:A20"/>
    <mergeCell ref="A2:A3"/>
    <mergeCell ref="B18:G18"/>
    <mergeCell ref="J18:N18"/>
    <mergeCell ref="B87:G87"/>
  </mergeCells>
  <conditionalFormatting sqref="G4:G16 G19:G84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{CC514CAA-89B8-47D1-8260-F7BF4ACE7384}</x14:id>
        </ext>
      </extLst>
    </cfRule>
  </conditionalFormatting>
  <conditionalFormatting sqref="H4:H16 H19:H84">
    <cfRule type="dataBar" priority="5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{9274FA19-AAC5-476A-B079-8B0F6293CEE8}</x14:id>
        </ext>
      </extLst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514CAA-89B8-47D1-8260-F7BF4ACE73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G4:G16 G19:G84</xm:sqref>
        </x14:conditionalFormatting>
        <x14:conditionalFormatting xmlns:xm="http://schemas.microsoft.com/office/excel/2006/main">
          <x14:cfRule type="dataBar" id="{9274FA19-AAC5-476A-B079-8B0F6293CEE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H4:H16 H19:H84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2A02C-CF01-4017-9B08-0D65A93968DF}">
  <sheetPr codeName="Hoja10"/>
  <dimension ref="A1:X42"/>
  <sheetViews>
    <sheetView showGridLines="0" topLeftCell="A11" zoomScale="60" zoomScaleNormal="60" workbookViewId="0">
      <selection activeCell="A26" sqref="A26:XFD42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26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1.44140625" style="1" customWidth="1"/>
    <col min="9" max="9" width="8.88671875" style="1"/>
    <col min="10" max="10" width="26.44140625" style="1" customWidth="1"/>
    <col min="11" max="11" width="21" style="1" customWidth="1"/>
    <col min="12" max="12" width="20.6640625" style="1" bestFit="1" customWidth="1"/>
    <col min="13" max="13" width="21.44140625" style="1" bestFit="1" customWidth="1"/>
    <col min="14" max="14" width="14.109375" style="1" customWidth="1"/>
    <col min="15" max="16384" width="8.88671875" style="1"/>
  </cols>
  <sheetData>
    <row r="1" spans="1:15" ht="15" thickBot="1">
      <c r="A1" s="49" t="s">
        <v>68</v>
      </c>
      <c r="B1" s="133">
        <v>45383</v>
      </c>
      <c r="C1" s="134"/>
      <c r="D1" s="134"/>
      <c r="E1" s="134"/>
      <c r="F1" s="134"/>
      <c r="G1" s="134"/>
      <c r="H1" s="134"/>
      <c r="J1" s="133">
        <v>45017</v>
      </c>
      <c r="K1" s="134"/>
      <c r="L1" s="134"/>
      <c r="M1" s="134"/>
      <c r="N1" s="134"/>
    </row>
    <row r="2" spans="1:15">
      <c r="A2" s="129" t="s">
        <v>97</v>
      </c>
      <c r="B2" s="134" t="s">
        <v>0</v>
      </c>
      <c r="C2" s="134"/>
      <c r="D2" s="134"/>
      <c r="E2" s="134"/>
      <c r="K2" s="134" t="s">
        <v>0</v>
      </c>
      <c r="L2" s="134"/>
      <c r="M2" s="134"/>
      <c r="N2" s="134"/>
    </row>
    <row r="3" spans="1:15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74" t="s">
        <v>100</v>
      </c>
      <c r="G3" s="74" t="s">
        <v>5</v>
      </c>
      <c r="H3" s="74" t="s">
        <v>6</v>
      </c>
      <c r="J3" s="2">
        <v>2023</v>
      </c>
      <c r="K3" s="1" t="s">
        <v>1</v>
      </c>
      <c r="L3" s="91" t="s">
        <v>2</v>
      </c>
      <c r="M3" s="1" t="s">
        <v>3</v>
      </c>
      <c r="N3" s="1" t="s">
        <v>4</v>
      </c>
    </row>
    <row r="4" spans="1:15" ht="18">
      <c r="A4" s="143" t="s">
        <v>52</v>
      </c>
      <c r="B4" s="144">
        <v>23</v>
      </c>
      <c r="C4" s="91">
        <v>17980</v>
      </c>
      <c r="D4" s="4">
        <f>+B4/$B$7</f>
        <v>0.95833333333333337</v>
      </c>
      <c r="E4" s="4">
        <f>+C4/$C$7</f>
        <v>0.96252676659528913</v>
      </c>
      <c r="F4" s="1">
        <f>IFERROR(+VLOOKUP(A4,$J$4:$K$6,2,FALSE),0)</f>
        <v>44</v>
      </c>
      <c r="G4" s="5">
        <f>IFERROR(+B4-F4,0)</f>
        <v>-21</v>
      </c>
      <c r="H4" s="6">
        <f>IFERROR(+(B4/F4)-1,0)</f>
        <v>-0.47727272727272729</v>
      </c>
      <c r="J4" s="143" t="s">
        <v>52</v>
      </c>
      <c r="K4" s="144">
        <v>44</v>
      </c>
      <c r="L4" s="91">
        <v>43240</v>
      </c>
      <c r="M4" s="18">
        <f>+K4/$K$7</f>
        <v>0.95652173913043481</v>
      </c>
      <c r="N4" s="4">
        <f>+L4/$L$7</f>
        <v>0.93310315062580929</v>
      </c>
    </row>
    <row r="5" spans="1:15" ht="18">
      <c r="A5" s="143" t="s">
        <v>74</v>
      </c>
      <c r="B5" s="144">
        <v>1</v>
      </c>
      <c r="C5" s="91">
        <v>700</v>
      </c>
      <c r="D5" s="4">
        <f>+B5/$B$7</f>
        <v>4.1666666666666664E-2</v>
      </c>
      <c r="E5" s="4">
        <f>+C5/$C$7</f>
        <v>3.7473233404710919E-2</v>
      </c>
      <c r="F5" s="1">
        <f t="shared" ref="F5:F6" si="0">IFERROR(+VLOOKUP(A5,$J$4:$K$6,2,FALSE),0)</f>
        <v>1</v>
      </c>
      <c r="G5" s="5">
        <f t="shared" ref="G5" si="1">IFERROR(+B5-F5,0)</f>
        <v>0</v>
      </c>
      <c r="H5" s="6">
        <f t="shared" ref="H5" si="2">IFERROR(+(B5/F5)-1,0)</f>
        <v>0</v>
      </c>
      <c r="J5" s="143" t="s">
        <v>74</v>
      </c>
      <c r="K5" s="144">
        <v>1</v>
      </c>
      <c r="L5" s="91">
        <v>1100</v>
      </c>
      <c r="M5" s="18">
        <f>+K5/$K$7</f>
        <v>2.1739130434782608E-2</v>
      </c>
      <c r="N5" s="4">
        <f>+L5/$L$7</f>
        <v>2.3737591713422528E-2</v>
      </c>
    </row>
    <row r="6" spans="1:15" ht="18">
      <c r="A6" s="19"/>
      <c r="B6" s="21"/>
      <c r="C6" s="91"/>
      <c r="D6" s="4">
        <f>+B6/$B$7</f>
        <v>0</v>
      </c>
      <c r="E6" s="4">
        <f>+C6/$C$7</f>
        <v>0</v>
      </c>
      <c r="F6" s="1">
        <f t="shared" si="0"/>
        <v>0</v>
      </c>
      <c r="G6" s="5">
        <f t="shared" ref="G6" si="3">IFERROR(+B6-F6,0)</f>
        <v>0</v>
      </c>
      <c r="H6" s="6">
        <f t="shared" ref="H6" si="4">IFERROR(+(B6/F6)-1,0)</f>
        <v>0</v>
      </c>
      <c r="J6" s="143" t="s">
        <v>55</v>
      </c>
      <c r="K6" s="144">
        <v>1</v>
      </c>
      <c r="L6" s="91">
        <v>2000</v>
      </c>
      <c r="M6" s="18">
        <f>+K6/$K$7</f>
        <v>2.1739130434782608E-2</v>
      </c>
      <c r="N6" s="4">
        <f>+L6/$L$7</f>
        <v>4.3159257660768238E-2</v>
      </c>
    </row>
    <row r="7" spans="1:15">
      <c r="A7" s="30" t="s">
        <v>85</v>
      </c>
      <c r="B7" s="31">
        <f>SUM(B4:B6)</f>
        <v>24</v>
      </c>
      <c r="C7" s="92">
        <f>SUM(C4:C6)</f>
        <v>18680</v>
      </c>
      <c r="D7" s="32">
        <f>SUM(D4:D6)</f>
        <v>1</v>
      </c>
      <c r="E7" s="32">
        <f>SUM(E4:E6)</f>
        <v>1</v>
      </c>
      <c r="F7" s="33">
        <f>SUM(F4:F6)</f>
        <v>45</v>
      </c>
      <c r="G7" s="34">
        <f t="shared" ref="G7" si="5">SUM(G4:G6)</f>
        <v>-21</v>
      </c>
      <c r="H7" s="6">
        <f>+(B7/F7)-1</f>
        <v>-0.46666666666666667</v>
      </c>
      <c r="J7" s="30" t="s">
        <v>0</v>
      </c>
      <c r="K7" s="31">
        <f>SUM(K4:K6)</f>
        <v>46</v>
      </c>
      <c r="L7" s="31">
        <f>SUM(L4:L6)</f>
        <v>46340</v>
      </c>
      <c r="M7" s="35">
        <f>SUM(M4:M6)</f>
        <v>1</v>
      </c>
      <c r="N7" s="35">
        <f>SUM(N4:N6)</f>
        <v>1</v>
      </c>
    </row>
    <row r="8" spans="1:15" ht="28.8">
      <c r="A8" s="104" t="s">
        <v>110</v>
      </c>
      <c r="B8" s="141">
        <f>COUNTA(A4:A6)</f>
        <v>2</v>
      </c>
      <c r="C8" s="141"/>
      <c r="D8" s="141"/>
      <c r="E8" s="141"/>
      <c r="F8" s="141"/>
      <c r="G8" s="141"/>
      <c r="H8" s="6"/>
      <c r="J8" s="117">
        <f>COUNTA(J4:J6)</f>
        <v>3</v>
      </c>
      <c r="K8" s="31"/>
      <c r="L8" s="31"/>
      <c r="M8" s="35"/>
      <c r="N8" s="35"/>
    </row>
    <row r="9" spans="1:15" ht="18">
      <c r="A9" s="128" t="s">
        <v>99</v>
      </c>
      <c r="B9" s="21"/>
      <c r="C9" s="91"/>
      <c r="D9" s="4"/>
      <c r="E9" s="4"/>
      <c r="G9" s="5"/>
      <c r="H9" s="6"/>
      <c r="J9" s="19"/>
      <c r="K9" s="3"/>
      <c r="L9" s="3"/>
      <c r="M9" s="18"/>
      <c r="N9" s="4"/>
    </row>
    <row r="10" spans="1:15" ht="18">
      <c r="A10" s="128"/>
      <c r="B10" s="21"/>
      <c r="C10" s="91"/>
      <c r="D10" s="4"/>
      <c r="E10" s="4"/>
      <c r="G10" s="5"/>
      <c r="H10" s="6"/>
      <c r="J10" s="19"/>
      <c r="K10" s="21"/>
      <c r="L10" s="21"/>
      <c r="M10" s="18"/>
      <c r="N10" s="4"/>
    </row>
    <row r="11" spans="1:15" ht="18">
      <c r="A11" s="143" t="s">
        <v>50</v>
      </c>
      <c r="B11" s="144">
        <v>2</v>
      </c>
      <c r="C11" s="91">
        <v>360</v>
      </c>
      <c r="D11" s="4">
        <f t="shared" ref="D11:D18" si="6">+B11/$B$20</f>
        <v>0.25</v>
      </c>
      <c r="E11" s="4">
        <f t="shared" ref="E11:E18" si="7">+C11/$C$20</f>
        <v>5.7052297939778132E-2</v>
      </c>
      <c r="F11" s="1">
        <f t="shared" ref="F11:F18" si="8">IFERROR(+VLOOKUP(A11,$J$11:$K$18,2,FALSE),0)</f>
        <v>1</v>
      </c>
      <c r="G11" s="5">
        <f>IFERROR(+B11-F11,0)</f>
        <v>1</v>
      </c>
      <c r="H11" s="6">
        <f>IFERROR(+(B11/F11)-1,0)</f>
        <v>1</v>
      </c>
      <c r="J11" s="143" t="s">
        <v>119</v>
      </c>
      <c r="K11" s="144">
        <v>2</v>
      </c>
      <c r="L11" s="144">
        <v>2900</v>
      </c>
      <c r="M11" s="18">
        <f t="shared" ref="M11:M18" si="9">+K11/$K$20</f>
        <v>0.125</v>
      </c>
      <c r="N11" s="3">
        <f t="shared" ref="N11:N18" si="10">+L11/$L$20</f>
        <v>0.20152883947185546</v>
      </c>
    </row>
    <row r="12" spans="1:15" ht="18">
      <c r="A12" s="143" t="s">
        <v>53</v>
      </c>
      <c r="B12" s="144">
        <v>1</v>
      </c>
      <c r="C12" s="91">
        <v>550</v>
      </c>
      <c r="D12" s="4">
        <f t="shared" si="6"/>
        <v>0.125</v>
      </c>
      <c r="E12" s="4">
        <f t="shared" si="7"/>
        <v>8.7163232963549928E-2</v>
      </c>
      <c r="F12" s="1">
        <f t="shared" si="8"/>
        <v>1</v>
      </c>
      <c r="G12" s="5">
        <f t="shared" ref="G12:G18" si="11">IFERROR(+B12-F12,0)</f>
        <v>0</v>
      </c>
      <c r="H12" s="6">
        <f t="shared" ref="H12:H21" si="12">IFERROR(+(B12/F12)-1,0)</f>
        <v>0</v>
      </c>
      <c r="J12" s="143" t="s">
        <v>122</v>
      </c>
      <c r="K12" s="144">
        <v>1</v>
      </c>
      <c r="L12" s="144">
        <v>1100</v>
      </c>
      <c r="M12" s="18">
        <f t="shared" si="9"/>
        <v>6.25E-2</v>
      </c>
      <c r="N12" s="4">
        <f t="shared" si="10"/>
        <v>7.6441973592772758E-2</v>
      </c>
    </row>
    <row r="13" spans="1:15" ht="18">
      <c r="A13" s="143" t="s">
        <v>54</v>
      </c>
      <c r="B13" s="144">
        <v>1</v>
      </c>
      <c r="C13" s="91">
        <v>800</v>
      </c>
      <c r="D13" s="4">
        <f t="shared" si="6"/>
        <v>0.125</v>
      </c>
      <c r="E13" s="4">
        <f t="shared" si="7"/>
        <v>0.12678288431061807</v>
      </c>
      <c r="F13" s="1">
        <f t="shared" si="8"/>
        <v>0</v>
      </c>
      <c r="G13" s="5">
        <f t="shared" si="11"/>
        <v>1</v>
      </c>
      <c r="H13" s="6">
        <f t="shared" si="12"/>
        <v>0</v>
      </c>
      <c r="J13" s="143" t="s">
        <v>50</v>
      </c>
      <c r="K13" s="144">
        <v>1</v>
      </c>
      <c r="L13" s="144">
        <v>1250</v>
      </c>
      <c r="M13" s="18">
        <f t="shared" si="9"/>
        <v>6.25E-2</v>
      </c>
      <c r="N13" s="4">
        <f t="shared" si="10"/>
        <v>8.6865879082696315E-2</v>
      </c>
    </row>
    <row r="14" spans="1:15" ht="18">
      <c r="A14" s="143" t="s">
        <v>69</v>
      </c>
      <c r="B14" s="144">
        <v>3</v>
      </c>
      <c r="C14" s="91">
        <v>3800</v>
      </c>
      <c r="D14" s="4">
        <f t="shared" si="6"/>
        <v>0.375</v>
      </c>
      <c r="E14" s="4">
        <f t="shared" si="7"/>
        <v>0.6022187004754358</v>
      </c>
      <c r="F14" s="1">
        <f t="shared" si="8"/>
        <v>7</v>
      </c>
      <c r="G14" s="5">
        <f t="shared" si="11"/>
        <v>-4</v>
      </c>
      <c r="H14" s="6">
        <f t="shared" si="12"/>
        <v>-0.5714285714285714</v>
      </c>
      <c r="I14" s="6"/>
      <c r="J14" s="143" t="s">
        <v>53</v>
      </c>
      <c r="K14" s="144">
        <v>1</v>
      </c>
      <c r="L14" s="144">
        <v>800</v>
      </c>
      <c r="M14" s="18">
        <f t="shared" si="9"/>
        <v>6.25E-2</v>
      </c>
      <c r="N14" s="4">
        <f t="shared" si="10"/>
        <v>5.5594162612925643E-2</v>
      </c>
      <c r="O14" s="6"/>
    </row>
    <row r="15" spans="1:15" ht="18">
      <c r="A15" s="143" t="s">
        <v>93</v>
      </c>
      <c r="B15" s="144">
        <v>1</v>
      </c>
      <c r="C15" s="91">
        <v>800</v>
      </c>
      <c r="D15" s="4">
        <f t="shared" si="6"/>
        <v>0.125</v>
      </c>
      <c r="E15" s="4">
        <f t="shared" si="7"/>
        <v>0.12678288431061807</v>
      </c>
      <c r="F15" s="1">
        <f t="shared" si="8"/>
        <v>0</v>
      </c>
      <c r="G15" s="5">
        <f t="shared" si="11"/>
        <v>1</v>
      </c>
      <c r="H15" s="6">
        <f t="shared" si="12"/>
        <v>0</v>
      </c>
      <c r="J15" s="143" t="s">
        <v>35</v>
      </c>
      <c r="K15" s="144">
        <v>1</v>
      </c>
      <c r="L15" s="144">
        <v>1500</v>
      </c>
      <c r="M15" s="18">
        <f t="shared" si="9"/>
        <v>6.25E-2</v>
      </c>
      <c r="N15" s="4">
        <f t="shared" si="10"/>
        <v>0.10423905489923559</v>
      </c>
    </row>
    <row r="16" spans="1:15" ht="18">
      <c r="A16" s="19"/>
      <c r="B16" s="21"/>
      <c r="C16" s="91"/>
      <c r="D16" s="4">
        <f t="shared" si="6"/>
        <v>0</v>
      </c>
      <c r="E16" s="4">
        <f t="shared" si="7"/>
        <v>0</v>
      </c>
      <c r="F16" s="1">
        <f t="shared" si="8"/>
        <v>0</v>
      </c>
      <c r="G16" s="5">
        <f t="shared" si="11"/>
        <v>0</v>
      </c>
      <c r="H16" s="6">
        <f t="shared" si="12"/>
        <v>0</v>
      </c>
      <c r="J16" s="143" t="s">
        <v>71</v>
      </c>
      <c r="K16" s="144">
        <v>1</v>
      </c>
      <c r="L16" s="144">
        <v>250</v>
      </c>
      <c r="M16" s="18">
        <f t="shared" si="9"/>
        <v>6.25E-2</v>
      </c>
      <c r="N16" s="4">
        <f t="shared" si="10"/>
        <v>1.7373175816539264E-2</v>
      </c>
    </row>
    <row r="17" spans="1:24" ht="18">
      <c r="A17" s="19"/>
      <c r="B17" s="21"/>
      <c r="C17" s="91"/>
      <c r="D17" s="4">
        <f t="shared" si="6"/>
        <v>0</v>
      </c>
      <c r="E17" s="4">
        <f t="shared" si="7"/>
        <v>0</v>
      </c>
      <c r="F17" s="1">
        <f t="shared" si="8"/>
        <v>0</v>
      </c>
      <c r="G17" s="5">
        <f t="shared" si="11"/>
        <v>0</v>
      </c>
      <c r="H17" s="6">
        <f t="shared" si="12"/>
        <v>0</v>
      </c>
      <c r="J17" s="143" t="s">
        <v>118</v>
      </c>
      <c r="K17" s="144">
        <v>1</v>
      </c>
      <c r="L17" s="144">
        <v>1400</v>
      </c>
      <c r="M17" s="18">
        <f t="shared" si="9"/>
        <v>6.25E-2</v>
      </c>
      <c r="N17" s="4">
        <f t="shared" si="10"/>
        <v>9.7289784572619872E-2</v>
      </c>
    </row>
    <row r="18" spans="1:24" ht="18">
      <c r="A18" s="19"/>
      <c r="B18" s="21"/>
      <c r="C18" s="91"/>
      <c r="D18" s="4">
        <f t="shared" si="6"/>
        <v>0</v>
      </c>
      <c r="E18" s="4">
        <f t="shared" si="7"/>
        <v>0</v>
      </c>
      <c r="F18" s="1">
        <f t="shared" si="8"/>
        <v>0</v>
      </c>
      <c r="G18" s="5">
        <f t="shared" si="11"/>
        <v>0</v>
      </c>
      <c r="H18" s="6">
        <f t="shared" si="12"/>
        <v>0</v>
      </c>
      <c r="J18" s="143" t="s">
        <v>69</v>
      </c>
      <c r="K18" s="144">
        <v>7</v>
      </c>
      <c r="L18" s="144">
        <v>4610</v>
      </c>
      <c r="M18" s="18">
        <f t="shared" si="9"/>
        <v>0.4375</v>
      </c>
      <c r="N18" s="4">
        <f t="shared" si="10"/>
        <v>0.32036136205698401</v>
      </c>
    </row>
    <row r="19" spans="1:24" ht="18">
      <c r="A19" s="19"/>
      <c r="B19" s="21"/>
      <c r="C19" s="91"/>
      <c r="D19" s="4"/>
      <c r="E19" s="4"/>
      <c r="G19" s="5"/>
      <c r="H19" s="6">
        <f t="shared" si="12"/>
        <v>0</v>
      </c>
      <c r="J19" s="143" t="s">
        <v>73</v>
      </c>
      <c r="K19" s="144">
        <v>1</v>
      </c>
      <c r="L19" s="144">
        <v>580</v>
      </c>
      <c r="M19" s="18">
        <f>+K19/$K$20</f>
        <v>6.25E-2</v>
      </c>
      <c r="N19" s="4">
        <f>+L19/$L$20</f>
        <v>4.030576789437109E-2</v>
      </c>
    </row>
    <row r="20" spans="1:24">
      <c r="A20" s="30" t="s">
        <v>81</v>
      </c>
      <c r="B20" s="31">
        <f t="shared" ref="B20:G20" si="13">SUM(B11:B18)</f>
        <v>8</v>
      </c>
      <c r="C20" s="92">
        <f t="shared" si="13"/>
        <v>6310</v>
      </c>
      <c r="D20" s="32">
        <f t="shared" si="13"/>
        <v>1</v>
      </c>
      <c r="E20" s="32">
        <f t="shared" si="13"/>
        <v>1</v>
      </c>
      <c r="F20" s="33">
        <f t="shared" si="13"/>
        <v>9</v>
      </c>
      <c r="G20" s="34">
        <f t="shared" si="13"/>
        <v>-1</v>
      </c>
      <c r="H20" s="6">
        <f t="shared" si="12"/>
        <v>-0.11111111111111116</v>
      </c>
      <c r="J20" s="30" t="s">
        <v>0</v>
      </c>
      <c r="K20" s="31">
        <f>SUM(K11:K19)</f>
        <v>16</v>
      </c>
      <c r="L20" s="31">
        <f>SUM(L11:L19)</f>
        <v>14390</v>
      </c>
      <c r="M20" s="35">
        <f>SUM(M11:M19)</f>
        <v>1</v>
      </c>
      <c r="N20" s="35">
        <f>SUM(N11:N19)</f>
        <v>1</v>
      </c>
    </row>
    <row r="21" spans="1:24" s="25" customFormat="1">
      <c r="A21" s="44" t="s">
        <v>84</v>
      </c>
      <c r="B21" s="45">
        <f>SUM(B20+B7)</f>
        <v>32</v>
      </c>
      <c r="C21" s="93">
        <f>SUM(C20+C7)</f>
        <v>24990</v>
      </c>
      <c r="D21" s="46">
        <f>SUM(D20+D7)</f>
        <v>2</v>
      </c>
      <c r="E21" s="46">
        <f>SUM(E20+E7)</f>
        <v>2</v>
      </c>
      <c r="F21" s="47">
        <f>SUM(F20+F7)</f>
        <v>54</v>
      </c>
      <c r="G21" s="48">
        <f>SUM(G20+G7)</f>
        <v>-22</v>
      </c>
      <c r="H21" s="6">
        <f t="shared" si="12"/>
        <v>-0.40740740740740744</v>
      </c>
      <c r="I21" s="1"/>
      <c r="J21" s="44"/>
      <c r="K21" s="45">
        <f>SUM(K20+K7)</f>
        <v>62</v>
      </c>
      <c r="L21" s="45">
        <f>SUM(L20+L7)</f>
        <v>60730</v>
      </c>
      <c r="M21" s="73">
        <f>SUM(M20+M7)</f>
        <v>2</v>
      </c>
      <c r="N21" s="73">
        <f>SUM(N20+N7)</f>
        <v>2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s="25" customFormat="1" ht="28.8">
      <c r="A22" s="106" t="s">
        <v>110</v>
      </c>
      <c r="B22" s="136">
        <f>COUNTA(A11:A18)</f>
        <v>5</v>
      </c>
      <c r="C22" s="136"/>
      <c r="D22" s="136"/>
      <c r="E22" s="136"/>
      <c r="F22" s="136"/>
      <c r="G22" s="136"/>
      <c r="H22" s="6"/>
      <c r="I22" s="1"/>
      <c r="J22" s="122">
        <f>COUNTA(J11:J19)</f>
        <v>9</v>
      </c>
      <c r="K22" s="45"/>
      <c r="L22" s="45"/>
      <c r="M22" s="73"/>
      <c r="N22" s="73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s="9" customFormat="1" ht="42">
      <c r="A23" s="27" t="s">
        <v>103</v>
      </c>
      <c r="B23" s="8">
        <f>+B7-K7</f>
        <v>-22</v>
      </c>
      <c r="D23" s="22"/>
    </row>
    <row r="24" spans="1:24" s="9" customFormat="1" ht="42">
      <c r="A24" s="27" t="s">
        <v>104</v>
      </c>
      <c r="B24" s="8">
        <f>+B20-K20</f>
        <v>-8</v>
      </c>
      <c r="D24" s="22"/>
    </row>
    <row r="25" spans="1:24" s="9" customFormat="1" ht="23.4">
      <c r="A25" s="7" t="s">
        <v>8</v>
      </c>
      <c r="B25" s="10">
        <f>(B21/K21)-1</f>
        <v>-0.4838709677419355</v>
      </c>
      <c r="E25" s="22"/>
    </row>
    <row r="26" spans="1:24" s="9" customFormat="1" ht="23.4" hidden="1">
      <c r="A26" s="11"/>
      <c r="B26" s="12"/>
      <c r="D26" s="22"/>
    </row>
    <row r="27" spans="1:24" s="9" customFormat="1" ht="23.4" hidden="1">
      <c r="A27" s="13" t="s">
        <v>9</v>
      </c>
      <c r="C27" s="94">
        <v>74700</v>
      </c>
      <c r="H27" s="15">
        <f>+(C27/M27)-1</f>
        <v>-0.53924156818237889</v>
      </c>
      <c r="K27" s="13" t="s">
        <v>9</v>
      </c>
      <c r="M27" s="14">
        <v>162124</v>
      </c>
      <c r="N27" s="16"/>
    </row>
    <row r="28" spans="1:24" s="9" customFormat="1" ht="23.4" hidden="1">
      <c r="A28" s="13"/>
      <c r="C28" s="14"/>
      <c r="H28" s="17"/>
      <c r="K28" s="13"/>
      <c r="M28" s="13"/>
    </row>
    <row r="29" spans="1:24" s="9" customFormat="1" ht="23.1" hidden="1" customHeight="1">
      <c r="A29" s="13" t="s">
        <v>10</v>
      </c>
      <c r="C29" s="87">
        <f>C27/C31</f>
        <v>811.95652173913038</v>
      </c>
      <c r="H29" s="17">
        <f>+(C29/M29)-1</f>
        <v>-0.31387059609767298</v>
      </c>
      <c r="K29" s="13" t="s">
        <v>10</v>
      </c>
      <c r="M29" s="103">
        <f>M27/M31</f>
        <v>1183.3868613138686</v>
      </c>
    </row>
    <row r="30" spans="1:24" s="9" customFormat="1" ht="23.4" hidden="1"/>
    <row r="31" spans="1:24" s="9" customFormat="1" ht="23.4" hidden="1">
      <c r="A31" s="13" t="s">
        <v>11</v>
      </c>
      <c r="C31" s="13">
        <v>92</v>
      </c>
      <c r="H31" s="17">
        <f>+(C31/M31)-1</f>
        <v>-0.32846715328467158</v>
      </c>
      <c r="K31" s="13" t="s">
        <v>11</v>
      </c>
      <c r="M31" s="13">
        <v>137</v>
      </c>
    </row>
    <row r="32" spans="1:24" s="9" customFormat="1" ht="23.4" hidden="1">
      <c r="A32" s="13"/>
      <c r="C32" s="13"/>
      <c r="H32" s="17"/>
      <c r="K32" s="13"/>
      <c r="M32" s="13"/>
    </row>
    <row r="33" spans="1:14" s="9" customFormat="1" ht="23.4" hidden="1">
      <c r="A33" s="13" t="s">
        <v>12</v>
      </c>
      <c r="K33" s="13" t="s">
        <v>12</v>
      </c>
    </row>
    <row r="34" spans="1:14" hidden="1">
      <c r="A34" s="1" t="s">
        <v>13</v>
      </c>
      <c r="C34" s="1">
        <v>75</v>
      </c>
      <c r="H34" s="6">
        <f>+(C34/M34)-1</f>
        <v>-0.40944881889763785</v>
      </c>
      <c r="K34" s="1" t="s">
        <v>13</v>
      </c>
      <c r="M34" s="1">
        <v>127</v>
      </c>
    </row>
    <row r="35" spans="1:14" hidden="1">
      <c r="A35" s="1" t="s">
        <v>14</v>
      </c>
      <c r="C35" s="1">
        <v>38</v>
      </c>
      <c r="D35" s="1">
        <f>+C34/C35</f>
        <v>1.9736842105263157</v>
      </c>
      <c r="H35" s="6">
        <f t="shared" ref="H35:H38" si="14">+(C35/M35)-1</f>
        <v>-0.54216867469879526</v>
      </c>
      <c r="K35" s="1" t="s">
        <v>14</v>
      </c>
      <c r="M35" s="1">
        <v>83</v>
      </c>
      <c r="N35" s="1">
        <f>+M34/M35</f>
        <v>1.5301204819277108</v>
      </c>
    </row>
    <row r="36" spans="1:14" hidden="1">
      <c r="A36" s="1" t="s">
        <v>15</v>
      </c>
      <c r="C36" s="1">
        <v>1</v>
      </c>
      <c r="H36" s="6">
        <v>0</v>
      </c>
      <c r="K36" s="1" t="s">
        <v>15</v>
      </c>
      <c r="M36" s="1">
        <v>7</v>
      </c>
    </row>
    <row r="37" spans="1:14" hidden="1">
      <c r="A37" s="1" t="s">
        <v>16</v>
      </c>
      <c r="C37" s="1">
        <v>16</v>
      </c>
      <c r="H37" s="6">
        <f>IFERROR(+(C37/M37)-1,0)</f>
        <v>4.333333333333333</v>
      </c>
      <c r="K37" s="1" t="s">
        <v>16</v>
      </c>
      <c r="M37" s="1">
        <v>3</v>
      </c>
    </row>
    <row r="38" spans="1:14" hidden="1">
      <c r="A38" s="1" t="s">
        <v>37</v>
      </c>
      <c r="C38" s="1">
        <v>98</v>
      </c>
      <c r="H38" s="6">
        <f t="shared" si="14"/>
        <v>-0.71757925072046103</v>
      </c>
      <c r="K38" s="1" t="s">
        <v>38</v>
      </c>
      <c r="M38" s="1">
        <v>347</v>
      </c>
    </row>
    <row r="39" spans="1:14" hidden="1">
      <c r="A39" s="1" t="s">
        <v>39</v>
      </c>
      <c r="C39" s="1">
        <v>0</v>
      </c>
      <c r="H39" s="6">
        <v>0</v>
      </c>
      <c r="K39" s="1" t="s">
        <v>39</v>
      </c>
      <c r="M39" s="1">
        <v>0</v>
      </c>
    </row>
    <row r="40" spans="1:14" hidden="1"/>
    <row r="41" spans="1:14" hidden="1"/>
    <row r="42" spans="1:14" hidden="1"/>
  </sheetData>
  <mergeCells count="8">
    <mergeCell ref="B22:G22"/>
    <mergeCell ref="A2:A3"/>
    <mergeCell ref="K2:N2"/>
    <mergeCell ref="A9:A10"/>
    <mergeCell ref="B1:H1"/>
    <mergeCell ref="B2:E2"/>
    <mergeCell ref="J1:N1"/>
    <mergeCell ref="B8:G8"/>
  </mergeCells>
  <conditionalFormatting sqref="G4:G6 G9:G19">
    <cfRule type="dataBar" priority="5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{7F7EFD3B-755C-4413-8B88-832E9B046912}</x14:id>
        </ext>
      </extLst>
    </cfRule>
  </conditionalFormatting>
  <conditionalFormatting sqref="H4:H6 H9:H21">
    <cfRule type="dataBar" priority="5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{E2D428C2-97D4-4133-97F5-922D5964B02F}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7EFD3B-755C-4413-8B88-832E9B0469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G4:G6 G9:G19</xm:sqref>
        </x14:conditionalFormatting>
        <x14:conditionalFormatting xmlns:xm="http://schemas.microsoft.com/office/excel/2006/main">
          <x14:cfRule type="dataBar" id="{E2D428C2-97D4-4133-97F5-922D5964B0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 H9:H21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75B5-CDE1-43DD-8F9D-A49C592C4FCC}">
  <dimension ref="A1:X47"/>
  <sheetViews>
    <sheetView showGridLines="0" tabSelected="1" workbookViewId="0">
      <selection activeCell="A33" sqref="A33:XFD47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26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3.33203125" style="1" customWidth="1"/>
    <col min="9" max="9" width="8.88671875" style="1"/>
    <col min="10" max="10" width="26.44140625" style="1" customWidth="1"/>
    <col min="11" max="11" width="21" style="1" customWidth="1"/>
    <col min="12" max="12" width="15.44140625" style="1" customWidth="1"/>
    <col min="13" max="13" width="21.44140625" style="1" bestFit="1" customWidth="1"/>
    <col min="14" max="14" width="14.109375" style="1" customWidth="1"/>
    <col min="15" max="16384" width="8.88671875" style="1"/>
  </cols>
  <sheetData>
    <row r="1" spans="1:15" ht="15" thickBot="1">
      <c r="A1" s="49" t="s">
        <v>95</v>
      </c>
      <c r="B1" s="133">
        <v>45383</v>
      </c>
      <c r="C1" s="134"/>
      <c r="D1" s="134"/>
      <c r="E1" s="134"/>
      <c r="F1" s="134"/>
      <c r="G1" s="134"/>
      <c r="H1" s="134"/>
      <c r="J1" s="133">
        <v>45017</v>
      </c>
      <c r="K1" s="134"/>
      <c r="L1" s="134"/>
      <c r="M1" s="134"/>
      <c r="N1" s="134"/>
    </row>
    <row r="2" spans="1:15">
      <c r="A2" s="129" t="s">
        <v>98</v>
      </c>
      <c r="B2" s="134" t="s">
        <v>0</v>
      </c>
      <c r="C2" s="134"/>
      <c r="D2" s="134"/>
      <c r="E2" s="134"/>
      <c r="K2" s="134" t="s">
        <v>0</v>
      </c>
      <c r="L2" s="134"/>
      <c r="M2" s="134"/>
      <c r="N2" s="134"/>
    </row>
    <row r="3" spans="1:15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74" t="s">
        <v>100</v>
      </c>
      <c r="G3" s="74" t="s">
        <v>5</v>
      </c>
      <c r="H3" s="74" t="s">
        <v>6</v>
      </c>
      <c r="J3" s="2">
        <v>2023</v>
      </c>
      <c r="K3" s="1" t="s">
        <v>1</v>
      </c>
      <c r="L3" s="1" t="s">
        <v>2</v>
      </c>
      <c r="M3" s="1" t="s">
        <v>3</v>
      </c>
      <c r="N3" s="1" t="s">
        <v>4</v>
      </c>
    </row>
    <row r="4" spans="1:15" ht="18">
      <c r="A4" s="19" t="s">
        <v>74</v>
      </c>
      <c r="B4" s="21">
        <v>1</v>
      </c>
      <c r="C4" s="91">
        <v>275.31209949209665</v>
      </c>
      <c r="D4" s="18">
        <f>+B4/$B$5</f>
        <v>1</v>
      </c>
      <c r="E4" s="4">
        <f>+C4/$C$5</f>
        <v>1</v>
      </c>
      <c r="F4" s="1">
        <f>IFERROR(+VLOOKUP(A4,$J$4:$K$4,2,FALSE),0)</f>
        <v>0</v>
      </c>
      <c r="G4" s="5">
        <f>IFERROR(+B4-F4,0)</f>
        <v>1</v>
      </c>
      <c r="H4" s="6">
        <f>IFERROR(+(B4/F4)-1,0)</f>
        <v>0</v>
      </c>
      <c r="J4" s="19"/>
      <c r="K4" s="21"/>
      <c r="L4" s="21"/>
      <c r="M4" s="18">
        <f>IFERROR(+K4/$K$5,0)</f>
        <v>0</v>
      </c>
      <c r="N4" s="4">
        <f>IFERROR(+L4/$L$5,0)</f>
        <v>0</v>
      </c>
    </row>
    <row r="5" spans="1:15">
      <c r="A5" s="30" t="s">
        <v>85</v>
      </c>
      <c r="B5" s="31">
        <f>SUM(B4:B4)</f>
        <v>1</v>
      </c>
      <c r="C5" s="92">
        <f t="shared" ref="C5:G5" si="0">SUM(C4:C4)</f>
        <v>275.31209949209665</v>
      </c>
      <c r="D5" s="32">
        <f t="shared" si="0"/>
        <v>1</v>
      </c>
      <c r="E5" s="32">
        <f t="shared" si="0"/>
        <v>1</v>
      </c>
      <c r="F5" s="33">
        <f t="shared" si="0"/>
        <v>0</v>
      </c>
      <c r="G5" s="34">
        <f t="shared" si="0"/>
        <v>1</v>
      </c>
      <c r="H5" s="6">
        <f>IFERROR(+(B5/F5)-1,0)</f>
        <v>0</v>
      </c>
      <c r="J5" s="30" t="s">
        <v>0</v>
      </c>
      <c r="K5" s="31">
        <f>SUM(K4:K4)</f>
        <v>0</v>
      </c>
      <c r="L5" s="31">
        <f>SUM(L4:L4)</f>
        <v>0</v>
      </c>
      <c r="M5" s="35">
        <f>SUM(M4:M4)</f>
        <v>0</v>
      </c>
      <c r="N5" s="35">
        <f>SUM(N4:N4)</f>
        <v>0</v>
      </c>
    </row>
    <row r="6" spans="1:15" ht="28.8">
      <c r="A6" s="104" t="s">
        <v>110</v>
      </c>
      <c r="B6" s="142">
        <f>COUNTA(A4)</f>
        <v>1</v>
      </c>
      <c r="C6" s="142"/>
      <c r="D6" s="142"/>
      <c r="E6" s="142"/>
      <c r="F6" s="142"/>
      <c r="G6" s="142"/>
      <c r="H6" s="6"/>
      <c r="J6" s="30"/>
      <c r="K6" s="31"/>
      <c r="L6" s="31"/>
      <c r="M6" s="35"/>
      <c r="N6" s="35"/>
    </row>
    <row r="7" spans="1:15" ht="18">
      <c r="A7" s="128" t="s">
        <v>99</v>
      </c>
      <c r="B7" s="21"/>
      <c r="C7" s="91"/>
      <c r="D7" s="4"/>
      <c r="E7" s="4"/>
      <c r="G7" s="5"/>
      <c r="H7" s="6"/>
      <c r="J7" s="19"/>
      <c r="K7" s="3"/>
      <c r="L7" s="3"/>
      <c r="M7" s="18"/>
      <c r="N7" s="4"/>
    </row>
    <row r="8" spans="1:15" ht="18">
      <c r="A8" s="128"/>
      <c r="B8" s="21"/>
      <c r="C8" s="91"/>
      <c r="D8" s="4"/>
      <c r="E8" s="4"/>
      <c r="G8" s="5"/>
      <c r="H8" s="6"/>
      <c r="J8" s="19"/>
      <c r="K8" s="21"/>
      <c r="L8" s="21"/>
      <c r="M8" s="18"/>
      <c r="N8" s="4"/>
    </row>
    <row r="9" spans="1:15" ht="18">
      <c r="A9" s="143" t="s">
        <v>116</v>
      </c>
      <c r="B9" s="144">
        <v>2</v>
      </c>
      <c r="C9" s="91">
        <v>730000</v>
      </c>
      <c r="D9" s="18">
        <f>+B9/$B$26</f>
        <v>0.08</v>
      </c>
      <c r="E9" s="4">
        <f>+C9/$C$26</f>
        <v>5.1905574516496016E-2</v>
      </c>
      <c r="F9" s="1">
        <f>IFERROR(+VLOOKUP(A9,$J$9:$K$25,2,FALSE),0)</f>
        <v>0</v>
      </c>
      <c r="G9" s="5">
        <f t="shared" ref="G9:G15" si="1">IFERROR(+B9-F9,0)</f>
        <v>2</v>
      </c>
      <c r="H9" s="6">
        <f>IFERROR(+(B9/F9)-1,0)</f>
        <v>0</v>
      </c>
      <c r="J9" s="19"/>
      <c r="K9" s="21"/>
      <c r="L9" s="21"/>
      <c r="M9" s="18">
        <f>IFERROR(+K9/$K$26,0)</f>
        <v>0</v>
      </c>
      <c r="N9" s="4">
        <f>IFERROR(+L9/$L$26,0)</f>
        <v>0</v>
      </c>
    </row>
    <row r="10" spans="1:15" ht="18">
      <c r="A10" s="143" t="s">
        <v>127</v>
      </c>
      <c r="B10" s="144">
        <v>1</v>
      </c>
      <c r="C10" s="91">
        <v>1800000</v>
      </c>
      <c r="D10" s="18">
        <f>+B10/$B$26</f>
        <v>0.04</v>
      </c>
      <c r="E10" s="4">
        <f>+C10/$C$26</f>
        <v>0.12798634812286688</v>
      </c>
      <c r="F10" s="1">
        <f>IFERROR(+VLOOKUP(A10,$J$9:$K$25,2,FALSE),0)</f>
        <v>0</v>
      </c>
      <c r="G10" s="5">
        <f>IFERROR(+B10-F10,0)</f>
        <v>1</v>
      </c>
      <c r="H10" s="6">
        <f>IFERROR(+(B10/F10)-1,0)</f>
        <v>0</v>
      </c>
      <c r="J10" s="19"/>
      <c r="K10" s="21"/>
      <c r="L10" s="21"/>
      <c r="M10" s="18">
        <f>IFERROR(+K10/$K$26,0)</f>
        <v>0</v>
      </c>
      <c r="N10" s="4">
        <f>IFERROR(+L10/$L$26,0)</f>
        <v>0</v>
      </c>
    </row>
    <row r="11" spans="1:15" ht="18">
      <c r="A11" s="143" t="s">
        <v>113</v>
      </c>
      <c r="B11" s="144">
        <v>1</v>
      </c>
      <c r="C11" s="91">
        <v>75000</v>
      </c>
      <c r="D11" s="18">
        <f>+B11/$B$26</f>
        <v>0.04</v>
      </c>
      <c r="E11" s="4">
        <f>+C11/$C$26</f>
        <v>5.3327645051194543E-3</v>
      </c>
      <c r="F11" s="1">
        <f>IFERROR(+VLOOKUP(A11,$J$9:$K$25,2,FALSE),0)</f>
        <v>0</v>
      </c>
      <c r="G11" s="5">
        <f>IFERROR(+B11-F11,0)</f>
        <v>1</v>
      </c>
      <c r="H11" s="6">
        <f>IFERROR(+(B11/F11)-1,0)</f>
        <v>0</v>
      </c>
      <c r="J11" s="19"/>
      <c r="K11" s="21"/>
      <c r="L11" s="21"/>
      <c r="M11" s="18">
        <f>IFERROR(+K11/$K$26,0)</f>
        <v>0</v>
      </c>
      <c r="N11" s="4">
        <f>IFERROR(+L11/$L$26,0)</f>
        <v>0</v>
      </c>
    </row>
    <row r="12" spans="1:15" ht="18">
      <c r="A12" s="143" t="s">
        <v>129</v>
      </c>
      <c r="B12" s="144">
        <v>1</v>
      </c>
      <c r="C12" s="91">
        <v>180000</v>
      </c>
      <c r="D12" s="18">
        <f>+B12/$B$26</f>
        <v>0.04</v>
      </c>
      <c r="E12" s="4">
        <f>+C12/$C$26</f>
        <v>1.2798634812286689E-2</v>
      </c>
      <c r="F12" s="1">
        <f>IFERROR(+VLOOKUP(A12,$J$9:$K$25,2,FALSE),0)</f>
        <v>0</v>
      </c>
      <c r="G12" s="5">
        <f t="shared" si="1"/>
        <v>1</v>
      </c>
      <c r="H12" s="6">
        <f t="shared" ref="H12:H15" si="2">IFERROR(+(B12/F12)-1,0)</f>
        <v>0</v>
      </c>
      <c r="I12" s="6"/>
      <c r="J12" s="19"/>
      <c r="K12" s="21"/>
      <c r="L12" s="21"/>
      <c r="M12" s="18">
        <f>IFERROR(+K12/$K$26,0)</f>
        <v>0</v>
      </c>
      <c r="N12" s="4">
        <f>IFERROR(+L12/$L$26,0)</f>
        <v>0</v>
      </c>
      <c r="O12" s="6"/>
    </row>
    <row r="13" spans="1:15" ht="18">
      <c r="A13" s="143" t="s">
        <v>130</v>
      </c>
      <c r="B13" s="144">
        <v>2</v>
      </c>
      <c r="C13" s="91">
        <v>1480000</v>
      </c>
      <c r="D13" s="18">
        <f>+B13/$B$26</f>
        <v>0.08</v>
      </c>
      <c r="E13" s="4">
        <f>+C13/$C$26</f>
        <v>0.10523321956769056</v>
      </c>
      <c r="F13" s="1">
        <f>IFERROR(+VLOOKUP(A13,$J$9:$K$25,2,FALSE),0)</f>
        <v>0</v>
      </c>
      <c r="G13" s="5">
        <f t="shared" si="1"/>
        <v>2</v>
      </c>
      <c r="H13" s="6">
        <f t="shared" si="2"/>
        <v>0</v>
      </c>
      <c r="J13" s="19"/>
      <c r="K13" s="21"/>
      <c r="L13" s="21"/>
      <c r="M13" s="18">
        <f>IFERROR(+K13/$K$26,0)</f>
        <v>0</v>
      </c>
      <c r="N13" s="4">
        <f>IFERROR(+L13/$L$26,0)</f>
        <v>0</v>
      </c>
    </row>
    <row r="14" spans="1:15" ht="18">
      <c r="A14" s="143" t="s">
        <v>115</v>
      </c>
      <c r="B14" s="144">
        <v>2</v>
      </c>
      <c r="C14" s="91">
        <v>2140000</v>
      </c>
      <c r="D14" s="18">
        <f>+B14/$B$26</f>
        <v>0.08</v>
      </c>
      <c r="E14" s="4">
        <f>+C14/$C$26</f>
        <v>0.15216154721274175</v>
      </c>
      <c r="F14" s="1">
        <f>IFERROR(+VLOOKUP(A14,$J$9:$K$25,2,FALSE),0)</f>
        <v>0</v>
      </c>
      <c r="G14" s="5">
        <f t="shared" si="1"/>
        <v>2</v>
      </c>
      <c r="H14" s="6">
        <f t="shared" si="2"/>
        <v>0</v>
      </c>
      <c r="J14" s="19"/>
      <c r="K14" s="21"/>
      <c r="L14" s="21"/>
      <c r="M14" s="18">
        <f>IFERROR(+K14/$K$26,0)</f>
        <v>0</v>
      </c>
      <c r="N14" s="4">
        <f>IFERROR(+L14/$L$26,0)</f>
        <v>0</v>
      </c>
    </row>
    <row r="15" spans="1:15" ht="18">
      <c r="A15" s="143" t="s">
        <v>131</v>
      </c>
      <c r="B15" s="144">
        <v>1</v>
      </c>
      <c r="C15" s="91">
        <v>1780000</v>
      </c>
      <c r="D15" s="18">
        <f>+B15/$B$26</f>
        <v>0.04</v>
      </c>
      <c r="E15" s="4">
        <f>+C15/$C$26</f>
        <v>0.12656427758816838</v>
      </c>
      <c r="F15" s="1">
        <f>IFERROR(+VLOOKUP(A15,$J$9:$K$25,2,FALSE),0)</f>
        <v>0</v>
      </c>
      <c r="G15" s="5">
        <f t="shared" si="1"/>
        <v>1</v>
      </c>
      <c r="H15" s="6">
        <f t="shared" si="2"/>
        <v>0</v>
      </c>
      <c r="J15" s="19"/>
      <c r="K15" s="21"/>
      <c r="L15" s="21"/>
      <c r="M15" s="18">
        <f>IFERROR(+K15/$K$26,0)</f>
        <v>0</v>
      </c>
      <c r="N15" s="4">
        <f>IFERROR(+L15/$L$26,0)</f>
        <v>0</v>
      </c>
    </row>
    <row r="16" spans="1:15" ht="18">
      <c r="A16" s="143" t="s">
        <v>132</v>
      </c>
      <c r="B16" s="144">
        <v>1</v>
      </c>
      <c r="C16" s="91">
        <v>940000</v>
      </c>
      <c r="D16" s="18">
        <f>+B16/$B$26</f>
        <v>0.04</v>
      </c>
      <c r="E16" s="4">
        <f>+C16/$C$26</f>
        <v>6.6837315130830494E-2</v>
      </c>
      <c r="F16" s="1">
        <f>IFERROR(+VLOOKUP(A16,$J$9:$K$25,2,FALSE),0)</f>
        <v>0</v>
      </c>
      <c r="G16" s="5">
        <f t="shared" ref="G16:G25" si="3">IFERROR(+B16-F16,0)</f>
        <v>1</v>
      </c>
      <c r="H16" s="6">
        <f t="shared" ref="H16:H25" si="4">IFERROR(+(B16/F16)-1,0)</f>
        <v>0</v>
      </c>
      <c r="J16" s="19"/>
      <c r="K16" s="21"/>
      <c r="L16" s="21"/>
      <c r="M16" s="18"/>
      <c r="N16" s="4"/>
    </row>
    <row r="17" spans="1:24" ht="18">
      <c r="A17" s="143" t="s">
        <v>133</v>
      </c>
      <c r="B17" s="144">
        <v>1</v>
      </c>
      <c r="C17" s="91">
        <v>260000</v>
      </c>
      <c r="D17" s="18">
        <f>+B17/$B$26</f>
        <v>0.04</v>
      </c>
      <c r="E17" s="4">
        <f>+C17/$C$26</f>
        <v>1.8486916951080772E-2</v>
      </c>
      <c r="F17" s="1">
        <f>IFERROR(+VLOOKUP(A17,$J$9:$K$25,2,FALSE),0)</f>
        <v>0</v>
      </c>
      <c r="G17" s="5">
        <f t="shared" si="3"/>
        <v>1</v>
      </c>
      <c r="H17" s="6">
        <f t="shared" si="4"/>
        <v>0</v>
      </c>
      <c r="J17" s="19"/>
      <c r="K17" s="21"/>
      <c r="L17" s="21"/>
      <c r="M17" s="18"/>
      <c r="N17" s="4"/>
    </row>
    <row r="18" spans="1:24" ht="18">
      <c r="A18" s="143" t="s">
        <v>70</v>
      </c>
      <c r="B18" s="144">
        <v>4</v>
      </c>
      <c r="C18" s="91">
        <v>850000</v>
      </c>
      <c r="D18" s="18">
        <f>+B18/$B$26</f>
        <v>0.16</v>
      </c>
      <c r="E18" s="4">
        <f>+C18/$C$26</f>
        <v>6.0437997724687144E-2</v>
      </c>
      <c r="F18" s="1">
        <f>IFERROR(+VLOOKUP(A18,$J$9:$K$25,2,FALSE),0)</f>
        <v>0</v>
      </c>
      <c r="G18" s="5">
        <f t="shared" si="3"/>
        <v>4</v>
      </c>
      <c r="H18" s="6">
        <f t="shared" si="4"/>
        <v>0</v>
      </c>
      <c r="J18" s="19"/>
      <c r="K18" s="21"/>
      <c r="L18" s="21"/>
      <c r="M18" s="18"/>
      <c r="N18" s="4"/>
    </row>
    <row r="19" spans="1:24" ht="18">
      <c r="A19" s="143" t="s">
        <v>75</v>
      </c>
      <c r="B19" s="144">
        <v>3</v>
      </c>
      <c r="C19" s="91">
        <v>720000</v>
      </c>
      <c r="D19" s="18">
        <f>+B19/$B$26</f>
        <v>0.12</v>
      </c>
      <c r="E19" s="4">
        <f>+C19/$C$26</f>
        <v>5.1194539249146756E-2</v>
      </c>
      <c r="F19" s="1">
        <f>IFERROR(+VLOOKUP(A19,$J$9:$K$25,2,FALSE),0)</f>
        <v>0</v>
      </c>
      <c r="G19" s="5">
        <f t="shared" si="3"/>
        <v>3</v>
      </c>
      <c r="H19" s="6">
        <f t="shared" si="4"/>
        <v>0</v>
      </c>
      <c r="J19" s="19"/>
      <c r="K19" s="21"/>
      <c r="L19" s="21"/>
      <c r="M19" s="18"/>
      <c r="N19" s="4"/>
    </row>
    <row r="20" spans="1:24" ht="18">
      <c r="A20" s="143" t="s">
        <v>135</v>
      </c>
      <c r="B20" s="144">
        <v>1</v>
      </c>
      <c r="C20" s="91">
        <v>180000</v>
      </c>
      <c r="D20" s="18">
        <f>+B20/$B$26</f>
        <v>0.04</v>
      </c>
      <c r="E20" s="4">
        <f>+C20/$C$26</f>
        <v>1.2798634812286689E-2</v>
      </c>
      <c r="F20" s="1">
        <f>IFERROR(+VLOOKUP(A20,$J$9:$K$25,2,FALSE),0)</f>
        <v>0</v>
      </c>
      <c r="G20" s="5">
        <f t="shared" si="3"/>
        <v>1</v>
      </c>
      <c r="H20" s="6">
        <f t="shared" si="4"/>
        <v>0</v>
      </c>
      <c r="J20" s="19"/>
      <c r="K20" s="21"/>
      <c r="L20" s="21"/>
      <c r="M20" s="18"/>
      <c r="N20" s="4"/>
    </row>
    <row r="21" spans="1:24" ht="18">
      <c r="A21" s="143" t="s">
        <v>136</v>
      </c>
      <c r="B21" s="144">
        <v>1</v>
      </c>
      <c r="C21" s="91">
        <v>180000</v>
      </c>
      <c r="D21" s="18">
        <f>+B21/$B$26</f>
        <v>0.04</v>
      </c>
      <c r="E21" s="4">
        <f>+C21/$C$26</f>
        <v>1.2798634812286689E-2</v>
      </c>
      <c r="F21" s="1">
        <f>IFERROR(+VLOOKUP(A21,$J$9:$K$25,2,FALSE),0)</f>
        <v>0</v>
      </c>
      <c r="G21" s="5">
        <f t="shared" si="3"/>
        <v>1</v>
      </c>
      <c r="H21" s="6">
        <f t="shared" si="4"/>
        <v>0</v>
      </c>
      <c r="J21" s="19"/>
      <c r="K21" s="21"/>
      <c r="L21" s="21"/>
      <c r="M21" s="18"/>
      <c r="N21" s="4"/>
    </row>
    <row r="22" spans="1:24" ht="18">
      <c r="A22" s="143" t="s">
        <v>137</v>
      </c>
      <c r="B22" s="144">
        <v>1</v>
      </c>
      <c r="C22" s="91">
        <v>840000</v>
      </c>
      <c r="D22" s="18">
        <f>+B22/$B$26</f>
        <v>0.04</v>
      </c>
      <c r="E22" s="4">
        <f>+C22/$C$26</f>
        <v>5.9726962457337884E-2</v>
      </c>
      <c r="F22" s="1">
        <f>IFERROR(+VLOOKUP(A22,$J$9:$K$25,2,FALSE),0)</f>
        <v>0</v>
      </c>
      <c r="G22" s="5">
        <f t="shared" si="3"/>
        <v>1</v>
      </c>
      <c r="H22" s="6">
        <f t="shared" si="4"/>
        <v>0</v>
      </c>
      <c r="J22" s="19"/>
      <c r="K22" s="21"/>
      <c r="L22" s="21"/>
      <c r="M22" s="18"/>
      <c r="N22" s="4"/>
    </row>
    <row r="23" spans="1:24" ht="18">
      <c r="A23" s="143" t="s">
        <v>138</v>
      </c>
      <c r="B23" s="144">
        <v>1</v>
      </c>
      <c r="C23" s="91">
        <v>1250000</v>
      </c>
      <c r="D23" s="18">
        <f>+B23/$B$26</f>
        <v>0.04</v>
      </c>
      <c r="E23" s="4">
        <f>+C23/$C$26</f>
        <v>8.887940841865756E-2</v>
      </c>
      <c r="F23" s="1">
        <f>IFERROR(+VLOOKUP(A23,$J$9:$K$25,2,FALSE),0)</f>
        <v>0</v>
      </c>
      <c r="G23" s="5">
        <f t="shared" si="3"/>
        <v>1</v>
      </c>
      <c r="H23" s="6">
        <f t="shared" si="4"/>
        <v>0</v>
      </c>
      <c r="J23" s="19"/>
      <c r="K23" s="21"/>
      <c r="L23" s="21"/>
      <c r="M23" s="18"/>
      <c r="N23" s="4"/>
    </row>
    <row r="24" spans="1:24" ht="18">
      <c r="A24" s="143" t="s">
        <v>139</v>
      </c>
      <c r="B24" s="144">
        <v>1</v>
      </c>
      <c r="C24" s="91">
        <v>299000</v>
      </c>
      <c r="D24" s="18">
        <f>+B24/$B$26</f>
        <v>0.04</v>
      </c>
      <c r="E24" s="4">
        <f>+C24/$C$26</f>
        <v>2.1259954493742891E-2</v>
      </c>
      <c r="F24" s="1">
        <f>IFERROR(+VLOOKUP(A24,$J$9:$K$25,2,FALSE),0)</f>
        <v>0</v>
      </c>
      <c r="G24" s="5">
        <f t="shared" si="3"/>
        <v>1</v>
      </c>
      <c r="H24" s="6">
        <f t="shared" si="4"/>
        <v>0</v>
      </c>
      <c r="J24" s="19"/>
      <c r="K24" s="21"/>
      <c r="L24" s="21"/>
      <c r="M24" s="18">
        <f>IFERROR(+K24/$K$26,0)</f>
        <v>0</v>
      </c>
      <c r="N24" s="4">
        <f>IFERROR(+L24/$L$26,0)</f>
        <v>0</v>
      </c>
    </row>
    <row r="25" spans="1:24" ht="18">
      <c r="A25" s="143" t="s">
        <v>140</v>
      </c>
      <c r="B25" s="144">
        <v>1</v>
      </c>
      <c r="C25" s="91">
        <v>360000</v>
      </c>
      <c r="D25" s="18">
        <f>+B25/$B$26</f>
        <v>0.04</v>
      </c>
      <c r="E25" s="4">
        <f>+C25/$C$26</f>
        <v>2.5597269624573378E-2</v>
      </c>
      <c r="F25" s="1">
        <f>IFERROR(+VLOOKUP(A25,$J$9:$K$25,2,FALSE),0)</f>
        <v>0</v>
      </c>
      <c r="G25" s="5">
        <f t="shared" si="3"/>
        <v>1</v>
      </c>
      <c r="H25" s="6">
        <f t="shared" si="4"/>
        <v>0</v>
      </c>
      <c r="J25" s="19"/>
      <c r="K25" s="21"/>
      <c r="L25" s="21"/>
      <c r="M25" s="18"/>
      <c r="N25" s="4"/>
    </row>
    <row r="26" spans="1:24">
      <c r="A26" s="30" t="s">
        <v>81</v>
      </c>
      <c r="B26" s="31">
        <f>SUM(B9:B25)</f>
        <v>25</v>
      </c>
      <c r="C26" s="92">
        <f>SUM(C9:C25)</f>
        <v>14064000</v>
      </c>
      <c r="D26" s="32">
        <f>SUM(D9:D25)</f>
        <v>1.0000000000000002</v>
      </c>
      <c r="E26" s="32">
        <f>SUM(E9:E25)</f>
        <v>1</v>
      </c>
      <c r="F26" s="33">
        <f>SUM(F9:F25)</f>
        <v>0</v>
      </c>
      <c r="G26" s="34">
        <f>SUM(G9:G25)</f>
        <v>25</v>
      </c>
      <c r="H26" s="6">
        <f t="shared" ref="H26:H27" si="5">IFERROR(+(B26/F26)-1,0)</f>
        <v>0</v>
      </c>
      <c r="J26" s="30" t="s">
        <v>0</v>
      </c>
      <c r="K26" s="31">
        <f>SUM(K9:K25)</f>
        <v>0</v>
      </c>
      <c r="L26" s="31">
        <f>SUM(L9:L25)</f>
        <v>0</v>
      </c>
      <c r="M26" s="35">
        <f>SUM(M9:M25)</f>
        <v>0</v>
      </c>
      <c r="N26" s="35">
        <f>SUM(N9:N25)</f>
        <v>0</v>
      </c>
    </row>
    <row r="27" spans="1:24" s="25" customFormat="1">
      <c r="A27" s="44" t="s">
        <v>84</v>
      </c>
      <c r="B27" s="45">
        <f>SUM(B26+B5)</f>
        <v>26</v>
      </c>
      <c r="C27" s="93">
        <f>SUM(C26+C5)</f>
        <v>14064275.312099492</v>
      </c>
      <c r="D27" s="46">
        <f>SUM(D26+D5)</f>
        <v>2</v>
      </c>
      <c r="E27" s="46">
        <f>SUM(E26+E5)</f>
        <v>2</v>
      </c>
      <c r="F27" s="47">
        <f>SUM(F26+F5)</f>
        <v>0</v>
      </c>
      <c r="G27" s="48">
        <f>SUM(G26+G5)</f>
        <v>26</v>
      </c>
      <c r="H27" s="6">
        <f t="shared" si="5"/>
        <v>0</v>
      </c>
      <c r="I27" s="1"/>
      <c r="J27" s="44"/>
      <c r="K27" s="45">
        <f>SUM(K26+K5)</f>
        <v>0</v>
      </c>
      <c r="L27" s="45">
        <f>SUM(L26+L5)</f>
        <v>0</v>
      </c>
      <c r="M27" s="73">
        <f>SUM(M26+M5)</f>
        <v>0</v>
      </c>
      <c r="N27" s="73">
        <f>SUM(N26+N5)</f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s="25" customFormat="1" ht="28.8">
      <c r="A28" s="106" t="s">
        <v>110</v>
      </c>
      <c r="B28" s="136">
        <f>COUNTA(A9:A25)</f>
        <v>17</v>
      </c>
      <c r="C28" s="136"/>
      <c r="D28" s="136"/>
      <c r="E28" s="136"/>
      <c r="F28" s="136"/>
      <c r="G28" s="136"/>
      <c r="H28" s="6"/>
      <c r="I28" s="1"/>
      <c r="J28" s="44"/>
      <c r="K28" s="45"/>
      <c r="L28" s="45"/>
      <c r="M28" s="73"/>
      <c r="N28" s="73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s="9" customFormat="1" ht="42">
      <c r="A29" s="27" t="s">
        <v>103</v>
      </c>
      <c r="B29" s="8">
        <f>+B5-K5</f>
        <v>1</v>
      </c>
      <c r="D29" s="22"/>
    </row>
    <row r="30" spans="1:24" s="9" customFormat="1" ht="42">
      <c r="A30" s="27" t="s">
        <v>104</v>
      </c>
      <c r="B30" s="8">
        <f>+B26-K26</f>
        <v>25</v>
      </c>
      <c r="D30" s="22"/>
    </row>
    <row r="31" spans="1:24" s="9" customFormat="1" ht="23.4">
      <c r="A31" s="7" t="s">
        <v>8</v>
      </c>
      <c r="B31" s="10">
        <v>0</v>
      </c>
      <c r="E31" s="22"/>
    </row>
    <row r="32" spans="1:24" s="9" customFormat="1" ht="23.4">
      <c r="A32" s="11"/>
      <c r="B32" s="12"/>
      <c r="D32" s="22"/>
    </row>
    <row r="33" spans="1:14" s="9" customFormat="1" ht="23.4" hidden="1">
      <c r="A33" s="13" t="s">
        <v>9</v>
      </c>
      <c r="C33" s="94">
        <v>32908</v>
      </c>
      <c r="H33" s="15">
        <f>IFERROR(+(C33/M33)-1,0)</f>
        <v>0</v>
      </c>
      <c r="K33" s="13" t="s">
        <v>9</v>
      </c>
      <c r="M33" s="14">
        <v>0</v>
      </c>
      <c r="N33" s="16"/>
    </row>
    <row r="34" spans="1:14" s="9" customFormat="1" ht="23.4" hidden="1">
      <c r="A34" s="13"/>
      <c r="C34" s="14"/>
      <c r="H34" s="17"/>
      <c r="K34" s="13"/>
      <c r="M34" s="13"/>
    </row>
    <row r="35" spans="1:14" s="9" customFormat="1" ht="23.1" hidden="1" customHeight="1">
      <c r="A35" s="13" t="s">
        <v>10</v>
      </c>
      <c r="C35" s="87">
        <f>C33/C37</f>
        <v>476.92753623188406</v>
      </c>
      <c r="H35" s="17">
        <f>IFERROR(+(C35/M35)-1,0)</f>
        <v>0</v>
      </c>
      <c r="K35" s="13" t="s">
        <v>10</v>
      </c>
      <c r="M35" s="13">
        <v>0</v>
      </c>
    </row>
    <row r="36" spans="1:14" s="9" customFormat="1" ht="23.4" hidden="1"/>
    <row r="37" spans="1:14" s="9" customFormat="1" ht="23.4" hidden="1">
      <c r="A37" s="13" t="s">
        <v>11</v>
      </c>
      <c r="C37" s="13">
        <v>69</v>
      </c>
      <c r="H37" s="17">
        <f>IFERROR(+(C37/M37)-1,0)</f>
        <v>0</v>
      </c>
      <c r="K37" s="13" t="s">
        <v>11</v>
      </c>
      <c r="M37" s="13">
        <v>0</v>
      </c>
    </row>
    <row r="38" spans="1:14" s="9" customFormat="1" ht="23.4" hidden="1">
      <c r="A38" s="13"/>
      <c r="C38" s="13"/>
      <c r="H38" s="17"/>
      <c r="K38" s="13"/>
      <c r="M38" s="13"/>
    </row>
    <row r="39" spans="1:14" s="9" customFormat="1" ht="23.4" hidden="1">
      <c r="A39" s="13" t="s">
        <v>12</v>
      </c>
      <c r="K39" s="13" t="s">
        <v>12</v>
      </c>
    </row>
    <row r="40" spans="1:14" hidden="1">
      <c r="A40" s="1" t="s">
        <v>13</v>
      </c>
      <c r="C40" s="1">
        <v>68</v>
      </c>
      <c r="H40" s="6">
        <f>IFERROR(+(C40/M40)-1,0)</f>
        <v>0</v>
      </c>
      <c r="K40" s="1" t="s">
        <v>13</v>
      </c>
      <c r="M40" s="1">
        <v>0</v>
      </c>
    </row>
    <row r="41" spans="1:14" hidden="1">
      <c r="A41" s="1" t="s">
        <v>14</v>
      </c>
      <c r="C41" s="1">
        <v>51</v>
      </c>
      <c r="D41" s="1">
        <f>+C40/C41</f>
        <v>1.3333333333333333</v>
      </c>
      <c r="H41" s="6">
        <f>IFERROR(+(C41/M41)-1,0)</f>
        <v>0</v>
      </c>
      <c r="K41" s="1" t="s">
        <v>14</v>
      </c>
      <c r="M41" s="1">
        <v>0</v>
      </c>
      <c r="N41" s="1">
        <f>IFERROR(+M40/M41,0)</f>
        <v>0</v>
      </c>
    </row>
    <row r="42" spans="1:14" hidden="1">
      <c r="A42" s="1" t="s">
        <v>15</v>
      </c>
      <c r="C42" s="1">
        <v>1</v>
      </c>
      <c r="H42" s="6">
        <f t="shared" ref="H42:H45" si="6">IFERROR(+(C42/M42)-1,0)</f>
        <v>0</v>
      </c>
      <c r="K42" s="1" t="s">
        <v>15</v>
      </c>
      <c r="M42" s="1">
        <v>0</v>
      </c>
    </row>
    <row r="43" spans="1:14" hidden="1">
      <c r="A43" s="1" t="s">
        <v>16</v>
      </c>
      <c r="C43" s="1">
        <v>0</v>
      </c>
      <c r="H43" s="6">
        <f t="shared" si="6"/>
        <v>0</v>
      </c>
      <c r="K43" s="1" t="s">
        <v>16</v>
      </c>
      <c r="M43" s="1">
        <v>0</v>
      </c>
    </row>
    <row r="44" spans="1:14" hidden="1">
      <c r="A44" s="1" t="s">
        <v>37</v>
      </c>
      <c r="C44" s="1">
        <v>152</v>
      </c>
      <c r="H44" s="6">
        <f t="shared" si="6"/>
        <v>0</v>
      </c>
      <c r="K44" s="1" t="s">
        <v>38</v>
      </c>
      <c r="M44" s="1">
        <v>0</v>
      </c>
    </row>
    <row r="45" spans="1:14" hidden="1">
      <c r="A45" s="1" t="s">
        <v>39</v>
      </c>
      <c r="C45" s="1">
        <v>0</v>
      </c>
      <c r="H45" s="6">
        <f t="shared" si="6"/>
        <v>0</v>
      </c>
      <c r="K45" s="1" t="s">
        <v>39</v>
      </c>
      <c r="M45" s="1">
        <v>0</v>
      </c>
    </row>
    <row r="46" spans="1:14" hidden="1"/>
    <row r="47" spans="1:14" hidden="1"/>
  </sheetData>
  <mergeCells count="8">
    <mergeCell ref="B28:G28"/>
    <mergeCell ref="A7:A8"/>
    <mergeCell ref="B1:H1"/>
    <mergeCell ref="J1:N1"/>
    <mergeCell ref="A2:A3"/>
    <mergeCell ref="B2:E2"/>
    <mergeCell ref="K2:N2"/>
    <mergeCell ref="B6:G6"/>
  </mergeCells>
  <conditionalFormatting sqref="G7:G25 G4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{82A7B021-A2A3-495B-8B8C-5E5120E3E021}</x14:id>
        </ext>
      </extLst>
    </cfRule>
  </conditionalFormatting>
  <conditionalFormatting sqref="H7:H25 H4">
    <cfRule type="dataBar" priority="5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{653CE4B4-17A9-4D71-BED6-8072C0AA2022}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7B021-A2A3-495B-8B8C-5E5120E3E0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G7:G25 G4</xm:sqref>
        </x14:conditionalFormatting>
        <x14:conditionalFormatting xmlns:xm="http://schemas.microsoft.com/office/excel/2006/main">
          <x14:cfRule type="dataBar" id="{653CE4B4-17A9-4D71-BED6-8072C0AA202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H7:H25 H4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BFC9-F272-4DC8-8107-9DFDDDBCB722}">
  <sheetPr codeName="Hoja2"/>
  <dimension ref="A1:AD58"/>
  <sheetViews>
    <sheetView showGridLines="0" zoomScale="73" zoomScaleNormal="73" workbookViewId="0">
      <selection activeCell="B1" sqref="B1:N1"/>
    </sheetView>
  </sheetViews>
  <sheetFormatPr baseColWidth="10" defaultColWidth="8.88671875" defaultRowHeight="14.4"/>
  <cols>
    <col min="1" max="1" width="43.5546875" style="1" customWidth="1"/>
    <col min="2" max="2" width="27.44140625" style="1" customWidth="1"/>
    <col min="3" max="3" width="29.88671875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1.44140625" style="1" customWidth="1"/>
    <col min="9" max="9" width="8.88671875" style="147"/>
    <col min="10" max="10" width="26.44140625" style="147" customWidth="1"/>
    <col min="11" max="11" width="21" style="147" customWidth="1"/>
    <col min="12" max="12" width="15.44140625" style="147" customWidth="1"/>
    <col min="13" max="13" width="27.5546875" style="147" bestFit="1" customWidth="1"/>
    <col min="14" max="14" width="14.109375" style="147" customWidth="1"/>
    <col min="15" max="15" width="8.88671875" style="147"/>
    <col min="16" max="16384" width="8.88671875" style="1"/>
  </cols>
  <sheetData>
    <row r="1" spans="1:15" ht="26.4" thickBot="1">
      <c r="A1" s="52" t="s">
        <v>78</v>
      </c>
      <c r="B1" s="146">
        <v>45488</v>
      </c>
      <c r="C1" s="146"/>
      <c r="D1" s="146"/>
      <c r="E1" s="146"/>
      <c r="F1" s="146"/>
      <c r="G1" s="146"/>
      <c r="H1" s="146"/>
      <c r="J1" s="148">
        <v>45122</v>
      </c>
      <c r="K1" s="148"/>
      <c r="L1" s="148"/>
      <c r="M1" s="148"/>
      <c r="N1" s="148"/>
    </row>
    <row r="2" spans="1:15">
      <c r="A2" s="129" t="s">
        <v>97</v>
      </c>
      <c r="B2" s="134" t="s">
        <v>0</v>
      </c>
      <c r="C2" s="134"/>
      <c r="D2" s="134"/>
      <c r="E2" s="134"/>
      <c r="K2" s="149" t="s">
        <v>0</v>
      </c>
      <c r="L2" s="149"/>
      <c r="M2" s="149"/>
      <c r="N2" s="149"/>
    </row>
    <row r="3" spans="1:15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29" t="s">
        <v>100</v>
      </c>
      <c r="G3" s="29" t="s">
        <v>5</v>
      </c>
      <c r="H3" s="29" t="s">
        <v>6</v>
      </c>
      <c r="J3" s="150">
        <v>2023</v>
      </c>
      <c r="K3" s="147" t="s">
        <v>1</v>
      </c>
      <c r="L3" s="147" t="s">
        <v>2</v>
      </c>
      <c r="M3" s="147" t="s">
        <v>3</v>
      </c>
      <c r="N3" s="147" t="s">
        <v>4</v>
      </c>
    </row>
    <row r="4" spans="1:15" ht="28.8">
      <c r="A4" s="143" t="s">
        <v>51</v>
      </c>
      <c r="B4" s="144">
        <v>25</v>
      </c>
      <c r="C4" s="88">
        <v>26285</v>
      </c>
      <c r="D4" s="4">
        <f>+B4/$B$10</f>
        <v>0.31645569620253167</v>
      </c>
      <c r="E4" s="4">
        <f>+C4/$C$10</f>
        <v>0.3106239659654928</v>
      </c>
      <c r="F4" s="1">
        <f>IFERROR(+VLOOKUP(A4,$J$4:$K$8,2,FALSE),0)</f>
        <v>0</v>
      </c>
      <c r="G4" s="5">
        <f>IFERROR(+B4-F4,0)</f>
        <v>25</v>
      </c>
      <c r="H4" s="6">
        <f>IFERROR(+(B4/F4)-1,0)</f>
        <v>0</v>
      </c>
      <c r="J4" s="151" t="s">
        <v>90</v>
      </c>
      <c r="K4" s="152">
        <v>8</v>
      </c>
      <c r="L4" s="153">
        <v>10280</v>
      </c>
      <c r="M4" s="154">
        <f>+K4/$K$10</f>
        <v>0.14285714285714285</v>
      </c>
      <c r="N4" s="155">
        <f>+L4/$L$10</f>
        <v>0.18076314401266044</v>
      </c>
    </row>
    <row r="5" spans="1:15" ht="28.8">
      <c r="A5" s="143" t="s">
        <v>96</v>
      </c>
      <c r="B5" s="144">
        <v>4</v>
      </c>
      <c r="C5" s="88">
        <v>5550</v>
      </c>
      <c r="D5" s="4">
        <f>+B5/$B$10</f>
        <v>5.0632911392405063E-2</v>
      </c>
      <c r="E5" s="4">
        <f>+C5/$C$10</f>
        <v>6.5587331600094542E-2</v>
      </c>
      <c r="F5" s="1">
        <f>IFERROR(+VLOOKUP(A5,$J$4:$K$8,2,FALSE),0)</f>
        <v>0</v>
      </c>
      <c r="G5" s="5">
        <f>IFERROR(+B5-F5,0)</f>
        <v>4</v>
      </c>
      <c r="H5" s="6">
        <f>IFERROR(+(B5/F5)-1,0)</f>
        <v>0</v>
      </c>
      <c r="J5" s="151" t="s">
        <v>91</v>
      </c>
      <c r="K5" s="152">
        <v>2</v>
      </c>
      <c r="L5" s="153">
        <v>2400</v>
      </c>
      <c r="M5" s="154">
        <f>+K5/$K$10</f>
        <v>3.5714285714285712E-2</v>
      </c>
      <c r="N5" s="155">
        <f>+L5/$L$10</f>
        <v>4.2201512220854581E-2</v>
      </c>
    </row>
    <row r="6" spans="1:15" ht="18">
      <c r="A6" s="143" t="s">
        <v>90</v>
      </c>
      <c r="B6" s="144">
        <v>32</v>
      </c>
      <c r="C6" s="88">
        <v>39110</v>
      </c>
      <c r="D6" s="4">
        <f>+B6/$B$10</f>
        <v>0.4050632911392405</v>
      </c>
      <c r="E6" s="4">
        <f>+C6/$C$10</f>
        <v>0.4621838808792248</v>
      </c>
      <c r="F6" s="1">
        <f>IFERROR(+VLOOKUP(A6,$J$4:$K$8,2,FALSE),0)</f>
        <v>8</v>
      </c>
      <c r="G6" s="5">
        <f>IFERROR(+B6-F6,0)</f>
        <v>24</v>
      </c>
      <c r="H6" s="6">
        <f>IFERROR(+(B6/F6)-1,0)</f>
        <v>3</v>
      </c>
      <c r="J6" s="151" t="s">
        <v>74</v>
      </c>
      <c r="K6" s="152">
        <v>9</v>
      </c>
      <c r="L6" s="153">
        <v>7820</v>
      </c>
      <c r="M6" s="154">
        <f>+K6/$K$10</f>
        <v>0.16071428571428573</v>
      </c>
      <c r="N6" s="155">
        <f>+L6/$L$10</f>
        <v>0.13750659398628451</v>
      </c>
    </row>
    <row r="7" spans="1:15" ht="28.8">
      <c r="A7" s="143" t="s">
        <v>91</v>
      </c>
      <c r="B7" s="144">
        <v>7</v>
      </c>
      <c r="C7" s="88">
        <v>5900</v>
      </c>
      <c r="D7" s="4">
        <f>+B7/$B$10</f>
        <v>8.8607594936708861E-2</v>
      </c>
      <c r="E7" s="4">
        <f>+C7/$C$10</f>
        <v>6.9723469628929335E-2</v>
      </c>
      <c r="F7" s="1">
        <f>IFERROR(+VLOOKUP(A7,$J$4:$K$8,2,FALSE),0)</f>
        <v>2</v>
      </c>
      <c r="G7" s="5">
        <f t="shared" ref="G7:G8" si="0">IFERROR(+B7-F7,0)</f>
        <v>5</v>
      </c>
      <c r="H7" s="6">
        <f>IFERROR(+(B7/F7)-1,0)</f>
        <v>2.5</v>
      </c>
      <c r="J7" s="151" t="s">
        <v>87</v>
      </c>
      <c r="K7" s="152">
        <v>7</v>
      </c>
      <c r="L7" s="153">
        <v>6330</v>
      </c>
      <c r="M7" s="154">
        <f>+K7/$K$10</f>
        <v>0.125</v>
      </c>
      <c r="N7" s="155">
        <f>+L7/$L$10</f>
        <v>0.11130648848250396</v>
      </c>
    </row>
    <row r="8" spans="1:15" ht="28.8">
      <c r="A8" s="143" t="s">
        <v>74</v>
      </c>
      <c r="B8" s="144">
        <v>11</v>
      </c>
      <c r="C8" s="88">
        <v>7775</v>
      </c>
      <c r="D8" s="4">
        <f>+B8/$B$10</f>
        <v>0.13924050632911392</v>
      </c>
      <c r="E8" s="4">
        <f>+C8/$C$10</f>
        <v>9.188135192625857E-2</v>
      </c>
      <c r="F8" s="1">
        <f>IFERROR(+VLOOKUP(A8,$J$4:$K$8,2,FALSE),0)</f>
        <v>9</v>
      </c>
      <c r="G8" s="5">
        <f t="shared" si="0"/>
        <v>2</v>
      </c>
      <c r="H8" s="6">
        <f t="shared" ref="H8" si="1">IFERROR(+(B8/F8)-1,0)</f>
        <v>0.22222222222222232</v>
      </c>
      <c r="J8" s="151" t="s">
        <v>88</v>
      </c>
      <c r="K8" s="152">
        <v>30</v>
      </c>
      <c r="L8" s="153">
        <v>30040</v>
      </c>
      <c r="M8" s="154">
        <f>+K8/$K$10</f>
        <v>0.5357142857142857</v>
      </c>
      <c r="N8" s="155">
        <f>+L8/$L$10</f>
        <v>0.52822226129769645</v>
      </c>
    </row>
    <row r="9" spans="1:15" ht="18">
      <c r="A9" s="19"/>
      <c r="B9" s="21"/>
      <c r="C9" s="88"/>
      <c r="D9" s="4"/>
      <c r="E9" s="4"/>
      <c r="G9" s="5"/>
      <c r="H9" s="6"/>
      <c r="J9" s="156"/>
      <c r="K9" s="157"/>
      <c r="L9" s="153"/>
      <c r="M9" s="154"/>
      <c r="N9" s="155"/>
    </row>
    <row r="10" spans="1:15">
      <c r="A10" s="30" t="s">
        <v>80</v>
      </c>
      <c r="B10" s="31">
        <f>SUM(B4:B8)</f>
        <v>79</v>
      </c>
      <c r="C10" s="89">
        <f>SUM(C4:C8)</f>
        <v>84620</v>
      </c>
      <c r="D10" s="32">
        <f>SUM(D4:D8)</f>
        <v>1</v>
      </c>
      <c r="E10" s="32">
        <f>SUM(E4:E8)</f>
        <v>1</v>
      </c>
      <c r="F10" s="33">
        <f>SUM(F4:F8)</f>
        <v>19</v>
      </c>
      <c r="G10" s="34">
        <f>SUM(G4:G8)</f>
        <v>60</v>
      </c>
      <c r="H10" s="6">
        <f>IFERROR(+(B10/F10)-1,0)</f>
        <v>3.1578947368421053</v>
      </c>
      <c r="I10" s="167"/>
      <c r="J10" s="30" t="s">
        <v>0</v>
      </c>
      <c r="K10" s="31">
        <f>SUM(K4:K8)</f>
        <v>56</v>
      </c>
      <c r="L10" s="92">
        <f>SUM(L4:L8)</f>
        <v>56870</v>
      </c>
      <c r="M10" s="35">
        <f>SUM(M4:M8)</f>
        <v>1</v>
      </c>
      <c r="N10" s="35">
        <f>SUM(N4:N8)</f>
        <v>1</v>
      </c>
      <c r="O10" s="167"/>
    </row>
    <row r="11" spans="1:15" ht="36.6">
      <c r="A11" s="105" t="s">
        <v>110</v>
      </c>
      <c r="B11" s="135">
        <f>COUNTA(A4:A8)</f>
        <v>5</v>
      </c>
      <c r="C11" s="135"/>
      <c r="D11" s="135"/>
      <c r="E11" s="135"/>
      <c r="F11" s="135"/>
      <c r="G11" s="135"/>
      <c r="H11" s="6"/>
      <c r="I11" s="167"/>
      <c r="J11" s="115">
        <f>COUNTA(J4:J8)</f>
        <v>5</v>
      </c>
      <c r="K11" s="31"/>
      <c r="L11" s="92"/>
      <c r="M11" s="35"/>
      <c r="N11" s="35"/>
      <c r="O11" s="167"/>
    </row>
    <row r="12" spans="1:15" ht="18">
      <c r="A12" s="128" t="s">
        <v>99</v>
      </c>
      <c r="B12" s="21"/>
      <c r="C12" s="88"/>
      <c r="D12" s="4"/>
      <c r="E12" s="4"/>
      <c r="G12" s="5"/>
      <c r="H12" s="6"/>
      <c r="J12" s="156"/>
      <c r="K12" s="157"/>
      <c r="L12" s="153"/>
      <c r="M12" s="154"/>
      <c r="N12" s="155"/>
    </row>
    <row r="13" spans="1:15" ht="18">
      <c r="A13" s="128"/>
      <c r="B13" s="21"/>
      <c r="C13" s="88"/>
      <c r="D13" s="4"/>
      <c r="E13" s="4"/>
      <c r="G13" s="5"/>
      <c r="H13" s="6"/>
      <c r="J13" s="156"/>
      <c r="K13" s="157"/>
      <c r="L13" s="158"/>
      <c r="M13" s="154"/>
      <c r="N13" s="155"/>
    </row>
    <row r="14" spans="1:15" ht="18">
      <c r="A14" s="143" t="s">
        <v>17</v>
      </c>
      <c r="B14" s="144">
        <v>14</v>
      </c>
      <c r="C14" s="88">
        <v>11150</v>
      </c>
      <c r="D14" s="4">
        <f t="shared" ref="D14:D34" si="2">+B14/$B$36</f>
        <v>0.1076923076923077</v>
      </c>
      <c r="E14" s="4">
        <f t="shared" ref="E14:E34" si="3">+C14/$C$36</f>
        <v>8.0821113519233975E-2</v>
      </c>
      <c r="F14" s="1">
        <f>IFERROR(+VLOOKUP(A14,$J$13:$K$35,2,FALSE),0)</f>
        <v>16</v>
      </c>
      <c r="G14" s="5">
        <f>+B14-F14</f>
        <v>-2</v>
      </c>
      <c r="H14" s="6">
        <f>IFERROR(+(B14/F14)-1,0)</f>
        <v>-0.125</v>
      </c>
      <c r="J14" s="151" t="s">
        <v>17</v>
      </c>
      <c r="K14" s="152">
        <v>16</v>
      </c>
      <c r="L14" s="158">
        <v>16830</v>
      </c>
      <c r="M14" s="154">
        <f t="shared" ref="M14:M34" si="4">+K14/$K$36</f>
        <v>0.11347517730496454</v>
      </c>
      <c r="N14" s="155">
        <f t="shared" ref="N14:N34" si="5">+L14/$L$36</f>
        <v>0.10665399239543727</v>
      </c>
    </row>
    <row r="15" spans="1:15" ht="18">
      <c r="A15" s="143" t="s">
        <v>19</v>
      </c>
      <c r="B15" s="144">
        <v>3</v>
      </c>
      <c r="C15" s="88">
        <v>2010</v>
      </c>
      <c r="D15" s="4">
        <f t="shared" si="2"/>
        <v>2.3076923076923078E-2</v>
      </c>
      <c r="E15" s="4">
        <f t="shared" si="3"/>
        <v>1.4569546024543524E-2</v>
      </c>
      <c r="F15" s="1">
        <f>IFERROR(+VLOOKUP(A15,$J$13:$K$35,2,FALSE),0)</f>
        <v>1</v>
      </c>
      <c r="G15" s="5">
        <f>+B15-F15</f>
        <v>2</v>
      </c>
      <c r="H15" s="6">
        <f t="shared" ref="H15:H34" si="6">IFERROR(+(B15/F15)-1,0)</f>
        <v>2</v>
      </c>
      <c r="J15" s="151" t="s">
        <v>19</v>
      </c>
      <c r="K15" s="152">
        <v>1</v>
      </c>
      <c r="L15" s="158">
        <v>450</v>
      </c>
      <c r="M15" s="154">
        <f t="shared" si="4"/>
        <v>7.0921985815602835E-3</v>
      </c>
      <c r="N15" s="155">
        <f t="shared" si="5"/>
        <v>2.8517110266159697E-3</v>
      </c>
    </row>
    <row r="16" spans="1:15" ht="18">
      <c r="A16" s="143" t="s">
        <v>20</v>
      </c>
      <c r="B16" s="144">
        <v>9</v>
      </c>
      <c r="C16" s="88">
        <v>10830</v>
      </c>
      <c r="D16" s="4">
        <f t="shared" si="2"/>
        <v>6.9230769230769235E-2</v>
      </c>
      <c r="E16" s="4">
        <f t="shared" si="3"/>
        <v>7.8501583803883765E-2</v>
      </c>
      <c r="F16" s="1">
        <f>IFERROR(+VLOOKUP(A16,$J$13:$K$35,2,FALSE),0)</f>
        <v>18</v>
      </c>
      <c r="G16" s="5">
        <f t="shared" ref="G15:G34" si="7">+B16-F16</f>
        <v>-9</v>
      </c>
      <c r="H16" s="6">
        <f t="shared" si="6"/>
        <v>-0.5</v>
      </c>
      <c r="J16" s="151" t="s">
        <v>47</v>
      </c>
      <c r="K16" s="152">
        <v>1</v>
      </c>
      <c r="L16" s="158">
        <v>1100</v>
      </c>
      <c r="M16" s="154">
        <f t="shared" si="4"/>
        <v>7.0921985815602835E-3</v>
      </c>
      <c r="N16" s="155">
        <f t="shared" si="5"/>
        <v>6.9708491761723704E-3</v>
      </c>
    </row>
    <row r="17" spans="1:15" ht="18">
      <c r="A17" s="143" t="s">
        <v>21</v>
      </c>
      <c r="B17" s="144">
        <v>2</v>
      </c>
      <c r="C17" s="88">
        <v>320</v>
      </c>
      <c r="D17" s="4">
        <f t="shared" si="2"/>
        <v>1.5384615384615385E-2</v>
      </c>
      <c r="E17" s="4">
        <f t="shared" si="3"/>
        <v>2.319529715350213E-3</v>
      </c>
      <c r="F17" s="1">
        <f>IFERROR(+VLOOKUP(A17,$J$13:$K$35,2,FALSE),0)</f>
        <v>0</v>
      </c>
      <c r="G17" s="5">
        <f>+B17-F17</f>
        <v>2</v>
      </c>
      <c r="H17" s="6">
        <f t="shared" si="6"/>
        <v>0</v>
      </c>
      <c r="I17" s="159"/>
      <c r="J17" s="151" t="s">
        <v>20</v>
      </c>
      <c r="K17" s="152">
        <v>18</v>
      </c>
      <c r="L17" s="158">
        <v>20150</v>
      </c>
      <c r="M17" s="154">
        <f t="shared" si="4"/>
        <v>0.1276595744680851</v>
      </c>
      <c r="N17" s="155">
        <f t="shared" si="5"/>
        <v>0.12769328263624841</v>
      </c>
      <c r="O17" s="159"/>
    </row>
    <row r="18" spans="1:15" ht="18">
      <c r="A18" s="143" t="s">
        <v>22</v>
      </c>
      <c r="B18" s="144">
        <v>7</v>
      </c>
      <c r="C18" s="88">
        <v>10250</v>
      </c>
      <c r="D18" s="4">
        <f t="shared" si="2"/>
        <v>5.3846153846153849E-2</v>
      </c>
      <c r="E18" s="4">
        <f t="shared" si="3"/>
        <v>7.4297436194811509E-2</v>
      </c>
      <c r="F18" s="1">
        <f>IFERROR(+VLOOKUP(A18,$J$13:$K$35,2,FALSE),0)</f>
        <v>9</v>
      </c>
      <c r="G18" s="5">
        <f t="shared" si="7"/>
        <v>-2</v>
      </c>
      <c r="H18" s="6">
        <f t="shared" si="6"/>
        <v>-0.22222222222222221</v>
      </c>
      <c r="J18" s="151" t="s">
        <v>22</v>
      </c>
      <c r="K18" s="152">
        <v>9</v>
      </c>
      <c r="L18" s="158">
        <v>5710</v>
      </c>
      <c r="M18" s="154">
        <f t="shared" si="4"/>
        <v>6.3829787234042548E-2</v>
      </c>
      <c r="N18" s="155">
        <f t="shared" si="5"/>
        <v>3.6185044359949306E-2</v>
      </c>
    </row>
    <row r="19" spans="1:15" ht="18">
      <c r="A19" s="143" t="s">
        <v>23</v>
      </c>
      <c r="B19" s="144">
        <v>10</v>
      </c>
      <c r="C19" s="88">
        <v>10540</v>
      </c>
      <c r="D19" s="4">
        <f t="shared" si="2"/>
        <v>7.6923076923076927E-2</v>
      </c>
      <c r="E19" s="4">
        <f t="shared" si="3"/>
        <v>7.6399509999347637E-2</v>
      </c>
      <c r="F19" s="1">
        <f>IFERROR(+VLOOKUP(A19,$J$13:$K$35,2,FALSE),0)</f>
        <v>16</v>
      </c>
      <c r="G19" s="5">
        <f t="shared" si="7"/>
        <v>-6</v>
      </c>
      <c r="H19" s="6">
        <f t="shared" si="6"/>
        <v>-0.375</v>
      </c>
      <c r="J19" s="151" t="s">
        <v>23</v>
      </c>
      <c r="K19" s="152">
        <v>16</v>
      </c>
      <c r="L19" s="158">
        <v>21430</v>
      </c>
      <c r="M19" s="154">
        <f t="shared" si="4"/>
        <v>0.11347517730496454</v>
      </c>
      <c r="N19" s="155">
        <f t="shared" si="5"/>
        <v>0.13580481622306717</v>
      </c>
    </row>
    <row r="20" spans="1:15" ht="18">
      <c r="A20" s="143" t="s">
        <v>24</v>
      </c>
      <c r="B20" s="144">
        <v>3</v>
      </c>
      <c r="C20" s="88">
        <v>5950</v>
      </c>
      <c r="D20" s="4">
        <f t="shared" si="2"/>
        <v>2.3076923076923078E-2</v>
      </c>
      <c r="E20" s="4">
        <f t="shared" si="3"/>
        <v>4.3128755644793015E-2</v>
      </c>
      <c r="F20" s="1">
        <f>IFERROR(+VLOOKUP(A20,$J$13:$K$35,2,FALSE),0)</f>
        <v>4</v>
      </c>
      <c r="G20" s="5">
        <f t="shared" si="7"/>
        <v>-1</v>
      </c>
      <c r="H20" s="6">
        <f t="shared" si="6"/>
        <v>-0.25</v>
      </c>
      <c r="J20" s="151" t="s">
        <v>24</v>
      </c>
      <c r="K20" s="152">
        <v>4</v>
      </c>
      <c r="L20" s="158">
        <v>5200</v>
      </c>
      <c r="M20" s="154">
        <f t="shared" si="4"/>
        <v>2.8368794326241134E-2</v>
      </c>
      <c r="N20" s="155">
        <f t="shared" si="5"/>
        <v>3.2953105196451206E-2</v>
      </c>
    </row>
    <row r="21" spans="1:15" ht="18">
      <c r="A21" s="143" t="s">
        <v>25</v>
      </c>
      <c r="B21" s="144">
        <v>15</v>
      </c>
      <c r="C21" s="88">
        <v>18650</v>
      </c>
      <c r="D21" s="4">
        <f t="shared" si="2"/>
        <v>0.11538461538461539</v>
      </c>
      <c r="E21" s="4">
        <f t="shared" si="3"/>
        <v>0.1351850912227546</v>
      </c>
      <c r="F21" s="1">
        <f>IFERROR(+VLOOKUP(A21,$J$13:$K$35,2,FALSE),0)</f>
        <v>12</v>
      </c>
      <c r="G21" s="5">
        <f t="shared" si="7"/>
        <v>3</v>
      </c>
      <c r="H21" s="6">
        <f t="shared" si="6"/>
        <v>0.25</v>
      </c>
      <c r="J21" s="151" t="s">
        <v>123</v>
      </c>
      <c r="K21" s="152">
        <v>1</v>
      </c>
      <c r="L21" s="158">
        <v>1600</v>
      </c>
      <c r="M21" s="154">
        <f t="shared" si="4"/>
        <v>7.0921985815602835E-3</v>
      </c>
      <c r="N21" s="155">
        <f t="shared" si="5"/>
        <v>1.0139416983523447E-2</v>
      </c>
    </row>
    <row r="22" spans="1:15" ht="18">
      <c r="A22" s="143" t="s">
        <v>26</v>
      </c>
      <c r="B22" s="144">
        <v>8</v>
      </c>
      <c r="C22" s="88">
        <v>7750</v>
      </c>
      <c r="D22" s="4">
        <f t="shared" si="2"/>
        <v>6.1538461538461542E-2</v>
      </c>
      <c r="E22" s="4">
        <f t="shared" si="3"/>
        <v>5.6176110293637962E-2</v>
      </c>
      <c r="F22" s="1">
        <f>IFERROR(+VLOOKUP(A22,$J$13:$K$35,2,FALSE),0)</f>
        <v>10</v>
      </c>
      <c r="G22" s="5">
        <f t="shared" si="7"/>
        <v>-2</v>
      </c>
      <c r="H22" s="6">
        <f t="shared" si="6"/>
        <v>-0.19999999999999996</v>
      </c>
      <c r="J22" s="151" t="s">
        <v>25</v>
      </c>
      <c r="K22" s="152">
        <v>12</v>
      </c>
      <c r="L22" s="158">
        <v>21750</v>
      </c>
      <c r="M22" s="154">
        <f t="shared" si="4"/>
        <v>8.5106382978723402E-2</v>
      </c>
      <c r="N22" s="155">
        <f t="shared" si="5"/>
        <v>0.13783269961977188</v>
      </c>
    </row>
    <row r="23" spans="1:15" ht="18">
      <c r="A23" s="143" t="s">
        <v>56</v>
      </c>
      <c r="B23" s="144">
        <v>1</v>
      </c>
      <c r="C23" s="88">
        <v>1600</v>
      </c>
      <c r="D23" s="4">
        <f t="shared" si="2"/>
        <v>7.6923076923076927E-3</v>
      </c>
      <c r="E23" s="4">
        <f t="shared" si="3"/>
        <v>1.1597648576751064E-2</v>
      </c>
      <c r="F23" s="1">
        <f>IFERROR(+VLOOKUP(A23,$J$13:$K$35,2,FALSE),0)</f>
        <v>0</v>
      </c>
      <c r="G23" s="5">
        <f t="shared" si="7"/>
        <v>1</v>
      </c>
      <c r="H23" s="6">
        <f t="shared" si="6"/>
        <v>0</v>
      </c>
      <c r="J23" s="151" t="s">
        <v>26</v>
      </c>
      <c r="K23" s="152">
        <v>10</v>
      </c>
      <c r="L23" s="158">
        <v>14040</v>
      </c>
      <c r="M23" s="154">
        <f t="shared" si="4"/>
        <v>7.0921985815602842E-2</v>
      </c>
      <c r="N23" s="155">
        <f t="shared" si="5"/>
        <v>8.8973384030418254E-2</v>
      </c>
    </row>
    <row r="24" spans="1:15" ht="18">
      <c r="A24" s="143" t="s">
        <v>27</v>
      </c>
      <c r="B24" s="144">
        <v>23</v>
      </c>
      <c r="C24" s="88">
        <v>22830</v>
      </c>
      <c r="D24" s="4">
        <f t="shared" si="2"/>
        <v>0.17692307692307693</v>
      </c>
      <c r="E24" s="4">
        <f t="shared" si="3"/>
        <v>0.16548394812951675</v>
      </c>
      <c r="F24" s="1">
        <f>IFERROR(+VLOOKUP(A24,$J$13:$K$35,2,FALSE),0)</f>
        <v>16</v>
      </c>
      <c r="G24" s="5">
        <f t="shared" si="7"/>
        <v>7</v>
      </c>
      <c r="H24" s="6">
        <f t="shared" si="6"/>
        <v>0.4375</v>
      </c>
      <c r="J24" s="151" t="s">
        <v>53</v>
      </c>
      <c r="K24" s="152">
        <v>2</v>
      </c>
      <c r="L24" s="158">
        <v>1100</v>
      </c>
      <c r="M24" s="154">
        <f t="shared" si="4"/>
        <v>1.4184397163120567E-2</v>
      </c>
      <c r="N24" s="155">
        <f t="shared" si="5"/>
        <v>6.9708491761723704E-3</v>
      </c>
    </row>
    <row r="25" spans="1:15" ht="18">
      <c r="A25" s="143" t="s">
        <v>28</v>
      </c>
      <c r="B25" s="144">
        <v>8</v>
      </c>
      <c r="C25" s="88">
        <v>7950</v>
      </c>
      <c r="D25" s="4">
        <f t="shared" si="2"/>
        <v>6.1538461538461542E-2</v>
      </c>
      <c r="E25" s="4">
        <f t="shared" si="3"/>
        <v>5.7625816365731851E-2</v>
      </c>
      <c r="F25" s="1">
        <f>IFERROR(+VLOOKUP(A25,$J$13:$K$35,2,FALSE),0)</f>
        <v>6</v>
      </c>
      <c r="G25" s="5">
        <f t="shared" si="7"/>
        <v>2</v>
      </c>
      <c r="H25" s="6">
        <f t="shared" si="6"/>
        <v>0.33333333333333326</v>
      </c>
      <c r="J25" s="151" t="s">
        <v>27</v>
      </c>
      <c r="K25" s="152">
        <v>16</v>
      </c>
      <c r="L25" s="158">
        <v>19050</v>
      </c>
      <c r="M25" s="154">
        <f t="shared" si="4"/>
        <v>0.11347517730496454</v>
      </c>
      <c r="N25" s="155">
        <f t="shared" si="5"/>
        <v>0.12072243346007605</v>
      </c>
    </row>
    <row r="26" spans="1:15" ht="18">
      <c r="A26" s="143" t="s">
        <v>30</v>
      </c>
      <c r="B26" s="144">
        <v>2</v>
      </c>
      <c r="C26" s="88">
        <v>1780</v>
      </c>
      <c r="D26" s="4">
        <f t="shared" si="2"/>
        <v>1.5384615384615385E-2</v>
      </c>
      <c r="E26" s="4">
        <f t="shared" si="3"/>
        <v>1.2902384041635559E-2</v>
      </c>
      <c r="F26" s="1">
        <f>IFERROR(+VLOOKUP(A26,$J$13:$K$35,2,FALSE),0)</f>
        <v>4</v>
      </c>
      <c r="G26" s="5">
        <f t="shared" si="7"/>
        <v>-2</v>
      </c>
      <c r="H26" s="6">
        <f t="shared" si="6"/>
        <v>-0.5</v>
      </c>
      <c r="J26" s="151" t="s">
        <v>28</v>
      </c>
      <c r="K26" s="152">
        <v>6</v>
      </c>
      <c r="L26" s="158">
        <v>6420</v>
      </c>
      <c r="M26" s="154">
        <f t="shared" si="4"/>
        <v>4.2553191489361701E-2</v>
      </c>
      <c r="N26" s="155">
        <f t="shared" si="5"/>
        <v>4.0684410646387829E-2</v>
      </c>
    </row>
    <row r="27" spans="1:15" ht="18">
      <c r="A27" s="143" t="s">
        <v>61</v>
      </c>
      <c r="B27" s="144">
        <v>1</v>
      </c>
      <c r="C27" s="88">
        <v>379</v>
      </c>
      <c r="D27" s="4">
        <f t="shared" si="2"/>
        <v>7.6923076923076927E-3</v>
      </c>
      <c r="E27" s="4">
        <f t="shared" si="3"/>
        <v>2.7471930066179082E-3</v>
      </c>
      <c r="F27" s="1">
        <f>IFERROR(+VLOOKUP(A27,$J$13:$K$35,2,FALSE),0)</f>
        <v>1</v>
      </c>
      <c r="G27" s="5">
        <f t="shared" si="7"/>
        <v>0</v>
      </c>
      <c r="H27" s="6">
        <f t="shared" si="6"/>
        <v>0</v>
      </c>
      <c r="J27" s="151" t="s">
        <v>30</v>
      </c>
      <c r="K27" s="152">
        <v>4</v>
      </c>
      <c r="L27" s="158">
        <v>6900</v>
      </c>
      <c r="M27" s="154">
        <f t="shared" si="4"/>
        <v>2.8368794326241134E-2</v>
      </c>
      <c r="N27" s="155">
        <f t="shared" si="5"/>
        <v>4.3726235741444866E-2</v>
      </c>
    </row>
    <row r="28" spans="1:15" ht="18">
      <c r="A28" s="143" t="s">
        <v>71</v>
      </c>
      <c r="B28" s="144">
        <v>1</v>
      </c>
      <c r="C28" s="88">
        <v>350</v>
      </c>
      <c r="D28" s="4">
        <f t="shared" si="2"/>
        <v>7.6923076923076927E-3</v>
      </c>
      <c r="E28" s="4">
        <f t="shared" si="3"/>
        <v>2.5369856261642952E-3</v>
      </c>
      <c r="F28" s="1">
        <f>IFERROR(+VLOOKUP(A28,$J$13:$K$35,2,FALSE),0)</f>
        <v>8</v>
      </c>
      <c r="G28" s="5">
        <f t="shared" si="7"/>
        <v>-7</v>
      </c>
      <c r="H28" s="6">
        <f t="shared" si="6"/>
        <v>-0.875</v>
      </c>
      <c r="J28" s="151" t="s">
        <v>61</v>
      </c>
      <c r="K28" s="152">
        <v>1</v>
      </c>
      <c r="L28" s="158">
        <v>630</v>
      </c>
      <c r="M28" s="154">
        <f t="shared" si="4"/>
        <v>7.0921985815602835E-3</v>
      </c>
      <c r="N28" s="155">
        <f t="shared" si="5"/>
        <v>3.9923954372623575E-3</v>
      </c>
    </row>
    <row r="29" spans="1:15" ht="18">
      <c r="A29" s="143" t="s">
        <v>70</v>
      </c>
      <c r="B29" s="144">
        <v>5</v>
      </c>
      <c r="C29" s="88">
        <v>4560</v>
      </c>
      <c r="D29" s="4">
        <f t="shared" si="2"/>
        <v>3.8461538461538464E-2</v>
      </c>
      <c r="E29" s="4">
        <f t="shared" si="3"/>
        <v>3.3053298443740532E-2</v>
      </c>
      <c r="F29" s="1">
        <f>IFERROR(+VLOOKUP(A29,$J$13:$K$35,2,FALSE),0)</f>
        <v>6</v>
      </c>
      <c r="G29" s="5">
        <f t="shared" si="7"/>
        <v>-1</v>
      </c>
      <c r="H29" s="6">
        <f t="shared" si="6"/>
        <v>-0.16666666666666663</v>
      </c>
      <c r="J29" s="151" t="s">
        <v>36</v>
      </c>
      <c r="K29" s="152">
        <v>1</v>
      </c>
      <c r="L29" s="158">
        <v>240</v>
      </c>
      <c r="M29" s="154">
        <f t="shared" si="4"/>
        <v>7.0921985815602835E-3</v>
      </c>
      <c r="N29" s="155">
        <f t="shared" si="5"/>
        <v>1.520912547528517E-3</v>
      </c>
    </row>
    <row r="30" spans="1:15" ht="18">
      <c r="A30" s="143" t="s">
        <v>72</v>
      </c>
      <c r="B30" s="144">
        <v>7</v>
      </c>
      <c r="C30" s="88">
        <v>10140</v>
      </c>
      <c r="D30" s="4">
        <f t="shared" si="2"/>
        <v>5.3846153846153849E-2</v>
      </c>
      <c r="E30" s="4">
        <f t="shared" si="3"/>
        <v>7.350009785515986E-2</v>
      </c>
      <c r="F30" s="1">
        <f>IFERROR(+VLOOKUP(A30,$J$13:$K$35,2,FALSE),0)</f>
        <v>4</v>
      </c>
      <c r="G30" s="5">
        <f t="shared" si="7"/>
        <v>3</v>
      </c>
      <c r="H30" s="6">
        <f t="shared" si="6"/>
        <v>0.75</v>
      </c>
      <c r="J30" s="151" t="s">
        <v>71</v>
      </c>
      <c r="K30" s="152">
        <v>8</v>
      </c>
      <c r="L30" s="158">
        <v>2380</v>
      </c>
      <c r="M30" s="154">
        <f t="shared" si="4"/>
        <v>5.6737588652482268E-2</v>
      </c>
      <c r="N30" s="155">
        <f t="shared" si="5"/>
        <v>1.5082382762991129E-2</v>
      </c>
    </row>
    <row r="31" spans="1:15" ht="18">
      <c r="A31" s="143" t="s">
        <v>69</v>
      </c>
      <c r="B31" s="144">
        <v>3</v>
      </c>
      <c r="C31" s="88">
        <v>2340</v>
      </c>
      <c r="D31" s="4">
        <f t="shared" si="2"/>
        <v>2.3076923076923078E-2</v>
      </c>
      <c r="E31" s="4">
        <f t="shared" si="3"/>
        <v>1.6961561043498431E-2</v>
      </c>
      <c r="F31" s="1">
        <f>IFERROR(+VLOOKUP(A31,$J$13:$K$35,2,FALSE),0)</f>
        <v>0</v>
      </c>
      <c r="G31" s="5">
        <f t="shared" si="7"/>
        <v>3</v>
      </c>
      <c r="H31" s="6">
        <f t="shared" si="6"/>
        <v>0</v>
      </c>
      <c r="J31" s="151" t="s">
        <v>70</v>
      </c>
      <c r="K31" s="152">
        <v>6</v>
      </c>
      <c r="L31" s="158">
        <v>3800</v>
      </c>
      <c r="M31" s="154">
        <f t="shared" si="4"/>
        <v>4.2553191489361701E-2</v>
      </c>
      <c r="N31" s="155">
        <f t="shared" si="5"/>
        <v>2.4081115335868188E-2</v>
      </c>
    </row>
    <row r="32" spans="1:15" ht="18">
      <c r="A32" s="143" t="s">
        <v>73</v>
      </c>
      <c r="B32" s="144">
        <v>2</v>
      </c>
      <c r="C32" s="88">
        <v>2400</v>
      </c>
      <c r="D32" s="4">
        <f t="shared" si="2"/>
        <v>1.5384615384615385E-2</v>
      </c>
      <c r="E32" s="4">
        <f t="shared" si="3"/>
        <v>1.7396472865126595E-2</v>
      </c>
      <c r="F32" s="1">
        <f>IFERROR(+VLOOKUP(A32,$J$13:$K$35,2,FALSE),0)</f>
        <v>1</v>
      </c>
      <c r="G32" s="5">
        <f t="shared" si="7"/>
        <v>1</v>
      </c>
      <c r="H32" s="6">
        <f t="shared" si="6"/>
        <v>1</v>
      </c>
      <c r="J32" s="151" t="s">
        <v>72</v>
      </c>
      <c r="K32" s="152">
        <v>4</v>
      </c>
      <c r="L32" s="158">
        <v>3060</v>
      </c>
      <c r="M32" s="154">
        <f t="shared" si="4"/>
        <v>2.8368794326241134E-2</v>
      </c>
      <c r="N32" s="155">
        <f t="shared" si="5"/>
        <v>1.9391634980988594E-2</v>
      </c>
    </row>
    <row r="33" spans="1:30" ht="18">
      <c r="A33" s="143" t="s">
        <v>75</v>
      </c>
      <c r="B33" s="144">
        <v>1</v>
      </c>
      <c r="C33" s="88">
        <v>300</v>
      </c>
      <c r="D33" s="4">
        <f t="shared" si="2"/>
        <v>7.6923076923076927E-3</v>
      </c>
      <c r="E33" s="4">
        <f t="shared" si="3"/>
        <v>2.1745591081408244E-3</v>
      </c>
      <c r="F33" s="1">
        <f>IFERROR(+VLOOKUP(A33,$J$13:$K$35,2,FALSE),0)</f>
        <v>0</v>
      </c>
      <c r="G33" s="5">
        <f t="shared" si="7"/>
        <v>1</v>
      </c>
      <c r="H33" s="6">
        <f t="shared" si="6"/>
        <v>0</v>
      </c>
      <c r="J33" s="151" t="s">
        <v>73</v>
      </c>
      <c r="K33" s="152">
        <v>1</v>
      </c>
      <c r="L33" s="158">
        <v>2850</v>
      </c>
      <c r="M33" s="154">
        <f t="shared" si="4"/>
        <v>7.0921985815602835E-3</v>
      </c>
      <c r="N33" s="155">
        <f t="shared" si="5"/>
        <v>1.8060836501901139E-2</v>
      </c>
    </row>
    <row r="34" spans="1:30" ht="18">
      <c r="A34" s="143" t="s">
        <v>77</v>
      </c>
      <c r="B34" s="144">
        <v>5</v>
      </c>
      <c r="C34" s="88">
        <v>5880</v>
      </c>
      <c r="D34" s="4">
        <f t="shared" si="2"/>
        <v>3.8461538461538464E-2</v>
      </c>
      <c r="E34" s="4">
        <f t="shared" si="3"/>
        <v>4.2621358519560157E-2</v>
      </c>
      <c r="F34" s="1">
        <f>IFERROR(+VLOOKUP(A34,$J$13:$K$35,2,FALSE),0)</f>
        <v>4</v>
      </c>
      <c r="G34" s="5">
        <f t="shared" si="7"/>
        <v>1</v>
      </c>
      <c r="H34" s="6">
        <f t="shared" si="6"/>
        <v>0.25</v>
      </c>
      <c r="J34" s="151" t="s">
        <v>77</v>
      </c>
      <c r="K34" s="152">
        <v>4</v>
      </c>
      <c r="L34" s="158">
        <v>3110</v>
      </c>
      <c r="M34" s="154">
        <f t="shared" si="4"/>
        <v>2.8368794326241134E-2</v>
      </c>
      <c r="N34" s="155">
        <f t="shared" si="5"/>
        <v>1.97084917617237E-2</v>
      </c>
    </row>
    <row r="35" spans="1:30" ht="18">
      <c r="A35" s="19"/>
      <c r="B35" s="21"/>
      <c r="C35" s="88"/>
      <c r="D35" s="4"/>
      <c r="E35" s="4"/>
      <c r="G35" s="5"/>
      <c r="H35" s="6"/>
      <c r="J35" s="156"/>
      <c r="K35" s="157"/>
      <c r="L35" s="153"/>
      <c r="M35" s="154">
        <f>+K35/$K$36</f>
        <v>0</v>
      </c>
      <c r="N35" s="155">
        <f>+L35/$L$36</f>
        <v>0</v>
      </c>
    </row>
    <row r="36" spans="1:30">
      <c r="A36" s="30" t="s">
        <v>81</v>
      </c>
      <c r="B36" s="31">
        <f>SUM(B14:B35)</f>
        <v>130</v>
      </c>
      <c r="C36" s="89">
        <f>SUM(C14:C35)</f>
        <v>137959</v>
      </c>
      <c r="D36" s="32">
        <f>SUM(D14:D35)</f>
        <v>0.99999999999999989</v>
      </c>
      <c r="E36" s="32">
        <f>SUM(E14:E35)</f>
        <v>1</v>
      </c>
      <c r="F36" s="33">
        <f>SUM(F14:F35)</f>
        <v>136</v>
      </c>
      <c r="G36" s="34">
        <f>SUM(G14:G35)</f>
        <v>-6</v>
      </c>
      <c r="H36" s="6">
        <f>+(B36/F36)-1</f>
        <v>-4.4117647058823484E-2</v>
      </c>
      <c r="I36" s="167"/>
      <c r="J36" s="30" t="s">
        <v>0</v>
      </c>
      <c r="K36" s="31">
        <f>SUM(K13:K35)</f>
        <v>141</v>
      </c>
      <c r="L36" s="92">
        <f>SUM(L13:L35)</f>
        <v>157800</v>
      </c>
      <c r="M36" s="35">
        <f>SUM(M13:M35)</f>
        <v>1</v>
      </c>
      <c r="N36" s="35">
        <f>SUM(N13:N35)</f>
        <v>1</v>
      </c>
      <c r="O36" s="167"/>
    </row>
    <row r="37" spans="1:30" s="23" customFormat="1">
      <c r="A37" s="44" t="s">
        <v>82</v>
      </c>
      <c r="B37" s="45">
        <f>SUM(B36+B10)</f>
        <v>209</v>
      </c>
      <c r="C37" s="90">
        <f>SUM(C36+C10)</f>
        <v>222579</v>
      </c>
      <c r="D37" s="46">
        <f>SUM(D36+D10)</f>
        <v>2</v>
      </c>
      <c r="E37" s="46">
        <f>SUM(E36+E10)</f>
        <v>2</v>
      </c>
      <c r="F37" s="53">
        <f>SUM(F36+F10)</f>
        <v>155</v>
      </c>
      <c r="G37" s="48">
        <f>SUM(G36+G10)</f>
        <v>54</v>
      </c>
      <c r="H37" s="6">
        <f>+(B37/F37)-1</f>
        <v>0.34838709677419355</v>
      </c>
      <c r="I37" s="168"/>
      <c r="J37" s="44"/>
      <c r="K37" s="45">
        <f>SUM(K36+K10)</f>
        <v>197</v>
      </c>
      <c r="L37" s="93">
        <f>SUM(L36+L10)</f>
        <v>214670</v>
      </c>
      <c r="M37" s="46">
        <f>SUM(M36+M10)</f>
        <v>2</v>
      </c>
      <c r="N37" s="46">
        <f>SUM(N36+N10)</f>
        <v>2</v>
      </c>
      <c r="O37" s="168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s="23" customFormat="1" ht="31.2">
      <c r="A38" s="107" t="s">
        <v>110</v>
      </c>
      <c r="B38" s="132">
        <f>COUNTA(A14:A35)</f>
        <v>21</v>
      </c>
      <c r="C38" s="132"/>
      <c r="D38" s="132"/>
      <c r="E38" s="132"/>
      <c r="F38" s="132"/>
      <c r="G38" s="132"/>
      <c r="H38" s="6"/>
      <c r="I38" s="168"/>
      <c r="J38" s="109">
        <f>COUNTA(J14:J35)</f>
        <v>21</v>
      </c>
      <c r="K38" s="45"/>
      <c r="L38" s="93"/>
      <c r="M38" s="46"/>
      <c r="N38" s="46"/>
      <c r="O38" s="168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s="23" customFormat="1" ht="36">
      <c r="A39" s="37" t="s">
        <v>103</v>
      </c>
      <c r="B39" s="8">
        <f>(+B10-K10)</f>
        <v>23</v>
      </c>
      <c r="C39" s="42"/>
      <c r="D39" s="43"/>
      <c r="E39" s="43"/>
      <c r="F39" s="54"/>
      <c r="G39" s="55"/>
      <c r="H39" s="6"/>
      <c r="I39" s="147"/>
      <c r="J39" s="160"/>
      <c r="K39" s="161"/>
      <c r="L39" s="161"/>
      <c r="M39" s="162"/>
      <c r="N39" s="162"/>
      <c r="O39" s="147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s="23" customFormat="1" ht="36">
      <c r="A40" s="37" t="s">
        <v>102</v>
      </c>
      <c r="B40" s="8">
        <f>(+B36-K36)</f>
        <v>-11</v>
      </c>
      <c r="C40" s="42"/>
      <c r="D40" s="43"/>
      <c r="E40" s="43"/>
      <c r="F40" s="54"/>
      <c r="G40" s="55"/>
      <c r="H40" s="6"/>
      <c r="I40" s="147"/>
      <c r="J40" s="160"/>
      <c r="K40" s="161"/>
      <c r="L40" s="161"/>
      <c r="M40" s="162"/>
      <c r="N40" s="162"/>
      <c r="O40" s="147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s="9" customFormat="1" ht="23.4">
      <c r="A41" s="7" t="s">
        <v>7</v>
      </c>
      <c r="B41" s="8">
        <f>+B37-K37</f>
        <v>12</v>
      </c>
      <c r="D41" s="22"/>
      <c r="I41" s="163"/>
      <c r="J41" s="163"/>
      <c r="K41" s="163"/>
      <c r="L41" s="163"/>
      <c r="M41" s="163"/>
      <c r="N41" s="163"/>
      <c r="O41" s="163"/>
    </row>
    <row r="42" spans="1:30" s="9" customFormat="1" ht="23.4">
      <c r="A42" s="7" t="s">
        <v>8</v>
      </c>
      <c r="B42" s="10">
        <f>(B37/K37)-1</f>
        <v>6.0913705583756306E-2</v>
      </c>
      <c r="E42" s="22"/>
      <c r="I42" s="163"/>
      <c r="J42" s="163"/>
      <c r="K42" s="163"/>
      <c r="L42" s="163"/>
      <c r="M42" s="163"/>
      <c r="N42" s="163"/>
      <c r="O42" s="163"/>
    </row>
    <row r="43" spans="1:30" s="9" customFormat="1" ht="23.4">
      <c r="A43" s="11"/>
      <c r="B43" s="12"/>
      <c r="D43" s="22"/>
      <c r="I43" s="163"/>
      <c r="J43" s="163"/>
      <c r="K43" s="163"/>
      <c r="L43" s="163"/>
      <c r="M43" s="163"/>
      <c r="N43" s="163"/>
      <c r="O43" s="163"/>
    </row>
    <row r="44" spans="1:30" s="9" customFormat="1" ht="23.4" hidden="1">
      <c r="A44" s="13" t="s">
        <v>9</v>
      </c>
      <c r="C44" s="87">
        <v>549833</v>
      </c>
      <c r="H44" s="15">
        <f>+(C44/M44)-1</f>
        <v>0.10457694911576865</v>
      </c>
      <c r="I44" s="163"/>
      <c r="J44" s="163"/>
      <c r="K44" s="164" t="s">
        <v>9</v>
      </c>
      <c r="L44" s="163"/>
      <c r="M44" s="165">
        <v>497777</v>
      </c>
      <c r="N44" s="166"/>
      <c r="O44" s="163"/>
    </row>
    <row r="45" spans="1:30" s="9" customFormat="1" ht="23.4" hidden="1">
      <c r="A45" s="13"/>
      <c r="C45" s="14"/>
      <c r="H45" s="17"/>
      <c r="I45" s="163"/>
      <c r="J45" s="163"/>
      <c r="K45" s="164"/>
      <c r="L45" s="163"/>
      <c r="M45" s="165"/>
      <c r="N45" s="163"/>
      <c r="O45" s="163"/>
    </row>
    <row r="46" spans="1:30" s="9" customFormat="1" ht="23.1" hidden="1" customHeight="1">
      <c r="A46" s="13" t="s">
        <v>10</v>
      </c>
      <c r="C46" s="87">
        <f>C44/C48</f>
        <v>1399.0661577608143</v>
      </c>
      <c r="H46" s="17">
        <f>+(C46/M46)-1</f>
        <v>5.8369945347003238E-4</v>
      </c>
      <c r="I46" s="163"/>
      <c r="J46" s="163"/>
      <c r="K46" s="164" t="s">
        <v>10</v>
      </c>
      <c r="L46" s="163"/>
      <c r="M46" s="165">
        <f>M44/M48</f>
        <v>1398.25</v>
      </c>
      <c r="N46" s="163"/>
      <c r="O46" s="163"/>
    </row>
    <row r="47" spans="1:30" s="9" customFormat="1" ht="23.4" hidden="1">
      <c r="I47" s="163"/>
      <c r="J47" s="163"/>
      <c r="K47" s="163"/>
      <c r="L47" s="163"/>
      <c r="M47" s="163"/>
      <c r="N47" s="163"/>
      <c r="O47" s="163"/>
    </row>
    <row r="48" spans="1:30" s="9" customFormat="1" ht="23.4" hidden="1">
      <c r="A48" s="13" t="s">
        <v>11</v>
      </c>
      <c r="C48" s="13">
        <v>393</v>
      </c>
      <c r="H48" s="17">
        <f>+(C48/M48)-1</f>
        <v>0.10393258426966301</v>
      </c>
      <c r="I48" s="163"/>
      <c r="J48" s="163"/>
      <c r="K48" s="164" t="s">
        <v>11</v>
      </c>
      <c r="L48" s="163"/>
      <c r="M48" s="164">
        <v>356</v>
      </c>
      <c r="N48" s="163"/>
      <c r="O48" s="163"/>
    </row>
    <row r="49" spans="1:15" s="9" customFormat="1" ht="23.4" hidden="1">
      <c r="A49" s="13"/>
      <c r="C49" s="13"/>
      <c r="H49" s="17"/>
      <c r="I49" s="163"/>
      <c r="J49" s="163"/>
      <c r="K49" s="164"/>
      <c r="L49" s="163"/>
      <c r="M49" s="164"/>
      <c r="N49" s="163"/>
      <c r="O49" s="163"/>
    </row>
    <row r="50" spans="1:15" s="9" customFormat="1" ht="23.4" hidden="1">
      <c r="A50" s="13" t="s">
        <v>12</v>
      </c>
      <c r="I50" s="163"/>
      <c r="J50" s="163"/>
      <c r="K50" s="164" t="s">
        <v>12</v>
      </c>
      <c r="L50" s="163"/>
      <c r="M50" s="163"/>
      <c r="N50" s="163"/>
      <c r="O50" s="163"/>
    </row>
    <row r="51" spans="1:15" hidden="1">
      <c r="A51" s="1" t="s">
        <v>13</v>
      </c>
      <c r="C51" s="1">
        <v>355</v>
      </c>
      <c r="H51" s="6">
        <f t="shared" ref="H51:H56" si="8">+(C51/M51)-1</f>
        <v>9.2307692307692202E-2</v>
      </c>
      <c r="K51" s="147" t="s">
        <v>13</v>
      </c>
      <c r="M51" s="147">
        <v>325</v>
      </c>
    </row>
    <row r="52" spans="1:15" hidden="1">
      <c r="A52" s="1" t="s">
        <v>14</v>
      </c>
      <c r="C52" s="1">
        <v>293</v>
      </c>
      <c r="D52" s="1">
        <f>+C51/C52</f>
        <v>1.21160409556314</v>
      </c>
      <c r="H52" s="6">
        <f t="shared" si="8"/>
        <v>0.19591836734693868</v>
      </c>
      <c r="K52" s="147" t="s">
        <v>14</v>
      </c>
      <c r="M52" s="147">
        <v>245</v>
      </c>
      <c r="N52" s="147">
        <f>+M51/M52</f>
        <v>1.3265306122448979</v>
      </c>
    </row>
    <row r="53" spans="1:15" hidden="1">
      <c r="A53" s="1" t="s">
        <v>15</v>
      </c>
      <c r="C53" s="1">
        <v>23</v>
      </c>
      <c r="H53" s="6">
        <f t="shared" si="8"/>
        <v>9.5238095238095344E-2</v>
      </c>
      <c r="K53" s="147" t="s">
        <v>15</v>
      </c>
      <c r="M53" s="147">
        <v>21</v>
      </c>
    </row>
    <row r="54" spans="1:15" hidden="1">
      <c r="A54" s="1" t="s">
        <v>16</v>
      </c>
      <c r="C54" s="1">
        <v>15</v>
      </c>
      <c r="H54" s="6">
        <f t="shared" si="8"/>
        <v>0.5</v>
      </c>
      <c r="K54" s="147" t="s">
        <v>16</v>
      </c>
      <c r="M54" s="147">
        <v>10</v>
      </c>
    </row>
    <row r="55" spans="1:15" hidden="1">
      <c r="A55" s="1" t="s">
        <v>37</v>
      </c>
      <c r="C55" s="1">
        <v>568</v>
      </c>
      <c r="H55" s="6">
        <f t="shared" si="8"/>
        <v>-0.30135301353013533</v>
      </c>
      <c r="K55" s="147" t="s">
        <v>38</v>
      </c>
      <c r="M55" s="147">
        <v>813</v>
      </c>
    </row>
    <row r="56" spans="1:15" hidden="1">
      <c r="A56" s="1" t="s">
        <v>39</v>
      </c>
      <c r="C56" s="1">
        <v>14</v>
      </c>
      <c r="H56" s="6">
        <f t="shared" si="8"/>
        <v>13</v>
      </c>
      <c r="K56" s="147" t="s">
        <v>39</v>
      </c>
      <c r="M56" s="147">
        <v>1</v>
      </c>
    </row>
    <row r="57" spans="1:15" hidden="1"/>
    <row r="58" spans="1:15" hidden="1"/>
  </sheetData>
  <mergeCells count="8">
    <mergeCell ref="B38:G38"/>
    <mergeCell ref="A2:A3"/>
    <mergeCell ref="K2:N2"/>
    <mergeCell ref="A12:A13"/>
    <mergeCell ref="B1:H1"/>
    <mergeCell ref="B2:E2"/>
    <mergeCell ref="J1:N1"/>
    <mergeCell ref="B11:G11"/>
  </mergeCells>
  <conditionalFormatting sqref="G4:G9">
    <cfRule type="dataBar" priority="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{DD02CAE9-5A10-425E-A99F-99FDA7165F25}</x14:id>
        </ext>
      </extLst>
    </cfRule>
  </conditionalFormatting>
  <conditionalFormatting sqref="G12:G35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{85E2B320-799A-43CA-A248-04FBCB3B8512}</x14:id>
        </ext>
      </extLst>
    </cfRule>
  </conditionalFormatting>
  <conditionalFormatting sqref="H4:H9 H12:H35">
    <cfRule type="dataBar" priority="50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{982EF3AC-A571-4D77-A236-2387077E0E3B}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02CAE9-5A10-425E-A99F-99FDA7165F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G4:G9</xm:sqref>
        </x14:conditionalFormatting>
        <x14:conditionalFormatting xmlns:xm="http://schemas.microsoft.com/office/excel/2006/main">
          <x14:cfRule type="dataBar" id="{85E2B320-799A-43CA-A248-04FBCB3B85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G12:G35</xm:sqref>
        </x14:conditionalFormatting>
        <x14:conditionalFormatting xmlns:xm="http://schemas.microsoft.com/office/excel/2006/main">
          <x14:cfRule type="dataBar" id="{982EF3AC-A571-4D77-A236-2387077E0E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H4:H9 H12:H35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132-B03F-4C8B-AC69-FD14206CD435}">
  <sheetPr codeName="Hoja8"/>
  <dimension ref="A1:AH34"/>
  <sheetViews>
    <sheetView showGridLines="0" topLeftCell="C1" zoomScale="87" zoomScaleNormal="87" workbookViewId="0">
      <selection activeCell="B1" sqref="B1:N2"/>
    </sheetView>
  </sheetViews>
  <sheetFormatPr baseColWidth="10" defaultColWidth="8.88671875" defaultRowHeight="14.4"/>
  <cols>
    <col min="1" max="1" width="37.44140625" style="1" customWidth="1"/>
    <col min="2" max="2" width="22.33203125" style="1" customWidth="1"/>
    <col min="3" max="3" width="26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1.44140625" style="1" customWidth="1"/>
    <col min="9" max="9" width="8.88671875" style="1"/>
    <col min="10" max="10" width="26.44140625" style="1" customWidth="1"/>
    <col min="11" max="11" width="21" style="1" customWidth="1"/>
    <col min="12" max="12" width="18.5546875" style="1" customWidth="1"/>
    <col min="13" max="13" width="27.33203125" style="1" bestFit="1" customWidth="1"/>
    <col min="14" max="14" width="14.109375" style="1" customWidth="1"/>
    <col min="15" max="16384" width="8.88671875" style="1"/>
  </cols>
  <sheetData>
    <row r="1" spans="1:34" ht="18.600000000000001" thickBot="1">
      <c r="A1" s="49" t="s">
        <v>66</v>
      </c>
      <c r="B1" s="146">
        <v>45488</v>
      </c>
      <c r="C1" s="146"/>
      <c r="D1" s="146"/>
      <c r="E1" s="146"/>
      <c r="F1" s="146"/>
      <c r="G1" s="146"/>
      <c r="H1" s="146"/>
      <c r="I1" s="193"/>
      <c r="J1" s="182">
        <v>45122</v>
      </c>
      <c r="K1" s="182"/>
      <c r="L1" s="182"/>
      <c r="M1" s="182"/>
      <c r="N1" s="182"/>
    </row>
    <row r="2" spans="1:34">
      <c r="A2" s="129" t="s">
        <v>97</v>
      </c>
      <c r="B2" s="134" t="s">
        <v>0</v>
      </c>
      <c r="C2" s="134"/>
      <c r="D2" s="134"/>
      <c r="E2" s="134"/>
      <c r="J2" s="183"/>
      <c r="K2" s="184" t="s">
        <v>0</v>
      </c>
      <c r="L2" s="184"/>
      <c r="M2" s="184"/>
      <c r="N2" s="184"/>
    </row>
    <row r="3" spans="1:34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74" t="s">
        <v>100</v>
      </c>
      <c r="G3" s="74" t="s">
        <v>5</v>
      </c>
      <c r="H3" s="74" t="s">
        <v>6</v>
      </c>
      <c r="J3" s="185">
        <v>2023</v>
      </c>
      <c r="K3" s="183" t="s">
        <v>1</v>
      </c>
      <c r="L3" s="183" t="s">
        <v>2</v>
      </c>
      <c r="M3" s="183" t="s">
        <v>3</v>
      </c>
      <c r="N3" s="183" t="s">
        <v>4</v>
      </c>
    </row>
    <row r="4" spans="1:34" ht="18">
      <c r="A4" s="19"/>
      <c r="B4" s="21"/>
      <c r="C4" s="91"/>
      <c r="D4" s="4">
        <f>IFERROR(+B4/$B$7,0)</f>
        <v>0</v>
      </c>
      <c r="E4" s="4">
        <f>IFERROR(+C4/$C$7,0)</f>
        <v>0</v>
      </c>
      <c r="F4" s="1">
        <f>IFERROR(+VLOOKUP(A4,$J$4:$K$5,2,FALSE),0)</f>
        <v>0</v>
      </c>
      <c r="G4" s="5">
        <f>IFERROR(+B4-F4,0)</f>
        <v>0</v>
      </c>
      <c r="H4" s="6">
        <f>IFERROR(+(B4/F4)-1,0)</f>
        <v>0</v>
      </c>
      <c r="J4" s="186" t="s">
        <v>74</v>
      </c>
      <c r="K4" s="187">
        <v>1</v>
      </c>
      <c r="L4" s="187">
        <v>350</v>
      </c>
      <c r="M4" s="188">
        <f>IFERROR(+K4/$K$7,0)</f>
        <v>0.5</v>
      </c>
      <c r="N4" s="189">
        <f>IFERROR(+L4/$L$7,0)</f>
        <v>0.3888888888888889</v>
      </c>
    </row>
    <row r="5" spans="1:34" ht="28.8">
      <c r="A5" s="19"/>
      <c r="B5" s="21"/>
      <c r="C5" s="91"/>
      <c r="D5" s="4">
        <f t="shared" ref="D5:D6" si="0">IFERROR(+B5/$B$7,0)</f>
        <v>0</v>
      </c>
      <c r="E5" s="4">
        <f t="shared" ref="E5:E6" si="1">IFERROR(+C5/$C$7,0)</f>
        <v>0</v>
      </c>
      <c r="F5" s="1">
        <f>IFERROR(+VLOOKUP(A5,$J$4:$K$5,2,FALSE),0)</f>
        <v>0</v>
      </c>
      <c r="G5" s="5">
        <f t="shared" ref="G5:G6" si="2">IFERROR(+B5-F5,0)</f>
        <v>0</v>
      </c>
      <c r="H5" s="6">
        <f t="shared" ref="H5:H6" si="3">IFERROR(+(B5/F5)-1,0)</f>
        <v>0</v>
      </c>
      <c r="J5" s="186" t="s">
        <v>88</v>
      </c>
      <c r="K5" s="187">
        <v>1</v>
      </c>
      <c r="L5" s="187">
        <v>550</v>
      </c>
      <c r="M5" s="188">
        <f>IFERROR(+K5/$K$7,0)</f>
        <v>0.5</v>
      </c>
      <c r="N5" s="189">
        <f>IFERROR(+L5/$L$7,0)</f>
        <v>0.61111111111111116</v>
      </c>
    </row>
    <row r="6" spans="1:34" ht="18">
      <c r="A6" s="19"/>
      <c r="B6" s="21"/>
      <c r="C6" s="91"/>
      <c r="D6" s="4">
        <f t="shared" si="0"/>
        <v>0</v>
      </c>
      <c r="E6" s="4">
        <f t="shared" si="1"/>
        <v>0</v>
      </c>
      <c r="F6" s="1">
        <f>IFERROR(+VLOOKUP(A6,$J$4:$K$4,2,FALSE),0)</f>
        <v>0</v>
      </c>
      <c r="G6" s="5">
        <f t="shared" si="2"/>
        <v>0</v>
      </c>
      <c r="H6" s="6">
        <f t="shared" si="3"/>
        <v>0</v>
      </c>
      <c r="J6" s="190"/>
      <c r="K6" s="191"/>
      <c r="L6" s="192"/>
      <c r="M6" s="188"/>
      <c r="N6" s="189"/>
    </row>
    <row r="7" spans="1:34">
      <c r="A7" s="30" t="s">
        <v>85</v>
      </c>
      <c r="B7" s="31">
        <f>SUM(B4:B6)</f>
        <v>0</v>
      </c>
      <c r="C7" s="92">
        <f>SUM(C4:C6)</f>
        <v>0</v>
      </c>
      <c r="D7" s="32">
        <f>SUM(D4:D6)</f>
        <v>0</v>
      </c>
      <c r="E7" s="32">
        <f>SUM(E4:E6)</f>
        <v>0</v>
      </c>
      <c r="F7" s="33">
        <f>SUM(F4:F4)</f>
        <v>0</v>
      </c>
      <c r="G7" s="34">
        <f>SUM(G4:G6)</f>
        <v>0</v>
      </c>
      <c r="H7" s="6">
        <f>IFERROR(+(B7/F7)-1,0)</f>
        <v>0</v>
      </c>
      <c r="J7" s="30" t="s">
        <v>0</v>
      </c>
      <c r="K7" s="31">
        <f>SUM(K4:K6)</f>
        <v>2</v>
      </c>
      <c r="L7" s="92">
        <f>SUM(L4:L6)</f>
        <v>900</v>
      </c>
      <c r="M7" s="35">
        <f>SUM(M4:M6)</f>
        <v>1</v>
      </c>
      <c r="N7" s="35">
        <f>SUM(N4:N6)</f>
        <v>1</v>
      </c>
    </row>
    <row r="8" spans="1:34" ht="31.2">
      <c r="A8" s="105" t="s">
        <v>110</v>
      </c>
      <c r="B8" s="137">
        <f>COUNTA(A4:A6)</f>
        <v>0</v>
      </c>
      <c r="C8" s="137"/>
      <c r="D8" s="137"/>
      <c r="E8" s="137"/>
      <c r="F8" s="137"/>
      <c r="G8" s="137"/>
      <c r="H8" s="6"/>
      <c r="J8" s="117">
        <f>COUNTA(J4:J5)</f>
        <v>2</v>
      </c>
      <c r="K8" s="31"/>
      <c r="L8" s="92"/>
      <c r="M8" s="35"/>
      <c r="N8" s="35"/>
    </row>
    <row r="9" spans="1:34" ht="18">
      <c r="A9" s="128" t="s">
        <v>99</v>
      </c>
      <c r="B9" s="21"/>
      <c r="C9" s="91"/>
      <c r="D9" s="4"/>
      <c r="E9" s="4"/>
      <c r="G9" s="5"/>
      <c r="H9" s="6"/>
      <c r="J9" s="190"/>
      <c r="K9" s="191"/>
      <c r="L9" s="192"/>
      <c r="M9" s="188"/>
      <c r="N9" s="189"/>
    </row>
    <row r="10" spans="1:34" ht="18">
      <c r="A10" s="128"/>
      <c r="B10" s="21"/>
      <c r="C10" s="91"/>
      <c r="D10" s="4"/>
      <c r="E10" s="4"/>
      <c r="G10" s="5"/>
      <c r="H10" s="6"/>
      <c r="J10" s="186" t="s">
        <v>17</v>
      </c>
      <c r="K10" s="187">
        <v>53</v>
      </c>
      <c r="L10" s="187">
        <v>42129</v>
      </c>
      <c r="M10" s="188">
        <f>+K10/$K$14</f>
        <v>0.96363636363636362</v>
      </c>
      <c r="N10" s="189">
        <f>+L10/$L$14</f>
        <v>0.96077447604278321</v>
      </c>
    </row>
    <row r="11" spans="1:34" ht="18">
      <c r="A11" s="143" t="s">
        <v>17</v>
      </c>
      <c r="B11" s="144">
        <v>27</v>
      </c>
      <c r="C11" s="91">
        <v>23810</v>
      </c>
      <c r="D11" s="4">
        <f>+B11/$B$14</f>
        <v>1</v>
      </c>
      <c r="E11" s="4">
        <f>+C11/$C$14</f>
        <v>1</v>
      </c>
      <c r="F11" s="1">
        <f>IFERROR(+VLOOKUP(A11,$J$10:$K$13,2,FALSE),0)</f>
        <v>53</v>
      </c>
      <c r="G11" s="5">
        <f>+B11-F11</f>
        <v>-26</v>
      </c>
      <c r="H11" s="6">
        <f>IFERROR(+(B11/F11)-1,0)</f>
        <v>-0.49056603773584906</v>
      </c>
      <c r="J11" s="186" t="s">
        <v>26</v>
      </c>
      <c r="K11" s="187">
        <v>1</v>
      </c>
      <c r="L11" s="187">
        <v>1400</v>
      </c>
      <c r="M11" s="188">
        <f>+K11/$K$14</f>
        <v>1.8181818181818181E-2</v>
      </c>
      <c r="N11" s="189">
        <f>+L11/$L$14</f>
        <v>3.1927752058199733E-2</v>
      </c>
    </row>
    <row r="12" spans="1:34" ht="18">
      <c r="A12" s="19"/>
      <c r="B12" s="21"/>
      <c r="C12" s="91"/>
      <c r="D12" s="4"/>
      <c r="E12" s="4"/>
      <c r="G12" s="5"/>
      <c r="H12" s="6">
        <f t="shared" ref="H12" si="4">IFERROR(+(B12/F12)-1,0)</f>
        <v>0</v>
      </c>
      <c r="J12" s="188"/>
      <c r="K12" s="189"/>
      <c r="L12" s="183"/>
      <c r="M12" s="183"/>
      <c r="N12" s="183"/>
    </row>
    <row r="13" spans="1:34" ht="18">
      <c r="A13" s="19"/>
      <c r="B13" s="21"/>
      <c r="C13" s="91"/>
      <c r="D13" s="4"/>
      <c r="E13" s="4"/>
      <c r="G13" s="5"/>
      <c r="H13" s="6">
        <f t="shared" ref="H13" si="5">IFERROR(+(B13/F13)-1,0)</f>
        <v>0</v>
      </c>
      <c r="J13" s="186" t="s">
        <v>72</v>
      </c>
      <c r="K13" s="187">
        <v>1</v>
      </c>
      <c r="L13" s="187">
        <v>320</v>
      </c>
      <c r="M13" s="188">
        <f>+K13/$K$14</f>
        <v>1.8181818181818181E-2</v>
      </c>
      <c r="N13" s="189">
        <f>+L13/$L$14</f>
        <v>7.297771899017081E-3</v>
      </c>
    </row>
    <row r="14" spans="1:34">
      <c r="A14" s="30" t="s">
        <v>86</v>
      </c>
      <c r="B14" s="31">
        <f t="shared" ref="B14:G14" si="6">SUM(B11:B13)</f>
        <v>27</v>
      </c>
      <c r="C14" s="92">
        <f t="shared" si="6"/>
        <v>23810</v>
      </c>
      <c r="D14" s="32">
        <f t="shared" si="6"/>
        <v>1</v>
      </c>
      <c r="E14" s="32">
        <f t="shared" si="6"/>
        <v>1</v>
      </c>
      <c r="F14" s="33">
        <f t="shared" si="6"/>
        <v>53</v>
      </c>
      <c r="G14" s="34">
        <f t="shared" si="6"/>
        <v>-26</v>
      </c>
      <c r="H14" s="6">
        <f>+(B14/F14)-1</f>
        <v>-0.49056603773584906</v>
      </c>
      <c r="J14" s="30" t="s">
        <v>0</v>
      </c>
      <c r="K14" s="31">
        <f>SUM(K10:K13)</f>
        <v>55</v>
      </c>
      <c r="L14" s="92">
        <f>SUM(L10:L13)</f>
        <v>43849</v>
      </c>
      <c r="M14" s="35">
        <f>SUM(M10:M13)</f>
        <v>1</v>
      </c>
      <c r="N14" s="35">
        <f>SUM(N10:N13)</f>
        <v>1</v>
      </c>
    </row>
    <row r="15" spans="1:34" s="25" customFormat="1">
      <c r="A15" s="44" t="s">
        <v>84</v>
      </c>
      <c r="B15" s="45">
        <f>SUM(B14+B7)</f>
        <v>27</v>
      </c>
      <c r="C15" s="93">
        <f>SUM(C14+C7)</f>
        <v>23810</v>
      </c>
      <c r="D15" s="46">
        <f>SUM(D14+D7)</f>
        <v>1</v>
      </c>
      <c r="E15" s="46">
        <f>SUM(E14+E7)</f>
        <v>1</v>
      </c>
      <c r="F15" s="76">
        <f>SUM(F14+F7)</f>
        <v>53</v>
      </c>
      <c r="G15" s="45">
        <f>SUM(G14+G7)</f>
        <v>-26</v>
      </c>
      <c r="H15" s="6">
        <f>+(B15/F15)-1</f>
        <v>-0.49056603773584906</v>
      </c>
      <c r="I15" s="24"/>
      <c r="J15" s="44"/>
      <c r="K15" s="45">
        <f>SUM(K14+K7)</f>
        <v>57</v>
      </c>
      <c r="L15" s="93">
        <f>SUM(L14+L7)</f>
        <v>44749</v>
      </c>
      <c r="M15" s="46">
        <f>SUM(M14+M7)</f>
        <v>2</v>
      </c>
      <c r="N15" s="46">
        <f>SUM(N14+N7)</f>
        <v>2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s="25" customFormat="1" ht="28.8">
      <c r="A16" s="106" t="s">
        <v>110</v>
      </c>
      <c r="B16" s="136">
        <f>COUNTA(A11:A13)</f>
        <v>1</v>
      </c>
      <c r="C16" s="136"/>
      <c r="D16" s="136"/>
      <c r="E16" s="136"/>
      <c r="F16" s="136"/>
      <c r="G16" s="136"/>
      <c r="H16" s="6"/>
      <c r="I16" s="24"/>
      <c r="J16" s="108">
        <f>COUNTA(J10:J13)</f>
        <v>3</v>
      </c>
      <c r="K16" s="45"/>
      <c r="L16" s="93"/>
      <c r="M16" s="46"/>
      <c r="N16" s="4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s="25" customFormat="1" ht="36">
      <c r="A17" s="37" t="s">
        <v>103</v>
      </c>
      <c r="B17" s="8">
        <f>(+B7-K7)</f>
        <v>-2</v>
      </c>
      <c r="C17" s="42"/>
      <c r="D17" s="43"/>
      <c r="E17" s="43"/>
      <c r="F17" s="75"/>
      <c r="G17" s="42"/>
      <c r="H17" s="6"/>
      <c r="I17" s="24"/>
      <c r="J17" s="41"/>
      <c r="K17" s="42"/>
      <c r="L17" s="42"/>
      <c r="M17" s="43"/>
      <c r="N17" s="4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s="25" customFormat="1" ht="36">
      <c r="A18" s="37" t="s">
        <v>102</v>
      </c>
      <c r="B18" s="8">
        <f>(+B14-K14)</f>
        <v>-28</v>
      </c>
      <c r="C18" s="42"/>
      <c r="D18" s="43"/>
      <c r="E18" s="43"/>
      <c r="F18" s="75"/>
      <c r="G18" s="42"/>
      <c r="H18" s="6"/>
      <c r="I18" s="24"/>
      <c r="J18" s="41"/>
      <c r="K18" s="42"/>
      <c r="L18" s="42"/>
      <c r="M18" s="43"/>
      <c r="N18" s="4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s="9" customFormat="1" ht="23.4">
      <c r="A19" s="7" t="s">
        <v>7</v>
      </c>
      <c r="B19" s="8">
        <f>+B15-K15</f>
        <v>-30</v>
      </c>
      <c r="D19" s="22"/>
    </row>
    <row r="20" spans="1:34" s="9" customFormat="1" ht="23.4">
      <c r="A20" s="7" t="s">
        <v>8</v>
      </c>
      <c r="B20" s="10">
        <f>IFERROR((B15/K15)-1,0)</f>
        <v>-0.52631578947368429</v>
      </c>
      <c r="E20" s="22"/>
    </row>
    <row r="21" spans="1:34" s="9" customFormat="1" ht="23.4">
      <c r="A21" s="11"/>
      <c r="B21" s="12"/>
      <c r="D21" s="22"/>
    </row>
    <row r="22" spans="1:34" s="9" customFormat="1" ht="23.4">
      <c r="A22" s="13" t="s">
        <v>9</v>
      </c>
      <c r="C22" s="87">
        <v>52070</v>
      </c>
      <c r="H22" s="15">
        <f>+(C22/M22)-1</f>
        <v>0.17858759619737441</v>
      </c>
      <c r="K22" s="13" t="s">
        <v>9</v>
      </c>
      <c r="M22" s="94">
        <v>44180</v>
      </c>
      <c r="N22" s="16"/>
    </row>
    <row r="23" spans="1:34" s="9" customFormat="1" ht="23.4">
      <c r="A23" s="13"/>
      <c r="C23" s="14"/>
      <c r="H23" s="17"/>
      <c r="K23" s="13"/>
      <c r="M23" s="94"/>
    </row>
    <row r="24" spans="1:34" s="9" customFormat="1" ht="23.1" customHeight="1">
      <c r="A24" s="13" t="s">
        <v>10</v>
      </c>
      <c r="C24" s="87">
        <f>C22/C26</f>
        <v>1239.7619047619048</v>
      </c>
      <c r="H24" s="17">
        <f>+(C24/M24)-1</f>
        <v>0.15052598676410356</v>
      </c>
      <c r="K24" s="13" t="s">
        <v>10</v>
      </c>
      <c r="M24" s="94">
        <f>M22/M26</f>
        <v>1077.560975609756</v>
      </c>
    </row>
    <row r="25" spans="1:34" s="9" customFormat="1" ht="23.4"/>
    <row r="26" spans="1:34" s="9" customFormat="1" ht="23.4">
      <c r="A26" s="13" t="s">
        <v>11</v>
      </c>
      <c r="C26" s="13">
        <v>42</v>
      </c>
      <c r="H26" s="17">
        <f>+(C26/M26)-1</f>
        <v>2.4390243902439046E-2</v>
      </c>
      <c r="K26" s="13" t="s">
        <v>11</v>
      </c>
      <c r="M26" s="13">
        <v>41</v>
      </c>
    </row>
    <row r="27" spans="1:34" s="9" customFormat="1" ht="23.4">
      <c r="A27" s="13"/>
      <c r="C27" s="13"/>
      <c r="H27" s="17"/>
      <c r="K27" s="13"/>
      <c r="M27" s="13"/>
    </row>
    <row r="28" spans="1:34" s="9" customFormat="1" ht="23.4">
      <c r="A28" s="13" t="s">
        <v>12</v>
      </c>
      <c r="K28" s="13" t="s">
        <v>12</v>
      </c>
    </row>
    <row r="29" spans="1:34">
      <c r="A29" s="1" t="s">
        <v>13</v>
      </c>
      <c r="C29" s="1">
        <v>41</v>
      </c>
      <c r="H29" s="6">
        <f t="shared" ref="H29:H33" si="7">+(C29/M29)-1</f>
        <v>7.8947368421052655E-2</v>
      </c>
      <c r="K29" s="1" t="s">
        <v>13</v>
      </c>
      <c r="M29" s="1">
        <v>38</v>
      </c>
    </row>
    <row r="30" spans="1:34">
      <c r="A30" s="1" t="s">
        <v>14</v>
      </c>
      <c r="C30" s="1">
        <v>38</v>
      </c>
      <c r="D30" s="1">
        <f>+C29/C30</f>
        <v>1.0789473684210527</v>
      </c>
      <c r="H30" s="6">
        <f t="shared" si="7"/>
        <v>0.35714285714285721</v>
      </c>
      <c r="K30" s="1" t="s">
        <v>14</v>
      </c>
      <c r="M30" s="1">
        <v>28</v>
      </c>
      <c r="N30" s="1">
        <f>+M29/M30</f>
        <v>1.3571428571428572</v>
      </c>
    </row>
    <row r="31" spans="1:34">
      <c r="A31" s="1" t="s">
        <v>15</v>
      </c>
      <c r="C31" s="1">
        <v>1</v>
      </c>
      <c r="H31" s="6">
        <f>IFERROR(+(C31/M31)-1,0)</f>
        <v>0</v>
      </c>
      <c r="K31" s="1" t="s">
        <v>15</v>
      </c>
      <c r="M31" s="1">
        <v>1</v>
      </c>
    </row>
    <row r="32" spans="1:34">
      <c r="A32" s="1" t="s">
        <v>16</v>
      </c>
      <c r="C32" s="1">
        <v>0</v>
      </c>
      <c r="H32" s="6">
        <f>IFERROR(+(C32/M32)-1,0)</f>
        <v>-1</v>
      </c>
      <c r="K32" s="1" t="s">
        <v>16</v>
      </c>
      <c r="M32" s="1">
        <v>2</v>
      </c>
    </row>
    <row r="33" spans="1:13">
      <c r="A33" s="1" t="s">
        <v>37</v>
      </c>
      <c r="C33" s="1">
        <v>54</v>
      </c>
      <c r="H33" s="6">
        <f t="shared" si="7"/>
        <v>-0.82965299684542582</v>
      </c>
      <c r="K33" s="1" t="s">
        <v>38</v>
      </c>
      <c r="M33" s="1">
        <v>317</v>
      </c>
    </row>
    <row r="34" spans="1:13">
      <c r="A34" s="1" t="s">
        <v>39</v>
      </c>
      <c r="C34" s="1">
        <v>0</v>
      </c>
      <c r="H34" s="6">
        <v>0</v>
      </c>
      <c r="K34" s="1" t="s">
        <v>39</v>
      </c>
      <c r="M34" s="1">
        <v>0</v>
      </c>
    </row>
  </sheetData>
  <mergeCells count="8">
    <mergeCell ref="B16:G16"/>
    <mergeCell ref="A2:A3"/>
    <mergeCell ref="K2:N2"/>
    <mergeCell ref="A9:A10"/>
    <mergeCell ref="B1:H1"/>
    <mergeCell ref="B2:E2"/>
    <mergeCell ref="J1:N1"/>
    <mergeCell ref="B8:G8"/>
  </mergeCells>
  <conditionalFormatting sqref="G4:G6 G9:G13">
    <cfRule type="dataBar" priority="5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{E42251C0-7459-4A87-819E-601ECC1993B3}</x14:id>
        </ext>
      </extLst>
    </cfRule>
  </conditionalFormatting>
  <conditionalFormatting sqref="H4:H6 H9:H13">
    <cfRule type="dataBar" priority="5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{2263CC1B-89DE-456C-9B5C-18780EEC91C3}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2251C0-7459-4A87-819E-601ECC1993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G4:G6 G9:G13</xm:sqref>
        </x14:conditionalFormatting>
        <x14:conditionalFormatting xmlns:xm="http://schemas.microsoft.com/office/excel/2006/main">
          <x14:cfRule type="dataBar" id="{2263CC1B-89DE-456C-9B5C-18780EEC91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H4:H6 H9:H13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1C55-1E20-40DF-8061-2D5E284FAB7B}">
  <sheetPr codeName="Hoja3"/>
  <dimension ref="A1:AF48"/>
  <sheetViews>
    <sheetView showGridLines="0" zoomScale="66" zoomScaleNormal="66" workbookViewId="0">
      <selection activeCell="B1" sqref="B1:N1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30.109375" style="1" customWidth="1"/>
    <col min="4" max="4" width="23.33203125" style="1" customWidth="1"/>
    <col min="5" max="5" width="19.88671875" style="1" customWidth="1"/>
    <col min="6" max="6" width="19" style="1" customWidth="1"/>
    <col min="7" max="7" width="14.44140625" style="1" customWidth="1"/>
    <col min="8" max="8" width="11.44140625" style="1" customWidth="1"/>
    <col min="9" max="9" width="8.88671875" style="1"/>
    <col min="10" max="10" width="26.44140625" style="1" customWidth="1"/>
    <col min="11" max="11" width="21" style="1" customWidth="1"/>
    <col min="12" max="12" width="25.33203125" style="1" customWidth="1"/>
    <col min="13" max="13" width="27" style="1" bestFit="1" customWidth="1"/>
    <col min="14" max="14" width="14.109375" style="1" customWidth="1"/>
    <col min="15" max="16384" width="8.88671875" style="1"/>
  </cols>
  <sheetData>
    <row r="1" spans="1:15" ht="26.4" thickBot="1">
      <c r="A1" s="52" t="s">
        <v>62</v>
      </c>
      <c r="B1" s="146">
        <v>45488</v>
      </c>
      <c r="C1" s="146"/>
      <c r="D1" s="146"/>
      <c r="E1" s="146"/>
      <c r="F1" s="146"/>
      <c r="G1" s="146"/>
      <c r="H1" s="146"/>
      <c r="I1" s="193"/>
      <c r="J1" s="182">
        <v>45122</v>
      </c>
      <c r="K1" s="182"/>
      <c r="L1" s="182"/>
      <c r="M1" s="182"/>
      <c r="N1" s="182"/>
    </row>
    <row r="2" spans="1:15">
      <c r="A2" s="129" t="s">
        <v>97</v>
      </c>
      <c r="B2" s="134" t="s">
        <v>0</v>
      </c>
      <c r="C2" s="134"/>
      <c r="D2" s="134"/>
      <c r="E2" s="134"/>
      <c r="J2" s="183"/>
      <c r="K2" s="184" t="s">
        <v>0</v>
      </c>
      <c r="L2" s="184"/>
      <c r="M2" s="184"/>
      <c r="N2" s="184"/>
    </row>
    <row r="3" spans="1:15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29" t="s">
        <v>100</v>
      </c>
      <c r="G3" s="29" t="s">
        <v>5</v>
      </c>
      <c r="H3" s="29" t="s">
        <v>6</v>
      </c>
      <c r="J3" s="185">
        <v>2023</v>
      </c>
      <c r="K3" s="183" t="s">
        <v>1</v>
      </c>
      <c r="L3" s="183" t="s">
        <v>2</v>
      </c>
      <c r="M3" s="183" t="s">
        <v>3</v>
      </c>
      <c r="N3" s="183" t="s">
        <v>4</v>
      </c>
    </row>
    <row r="4" spans="1:15" ht="18">
      <c r="A4" s="143" t="s">
        <v>89</v>
      </c>
      <c r="B4" s="144">
        <v>64</v>
      </c>
      <c r="C4" s="91">
        <v>66660</v>
      </c>
      <c r="D4" s="102">
        <f>+B4/$B$8</f>
        <v>0.95522388059701491</v>
      </c>
      <c r="E4" s="102">
        <f>+C4/$C$8</f>
        <v>0.95011402508551879</v>
      </c>
      <c r="F4" s="1">
        <f>IFERROR(+VLOOKUP(A4,$J$4:$K$6,2,FALSE),0)</f>
        <v>0</v>
      </c>
      <c r="G4" s="5">
        <f>+B4-F4</f>
        <v>64</v>
      </c>
      <c r="H4" s="6">
        <f>IFERROR(+(B4/F4)-1,0)</f>
        <v>0</v>
      </c>
      <c r="J4" s="186" t="s">
        <v>111</v>
      </c>
      <c r="K4" s="187">
        <v>18</v>
      </c>
      <c r="L4" s="192">
        <v>17660</v>
      </c>
      <c r="M4" s="188">
        <f>+K4/$K$8</f>
        <v>0.43902439024390244</v>
      </c>
      <c r="N4" s="189">
        <f>+L4/$L$8</f>
        <v>0.48317373461012314</v>
      </c>
    </row>
    <row r="5" spans="1:15" ht="18">
      <c r="A5" s="143" t="s">
        <v>74</v>
      </c>
      <c r="B5" s="144">
        <v>3</v>
      </c>
      <c r="C5" s="91">
        <v>3500</v>
      </c>
      <c r="D5" s="102">
        <f>+B5/$B$8</f>
        <v>4.4776119402985072E-2</v>
      </c>
      <c r="E5" s="102">
        <f>+C5/$C$8</f>
        <v>4.9885974914481185E-2</v>
      </c>
      <c r="F5" s="1">
        <f t="shared" ref="F5:F6" si="0">IFERROR(+VLOOKUP(A5,$J$4:$K$6,2,FALSE),0)</f>
        <v>6</v>
      </c>
      <c r="G5" s="5">
        <f>+B5-F5</f>
        <v>-3</v>
      </c>
      <c r="H5" s="6">
        <f>IFERROR(+(B5/F5)-1,0)</f>
        <v>-0.5</v>
      </c>
      <c r="J5" s="186" t="s">
        <v>120</v>
      </c>
      <c r="K5" s="187">
        <v>17</v>
      </c>
      <c r="L5" s="192">
        <v>15580</v>
      </c>
      <c r="M5" s="188">
        <f>+K5/$K$8</f>
        <v>0.41463414634146339</v>
      </c>
      <c r="N5" s="189">
        <f>+L5/$L$8</f>
        <v>0.42626538987688101</v>
      </c>
    </row>
    <row r="6" spans="1:15" ht="18">
      <c r="A6" s="19"/>
      <c r="B6" s="21"/>
      <c r="C6" s="91"/>
      <c r="D6" s="102">
        <f>+B6/$B$8</f>
        <v>0</v>
      </c>
      <c r="E6" s="102">
        <f>+C6/$C$8</f>
        <v>0</v>
      </c>
      <c r="F6" s="1">
        <f t="shared" si="0"/>
        <v>0</v>
      </c>
      <c r="G6" s="5">
        <f>+B6-F6</f>
        <v>0</v>
      </c>
      <c r="H6" s="6">
        <f>IFERROR(+(B6/F6)-1,0)</f>
        <v>0</v>
      </c>
      <c r="J6" s="186" t="s">
        <v>74</v>
      </c>
      <c r="K6" s="187">
        <v>6</v>
      </c>
      <c r="L6" s="192">
        <v>3310</v>
      </c>
      <c r="M6" s="188">
        <f>+K6/$K$8</f>
        <v>0.14634146341463414</v>
      </c>
      <c r="N6" s="189">
        <f>+L6/$L$8</f>
        <v>9.0560875512995895E-2</v>
      </c>
    </row>
    <row r="7" spans="1:15" ht="18">
      <c r="A7" s="19"/>
      <c r="B7" s="21"/>
      <c r="C7" s="91"/>
      <c r="D7" s="102"/>
      <c r="E7" s="102"/>
      <c r="G7" s="5"/>
      <c r="H7" s="6"/>
      <c r="J7" s="186" t="s">
        <v>58</v>
      </c>
      <c r="K7" s="187">
        <v>39</v>
      </c>
      <c r="L7" s="192">
        <v>38420</v>
      </c>
      <c r="M7" s="188"/>
      <c r="N7" s="189"/>
    </row>
    <row r="8" spans="1:15" ht="18" customHeight="1">
      <c r="A8" s="118" t="s">
        <v>80</v>
      </c>
      <c r="B8" s="59">
        <f>SUM(B4:B6)</f>
        <v>67</v>
      </c>
      <c r="C8" s="95">
        <f t="shared" ref="C8:G8" si="1">SUM(C4:C6)</f>
        <v>70160</v>
      </c>
      <c r="D8" s="60">
        <f t="shared" si="1"/>
        <v>1</v>
      </c>
      <c r="E8" s="60">
        <f t="shared" si="1"/>
        <v>1</v>
      </c>
      <c r="F8" s="58">
        <f t="shared" si="1"/>
        <v>6</v>
      </c>
      <c r="G8" s="58">
        <f t="shared" si="1"/>
        <v>61</v>
      </c>
      <c r="H8" s="6">
        <f>+(B8/F8)-1</f>
        <v>10.166666666666666</v>
      </c>
      <c r="J8" s="56" t="s">
        <v>0</v>
      </c>
      <c r="K8" s="57">
        <f>SUM(K4:K6)</f>
        <v>41</v>
      </c>
      <c r="L8" s="100">
        <f>SUM(L4:L6)</f>
        <v>36550</v>
      </c>
      <c r="M8" s="61">
        <f>SUM(M4:M6)</f>
        <v>1</v>
      </c>
      <c r="N8" s="61">
        <f>SUM(N4:N6)</f>
        <v>1</v>
      </c>
    </row>
    <row r="9" spans="1:15" ht="45" customHeight="1">
      <c r="A9" s="105" t="s">
        <v>110</v>
      </c>
      <c r="B9" s="139">
        <f>COUNTA(A4:A6)</f>
        <v>2</v>
      </c>
      <c r="C9" s="139"/>
      <c r="D9" s="139"/>
      <c r="E9" s="139"/>
      <c r="F9" s="139"/>
      <c r="G9" s="139"/>
      <c r="H9" s="6"/>
      <c r="J9" s="119">
        <f>COUNTA(J4:J6)</f>
        <v>3</v>
      </c>
      <c r="K9" s="57"/>
      <c r="L9" s="100"/>
      <c r="M9" s="61"/>
      <c r="N9" s="61"/>
    </row>
    <row r="10" spans="1:15" ht="18">
      <c r="A10" s="128" t="s">
        <v>99</v>
      </c>
      <c r="B10" s="21"/>
      <c r="C10" s="91"/>
      <c r="D10" s="4"/>
      <c r="E10" s="4"/>
      <c r="G10" s="5"/>
      <c r="H10" s="6"/>
      <c r="J10" s="190"/>
      <c r="K10" s="191"/>
      <c r="L10" s="192"/>
      <c r="M10" s="188"/>
      <c r="N10" s="189"/>
    </row>
    <row r="11" spans="1:15" ht="18">
      <c r="A11" s="128"/>
      <c r="B11" s="21"/>
      <c r="C11" s="91"/>
      <c r="D11" s="4"/>
      <c r="E11" s="4"/>
      <c r="G11" s="5"/>
      <c r="H11" s="6"/>
      <c r="J11" s="190"/>
      <c r="K11" s="191"/>
      <c r="L11" s="192"/>
      <c r="M11" s="188"/>
      <c r="N11" s="189"/>
    </row>
    <row r="12" spans="1:15" ht="18">
      <c r="A12" s="143" t="s">
        <v>17</v>
      </c>
      <c r="B12" s="144">
        <v>2</v>
      </c>
      <c r="C12" s="144">
        <v>800</v>
      </c>
      <c r="D12" s="4">
        <f>+B12/$B$27</f>
        <v>0.1</v>
      </c>
      <c r="E12" s="4">
        <f>+C12/$C$27</f>
        <v>4.6417174354511169E-2</v>
      </c>
      <c r="F12" s="1">
        <f>IFERROR(+VLOOKUP(A12,$J$11:$K$26,2,FALSE),0)</f>
        <v>2</v>
      </c>
      <c r="G12" s="5">
        <f>+B12-F12</f>
        <v>0</v>
      </c>
      <c r="H12" s="6">
        <f>IFERROR(+(B12/F12)-1,0)</f>
        <v>0</v>
      </c>
      <c r="J12" s="186" t="s">
        <v>17</v>
      </c>
      <c r="K12" s="187">
        <v>2</v>
      </c>
      <c r="L12" s="192">
        <v>3650</v>
      </c>
      <c r="M12" s="188">
        <f>+K12/$K$27</f>
        <v>7.1428571428571425E-2</v>
      </c>
      <c r="N12" s="189">
        <f>+L12/$L$27</f>
        <v>0.12466698544982581</v>
      </c>
    </row>
    <row r="13" spans="1:15" ht="18">
      <c r="A13" s="143" t="s">
        <v>47</v>
      </c>
      <c r="B13" s="144">
        <v>2</v>
      </c>
      <c r="C13" s="144">
        <v>1900</v>
      </c>
      <c r="D13" s="4">
        <f>+B13/$B$27</f>
        <v>0.1</v>
      </c>
      <c r="E13" s="4">
        <f>+C13/$C$27</f>
        <v>0.11024078909196403</v>
      </c>
      <c r="F13" s="1">
        <f>IFERROR(+VLOOKUP(A13,$J$11:$K$26,2,FALSE),0)</f>
        <v>1</v>
      </c>
      <c r="G13" s="5">
        <f>+B13-F13</f>
        <v>1</v>
      </c>
      <c r="H13" s="6">
        <f>IFERROR(+(B13/F13)-1,0)</f>
        <v>1</v>
      </c>
      <c r="J13" s="186" t="s">
        <v>47</v>
      </c>
      <c r="K13" s="187">
        <v>1</v>
      </c>
      <c r="L13" s="192">
        <v>3300</v>
      </c>
      <c r="M13" s="188">
        <f>+K13/$K$27</f>
        <v>3.5714285714285712E-2</v>
      </c>
      <c r="N13" s="189">
        <f>+L13/$L$27</f>
        <v>0.11271261698203429</v>
      </c>
    </row>
    <row r="14" spans="1:15" ht="18">
      <c r="A14" s="143" t="s">
        <v>33</v>
      </c>
      <c r="B14" s="144">
        <v>4</v>
      </c>
      <c r="C14" s="144">
        <v>4550</v>
      </c>
      <c r="D14" s="4">
        <f>+B14/$B$27</f>
        <v>0.2</v>
      </c>
      <c r="E14" s="4">
        <f>+C14/$C$27</f>
        <v>0.26399767914128225</v>
      </c>
      <c r="F14" s="1">
        <f>IFERROR(+VLOOKUP(A14,$J$11:$K$26,2,FALSE),0)</f>
        <v>10</v>
      </c>
      <c r="G14" s="5">
        <f>+B14-F14</f>
        <v>-6</v>
      </c>
      <c r="H14" s="6">
        <f t="shared" ref="H14:H16" si="2">IFERROR(+(B14/F14)-1,0)</f>
        <v>-0.6</v>
      </c>
      <c r="J14" s="186" t="s">
        <v>26</v>
      </c>
      <c r="K14" s="187">
        <v>1</v>
      </c>
      <c r="L14" s="192">
        <v>1300</v>
      </c>
      <c r="M14" s="188">
        <f>+K14/$K$27</f>
        <v>3.5714285714285712E-2</v>
      </c>
      <c r="N14" s="189">
        <f>+L14/$L$27</f>
        <v>4.4401940023225631E-2</v>
      </c>
    </row>
    <row r="15" spans="1:15" ht="18">
      <c r="A15" s="143" t="s">
        <v>61</v>
      </c>
      <c r="B15" s="144">
        <v>1</v>
      </c>
      <c r="C15" s="144">
        <v>580</v>
      </c>
      <c r="D15" s="4">
        <f>+B15/$B$27</f>
        <v>0.05</v>
      </c>
      <c r="E15" s="4">
        <f>+C15/$C$27</f>
        <v>3.3652451407020598E-2</v>
      </c>
      <c r="F15" s="1">
        <f>IFERROR(+VLOOKUP(A15,$J$11:$K$26,2,FALSE),0)</f>
        <v>2</v>
      </c>
      <c r="G15" s="5">
        <f t="shared" ref="G13:G26" si="3">+B15-F15</f>
        <v>-1</v>
      </c>
      <c r="H15" s="6">
        <f t="shared" si="2"/>
        <v>-0.5</v>
      </c>
      <c r="I15" s="6"/>
      <c r="J15" s="186" t="s">
        <v>112</v>
      </c>
      <c r="K15" s="187">
        <v>1</v>
      </c>
      <c r="L15" s="192">
        <v>280</v>
      </c>
      <c r="M15" s="188">
        <f>+K15/$K$27</f>
        <v>3.5714285714285712E-2</v>
      </c>
      <c r="N15" s="189">
        <f>+L15/$L$27</f>
        <v>9.5634947742332128E-3</v>
      </c>
      <c r="O15" s="6"/>
    </row>
    <row r="16" spans="1:15" ht="18">
      <c r="A16" s="143" t="s">
        <v>70</v>
      </c>
      <c r="B16" s="144">
        <v>5</v>
      </c>
      <c r="C16" s="144">
        <v>3555</v>
      </c>
      <c r="D16" s="4">
        <f>+B16/$B$27</f>
        <v>0.25</v>
      </c>
      <c r="E16" s="4">
        <f>+C16/$C$27</f>
        <v>0.20626631853785901</v>
      </c>
      <c r="F16" s="1">
        <f>IFERROR(+VLOOKUP(A16,$J$11:$K$26,2,FALSE),0)</f>
        <v>3</v>
      </c>
      <c r="G16" s="5">
        <f t="shared" si="3"/>
        <v>2</v>
      </c>
      <c r="H16" s="6">
        <f t="shared" si="2"/>
        <v>0.66666666666666674</v>
      </c>
      <c r="J16" s="186" t="s">
        <v>33</v>
      </c>
      <c r="K16" s="187">
        <v>10</v>
      </c>
      <c r="L16" s="192">
        <v>10450</v>
      </c>
      <c r="M16" s="188">
        <f>+K16/$K$27</f>
        <v>0.35714285714285715</v>
      </c>
      <c r="N16" s="189">
        <f>+L16/$L$27</f>
        <v>0.35692328710977528</v>
      </c>
    </row>
    <row r="17" spans="1:32" ht="18">
      <c r="A17" s="143" t="s">
        <v>72</v>
      </c>
      <c r="B17" s="144">
        <v>2</v>
      </c>
      <c r="C17" s="144">
        <v>3100</v>
      </c>
      <c r="D17" s="4">
        <f>+B17/$B$27</f>
        <v>0.1</v>
      </c>
      <c r="E17" s="4">
        <f>+C17/$C$27</f>
        <v>0.17986655062373078</v>
      </c>
      <c r="F17" s="1">
        <f>IFERROR(+VLOOKUP(A17,$J$11:$K$26,2,FALSE),0)</f>
        <v>1</v>
      </c>
      <c r="G17" s="5">
        <f t="shared" si="3"/>
        <v>1</v>
      </c>
      <c r="H17" s="6">
        <f t="shared" ref="H17:H20" si="4">IFERROR(+(B17/F17)-1,0)</f>
        <v>1</v>
      </c>
      <c r="J17" s="186" t="s">
        <v>125</v>
      </c>
      <c r="K17" s="187">
        <v>1</v>
      </c>
      <c r="L17" s="192">
        <v>400</v>
      </c>
      <c r="M17" s="188">
        <f>+K17/$K$27</f>
        <v>3.5714285714285712E-2</v>
      </c>
      <c r="N17" s="189">
        <f>+L17/$L$27</f>
        <v>1.3662135391761733E-2</v>
      </c>
    </row>
    <row r="18" spans="1:32" ht="18">
      <c r="A18" s="143" t="s">
        <v>48</v>
      </c>
      <c r="B18" s="144">
        <v>2</v>
      </c>
      <c r="C18" s="144">
        <v>1150</v>
      </c>
      <c r="D18" s="4">
        <f>+B18/$B$27</f>
        <v>0.1</v>
      </c>
      <c r="E18" s="4">
        <f>+C18/$C$27</f>
        <v>6.67246881346098E-2</v>
      </c>
      <c r="F18" s="1">
        <f>IFERROR(+VLOOKUP(A18,$J$11:$K$26,2,FALSE),0)</f>
        <v>0</v>
      </c>
      <c r="G18" s="5">
        <f t="shared" si="3"/>
        <v>2</v>
      </c>
      <c r="H18" s="6">
        <f t="shared" si="4"/>
        <v>0</v>
      </c>
      <c r="J18" s="186" t="s">
        <v>32</v>
      </c>
      <c r="K18" s="187">
        <v>1</v>
      </c>
      <c r="L18" s="192">
        <v>3000</v>
      </c>
      <c r="M18" s="188">
        <f>+K18/$K$27</f>
        <v>3.5714285714285712E-2</v>
      </c>
      <c r="N18" s="189">
        <f>+L18/$L$27</f>
        <v>0.10246601543821299</v>
      </c>
    </row>
    <row r="19" spans="1:32" ht="18">
      <c r="A19" s="143" t="s">
        <v>114</v>
      </c>
      <c r="B19" s="144">
        <v>1</v>
      </c>
      <c r="C19" s="144">
        <v>200</v>
      </c>
      <c r="D19" s="4">
        <f>+B19/$B$27</f>
        <v>0.05</v>
      </c>
      <c r="E19" s="4">
        <f>+C19/$C$27</f>
        <v>1.1604293588627792E-2</v>
      </c>
      <c r="F19" s="1">
        <f>IFERROR(+VLOOKUP(A19,$J$11:$K$26,2,FALSE),0)</f>
        <v>0</v>
      </c>
      <c r="G19" s="5">
        <f t="shared" si="3"/>
        <v>1</v>
      </c>
      <c r="H19" s="6">
        <f t="shared" si="4"/>
        <v>0</v>
      </c>
      <c r="J19" s="186" t="s">
        <v>61</v>
      </c>
      <c r="K19" s="187">
        <v>2</v>
      </c>
      <c r="L19" s="192">
        <v>758</v>
      </c>
      <c r="M19" s="188">
        <f>+K19/$K$27</f>
        <v>7.1428571428571425E-2</v>
      </c>
      <c r="N19" s="189">
        <f>+L19/$L$27</f>
        <v>2.5889746567388482E-2</v>
      </c>
    </row>
    <row r="20" spans="1:32" ht="18">
      <c r="A20" s="143" t="s">
        <v>77</v>
      </c>
      <c r="B20" s="144">
        <v>1</v>
      </c>
      <c r="C20" s="144">
        <v>1400</v>
      </c>
      <c r="D20" s="4">
        <f>+B20/$B$27</f>
        <v>0.05</v>
      </c>
      <c r="E20" s="4">
        <f>+C20/$C$27</f>
        <v>8.1230055120394551E-2</v>
      </c>
      <c r="F20" s="1">
        <f>IFERROR(+VLOOKUP(A20,$J$11:$K$26,2,FALSE),0)</f>
        <v>0</v>
      </c>
      <c r="G20" s="5">
        <f t="shared" si="3"/>
        <v>1</v>
      </c>
      <c r="H20" s="6">
        <f t="shared" si="4"/>
        <v>0</v>
      </c>
      <c r="J20" s="186" t="s">
        <v>71</v>
      </c>
      <c r="K20" s="187">
        <v>2</v>
      </c>
      <c r="L20" s="192">
        <v>1010</v>
      </c>
      <c r="M20" s="188">
        <f>+K20/$K$27</f>
        <v>7.1428571428571425E-2</v>
      </c>
      <c r="N20" s="189">
        <f>+L20/$L$27</f>
        <v>3.4496891864198374E-2</v>
      </c>
    </row>
    <row r="21" spans="1:32" ht="18">
      <c r="A21" s="19"/>
      <c r="B21" s="21"/>
      <c r="C21" s="91"/>
      <c r="D21" s="4">
        <f>+B21/$B$27</f>
        <v>0</v>
      </c>
      <c r="E21" s="4">
        <f>+C21/$C$27</f>
        <v>0</v>
      </c>
      <c r="F21" s="1">
        <f>IFERROR(+VLOOKUP(A21,$J$11:$K$26,2,FALSE),0)</f>
        <v>0</v>
      </c>
      <c r="G21" s="5">
        <f t="shared" si="3"/>
        <v>0</v>
      </c>
      <c r="H21" s="6">
        <f t="shared" ref="H21:H23" si="5">IFERROR(+(B21/F21)-1,0)</f>
        <v>0</v>
      </c>
      <c r="J21" s="186" t="s">
        <v>70</v>
      </c>
      <c r="K21" s="187">
        <v>3</v>
      </c>
      <c r="L21" s="192">
        <v>2350</v>
      </c>
      <c r="M21" s="188">
        <f>+K21/$K$27</f>
        <v>0.10714285714285714</v>
      </c>
      <c r="N21" s="189">
        <f>+L21/$L$27</f>
        <v>8.0265045426600179E-2</v>
      </c>
    </row>
    <row r="22" spans="1:32" ht="18">
      <c r="A22" s="19"/>
      <c r="B22" s="21"/>
      <c r="C22" s="91"/>
      <c r="D22" s="4">
        <f>+B22/$B$27</f>
        <v>0</v>
      </c>
      <c r="E22" s="4">
        <f>+C22/$C$27</f>
        <v>0</v>
      </c>
      <c r="F22" s="1">
        <f>IFERROR(+VLOOKUP(A22,$J$11:$K$26,2,FALSE),0)</f>
        <v>0</v>
      </c>
      <c r="G22" s="5">
        <f t="shared" si="3"/>
        <v>0</v>
      </c>
      <c r="H22" s="6">
        <f t="shared" si="5"/>
        <v>0</v>
      </c>
      <c r="J22" s="186" t="s">
        <v>72</v>
      </c>
      <c r="K22" s="187">
        <v>1</v>
      </c>
      <c r="L22" s="192">
        <v>800</v>
      </c>
      <c r="M22" s="188">
        <f>+K22/$K$27</f>
        <v>3.5714285714285712E-2</v>
      </c>
      <c r="N22" s="189">
        <f>+L22/$L$27</f>
        <v>2.7324270783523466E-2</v>
      </c>
    </row>
    <row r="23" spans="1:32" ht="18">
      <c r="A23" s="19"/>
      <c r="B23" s="21"/>
      <c r="C23" s="91"/>
      <c r="D23" s="4">
        <f t="shared" ref="D23:D26" si="6">+B23/$B$27</f>
        <v>0</v>
      </c>
      <c r="E23" s="4">
        <f t="shared" ref="E23:E26" si="7">+C23/$C$27</f>
        <v>0</v>
      </c>
      <c r="F23" s="1">
        <f>IFERROR(+VLOOKUP(A23,$J$11:$K$26,2,FALSE),0)</f>
        <v>0</v>
      </c>
      <c r="G23" s="5">
        <f t="shared" si="3"/>
        <v>0</v>
      </c>
      <c r="H23" s="6">
        <f t="shared" si="5"/>
        <v>0</v>
      </c>
      <c r="J23" s="186" t="s">
        <v>69</v>
      </c>
      <c r="K23" s="187">
        <v>1</v>
      </c>
      <c r="L23" s="192">
        <v>400</v>
      </c>
      <c r="M23" s="188"/>
      <c r="N23" s="189"/>
    </row>
    <row r="24" spans="1:32" ht="18">
      <c r="A24" s="19"/>
      <c r="B24" s="21"/>
      <c r="C24" s="91"/>
      <c r="D24" s="4">
        <f t="shared" si="6"/>
        <v>0</v>
      </c>
      <c r="E24" s="4">
        <f t="shared" si="7"/>
        <v>0</v>
      </c>
      <c r="F24" s="1">
        <f>IFERROR(+VLOOKUP(A24,$J$11:$K$26,2,FALSE),0)</f>
        <v>0</v>
      </c>
      <c r="G24" s="5">
        <f t="shared" si="3"/>
        <v>0</v>
      </c>
      <c r="H24" s="6">
        <f t="shared" ref="H24" si="8">IFERROR(+(B24/F24)-1,0)</f>
        <v>0</v>
      </c>
      <c r="J24" s="186" t="s">
        <v>108</v>
      </c>
      <c r="K24" s="187">
        <v>2</v>
      </c>
      <c r="L24" s="192">
        <v>1580</v>
      </c>
      <c r="M24" s="188"/>
      <c r="N24" s="189"/>
    </row>
    <row r="25" spans="1:32" ht="18">
      <c r="A25" s="19"/>
      <c r="B25" s="21"/>
      <c r="C25" s="91"/>
      <c r="D25" s="4">
        <f t="shared" si="6"/>
        <v>0</v>
      </c>
      <c r="E25" s="4">
        <f t="shared" si="7"/>
        <v>0</v>
      </c>
      <c r="F25" s="1">
        <f>IFERROR(+VLOOKUP(A25,$J$11:$K$26,2,FALSE),0)</f>
        <v>0</v>
      </c>
      <c r="G25" s="5">
        <f t="shared" si="3"/>
        <v>0</v>
      </c>
      <c r="H25" s="6">
        <f t="shared" ref="H25" si="9">IFERROR(+(B25/F25)-1,0)</f>
        <v>0</v>
      </c>
      <c r="J25" s="190"/>
      <c r="K25" s="191"/>
      <c r="L25" s="192"/>
      <c r="M25" s="188"/>
      <c r="N25" s="189"/>
    </row>
    <row r="26" spans="1:32" ht="18">
      <c r="A26" s="19"/>
      <c r="B26" s="21"/>
      <c r="C26" s="91"/>
      <c r="D26" s="4">
        <f t="shared" si="6"/>
        <v>0</v>
      </c>
      <c r="E26" s="4">
        <f t="shared" si="7"/>
        <v>0</v>
      </c>
      <c r="F26" s="1">
        <f>IFERROR(+VLOOKUP(A26,$J$11:$K$26,2,FALSE),0)</f>
        <v>0</v>
      </c>
      <c r="G26" s="5">
        <f t="shared" si="3"/>
        <v>0</v>
      </c>
      <c r="H26" s="6">
        <f t="shared" ref="H26" si="10">IFERROR(+(B26/F26)-1,0)</f>
        <v>0</v>
      </c>
      <c r="J26" s="190"/>
      <c r="K26" s="191"/>
      <c r="L26" s="192"/>
      <c r="M26" s="188"/>
      <c r="N26" s="189"/>
    </row>
    <row r="27" spans="1:32">
      <c r="A27" s="30" t="s">
        <v>81</v>
      </c>
      <c r="B27" s="31">
        <f>SUM(B12:B26)</f>
        <v>20</v>
      </c>
      <c r="C27" s="92">
        <f>SUM(C12:C26)</f>
        <v>17235</v>
      </c>
      <c r="D27" s="32">
        <f>SUM(D12:D26)</f>
        <v>1</v>
      </c>
      <c r="E27" s="32">
        <f>SUM(E12:E26)</f>
        <v>1</v>
      </c>
      <c r="F27" s="33">
        <f>SUM(F12:F26)</f>
        <v>19</v>
      </c>
      <c r="G27" s="34">
        <f>SUM(G12:G26)</f>
        <v>1</v>
      </c>
      <c r="H27" s="6">
        <f>+(B27/F27)-1</f>
        <v>5.2631578947368363E-2</v>
      </c>
      <c r="J27" s="30" t="s">
        <v>0</v>
      </c>
      <c r="K27" s="31">
        <f>SUM(K12:K26)</f>
        <v>28</v>
      </c>
      <c r="L27" s="92">
        <f>SUM(L11:L26)</f>
        <v>29278</v>
      </c>
      <c r="M27" s="35">
        <f>SUM(M11:M26)</f>
        <v>0.89285714285714268</v>
      </c>
      <c r="N27" s="35">
        <f>SUM(N11:N26)</f>
        <v>0.93237242981077961</v>
      </c>
    </row>
    <row r="28" spans="1:32">
      <c r="A28" s="62" t="s">
        <v>82</v>
      </c>
      <c r="B28" s="63">
        <f>SUM(B27+B8)</f>
        <v>87</v>
      </c>
      <c r="C28" s="96">
        <f>SUM(C27+C8)</f>
        <v>87395</v>
      </c>
      <c r="D28" s="64">
        <f>SUM(D27+D8)</f>
        <v>2</v>
      </c>
      <c r="E28" s="65">
        <f>SUM(E27+E8)</f>
        <v>2</v>
      </c>
      <c r="F28" s="66">
        <f>SUM(F27+F8)</f>
        <v>25</v>
      </c>
      <c r="G28" s="67">
        <f>SUM(G27+G8)</f>
        <v>62</v>
      </c>
      <c r="H28" s="6">
        <f>+(B28/F28)-1</f>
        <v>2.48</v>
      </c>
      <c r="J28" s="44"/>
      <c r="K28" s="45">
        <f>SUM(K27+K8)</f>
        <v>69</v>
      </c>
      <c r="L28" s="93">
        <f>SUM(L27+L8)</f>
        <v>65828</v>
      </c>
      <c r="M28" s="73">
        <f>SUM(M27+M8)</f>
        <v>1.8928571428571428</v>
      </c>
      <c r="N28" s="73">
        <f>SUM(N27+N8)</f>
        <v>1.9323724298107796</v>
      </c>
    </row>
    <row r="29" spans="1:32" s="25" customFormat="1" ht="28.8">
      <c r="A29" s="120" t="s">
        <v>110</v>
      </c>
      <c r="B29" s="138">
        <f>COUNTA(A12:A26)</f>
        <v>9</v>
      </c>
      <c r="C29" s="138"/>
      <c r="D29" s="138"/>
      <c r="E29" s="138"/>
      <c r="F29" s="138"/>
      <c r="G29" s="138"/>
      <c r="H29" s="6"/>
      <c r="I29" s="1"/>
      <c r="J29" s="122">
        <f>COUNTA(J12:J26)</f>
        <v>13</v>
      </c>
      <c r="K29" s="45"/>
      <c r="L29" s="93"/>
      <c r="M29" s="73"/>
      <c r="N29" s="7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25" customFormat="1" ht="36">
      <c r="A30" s="37" t="s">
        <v>103</v>
      </c>
      <c r="B30" s="8">
        <f>(+B8-K8)</f>
        <v>26</v>
      </c>
      <c r="C30" s="42"/>
      <c r="D30" s="69"/>
      <c r="E30" s="43"/>
      <c r="F30" s="70"/>
      <c r="G30" s="55"/>
      <c r="H30" s="6"/>
      <c r="I30" s="1"/>
      <c r="J30" s="41"/>
      <c r="K30" s="42"/>
      <c r="L30" s="42"/>
      <c r="M30" s="71"/>
      <c r="N30" s="7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25" customFormat="1" ht="36">
      <c r="A31" s="37" t="s">
        <v>104</v>
      </c>
      <c r="B31" s="8">
        <f>(+B27-K27)</f>
        <v>-8</v>
      </c>
      <c r="C31" s="42"/>
      <c r="D31" s="69"/>
      <c r="E31" s="43"/>
      <c r="F31" s="70"/>
      <c r="G31" s="55"/>
      <c r="H31" s="6"/>
      <c r="I31" s="1"/>
      <c r="J31" s="41"/>
      <c r="K31" s="42"/>
      <c r="L31" s="42"/>
      <c r="M31" s="71"/>
      <c r="N31" s="7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25" customFormat="1" ht="23.4">
      <c r="A32" s="7" t="s">
        <v>7</v>
      </c>
      <c r="B32" s="8">
        <f>+B28-K28</f>
        <v>18</v>
      </c>
      <c r="C32" s="9"/>
      <c r="D32" s="22"/>
      <c r="E32" s="9"/>
      <c r="F32" s="9"/>
      <c r="G32" s="9"/>
      <c r="H32" s="9"/>
      <c r="I32" s="1"/>
      <c r="J32" s="9"/>
      <c r="K32" s="9"/>
      <c r="L32" s="9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14" s="9" customFormat="1" ht="23.4">
      <c r="A33" s="7" t="s">
        <v>8</v>
      </c>
      <c r="B33" s="10">
        <f>(B28/K28)-1</f>
        <v>0.26086956521739135</v>
      </c>
      <c r="E33" s="22"/>
    </row>
    <row r="34" spans="1:14" s="9" customFormat="1" ht="23.4">
      <c r="A34" s="11"/>
      <c r="B34" s="12"/>
      <c r="D34" s="22"/>
      <c r="E34" s="28"/>
      <c r="F34" s="28"/>
    </row>
    <row r="35" spans="1:14" s="9" customFormat="1" ht="23.4" hidden="1">
      <c r="A35" s="13" t="s">
        <v>9</v>
      </c>
      <c r="C35" s="94">
        <v>387396</v>
      </c>
      <c r="E35" s="28"/>
      <c r="H35" s="15">
        <f>+(C35/M35)-1</f>
        <v>0.43028137033741554</v>
      </c>
      <c r="K35" s="13" t="s">
        <v>9</v>
      </c>
      <c r="M35" s="94">
        <v>270853</v>
      </c>
      <c r="N35" s="16"/>
    </row>
    <row r="36" spans="1:14" s="9" customFormat="1" ht="23.4" hidden="1">
      <c r="A36" s="13"/>
      <c r="C36" s="94"/>
      <c r="H36" s="17"/>
      <c r="K36" s="13"/>
      <c r="M36" s="94"/>
    </row>
    <row r="37" spans="1:14" s="9" customFormat="1" ht="23.4" hidden="1">
      <c r="A37" s="13" t="s">
        <v>10</v>
      </c>
      <c r="C37" s="94">
        <f>C35/C39</f>
        <v>1419.032967032967</v>
      </c>
      <c r="H37" s="17">
        <f>+(C37/M37)-1</f>
        <v>0.33597710416132198</v>
      </c>
      <c r="K37" s="13" t="s">
        <v>10</v>
      </c>
      <c r="M37" s="94">
        <f>M35/M39</f>
        <v>1062.1686274509805</v>
      </c>
    </row>
    <row r="38" spans="1:14" s="9" customFormat="1" ht="23.1" hidden="1" customHeight="1"/>
    <row r="39" spans="1:14" s="9" customFormat="1" ht="23.4" hidden="1">
      <c r="A39" s="13" t="s">
        <v>11</v>
      </c>
      <c r="C39" s="13">
        <v>273</v>
      </c>
      <c r="H39" s="17">
        <f>+(C39/M39)-1</f>
        <v>7.0588235294117618E-2</v>
      </c>
      <c r="K39" s="13" t="s">
        <v>11</v>
      </c>
      <c r="M39" s="13">
        <v>255</v>
      </c>
    </row>
    <row r="40" spans="1:14" s="9" customFormat="1" ht="23.4" hidden="1">
      <c r="A40" s="13"/>
      <c r="C40" s="13"/>
      <c r="H40" s="17"/>
      <c r="K40" s="13"/>
      <c r="M40" s="13"/>
    </row>
    <row r="41" spans="1:14" s="9" customFormat="1" ht="23.4" hidden="1">
      <c r="A41" s="13" t="s">
        <v>12</v>
      </c>
      <c r="K41" s="13" t="s">
        <v>12</v>
      </c>
    </row>
    <row r="42" spans="1:14" s="9" customFormat="1" ht="23.4" hidden="1">
      <c r="A42" s="1" t="s">
        <v>13</v>
      </c>
      <c r="B42" s="1"/>
      <c r="C42" s="1">
        <v>248</v>
      </c>
      <c r="D42" s="1"/>
      <c r="E42" s="1"/>
      <c r="F42" s="1"/>
      <c r="G42" s="1"/>
      <c r="H42" s="6">
        <f>+(C42/M42)-1</f>
        <v>-4.0160642570281624E-3</v>
      </c>
      <c r="J42" s="1"/>
      <c r="K42" s="1" t="s">
        <v>13</v>
      </c>
      <c r="L42" s="1"/>
      <c r="M42" s="1">
        <v>249</v>
      </c>
      <c r="N42" s="1"/>
    </row>
    <row r="43" spans="1:14" hidden="1">
      <c r="A43" s="1" t="s">
        <v>14</v>
      </c>
      <c r="C43" s="1">
        <v>206</v>
      </c>
      <c r="D43" s="1">
        <f>+C42/C43</f>
        <v>1.203883495145631</v>
      </c>
      <c r="H43" s="6">
        <f>+(C43/M43)-1</f>
        <v>-3.7383177570093462E-2</v>
      </c>
      <c r="K43" s="1" t="s">
        <v>14</v>
      </c>
      <c r="M43" s="1">
        <v>214</v>
      </c>
      <c r="N43" s="1">
        <f>+M42/M43</f>
        <v>1.1635514018691588</v>
      </c>
    </row>
    <row r="44" spans="1:14" hidden="1">
      <c r="A44" s="1" t="s">
        <v>15</v>
      </c>
      <c r="C44" s="1">
        <v>18</v>
      </c>
      <c r="H44" s="6">
        <f>+(C44/M44)-1</f>
        <v>2</v>
      </c>
      <c r="K44" s="1" t="s">
        <v>15</v>
      </c>
      <c r="M44" s="1">
        <v>6</v>
      </c>
    </row>
    <row r="45" spans="1:14" hidden="1">
      <c r="A45" s="1" t="s">
        <v>16</v>
      </c>
      <c r="C45" s="1">
        <v>6</v>
      </c>
      <c r="H45" s="6">
        <f>IFERROR(+(C45/M45)-1,0)</f>
        <v>0</v>
      </c>
      <c r="K45" s="1" t="s">
        <v>16</v>
      </c>
      <c r="M45" s="1">
        <v>0</v>
      </c>
    </row>
    <row r="46" spans="1:14" hidden="1">
      <c r="A46" s="1" t="s">
        <v>37</v>
      </c>
      <c r="C46" s="1">
        <v>272</v>
      </c>
      <c r="H46" s="6">
        <f>+(C46/M46)-1</f>
        <v>-0.7056277056277056</v>
      </c>
      <c r="K46" s="1" t="s">
        <v>38</v>
      </c>
      <c r="M46" s="1">
        <v>924</v>
      </c>
    </row>
    <row r="47" spans="1:14" hidden="1">
      <c r="A47" s="1" t="s">
        <v>39</v>
      </c>
      <c r="C47" s="1">
        <v>5</v>
      </c>
      <c r="H47" s="6">
        <f>IFERROR(+(C47/M47)-1,0)</f>
        <v>0.25</v>
      </c>
      <c r="K47" s="1" t="s">
        <v>39</v>
      </c>
      <c r="M47" s="1">
        <v>4</v>
      </c>
    </row>
    <row r="48" spans="1:14" hidden="1"/>
  </sheetData>
  <mergeCells count="8">
    <mergeCell ref="B29:G29"/>
    <mergeCell ref="A2:A3"/>
    <mergeCell ref="K2:N2"/>
    <mergeCell ref="A10:A11"/>
    <mergeCell ref="B1:H1"/>
    <mergeCell ref="B2:E2"/>
    <mergeCell ref="J1:N1"/>
    <mergeCell ref="B9:G9"/>
  </mergeCells>
  <conditionalFormatting sqref="G4:G7 G10:G26">
    <cfRule type="dataBar" priority="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{1C996CF5-A819-44E0-873E-1A456A8FDEE7}</x14:id>
        </ext>
      </extLst>
    </cfRule>
  </conditionalFormatting>
  <conditionalFormatting sqref="H4:H7 H10:H26">
    <cfRule type="dataBar" priority="5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{DCAECBFB-D62D-4FC5-A840-C7F231C1F396}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996CF5-A819-44E0-873E-1A456A8FDE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G4:G7 G10:G26</xm:sqref>
        </x14:conditionalFormatting>
        <x14:conditionalFormatting xmlns:xm="http://schemas.microsoft.com/office/excel/2006/main">
          <x14:cfRule type="dataBar" id="{DCAECBFB-D62D-4FC5-A840-C7F231C1F3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H4:H7 H10:H26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AD3F-6327-4880-9BA9-E645C28B23B6}">
  <sheetPr codeName="Hoja4"/>
  <dimension ref="A1:W33"/>
  <sheetViews>
    <sheetView showGridLines="0" zoomScale="60" zoomScaleNormal="60" workbookViewId="0">
      <selection activeCell="F5" sqref="F5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26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4.5546875" style="1" customWidth="1"/>
    <col min="9" max="9" width="26.44140625" style="1" customWidth="1"/>
    <col min="10" max="10" width="21" style="1" customWidth="1"/>
    <col min="11" max="11" width="20.6640625" style="98" bestFit="1" customWidth="1"/>
    <col min="12" max="12" width="24.44140625" style="1" bestFit="1" customWidth="1"/>
    <col min="13" max="13" width="14.109375" style="1" customWidth="1"/>
    <col min="14" max="16384" width="8.88671875" style="1"/>
  </cols>
  <sheetData>
    <row r="1" spans="1:23" ht="18.600000000000001" thickBot="1">
      <c r="A1" s="51" t="s">
        <v>63</v>
      </c>
      <c r="B1" s="146">
        <v>45488</v>
      </c>
      <c r="C1" s="146"/>
      <c r="D1" s="146"/>
      <c r="E1" s="146"/>
      <c r="F1" s="146"/>
      <c r="G1" s="146"/>
      <c r="H1" s="146"/>
      <c r="I1" s="170"/>
      <c r="J1" s="169">
        <v>45122</v>
      </c>
      <c r="K1" s="169"/>
      <c r="L1" s="169"/>
      <c r="M1" s="169"/>
      <c r="N1" s="169"/>
    </row>
    <row r="2" spans="1:23">
      <c r="A2" s="129" t="s">
        <v>97</v>
      </c>
      <c r="B2" s="134" t="s">
        <v>0</v>
      </c>
      <c r="C2" s="134"/>
      <c r="D2" s="134"/>
      <c r="E2" s="134"/>
      <c r="I2" s="170"/>
      <c r="J2" s="170"/>
      <c r="K2" s="171" t="s">
        <v>0</v>
      </c>
      <c r="L2" s="171"/>
      <c r="M2" s="171"/>
      <c r="N2" s="171"/>
    </row>
    <row r="3" spans="1:23" ht="28.8">
      <c r="A3" s="128"/>
      <c r="B3" s="1" t="s">
        <v>1</v>
      </c>
      <c r="C3" s="124" t="s">
        <v>2</v>
      </c>
      <c r="D3" s="20" t="s">
        <v>3</v>
      </c>
      <c r="E3" s="20" t="s">
        <v>4</v>
      </c>
      <c r="F3" s="29" t="s">
        <v>100</v>
      </c>
      <c r="G3" s="29" t="s">
        <v>5</v>
      </c>
      <c r="H3" s="29" t="s">
        <v>6</v>
      </c>
      <c r="I3" s="172">
        <v>2023</v>
      </c>
      <c r="J3" s="170" t="s">
        <v>1</v>
      </c>
      <c r="K3" s="196" t="s">
        <v>2</v>
      </c>
      <c r="L3" s="170" t="s">
        <v>3</v>
      </c>
      <c r="M3" s="170" t="s">
        <v>4</v>
      </c>
      <c r="N3" s="170"/>
    </row>
    <row r="4" spans="1:23" ht="18">
      <c r="A4" s="143" t="s">
        <v>111</v>
      </c>
      <c r="B4" s="144">
        <v>43</v>
      </c>
      <c r="C4" s="124">
        <v>35939</v>
      </c>
      <c r="D4" s="4">
        <f>+J4/$B$6</f>
        <v>0.65217391304347827</v>
      </c>
      <c r="E4" s="4">
        <f>+K4/$C$6</f>
        <v>0.77104368086986796</v>
      </c>
      <c r="F4" s="1">
        <f>IFERROR(+VLOOKUP(I4,$I$4:$J$5,2,FALSE),0)</f>
        <v>30</v>
      </c>
      <c r="G4" s="5">
        <f>+J4-F4</f>
        <v>0</v>
      </c>
      <c r="H4" s="6">
        <f>IFERROR(+(J4/F4)-1,0)</f>
        <v>0</v>
      </c>
      <c r="I4" s="173" t="s">
        <v>49</v>
      </c>
      <c r="J4" s="174">
        <v>30</v>
      </c>
      <c r="K4" s="197">
        <v>28790</v>
      </c>
      <c r="L4" s="176">
        <f>+J4/$J$6</f>
        <v>1</v>
      </c>
      <c r="M4" s="180">
        <f>+K4/$K$6</f>
        <v>1</v>
      </c>
      <c r="N4" s="170"/>
    </row>
    <row r="5" spans="1:23" ht="18">
      <c r="A5" s="143" t="s">
        <v>74</v>
      </c>
      <c r="B5" s="144">
        <v>3</v>
      </c>
      <c r="C5" s="124">
        <v>1400</v>
      </c>
      <c r="D5" s="4">
        <f>+B5/$B$6</f>
        <v>6.5217391304347824E-2</v>
      </c>
      <c r="E5" s="4">
        <f>+C5/$C$6</f>
        <v>3.7494308899542035E-2</v>
      </c>
      <c r="F5" s="1">
        <f>IFERROR(+VLOOKUP(A5,$I$4:$J$5,2,FALSE),0)</f>
        <v>0</v>
      </c>
      <c r="G5" s="5">
        <f>+J5-F5</f>
        <v>0</v>
      </c>
      <c r="H5" s="6">
        <f>IFERROR(+(B5/F5)-1,0)</f>
        <v>0</v>
      </c>
      <c r="I5" s="198"/>
      <c r="J5" s="199"/>
      <c r="K5" s="197"/>
      <c r="L5" s="176">
        <f>+J5/$J$6</f>
        <v>0</v>
      </c>
      <c r="M5" s="180">
        <f>+K5/$K$6</f>
        <v>0</v>
      </c>
      <c r="N5" s="170"/>
    </row>
    <row r="6" spans="1:23">
      <c r="A6" s="30" t="s">
        <v>80</v>
      </c>
      <c r="B6" s="31">
        <f>SUM(B4:B5)</f>
        <v>46</v>
      </c>
      <c r="C6" s="92">
        <f>SUM(C4:C5)</f>
        <v>37339</v>
      </c>
      <c r="D6" s="32">
        <f>SUM(D4:D5)</f>
        <v>0.71739130434782605</v>
      </c>
      <c r="E6" s="32">
        <f>SUM(E4:E5)</f>
        <v>0.80853798976941005</v>
      </c>
      <c r="F6" s="33">
        <f>SUM(F4:F5)</f>
        <v>30</v>
      </c>
      <c r="G6" s="34">
        <f>SUM(G4:G5)</f>
        <v>0</v>
      </c>
      <c r="H6" s="6">
        <f>IFERROR(+(B6/F6)-1,0)</f>
        <v>0.53333333333333344</v>
      </c>
      <c r="I6" s="30" t="s">
        <v>0</v>
      </c>
      <c r="J6" s="31">
        <f>SUM(J4:J5)</f>
        <v>30</v>
      </c>
      <c r="K6" s="92">
        <f>SUM(K4:K5)</f>
        <v>28790</v>
      </c>
      <c r="L6" s="35">
        <f>SUM(L4:L5)</f>
        <v>1</v>
      </c>
      <c r="M6" s="35">
        <f>SUM(M4:M5)</f>
        <v>1</v>
      </c>
      <c r="N6" s="167"/>
    </row>
    <row r="7" spans="1:23" ht="49.8" customHeight="1">
      <c r="A7" s="121" t="s">
        <v>110</v>
      </c>
      <c r="B7" s="140">
        <f>COUNTA(A4:A5)</f>
        <v>2</v>
      </c>
      <c r="C7" s="140"/>
      <c r="D7" s="140"/>
      <c r="E7" s="140"/>
      <c r="F7" s="140"/>
      <c r="G7" s="140"/>
      <c r="H7" s="6"/>
      <c r="I7" s="117">
        <f>COUNTA(I4:I5)</f>
        <v>1</v>
      </c>
      <c r="J7" s="31"/>
      <c r="K7" s="92"/>
      <c r="L7" s="35"/>
      <c r="M7" s="35"/>
      <c r="N7" s="167"/>
    </row>
    <row r="8" spans="1:23" ht="18">
      <c r="A8" s="128" t="s">
        <v>99</v>
      </c>
      <c r="B8" s="21"/>
      <c r="C8" s="91"/>
      <c r="D8" s="4"/>
      <c r="E8" s="4"/>
      <c r="G8" s="5"/>
      <c r="H8" s="6"/>
      <c r="I8" s="178"/>
      <c r="J8" s="179"/>
      <c r="K8" s="181"/>
      <c r="L8" s="176"/>
      <c r="M8" s="180"/>
      <c r="N8" s="170"/>
    </row>
    <row r="9" spans="1:23" ht="18">
      <c r="A9" s="128"/>
      <c r="B9" s="21"/>
      <c r="C9" s="91"/>
      <c r="D9" s="4"/>
      <c r="E9" s="4"/>
      <c r="G9" s="5"/>
      <c r="H9" s="6"/>
      <c r="I9" s="178"/>
      <c r="J9" s="179"/>
      <c r="K9" s="181"/>
      <c r="L9" s="176">
        <f>+J9/$J$12</f>
        <v>0</v>
      </c>
      <c r="M9" s="180">
        <f>+K9/$K$12</f>
        <v>0</v>
      </c>
      <c r="N9" s="170"/>
    </row>
    <row r="10" spans="1:23" ht="18">
      <c r="A10" s="143" t="s">
        <v>61</v>
      </c>
      <c r="B10" s="144">
        <v>1</v>
      </c>
      <c r="C10" s="124">
        <v>350</v>
      </c>
      <c r="D10" s="4">
        <f>+B10/$B$12</f>
        <v>0.5</v>
      </c>
      <c r="E10" s="4">
        <f>+C10/$C$12</f>
        <v>0.2</v>
      </c>
      <c r="F10" s="1">
        <f>IFERROR(+VLOOKUP(A10,$I$9:$J$11,2,FALSE),0)</f>
        <v>1</v>
      </c>
      <c r="G10" s="5">
        <f>+B10-F10</f>
        <v>0</v>
      </c>
      <c r="H10" s="6">
        <f>IFERROR(+(B10/F10)-1,0)</f>
        <v>0</v>
      </c>
      <c r="I10" s="173" t="s">
        <v>61</v>
      </c>
      <c r="J10" s="174">
        <v>1</v>
      </c>
      <c r="K10" s="197">
        <v>550</v>
      </c>
      <c r="L10" s="176">
        <f>+J10/$J$12</f>
        <v>1</v>
      </c>
      <c r="M10" s="180">
        <f>+K10/$K$12</f>
        <v>1</v>
      </c>
      <c r="N10" s="170"/>
    </row>
    <row r="11" spans="1:23" ht="18">
      <c r="A11" s="143" t="s">
        <v>59</v>
      </c>
      <c r="B11" s="144">
        <v>1</v>
      </c>
      <c r="C11" s="124">
        <v>1400</v>
      </c>
      <c r="D11" s="4">
        <f>+B11/$B$12</f>
        <v>0.5</v>
      </c>
      <c r="E11" s="4">
        <f>+C11/$C$12</f>
        <v>0.8</v>
      </c>
      <c r="F11" s="1">
        <f>IFERROR(+VLOOKUP(A11,$I$9:$J$11,2,FALSE),0)</f>
        <v>0</v>
      </c>
      <c r="G11" s="5">
        <f>+B11-F11</f>
        <v>1</v>
      </c>
      <c r="H11" s="6">
        <f t="shared" ref="H11" si="0">IFERROR(+(B11/F11)-1,0)</f>
        <v>0</v>
      </c>
      <c r="I11" s="178"/>
      <c r="J11" s="179"/>
      <c r="K11" s="197"/>
      <c r="L11" s="176">
        <f>+J11/$J$12</f>
        <v>0</v>
      </c>
      <c r="M11" s="180">
        <f>+K11/$K$12</f>
        <v>0</v>
      </c>
      <c r="N11" s="170"/>
    </row>
    <row r="12" spans="1:23">
      <c r="A12" s="30" t="s">
        <v>83</v>
      </c>
      <c r="B12" s="31">
        <f>SUM(B10:B11)</f>
        <v>2</v>
      </c>
      <c r="C12" s="92">
        <f>SUM(C10:C11)</f>
        <v>1750</v>
      </c>
      <c r="D12" s="32">
        <f>SUM(D10:D11)</f>
        <v>1</v>
      </c>
      <c r="E12" s="32">
        <f>SUM(E10:E11)</f>
        <v>1</v>
      </c>
      <c r="F12" s="33">
        <f>SUM(F10:F11)</f>
        <v>1</v>
      </c>
      <c r="G12" s="34">
        <f>SUM(G10:G11)</f>
        <v>1</v>
      </c>
      <c r="H12" s="6">
        <f>IFERROR(+(B12/F12)-1,0)</f>
        <v>1</v>
      </c>
      <c r="I12" s="30" t="s">
        <v>0</v>
      </c>
      <c r="J12" s="31">
        <f>SUM(J9:J11)</f>
        <v>1</v>
      </c>
      <c r="K12" s="92">
        <f>SUM(K9:K11)</f>
        <v>550</v>
      </c>
      <c r="L12" s="35">
        <f>SUM(L9:L11)</f>
        <v>1</v>
      </c>
      <c r="M12" s="35">
        <f>SUM(M9:M11)</f>
        <v>1</v>
      </c>
      <c r="N12" s="167"/>
    </row>
    <row r="13" spans="1:23" s="25" customFormat="1">
      <c r="A13" s="44" t="s">
        <v>84</v>
      </c>
      <c r="B13" s="45">
        <f>SUM(B12+B6)</f>
        <v>48</v>
      </c>
      <c r="C13" s="93">
        <f>SUM(C12+C6)</f>
        <v>39089</v>
      </c>
      <c r="D13" s="46">
        <f>SUM(D12+D6)</f>
        <v>1.7173913043478262</v>
      </c>
      <c r="E13" s="46">
        <f>SUM(E12+E6)</f>
        <v>1.80853798976941</v>
      </c>
      <c r="F13" s="47">
        <f>SUM(F12+F6)</f>
        <v>31</v>
      </c>
      <c r="G13" s="47">
        <f>SUM(G12+G6)</f>
        <v>1</v>
      </c>
      <c r="H13" s="6">
        <f>+(B13/F13)-1</f>
        <v>0.54838709677419351</v>
      </c>
      <c r="I13" s="62"/>
      <c r="J13" s="63">
        <f>SUM(J12+J6)</f>
        <v>31</v>
      </c>
      <c r="K13" s="96">
        <f>SUM(K12+K6)</f>
        <v>29340</v>
      </c>
      <c r="L13" s="68">
        <f>SUM(L12+L6)</f>
        <v>2</v>
      </c>
      <c r="M13" s="68">
        <f>SUM(M12+M6)</f>
        <v>2</v>
      </c>
      <c r="N13" s="200"/>
      <c r="O13" s="1"/>
      <c r="P13" s="1"/>
      <c r="Q13" s="1"/>
      <c r="R13" s="1"/>
      <c r="S13" s="1"/>
      <c r="T13" s="1"/>
      <c r="U13" s="1"/>
      <c r="V13" s="1"/>
      <c r="W13" s="1"/>
    </row>
    <row r="14" spans="1:23" s="25" customFormat="1" ht="31.2">
      <c r="A14" s="106" t="s">
        <v>110</v>
      </c>
      <c r="B14" s="136">
        <f>COUNTA(A10:A11)</f>
        <v>2</v>
      </c>
      <c r="C14" s="136"/>
      <c r="D14" s="136"/>
      <c r="E14" s="136"/>
      <c r="F14" s="136"/>
      <c r="G14" s="136"/>
      <c r="H14" s="6"/>
      <c r="I14" s="201">
        <f>COUNTA(I9:I11)</f>
        <v>1</v>
      </c>
      <c r="J14" s="63"/>
      <c r="K14" s="96"/>
      <c r="L14" s="68"/>
      <c r="M14" s="68"/>
      <c r="N14" s="200"/>
      <c r="O14" s="1"/>
      <c r="P14" s="1"/>
      <c r="Q14" s="1"/>
      <c r="R14" s="1"/>
      <c r="S14" s="1"/>
      <c r="T14" s="1"/>
      <c r="U14" s="1"/>
      <c r="V14" s="1"/>
      <c r="W14" s="1"/>
    </row>
    <row r="15" spans="1:23" s="25" customFormat="1" ht="36">
      <c r="A15" s="37" t="s">
        <v>101</v>
      </c>
      <c r="B15" s="8">
        <f>(+B6-J6)</f>
        <v>16</v>
      </c>
      <c r="C15" s="42"/>
      <c r="D15" s="43"/>
      <c r="E15" s="43"/>
      <c r="F15" s="72"/>
      <c r="G15" s="72"/>
      <c r="H15" s="6"/>
      <c r="I15" s="41"/>
      <c r="J15" s="42"/>
      <c r="K15" s="125"/>
      <c r="L15" s="71"/>
      <c r="M15" s="7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s="25" customFormat="1" ht="36">
      <c r="A16" s="37" t="s">
        <v>104</v>
      </c>
      <c r="B16" s="8">
        <f>(+B12-J12)</f>
        <v>1</v>
      </c>
      <c r="C16" s="42"/>
      <c r="D16" s="43"/>
      <c r="E16" s="43"/>
      <c r="F16" s="72"/>
      <c r="G16" s="72"/>
      <c r="H16" s="6"/>
      <c r="I16" s="41"/>
      <c r="J16" s="42"/>
      <c r="K16" s="125"/>
      <c r="L16" s="71"/>
      <c r="M16" s="7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13" s="9" customFormat="1" ht="23.4">
      <c r="A17" s="7" t="s">
        <v>7</v>
      </c>
      <c r="B17" s="8">
        <f>+B13-J13</f>
        <v>17</v>
      </c>
      <c r="D17" s="22"/>
      <c r="K17" s="126"/>
    </row>
    <row r="18" spans="1:13" s="9" customFormat="1" ht="23.4">
      <c r="A18" s="7" t="s">
        <v>8</v>
      </c>
      <c r="B18" s="10">
        <f>(B13/J13)-1</f>
        <v>0.54838709677419351</v>
      </c>
      <c r="E18" s="22"/>
      <c r="K18" s="126"/>
    </row>
    <row r="19" spans="1:13" s="9" customFormat="1" ht="23.4">
      <c r="A19" s="11"/>
      <c r="B19" s="12"/>
      <c r="D19" s="22"/>
      <c r="K19" s="126"/>
    </row>
    <row r="20" spans="1:13" s="9" customFormat="1" ht="23.4" hidden="1">
      <c r="A20" s="13" t="s">
        <v>9</v>
      </c>
      <c r="C20" s="14">
        <v>115189</v>
      </c>
      <c r="H20" s="15">
        <f>+(C20/L20)-1</f>
        <v>0.52064686468646859</v>
      </c>
      <c r="J20" s="13" t="s">
        <v>9</v>
      </c>
      <c r="K20" s="126"/>
      <c r="L20" s="94">
        <v>75750</v>
      </c>
      <c r="M20" s="16"/>
    </row>
    <row r="21" spans="1:13" s="9" customFormat="1" ht="23.4" hidden="1">
      <c r="A21" s="13"/>
      <c r="C21" s="14"/>
      <c r="H21" s="17"/>
      <c r="J21" s="13"/>
      <c r="K21" s="126"/>
      <c r="L21" s="94"/>
    </row>
    <row r="22" spans="1:13" s="9" customFormat="1" ht="23.1" hidden="1" customHeight="1">
      <c r="A22" s="13" t="s">
        <v>10</v>
      </c>
      <c r="C22" s="84">
        <f>C20/C24</f>
        <v>1066.5648148148148</v>
      </c>
      <c r="H22" s="17">
        <f>+(C22/L22)-1</f>
        <v>-1.4395550666177703E-2</v>
      </c>
      <c r="J22" s="13" t="s">
        <v>10</v>
      </c>
      <c r="K22" s="126"/>
      <c r="L22" s="94">
        <f>L20/L24</f>
        <v>1082.1428571428571</v>
      </c>
    </row>
    <row r="23" spans="1:13" s="9" customFormat="1" ht="23.4" hidden="1">
      <c r="K23" s="126"/>
    </row>
    <row r="24" spans="1:13" s="9" customFormat="1" ht="23.4" hidden="1">
      <c r="A24" s="13" t="s">
        <v>11</v>
      </c>
      <c r="C24" s="13">
        <v>108</v>
      </c>
      <c r="H24" s="17">
        <f>+(C24/L24)-1</f>
        <v>0.54285714285714293</v>
      </c>
      <c r="J24" s="13" t="s">
        <v>11</v>
      </c>
      <c r="K24" s="126"/>
      <c r="L24" s="13">
        <v>70</v>
      </c>
    </row>
    <row r="25" spans="1:13" s="9" customFormat="1" ht="23.4" hidden="1">
      <c r="A25" s="13"/>
      <c r="C25" s="13"/>
      <c r="H25" s="17"/>
      <c r="J25" s="13"/>
      <c r="K25" s="126"/>
      <c r="L25" s="13"/>
    </row>
    <row r="26" spans="1:13" s="9" customFormat="1" ht="23.4" hidden="1">
      <c r="A26" s="13" t="s">
        <v>12</v>
      </c>
      <c r="J26" s="13" t="s">
        <v>12</v>
      </c>
      <c r="K26" s="126"/>
    </row>
    <row r="27" spans="1:13" hidden="1">
      <c r="A27" s="1" t="s">
        <v>13</v>
      </c>
      <c r="C27" s="1">
        <v>104</v>
      </c>
      <c r="H27" s="6">
        <f>+(C27/L27)-1</f>
        <v>0.48571428571428577</v>
      </c>
      <c r="J27" s="1" t="s">
        <v>13</v>
      </c>
      <c r="L27" s="1">
        <v>70</v>
      </c>
    </row>
    <row r="28" spans="1:13" hidden="1">
      <c r="A28" s="1" t="s">
        <v>14</v>
      </c>
      <c r="C28" s="1">
        <v>87</v>
      </c>
      <c r="D28" s="1">
        <f>+C27/C28</f>
        <v>1.1954022988505748</v>
      </c>
      <c r="H28" s="6">
        <f>+(C28/L28)-1</f>
        <v>0.40322580645161299</v>
      </c>
      <c r="J28" s="1" t="s">
        <v>14</v>
      </c>
      <c r="L28" s="1">
        <v>62</v>
      </c>
      <c r="M28" s="1">
        <f>+L27/L28</f>
        <v>1.1290322580645162</v>
      </c>
    </row>
    <row r="29" spans="1:13" hidden="1">
      <c r="A29" s="1" t="s">
        <v>15</v>
      </c>
      <c r="C29" s="1">
        <v>3</v>
      </c>
      <c r="H29" s="6">
        <f>IFERROR(+(C29/L29)-1,0)</f>
        <v>0</v>
      </c>
      <c r="J29" s="1" t="s">
        <v>15</v>
      </c>
      <c r="L29" s="1">
        <v>0</v>
      </c>
    </row>
    <row r="30" spans="1:13" hidden="1">
      <c r="A30" s="1" t="s">
        <v>16</v>
      </c>
      <c r="C30" s="1">
        <v>1</v>
      </c>
      <c r="H30" s="6">
        <f>IFERROR(+(C30/L30)-1,0)</f>
        <v>-0.5</v>
      </c>
      <c r="J30" s="1" t="s">
        <v>16</v>
      </c>
      <c r="L30" s="1">
        <v>2</v>
      </c>
    </row>
    <row r="31" spans="1:13" hidden="1">
      <c r="A31" s="1" t="s">
        <v>37</v>
      </c>
      <c r="C31" s="1">
        <v>181</v>
      </c>
      <c r="H31" s="6">
        <f>IFERROR(+(C31/L31)-1,0)</f>
        <v>-0.12980769230769229</v>
      </c>
      <c r="J31" s="1" t="s">
        <v>38</v>
      </c>
      <c r="L31" s="1">
        <v>208</v>
      </c>
    </row>
    <row r="32" spans="1:13" hidden="1">
      <c r="A32" s="1" t="s">
        <v>39</v>
      </c>
      <c r="C32" s="1">
        <v>1</v>
      </c>
      <c r="H32" s="6">
        <f>IFERROR(+(C32/L32)-1,0)</f>
        <v>-0.5</v>
      </c>
      <c r="J32" s="1" t="s">
        <v>39</v>
      </c>
      <c r="L32" s="1">
        <v>2</v>
      </c>
    </row>
    <row r="33" hidden="1"/>
  </sheetData>
  <mergeCells count="8">
    <mergeCell ref="B14:G14"/>
    <mergeCell ref="A2:A3"/>
    <mergeCell ref="A8:A9"/>
    <mergeCell ref="B1:H1"/>
    <mergeCell ref="B2:E2"/>
    <mergeCell ref="B7:G7"/>
    <mergeCell ref="J1:N1"/>
    <mergeCell ref="K2:N2"/>
  </mergeCells>
  <conditionalFormatting sqref="G8:G11 G4:G5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{9FF0AC1A-B943-46FC-8AF0-44102271FE79}</x14:id>
        </ext>
      </extLst>
    </cfRule>
  </conditionalFormatting>
  <conditionalFormatting sqref="H8:H11 H4:H5">
    <cfRule type="dataBar" priority="5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{228873DB-5C0C-4497-805C-222E0F2B2803}</x14:id>
        </ext>
      </extLs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F0AC1A-B943-46FC-8AF0-44102271FE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G8:G11 G4:G5</xm:sqref>
        </x14:conditionalFormatting>
        <x14:conditionalFormatting xmlns:xm="http://schemas.microsoft.com/office/excel/2006/main">
          <x14:cfRule type="dataBar" id="{228873DB-5C0C-4497-805C-222E0F2B28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H8:H11 H4:H5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9DD1-ABE8-4E18-BE27-168167786FF0}">
  <sheetPr codeName="Hoja5"/>
  <dimension ref="A1:P48"/>
  <sheetViews>
    <sheetView showGridLines="0" zoomScale="50" zoomScaleNormal="50" workbookViewId="0">
      <selection activeCell="B1" sqref="B1:N1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26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7.21875" style="1" customWidth="1"/>
    <col min="9" max="9" width="26.44140625" style="1" customWidth="1"/>
    <col min="10" max="10" width="21" style="1" customWidth="1"/>
    <col min="11" max="11" width="19.21875" style="1" customWidth="1"/>
    <col min="12" max="12" width="26.33203125" style="1" bestFit="1" customWidth="1"/>
    <col min="13" max="13" width="14.109375" style="1" customWidth="1"/>
    <col min="14" max="16384" width="8.88671875" style="1"/>
  </cols>
  <sheetData>
    <row r="1" spans="1:14" ht="18.600000000000001" thickBot="1">
      <c r="A1" s="51" t="s">
        <v>64</v>
      </c>
      <c r="B1" s="146">
        <v>45488</v>
      </c>
      <c r="C1" s="146"/>
      <c r="D1" s="146"/>
      <c r="E1" s="146"/>
      <c r="F1" s="146"/>
      <c r="G1" s="146"/>
      <c r="H1" s="146"/>
      <c r="I1" s="202"/>
      <c r="J1" s="203">
        <v>45122</v>
      </c>
      <c r="K1" s="203"/>
      <c r="L1" s="203"/>
      <c r="M1" s="203"/>
      <c r="N1" s="203"/>
    </row>
    <row r="2" spans="1:14">
      <c r="A2" s="129" t="s">
        <v>97</v>
      </c>
      <c r="B2" s="134" t="s">
        <v>0</v>
      </c>
      <c r="C2" s="134"/>
      <c r="D2" s="134"/>
      <c r="E2" s="134"/>
      <c r="I2" s="202"/>
      <c r="J2" s="204" t="s">
        <v>0</v>
      </c>
      <c r="K2" s="204"/>
      <c r="L2" s="204"/>
      <c r="M2" s="204"/>
      <c r="N2" s="202"/>
    </row>
    <row r="3" spans="1:14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29" t="s">
        <v>100</v>
      </c>
      <c r="G3" s="29" t="s">
        <v>5</v>
      </c>
      <c r="H3" s="29" t="s">
        <v>6</v>
      </c>
      <c r="I3" s="205">
        <v>2023</v>
      </c>
      <c r="J3" s="202" t="s">
        <v>1</v>
      </c>
      <c r="K3" s="202" t="s">
        <v>2</v>
      </c>
      <c r="L3" s="202" t="s">
        <v>3</v>
      </c>
      <c r="M3" s="202" t="s">
        <v>4</v>
      </c>
      <c r="N3" s="202"/>
    </row>
    <row r="4" spans="1:14" ht="18">
      <c r="A4" s="143" t="s">
        <v>52</v>
      </c>
      <c r="B4" s="144">
        <v>2</v>
      </c>
      <c r="C4" s="91">
        <v>800</v>
      </c>
      <c r="D4" s="4">
        <f>+B4/$B$8</f>
        <v>0.1111111111111111</v>
      </c>
      <c r="E4" s="4">
        <f>+C4/$C$8</f>
        <v>3.8929440389294405E-2</v>
      </c>
      <c r="F4" s="1">
        <f>IFERROR(+VLOOKUP(A4,$I$4:$J$7,2,FALSE),0)</f>
        <v>1</v>
      </c>
      <c r="G4" s="5">
        <f>+B4-F4</f>
        <v>1</v>
      </c>
      <c r="H4" s="6">
        <f>IFERROR(+(B4/F4)-1,0)</f>
        <v>1</v>
      </c>
      <c r="I4" s="194" t="s">
        <v>51</v>
      </c>
      <c r="J4" s="195">
        <v>8</v>
      </c>
      <c r="K4" s="206">
        <v>5930</v>
      </c>
      <c r="L4" s="207">
        <f>+J4/$J$8</f>
        <v>0.2857142857142857</v>
      </c>
      <c r="M4" s="208">
        <f>+K4/$K$8</f>
        <v>0.20392022008253094</v>
      </c>
      <c r="N4" s="202"/>
    </row>
    <row r="5" spans="1:14" ht="18">
      <c r="A5" s="143" t="s">
        <v>55</v>
      </c>
      <c r="B5" s="144">
        <v>16</v>
      </c>
      <c r="C5" s="91">
        <v>19750</v>
      </c>
      <c r="D5" s="4">
        <f>+B5/$B$8</f>
        <v>0.88888888888888884</v>
      </c>
      <c r="E5" s="4">
        <f>+C5/$C$8</f>
        <v>0.96107055961070564</v>
      </c>
      <c r="F5" s="1">
        <f>IFERROR(+VLOOKUP(A5,$I$4:$J$7,2,FALSE),0)</f>
        <v>15</v>
      </c>
      <c r="G5" s="5">
        <f t="shared" ref="G5:G7" si="0">+B5-F5</f>
        <v>1</v>
      </c>
      <c r="H5" s="6">
        <f t="shared" ref="H5:H7" si="1">IFERROR(+(B5/F5)-1,0)</f>
        <v>6.6666666666666652E-2</v>
      </c>
      <c r="I5" s="194" t="s">
        <v>52</v>
      </c>
      <c r="J5" s="195">
        <v>1</v>
      </c>
      <c r="K5" s="206">
        <v>1840</v>
      </c>
      <c r="L5" s="207"/>
      <c r="M5" s="208"/>
      <c r="N5" s="202"/>
    </row>
    <row r="6" spans="1:14" ht="18">
      <c r="A6" s="19"/>
      <c r="B6" s="21"/>
      <c r="C6" s="91"/>
      <c r="D6" s="4">
        <f>+B6/$B$8</f>
        <v>0</v>
      </c>
      <c r="E6" s="4">
        <f>+C6/$C$8</f>
        <v>0</v>
      </c>
      <c r="F6" s="1">
        <f>IFERROR(+VLOOKUP(A6,$I$4:$J$7,2,FALSE),0)</f>
        <v>0</v>
      </c>
      <c r="G6" s="5">
        <f t="shared" ref="G6" si="2">+B6-F6</f>
        <v>0</v>
      </c>
      <c r="H6" s="6">
        <f t="shared" ref="H6" si="3">IFERROR(+(B6/F6)-1,0)</f>
        <v>0</v>
      </c>
      <c r="I6" s="194" t="s">
        <v>74</v>
      </c>
      <c r="J6" s="195">
        <v>4</v>
      </c>
      <c r="K6" s="206">
        <v>3100</v>
      </c>
      <c r="L6" s="207"/>
      <c r="M6" s="208"/>
      <c r="N6" s="202"/>
    </row>
    <row r="7" spans="1:14" ht="18">
      <c r="A7" s="19"/>
      <c r="B7" s="21"/>
      <c r="C7" s="91"/>
      <c r="D7" s="4">
        <f>+B7/$B$8</f>
        <v>0</v>
      </c>
      <c r="E7" s="4">
        <f>+C7/$C$8</f>
        <v>0</v>
      </c>
      <c r="F7" s="1">
        <f>IFERROR(+VLOOKUP(A7,$I$4:$J$7,2,FALSE),0)</f>
        <v>0</v>
      </c>
      <c r="G7" s="5">
        <f t="shared" si="0"/>
        <v>0</v>
      </c>
      <c r="H7" s="6">
        <f t="shared" si="1"/>
        <v>0</v>
      </c>
      <c r="I7" s="194" t="s">
        <v>55</v>
      </c>
      <c r="J7" s="195">
        <v>15</v>
      </c>
      <c r="K7" s="195">
        <v>18210</v>
      </c>
      <c r="L7" s="207"/>
      <c r="M7" s="208"/>
      <c r="N7" s="202"/>
    </row>
    <row r="8" spans="1:14">
      <c r="A8" s="30" t="s">
        <v>80</v>
      </c>
      <c r="B8" s="31">
        <f t="shared" ref="B8:G8" si="4">SUM(B4:B7)</f>
        <v>18</v>
      </c>
      <c r="C8" s="92">
        <f t="shared" si="4"/>
        <v>20550</v>
      </c>
      <c r="D8" s="32">
        <f t="shared" si="4"/>
        <v>1</v>
      </c>
      <c r="E8" s="32">
        <f t="shared" si="4"/>
        <v>1</v>
      </c>
      <c r="F8" s="33">
        <f t="shared" si="4"/>
        <v>16</v>
      </c>
      <c r="G8" s="34">
        <f t="shared" si="4"/>
        <v>2</v>
      </c>
      <c r="H8" s="6">
        <f>+(B8/F8)-1</f>
        <v>0.125</v>
      </c>
      <c r="I8" s="30" t="s">
        <v>0</v>
      </c>
      <c r="J8" s="31">
        <f>SUM(J4:J7)</f>
        <v>28</v>
      </c>
      <c r="K8" s="92">
        <f>SUM(K4:K7)</f>
        <v>29080</v>
      </c>
      <c r="L8" s="35">
        <f>SUM(L4:L7)</f>
        <v>0.2857142857142857</v>
      </c>
      <c r="M8" s="35">
        <f>SUM(M4:M7)</f>
        <v>0.20392022008253094</v>
      </c>
      <c r="N8" s="167"/>
    </row>
    <row r="9" spans="1:14" ht="28.8">
      <c r="A9" s="121" t="s">
        <v>110</v>
      </c>
      <c r="B9" s="140">
        <f>COUNTA(A4:A7)</f>
        <v>2</v>
      </c>
      <c r="C9" s="140"/>
      <c r="D9" s="140"/>
      <c r="E9" s="140"/>
      <c r="F9" s="140"/>
      <c r="G9" s="140"/>
      <c r="H9" s="6"/>
      <c r="I9" s="114">
        <f>COUNTA(I4:I7)</f>
        <v>4</v>
      </c>
      <c r="J9" s="31"/>
      <c r="K9" s="92"/>
      <c r="L9" s="35"/>
      <c r="M9" s="35"/>
      <c r="N9" s="167"/>
    </row>
    <row r="10" spans="1:14" ht="18">
      <c r="A10" s="128" t="s">
        <v>99</v>
      </c>
      <c r="B10" s="21"/>
      <c r="C10" s="91"/>
      <c r="D10" s="4"/>
      <c r="E10" s="4"/>
      <c r="G10" s="5"/>
      <c r="H10" s="6"/>
      <c r="I10" s="202"/>
      <c r="J10" s="202"/>
      <c r="K10" s="209"/>
      <c r="L10" s="207"/>
      <c r="M10" s="208"/>
      <c r="N10" s="202"/>
    </row>
    <row r="11" spans="1:14" ht="18">
      <c r="A11" s="128"/>
      <c r="B11" s="21"/>
      <c r="C11" s="91"/>
      <c r="D11" s="4"/>
      <c r="E11" s="4"/>
      <c r="G11" s="5"/>
      <c r="H11" s="6"/>
      <c r="I11" s="210"/>
      <c r="J11" s="211"/>
      <c r="K11" s="212"/>
      <c r="L11" s="207"/>
      <c r="M11" s="208"/>
      <c r="N11" s="202"/>
    </row>
    <row r="12" spans="1:14" ht="18">
      <c r="A12" s="143" t="s">
        <v>122</v>
      </c>
      <c r="B12" s="144">
        <v>1</v>
      </c>
      <c r="C12" s="91">
        <v>1900</v>
      </c>
      <c r="D12" s="4">
        <f>+B12/$B$25</f>
        <v>0.05</v>
      </c>
      <c r="E12" s="4">
        <f>+C12/$C$25</f>
        <v>9.82928091050181E-2</v>
      </c>
      <c r="F12" s="1">
        <f>IFERROR(+VLOOKUP(A12,$I$12:$J$24,2,FALSE),0)</f>
        <v>0</v>
      </c>
      <c r="G12" s="5">
        <f>+B12-F12</f>
        <v>1</v>
      </c>
      <c r="H12" s="6">
        <f>IFERROR(+(B12/F12)-1,0)</f>
        <v>0</v>
      </c>
      <c r="I12" s="194" t="s">
        <v>41</v>
      </c>
      <c r="J12" s="195">
        <v>1</v>
      </c>
      <c r="K12" s="206">
        <v>320</v>
      </c>
      <c r="L12" s="207">
        <f>+J11/$J$25</f>
        <v>0</v>
      </c>
      <c r="M12" s="208">
        <f>+K11/$K$25</f>
        <v>0</v>
      </c>
      <c r="N12" s="202"/>
    </row>
    <row r="13" spans="1:14" ht="18">
      <c r="A13" s="143" t="s">
        <v>128</v>
      </c>
      <c r="B13" s="144">
        <v>2</v>
      </c>
      <c r="C13" s="91">
        <v>360</v>
      </c>
      <c r="D13" s="4">
        <f>+B13/$B$25</f>
        <v>0.1</v>
      </c>
      <c r="E13" s="4">
        <f>+C13/$C$25</f>
        <v>1.8623900672529746E-2</v>
      </c>
      <c r="F13" s="1">
        <f>IFERROR(+VLOOKUP(A13,$I$12:$J$24,2,FALSE),0)</f>
        <v>0</v>
      </c>
      <c r="G13" s="5">
        <f t="shared" ref="G13:G24" si="5">+B13-F13</f>
        <v>2</v>
      </c>
      <c r="H13" s="6">
        <f t="shared" ref="H13:H26" si="6">IFERROR(+(B13/F13)-1,0)</f>
        <v>0</v>
      </c>
      <c r="I13" s="194" t="s">
        <v>50</v>
      </c>
      <c r="J13" s="195">
        <v>1</v>
      </c>
      <c r="K13" s="206">
        <v>2300</v>
      </c>
      <c r="L13" s="207">
        <f>+J12/$J$25</f>
        <v>2.8571428571428571E-2</v>
      </c>
      <c r="M13" s="208">
        <f>+K12/$K$25</f>
        <v>1.06702234078026E-2</v>
      </c>
      <c r="N13" s="202"/>
    </row>
    <row r="14" spans="1:14" ht="18">
      <c r="A14" s="143" t="s">
        <v>50</v>
      </c>
      <c r="B14" s="144">
        <v>3</v>
      </c>
      <c r="C14" s="91">
        <v>2200</v>
      </c>
      <c r="D14" s="4">
        <f>+B14/$B$25</f>
        <v>0.15</v>
      </c>
      <c r="E14" s="4">
        <f>+C14/$C$25</f>
        <v>0.11381272633212623</v>
      </c>
      <c r="F14" s="1">
        <f>IFERROR(+VLOOKUP(A14,$I$12:$J$24,2,FALSE),0)</f>
        <v>1</v>
      </c>
      <c r="G14" s="5">
        <f t="shared" si="5"/>
        <v>2</v>
      </c>
      <c r="H14" s="6">
        <f t="shared" si="6"/>
        <v>2</v>
      </c>
      <c r="I14" s="194" t="s">
        <v>124</v>
      </c>
      <c r="J14" s="195">
        <v>2</v>
      </c>
      <c r="K14" s="206">
        <v>1600</v>
      </c>
      <c r="L14" s="207">
        <f>+J13/$J$25</f>
        <v>2.8571428571428571E-2</v>
      </c>
      <c r="M14" s="208">
        <f>+K13/$K$25</f>
        <v>7.6692230743581197E-2</v>
      </c>
      <c r="N14" s="202"/>
    </row>
    <row r="15" spans="1:14" ht="18">
      <c r="A15" s="143" t="s">
        <v>76</v>
      </c>
      <c r="B15" s="144">
        <v>1</v>
      </c>
      <c r="C15" s="91">
        <v>1200</v>
      </c>
      <c r="D15" s="4">
        <f>+B15/$B$25</f>
        <v>0.05</v>
      </c>
      <c r="E15" s="4">
        <f>+C15/$C$25</f>
        <v>6.2079668908432487E-2</v>
      </c>
      <c r="F15" s="1">
        <f>IFERROR(+VLOOKUP(A15,$I$12:$J$24,2,FALSE),0)</f>
        <v>0</v>
      </c>
      <c r="G15" s="5">
        <f t="shared" si="5"/>
        <v>1</v>
      </c>
      <c r="H15" s="6">
        <f t="shared" si="6"/>
        <v>0</v>
      </c>
      <c r="I15" s="194" t="s">
        <v>29</v>
      </c>
      <c r="J15" s="195">
        <v>3</v>
      </c>
      <c r="K15" s="206">
        <v>2330</v>
      </c>
      <c r="L15" s="207">
        <f>+J14/$J$25</f>
        <v>5.7142857142857141E-2</v>
      </c>
      <c r="M15" s="208">
        <f>+K14/$K$25</f>
        <v>5.3351117039013005E-2</v>
      </c>
      <c r="N15" s="202"/>
    </row>
    <row r="16" spans="1:14" ht="18">
      <c r="A16" s="143" t="s">
        <v>26</v>
      </c>
      <c r="B16" s="144">
        <v>1</v>
      </c>
      <c r="C16" s="91">
        <v>700</v>
      </c>
      <c r="D16" s="4">
        <f>+B16/$B$25</f>
        <v>0.05</v>
      </c>
      <c r="E16" s="4">
        <f>+C16/$C$25</f>
        <v>3.6213140196585621E-2</v>
      </c>
      <c r="F16" s="1">
        <f>IFERROR(+VLOOKUP(A16,$I$12:$J$24,2,FALSE),0)</f>
        <v>0</v>
      </c>
      <c r="G16" s="5">
        <f t="shared" si="5"/>
        <v>1</v>
      </c>
      <c r="H16" s="6">
        <f t="shared" si="6"/>
        <v>0</v>
      </c>
      <c r="I16" s="194" t="s">
        <v>34</v>
      </c>
      <c r="J16" s="195">
        <v>7</v>
      </c>
      <c r="K16" s="206">
        <v>8630</v>
      </c>
      <c r="L16" s="207">
        <f>+J15/$J$25</f>
        <v>8.5714285714285715E-2</v>
      </c>
      <c r="M16" s="208">
        <f>+K15/$K$25</f>
        <v>7.7692564188062682E-2</v>
      </c>
      <c r="N16" s="213"/>
    </row>
    <row r="17" spans="1:16" ht="18">
      <c r="A17" s="143" t="s">
        <v>29</v>
      </c>
      <c r="B17" s="144">
        <v>2</v>
      </c>
      <c r="C17" s="91">
        <v>1320</v>
      </c>
      <c r="D17" s="4">
        <f>+B17/$B$25</f>
        <v>0.1</v>
      </c>
      <c r="E17" s="4">
        <f>+C17/$C$25</f>
        <v>6.8287635799275742E-2</v>
      </c>
      <c r="F17" s="1">
        <f>IFERROR(+VLOOKUP(A17,$I$12:$J$24,2,FALSE),0)</f>
        <v>3</v>
      </c>
      <c r="G17" s="5">
        <f t="shared" si="5"/>
        <v>-1</v>
      </c>
      <c r="H17" s="6">
        <f t="shared" si="6"/>
        <v>-0.33333333333333337</v>
      </c>
      <c r="I17" s="194" t="s">
        <v>31</v>
      </c>
      <c r="J17" s="195">
        <v>1</v>
      </c>
      <c r="K17" s="206">
        <v>350</v>
      </c>
      <c r="L17" s="207">
        <f>+J16/$J$25</f>
        <v>0.2</v>
      </c>
      <c r="M17" s="208">
        <f>+K16/$K$25</f>
        <v>0.28776258752917638</v>
      </c>
      <c r="N17" s="202"/>
    </row>
    <row r="18" spans="1:16" ht="18">
      <c r="A18" s="143" t="s">
        <v>34</v>
      </c>
      <c r="B18" s="144">
        <v>1</v>
      </c>
      <c r="C18" s="91">
        <v>300</v>
      </c>
      <c r="D18" s="4">
        <f>+B18/$B$25</f>
        <v>0.05</v>
      </c>
      <c r="E18" s="4">
        <f>+C18/$C$25</f>
        <v>1.5519917227108122E-2</v>
      </c>
      <c r="F18" s="1">
        <f>IFERROR(+VLOOKUP(A18,$I$12:$J$24,2,FALSE),0)</f>
        <v>7</v>
      </c>
      <c r="G18" s="5">
        <f t="shared" si="5"/>
        <v>-6</v>
      </c>
      <c r="H18" s="6">
        <f t="shared" si="6"/>
        <v>-0.85714285714285721</v>
      </c>
      <c r="I18" s="194" t="s">
        <v>32</v>
      </c>
      <c r="J18" s="195">
        <v>3</v>
      </c>
      <c r="K18" s="206">
        <v>3300</v>
      </c>
      <c r="L18" s="207">
        <f>+J17/$J$25</f>
        <v>2.8571428571428571E-2</v>
      </c>
      <c r="M18" s="208">
        <f>+K17/$K$25</f>
        <v>1.1670556852284094E-2</v>
      </c>
      <c r="N18" s="202"/>
    </row>
    <row r="19" spans="1:16" ht="18">
      <c r="A19" s="143" t="s">
        <v>32</v>
      </c>
      <c r="B19" s="144">
        <v>2</v>
      </c>
      <c r="C19" s="91">
        <v>6000</v>
      </c>
      <c r="D19" s="4">
        <f>+B19/$B$25</f>
        <v>0.1</v>
      </c>
      <c r="E19" s="4">
        <f>+C19/$C$25</f>
        <v>0.31039834454216242</v>
      </c>
      <c r="F19" s="1">
        <f>IFERROR(+VLOOKUP(A19,$I$12:$J$24,2,FALSE),0)</f>
        <v>3</v>
      </c>
      <c r="G19" s="5">
        <f t="shared" si="5"/>
        <v>-1</v>
      </c>
      <c r="H19" s="6">
        <f t="shared" si="6"/>
        <v>-0.33333333333333337</v>
      </c>
      <c r="I19" s="194" t="s">
        <v>61</v>
      </c>
      <c r="J19" s="195">
        <v>1</v>
      </c>
      <c r="K19" s="206">
        <v>100</v>
      </c>
      <c r="L19" s="207">
        <f>+J18/$J$25</f>
        <v>8.5714285714285715E-2</v>
      </c>
      <c r="M19" s="208">
        <f>+K18/$K$25</f>
        <v>0.11003667889296433</v>
      </c>
      <c r="N19" s="202"/>
    </row>
    <row r="20" spans="1:16" ht="18">
      <c r="A20" s="143" t="s">
        <v>71</v>
      </c>
      <c r="B20" s="144">
        <v>1</v>
      </c>
      <c r="C20" s="91">
        <v>200</v>
      </c>
      <c r="D20" s="4">
        <f>+B20/$B$25</f>
        <v>0.05</v>
      </c>
      <c r="E20" s="4">
        <f>+C20/$C$25</f>
        <v>1.0346611484738748E-2</v>
      </c>
      <c r="F20" s="1">
        <f>IFERROR(+VLOOKUP(A20,$I$12:$J$24,2,FALSE),0)</f>
        <v>4</v>
      </c>
      <c r="G20" s="5">
        <f t="shared" si="5"/>
        <v>-3</v>
      </c>
      <c r="H20" s="6">
        <f t="shared" si="6"/>
        <v>-0.75</v>
      </c>
      <c r="I20" s="194" t="s">
        <v>54</v>
      </c>
      <c r="J20" s="195">
        <v>1</v>
      </c>
      <c r="K20" s="206">
        <v>800</v>
      </c>
      <c r="L20" s="207">
        <f>+J19/$J$25</f>
        <v>2.8571428571428571E-2</v>
      </c>
      <c r="M20" s="208">
        <f>+K18/$K$25</f>
        <v>0.11003667889296433</v>
      </c>
      <c r="N20" s="202"/>
    </row>
    <row r="21" spans="1:16" ht="18">
      <c r="A21" s="143" t="s">
        <v>70</v>
      </c>
      <c r="B21" s="144">
        <v>3</v>
      </c>
      <c r="C21" s="91">
        <v>2400</v>
      </c>
      <c r="D21" s="4">
        <f>+B21/$B$25</f>
        <v>0.15</v>
      </c>
      <c r="E21" s="4">
        <f>+C21/$C$25</f>
        <v>0.12415933781686497</v>
      </c>
      <c r="F21" s="1">
        <f>IFERROR(+VLOOKUP(A21,$I$12:$J$24,2,FALSE),0)</f>
        <v>7</v>
      </c>
      <c r="G21" s="5">
        <f t="shared" si="5"/>
        <v>-4</v>
      </c>
      <c r="H21" s="6">
        <f t="shared" si="6"/>
        <v>-0.5714285714285714</v>
      </c>
      <c r="I21" s="194" t="s">
        <v>71</v>
      </c>
      <c r="J21" s="195">
        <v>4</v>
      </c>
      <c r="K21" s="206">
        <v>1610</v>
      </c>
      <c r="L21" s="207">
        <f>+J20/$J$25</f>
        <v>2.8571428571428571E-2</v>
      </c>
      <c r="M21" s="208">
        <f>+K20/$K$25</f>
        <v>2.6675558519506502E-2</v>
      </c>
      <c r="N21" s="202"/>
    </row>
    <row r="22" spans="1:16" ht="18">
      <c r="A22" s="143" t="s">
        <v>72</v>
      </c>
      <c r="B22" s="144">
        <v>1</v>
      </c>
      <c r="C22" s="91">
        <v>150</v>
      </c>
      <c r="D22" s="4">
        <f>+B22/$B$25</f>
        <v>0.05</v>
      </c>
      <c r="E22" s="4">
        <f>+C22/$C$25</f>
        <v>7.7599586135540608E-3</v>
      </c>
      <c r="F22" s="1">
        <f>IFERROR(+VLOOKUP(A22,$I$12:$J$24,2,FALSE),0)</f>
        <v>0</v>
      </c>
      <c r="G22" s="5">
        <f t="shared" si="5"/>
        <v>1</v>
      </c>
      <c r="H22" s="6">
        <f t="shared" si="6"/>
        <v>0</v>
      </c>
      <c r="I22" s="194" t="s">
        <v>70</v>
      </c>
      <c r="J22" s="195">
        <v>7</v>
      </c>
      <c r="K22" s="206">
        <v>5420</v>
      </c>
      <c r="L22" s="207">
        <f>+J21/$J$25</f>
        <v>0.11428571428571428</v>
      </c>
      <c r="M22" s="208">
        <f>+K21/$K$25</f>
        <v>5.3684561520506838E-2</v>
      </c>
      <c r="N22" s="202"/>
    </row>
    <row r="23" spans="1:16" ht="18">
      <c r="A23" s="143" t="s">
        <v>48</v>
      </c>
      <c r="B23" s="144">
        <v>1</v>
      </c>
      <c r="C23" s="91">
        <v>1000</v>
      </c>
      <c r="D23" s="4">
        <f>+B23/$B$25</f>
        <v>0.05</v>
      </c>
      <c r="E23" s="4">
        <f>+C23/$C$25</f>
        <v>5.1733057423693739E-2</v>
      </c>
      <c r="F23" s="1">
        <f>IFERROR(+VLOOKUP(A23,$I$12:$J$24,2,FALSE),0)</f>
        <v>0</v>
      </c>
      <c r="G23" s="5">
        <f t="shared" si="5"/>
        <v>1</v>
      </c>
      <c r="H23" s="6">
        <f t="shared" si="6"/>
        <v>0</v>
      </c>
      <c r="I23" s="194" t="s">
        <v>69</v>
      </c>
      <c r="J23" s="195">
        <v>2</v>
      </c>
      <c r="K23" s="206">
        <v>2500</v>
      </c>
      <c r="L23" s="207">
        <f>+J22/$J$25</f>
        <v>0.2</v>
      </c>
      <c r="M23" s="208">
        <f>+K22/$K$25</f>
        <v>0.18072690896965654</v>
      </c>
      <c r="N23" s="202"/>
    </row>
    <row r="24" spans="1:16" ht="18">
      <c r="A24" s="143" t="s">
        <v>134</v>
      </c>
      <c r="B24" s="144">
        <v>1</v>
      </c>
      <c r="C24" s="91">
        <v>1600</v>
      </c>
      <c r="D24" s="4">
        <f>+B24/$B$25</f>
        <v>0.05</v>
      </c>
      <c r="E24" s="4">
        <f>+C24/$C$25</f>
        <v>8.2772891877909982E-2</v>
      </c>
      <c r="F24" s="1">
        <f>IFERROR(+VLOOKUP(A24,$I$12:$J$24,2,FALSE),0)</f>
        <v>0</v>
      </c>
      <c r="G24" s="5">
        <f t="shared" si="5"/>
        <v>1</v>
      </c>
      <c r="H24" s="6">
        <f t="shared" si="6"/>
        <v>0</v>
      </c>
      <c r="I24" s="194" t="s">
        <v>73</v>
      </c>
      <c r="J24" s="195">
        <v>2</v>
      </c>
      <c r="K24" s="206">
        <v>730</v>
      </c>
      <c r="L24" s="207">
        <f>+J23/$J$25</f>
        <v>5.7142857142857141E-2</v>
      </c>
      <c r="M24" s="208">
        <f>+K23/$K$25</f>
        <v>8.3361120373457817E-2</v>
      </c>
      <c r="N24" s="202"/>
    </row>
    <row r="25" spans="1:16">
      <c r="A25" s="30" t="s">
        <v>81</v>
      </c>
      <c r="B25" s="31">
        <f>SUM(B12:B24)</f>
        <v>20</v>
      </c>
      <c r="C25" s="92">
        <f>SUM(C12:C24)</f>
        <v>19330</v>
      </c>
      <c r="D25" s="32">
        <f>SUM(D12:D24)</f>
        <v>1.0000000000000002</v>
      </c>
      <c r="E25" s="32">
        <f>SUM(E12:E24)</f>
        <v>0.99999999999999978</v>
      </c>
      <c r="F25" s="33">
        <f>SUM(F12:F24)</f>
        <v>25</v>
      </c>
      <c r="G25" s="34">
        <f>SUM(G12:G24)</f>
        <v>-5</v>
      </c>
      <c r="H25" s="6">
        <f t="shared" si="6"/>
        <v>-0.19999999999999996</v>
      </c>
      <c r="I25" s="30" t="s">
        <v>0</v>
      </c>
      <c r="J25" s="31">
        <f>SUM(J12:J24)</f>
        <v>35</v>
      </c>
      <c r="K25" s="92">
        <f>SUM(K12:K24)</f>
        <v>29990</v>
      </c>
      <c r="L25" s="35">
        <f>SUM(L12:L24)</f>
        <v>0.94285714285714306</v>
      </c>
      <c r="M25" s="35">
        <f>SUM(M12:M24)</f>
        <v>1.0823607869289764</v>
      </c>
      <c r="N25" s="167"/>
    </row>
    <row r="26" spans="1:16" s="25" customFormat="1">
      <c r="A26" s="44" t="s">
        <v>82</v>
      </c>
      <c r="B26" s="45">
        <f>SUM(B25+B8)</f>
        <v>38</v>
      </c>
      <c r="C26" s="93">
        <f>SUM(C25+C8)</f>
        <v>39880</v>
      </c>
      <c r="D26" s="46">
        <f>SUM(D25+D8)</f>
        <v>2</v>
      </c>
      <c r="E26" s="46">
        <f>SUM(E25+E8)</f>
        <v>1.9999999999999998</v>
      </c>
      <c r="F26" s="47">
        <f>SUM(F25+F8)</f>
        <v>41</v>
      </c>
      <c r="G26" s="48">
        <f>SUM(G25+G8)</f>
        <v>-3</v>
      </c>
      <c r="H26" s="6">
        <f t="shared" si="6"/>
        <v>-7.3170731707317027E-2</v>
      </c>
      <c r="I26" s="85"/>
      <c r="J26" s="45">
        <f>SUM(J25+J8)</f>
        <v>63</v>
      </c>
      <c r="K26" s="93">
        <f>SUM(K25+K8)</f>
        <v>59070</v>
      </c>
      <c r="L26" s="73">
        <f>SUM(L25+L8)</f>
        <v>1.2285714285714286</v>
      </c>
      <c r="M26" s="73">
        <f>SUM(M25+M8)</f>
        <v>1.2862810070115074</v>
      </c>
      <c r="N26" s="168"/>
      <c r="O26" s="1"/>
      <c r="P26" s="1"/>
    </row>
    <row r="27" spans="1:16" s="25" customFormat="1" ht="28.8">
      <c r="A27" s="106" t="s">
        <v>110</v>
      </c>
      <c r="B27" s="136">
        <f>COUNTA(A12:A24)</f>
        <v>13</v>
      </c>
      <c r="C27" s="136"/>
      <c r="D27" s="136"/>
      <c r="E27" s="136"/>
      <c r="F27" s="136"/>
      <c r="G27" s="136"/>
      <c r="H27" s="6"/>
      <c r="I27" s="122">
        <f>COUNTA(I12:I24)</f>
        <v>13</v>
      </c>
      <c r="J27" s="45"/>
      <c r="K27" s="93"/>
      <c r="L27" s="73"/>
      <c r="M27" s="73"/>
      <c r="N27" s="168"/>
      <c r="O27" s="1"/>
      <c r="P27" s="1"/>
    </row>
    <row r="28" spans="1:16" s="25" customFormat="1" ht="36">
      <c r="A28" s="37" t="s">
        <v>105</v>
      </c>
      <c r="B28" s="8">
        <f>(+B8-J8)</f>
        <v>-10</v>
      </c>
      <c r="C28" s="42"/>
      <c r="D28" s="43"/>
      <c r="E28" s="43"/>
      <c r="F28" s="72"/>
      <c r="G28" s="55"/>
      <c r="H28" s="6"/>
      <c r="I28" s="19"/>
      <c r="J28" s="21"/>
      <c r="K28" s="21"/>
      <c r="L28" s="9"/>
      <c r="M28" s="9"/>
      <c r="N28" s="1"/>
      <c r="O28" s="1"/>
      <c r="P28" s="1"/>
    </row>
    <row r="29" spans="1:16" s="25" customFormat="1" ht="36">
      <c r="A29" s="37" t="s">
        <v>106</v>
      </c>
      <c r="B29" s="8">
        <f>(+B25-J25)</f>
        <v>-15</v>
      </c>
      <c r="C29" s="42"/>
      <c r="D29" s="43"/>
      <c r="E29" s="43"/>
      <c r="F29" s="72"/>
      <c r="G29" s="55"/>
      <c r="H29" s="6"/>
      <c r="I29" s="19"/>
      <c r="J29" s="21"/>
      <c r="K29" s="21"/>
      <c r="L29" s="9"/>
      <c r="M29" s="9"/>
      <c r="N29" s="1"/>
      <c r="O29" s="1"/>
      <c r="P29" s="1"/>
    </row>
    <row r="30" spans="1:16" s="9" customFormat="1" ht="23.4">
      <c r="A30" s="7" t="s">
        <v>7</v>
      </c>
      <c r="B30" s="8">
        <f>+B26-J26</f>
        <v>-25</v>
      </c>
      <c r="D30" s="22"/>
      <c r="I30" s="19"/>
      <c r="N30" s="1"/>
    </row>
    <row r="31" spans="1:16" s="9" customFormat="1" ht="23.4">
      <c r="A31" s="7" t="s">
        <v>8</v>
      </c>
      <c r="B31" s="10">
        <f>(B26/J26)-1</f>
        <v>-0.39682539682539686</v>
      </c>
      <c r="E31" s="22"/>
      <c r="I31" s="19"/>
    </row>
    <row r="32" spans="1:16" s="9" customFormat="1" ht="23.4">
      <c r="A32" s="11"/>
      <c r="B32" s="12"/>
      <c r="D32" s="22"/>
      <c r="I32" s="19"/>
      <c r="J32" s="13"/>
      <c r="K32" s="21"/>
      <c r="L32" s="94"/>
      <c r="M32" s="16"/>
    </row>
    <row r="33" spans="1:14" s="9" customFormat="1" ht="23.4" hidden="1">
      <c r="A33" s="13" t="s">
        <v>9</v>
      </c>
      <c r="C33" s="94">
        <v>119380</v>
      </c>
      <c r="H33" s="15">
        <f>+(C33/L33)-1</f>
        <v>0.11900566157999326</v>
      </c>
      <c r="I33" s="19"/>
      <c r="J33" s="13" t="s">
        <v>9</v>
      </c>
      <c r="K33" s="21"/>
      <c r="L33" s="94">
        <v>106684</v>
      </c>
    </row>
    <row r="34" spans="1:14" s="9" customFormat="1" ht="23.4" hidden="1">
      <c r="A34" s="13"/>
      <c r="C34" s="94"/>
      <c r="H34" s="17"/>
      <c r="I34" s="19"/>
      <c r="J34" s="13"/>
      <c r="K34" s="21"/>
      <c r="L34" s="94"/>
    </row>
    <row r="35" spans="1:14" s="9" customFormat="1" ht="23.1" hidden="1" customHeight="1">
      <c r="A35" s="13" t="s">
        <v>10</v>
      </c>
      <c r="C35" s="94">
        <f>C33/C37</f>
        <v>1085.2727272727273</v>
      </c>
      <c r="H35" s="17">
        <f>+(C35/L35)-1</f>
        <v>-0.18617770066909578</v>
      </c>
      <c r="J35" s="13" t="s">
        <v>10</v>
      </c>
      <c r="K35" s="21"/>
      <c r="L35" s="99">
        <f>L33/L37</f>
        <v>1333.55</v>
      </c>
    </row>
    <row r="36" spans="1:14" s="9" customFormat="1" ht="23.4" hidden="1">
      <c r="I36" s="41"/>
      <c r="K36" s="21"/>
    </row>
    <row r="37" spans="1:14" s="9" customFormat="1" ht="23.4" hidden="1">
      <c r="A37" s="13" t="s">
        <v>11</v>
      </c>
      <c r="C37" s="13">
        <v>110</v>
      </c>
      <c r="H37" s="17">
        <f>+(C37/L37)-1</f>
        <v>0.375</v>
      </c>
      <c r="I37" s="41"/>
      <c r="J37" s="13" t="s">
        <v>11</v>
      </c>
      <c r="K37" s="21"/>
      <c r="L37" s="13">
        <v>80</v>
      </c>
    </row>
    <row r="38" spans="1:14" s="9" customFormat="1" ht="23.4" hidden="1">
      <c r="A38" s="13"/>
      <c r="C38" s="13"/>
      <c r="H38" s="17"/>
      <c r="I38" s="41"/>
      <c r="J38" s="13"/>
      <c r="L38" s="13"/>
    </row>
    <row r="39" spans="1:14" s="9" customFormat="1" ht="23.4" hidden="1">
      <c r="A39" s="13" t="s">
        <v>12</v>
      </c>
      <c r="J39" s="13" t="s">
        <v>12</v>
      </c>
      <c r="M39" s="1"/>
    </row>
    <row r="40" spans="1:14" ht="23.4" hidden="1">
      <c r="A40" s="1" t="s">
        <v>13</v>
      </c>
      <c r="C40" s="1">
        <v>82</v>
      </c>
      <c r="H40" s="6">
        <f>+(C40/L40)-1</f>
        <v>0.30158730158730163</v>
      </c>
      <c r="I40" s="9"/>
      <c r="J40" s="1" t="s">
        <v>13</v>
      </c>
      <c r="K40" s="42"/>
      <c r="L40" s="1">
        <v>63</v>
      </c>
      <c r="M40" s="1">
        <f>+L40/L41</f>
        <v>2.3333333333333335</v>
      </c>
      <c r="N40" s="9"/>
    </row>
    <row r="41" spans="1:14" ht="23.4" hidden="1">
      <c r="A41" s="1" t="s">
        <v>14</v>
      </c>
      <c r="C41" s="1">
        <v>48</v>
      </c>
      <c r="D41" s="1">
        <f>+C40/C41</f>
        <v>1.7083333333333333</v>
      </c>
      <c r="H41" s="6">
        <f t="shared" ref="H41" si="7">+(C41/L40)-1</f>
        <v>-0.23809523809523814</v>
      </c>
      <c r="I41" s="9"/>
      <c r="J41" s="1" t="s">
        <v>14</v>
      </c>
      <c r="K41" s="42"/>
      <c r="L41" s="1">
        <v>27</v>
      </c>
    </row>
    <row r="42" spans="1:14" ht="23.4" hidden="1">
      <c r="A42" s="1" t="s">
        <v>15</v>
      </c>
      <c r="C42" s="1">
        <v>12</v>
      </c>
      <c r="H42" s="6">
        <f>+(C42/L42)-1</f>
        <v>-0.25</v>
      </c>
      <c r="I42" s="9"/>
      <c r="J42" s="1" t="s">
        <v>15</v>
      </c>
      <c r="K42" s="9"/>
      <c r="L42" s="1">
        <v>16</v>
      </c>
    </row>
    <row r="43" spans="1:14" ht="23.4" hidden="1">
      <c r="A43" s="1" t="s">
        <v>16</v>
      </c>
      <c r="C43" s="1">
        <v>16</v>
      </c>
      <c r="H43" s="6">
        <f>+(C43/L43)-1</f>
        <v>15</v>
      </c>
      <c r="I43" s="9"/>
      <c r="J43" s="1" t="s">
        <v>16</v>
      </c>
      <c r="K43" s="9"/>
      <c r="L43" s="1">
        <v>1</v>
      </c>
    </row>
    <row r="44" spans="1:14" ht="23.4" hidden="1">
      <c r="A44" s="1" t="s">
        <v>37</v>
      </c>
      <c r="C44" s="1">
        <v>112</v>
      </c>
      <c r="H44" s="6">
        <f>+(C44/L44)-1</f>
        <v>7.6923076923076872E-2</v>
      </c>
      <c r="I44" s="9"/>
      <c r="J44" s="1" t="s">
        <v>38</v>
      </c>
      <c r="K44" s="9"/>
      <c r="L44" s="1">
        <v>104</v>
      </c>
    </row>
    <row r="45" spans="1:14" ht="23.4" hidden="1">
      <c r="A45" s="1" t="s">
        <v>39</v>
      </c>
      <c r="C45" s="1">
        <v>7</v>
      </c>
      <c r="H45" s="6">
        <f>+(C45/L45)-1</f>
        <v>0.16666666666666674</v>
      </c>
      <c r="I45" s="9"/>
      <c r="J45" s="1" t="s">
        <v>39</v>
      </c>
      <c r="K45" s="9"/>
      <c r="L45" s="1">
        <v>6</v>
      </c>
    </row>
    <row r="46" spans="1:14" ht="23.4">
      <c r="I46" s="9"/>
      <c r="K46" s="9"/>
    </row>
    <row r="47" spans="1:14" ht="23.4">
      <c r="I47" s="9"/>
      <c r="K47" s="9"/>
    </row>
    <row r="48" spans="1:14" ht="23.4">
      <c r="I48" s="9"/>
      <c r="K48" s="9"/>
    </row>
  </sheetData>
  <mergeCells count="8">
    <mergeCell ref="B27:G27"/>
    <mergeCell ref="A2:A3"/>
    <mergeCell ref="J2:M2"/>
    <mergeCell ref="A10:A11"/>
    <mergeCell ref="B1:H1"/>
    <mergeCell ref="B2:E2"/>
    <mergeCell ref="B9:G9"/>
    <mergeCell ref="J1:N1"/>
  </mergeCells>
  <conditionalFormatting sqref="G4:G7 G10:G24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{82DFF1E5-9981-4997-A500-0D4B5275570B}</x14:id>
        </ext>
      </extLst>
    </cfRule>
  </conditionalFormatting>
  <conditionalFormatting sqref="H4:H7 H10:H26">
    <cfRule type="dataBar" priority="5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{1F9892E4-8ED0-4BE2-9D43-ED8D60840E59}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DFF1E5-9981-4997-A500-0D4B527557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G4:G7 G10:G24</xm:sqref>
        </x14:conditionalFormatting>
        <x14:conditionalFormatting xmlns:xm="http://schemas.microsoft.com/office/excel/2006/main">
          <x14:cfRule type="dataBar" id="{1F9892E4-8ED0-4BE2-9D43-ED8D60840E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H4:H7 H10:H26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74F4-E475-4A45-8195-01E3525EDD14}">
  <sheetPr codeName="Hoja6"/>
  <dimension ref="A1:U45"/>
  <sheetViews>
    <sheetView showGridLines="0" zoomScale="50" zoomScaleNormal="50" workbookViewId="0">
      <selection activeCell="B1" sqref="B1:N1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26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1.44140625" style="1" customWidth="1"/>
    <col min="9" max="9" width="26.44140625" style="1" customWidth="1"/>
    <col min="10" max="10" width="21" style="1" customWidth="1"/>
    <col min="11" max="11" width="19.21875" style="1" bestFit="1" customWidth="1"/>
    <col min="12" max="12" width="26.33203125" style="1" bestFit="1" customWidth="1"/>
    <col min="13" max="13" width="14.109375" style="1" customWidth="1"/>
    <col min="14" max="16384" width="8.88671875" style="1"/>
  </cols>
  <sheetData>
    <row r="1" spans="1:14" ht="18.600000000000001" thickBot="1">
      <c r="A1" s="50" t="s">
        <v>79</v>
      </c>
      <c r="B1" s="146">
        <v>45488</v>
      </c>
      <c r="C1" s="146"/>
      <c r="D1" s="146"/>
      <c r="E1" s="146"/>
      <c r="F1" s="146"/>
      <c r="G1" s="146"/>
      <c r="H1" s="146"/>
      <c r="I1" s="170"/>
      <c r="J1" s="169">
        <v>45122</v>
      </c>
      <c r="K1" s="169"/>
      <c r="L1" s="169"/>
      <c r="M1" s="169"/>
      <c r="N1" s="169"/>
    </row>
    <row r="2" spans="1:14">
      <c r="A2" s="129" t="s">
        <v>97</v>
      </c>
      <c r="B2" s="134" t="s">
        <v>0</v>
      </c>
      <c r="C2" s="134"/>
      <c r="D2" s="134"/>
      <c r="E2" s="134"/>
      <c r="I2" s="170"/>
      <c r="J2" s="171" t="s">
        <v>0</v>
      </c>
      <c r="K2" s="171"/>
      <c r="L2" s="171"/>
      <c r="M2" s="171"/>
      <c r="N2" s="170"/>
    </row>
    <row r="3" spans="1:14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29" t="s">
        <v>100</v>
      </c>
      <c r="G3" s="29" t="s">
        <v>5</v>
      </c>
      <c r="H3" s="29" t="s">
        <v>6</v>
      </c>
      <c r="I3" s="172">
        <v>2023</v>
      </c>
      <c r="J3" s="170" t="s">
        <v>1</v>
      </c>
      <c r="K3" s="170" t="s">
        <v>2</v>
      </c>
      <c r="L3" s="170" t="s">
        <v>3</v>
      </c>
      <c r="M3" s="170" t="s">
        <v>4</v>
      </c>
      <c r="N3" s="170"/>
    </row>
    <row r="4" spans="1:14" ht="18">
      <c r="A4" s="19" t="s">
        <v>74</v>
      </c>
      <c r="B4" s="21">
        <v>24</v>
      </c>
      <c r="C4" s="91">
        <v>23438</v>
      </c>
      <c r="D4" s="4">
        <f>+B4/$B$6</f>
        <v>1</v>
      </c>
      <c r="E4" s="4">
        <f>+C4/$C$6</f>
        <v>1</v>
      </c>
      <c r="F4" s="1">
        <f>IFERROR(+VLOOKUP(A4,$I$4:$J$4,2,FALSE),0)</f>
        <v>16</v>
      </c>
      <c r="G4" s="5">
        <f>+B4-F4</f>
        <v>8</v>
      </c>
      <c r="H4" s="6">
        <f>IFERROR(+(B4/F4)-1,0)</f>
        <v>0.5</v>
      </c>
      <c r="I4" s="173" t="s">
        <v>74</v>
      </c>
      <c r="J4" s="174">
        <v>16</v>
      </c>
      <c r="K4" s="214">
        <v>8720</v>
      </c>
      <c r="L4" s="176">
        <f>+J4/$J$6</f>
        <v>1</v>
      </c>
      <c r="M4" s="180">
        <f>+K4/$K$6</f>
        <v>1</v>
      </c>
      <c r="N4" s="170"/>
    </row>
    <row r="5" spans="1:14" ht="18">
      <c r="A5" s="19"/>
      <c r="B5" s="21"/>
      <c r="C5" s="91"/>
      <c r="D5" s="4"/>
      <c r="E5" s="4"/>
      <c r="G5" s="5"/>
      <c r="H5" s="6"/>
      <c r="I5" s="215"/>
      <c r="J5" s="215"/>
      <c r="K5" s="214"/>
      <c r="L5" s="176"/>
      <c r="M5" s="180"/>
      <c r="N5" s="170"/>
    </row>
    <row r="6" spans="1:14">
      <c r="A6" s="30" t="s">
        <v>80</v>
      </c>
      <c r="B6" s="31">
        <f>SUM(B4:B4)</f>
        <v>24</v>
      </c>
      <c r="C6" s="92">
        <f t="shared" ref="C6" si="0">SUM(C4:C4)</f>
        <v>23438</v>
      </c>
      <c r="D6" s="32">
        <f>SUM(D4:D4)</f>
        <v>1</v>
      </c>
      <c r="E6" s="32">
        <f>SUM(E4:E4)</f>
        <v>1</v>
      </c>
      <c r="F6" s="33">
        <f>SUM(F4:F4)</f>
        <v>16</v>
      </c>
      <c r="G6" s="34">
        <f>SUM(G4:G4)</f>
        <v>8</v>
      </c>
      <c r="H6" s="6">
        <f>+(B6/F6)-1</f>
        <v>0.5</v>
      </c>
      <c r="I6" s="30" t="s">
        <v>0</v>
      </c>
      <c r="J6" s="31">
        <f>SUM(J4:J5)</f>
        <v>16</v>
      </c>
      <c r="K6" s="92">
        <f>SUM(K4:K5)</f>
        <v>8720</v>
      </c>
      <c r="L6" s="35">
        <f>SUM(L4:L5)</f>
        <v>1</v>
      </c>
      <c r="M6" s="35">
        <f>SUM(M4:M5)</f>
        <v>1</v>
      </c>
      <c r="N6" s="167"/>
    </row>
    <row r="7" spans="1:14" ht="28.8">
      <c r="A7" s="121" t="s">
        <v>110</v>
      </c>
      <c r="B7" s="140">
        <f>COUNTA(A4:A5)</f>
        <v>1</v>
      </c>
      <c r="C7" s="140"/>
      <c r="D7" s="140"/>
      <c r="E7" s="140"/>
      <c r="F7" s="140"/>
      <c r="G7" s="140"/>
      <c r="H7" s="6"/>
      <c r="I7" s="116">
        <f>COUNTA(I4:I5)</f>
        <v>1</v>
      </c>
      <c r="J7" s="31"/>
      <c r="K7" s="92"/>
      <c r="L7" s="35"/>
      <c r="M7" s="35"/>
      <c r="N7" s="167"/>
    </row>
    <row r="8" spans="1:14" ht="18">
      <c r="A8" s="128" t="s">
        <v>99</v>
      </c>
      <c r="B8" s="21"/>
      <c r="C8" s="91"/>
      <c r="D8" s="4"/>
      <c r="E8" s="4"/>
      <c r="G8" s="5"/>
      <c r="H8" s="6"/>
      <c r="I8" s="178"/>
      <c r="J8" s="179"/>
      <c r="K8" s="181"/>
      <c r="L8" s="176"/>
      <c r="M8" s="180"/>
      <c r="N8" s="170"/>
    </row>
    <row r="9" spans="1:14" ht="18">
      <c r="A9" s="128"/>
      <c r="B9" s="21"/>
      <c r="C9" s="91"/>
      <c r="D9" s="4"/>
      <c r="E9" s="4"/>
      <c r="G9" s="5"/>
      <c r="H9" s="6"/>
      <c r="I9" s="178"/>
      <c r="J9" s="179"/>
      <c r="K9" s="181"/>
      <c r="L9" s="176"/>
      <c r="M9" s="180"/>
      <c r="N9" s="170"/>
    </row>
    <row r="10" spans="1:14" ht="18">
      <c r="A10" s="143" t="s">
        <v>40</v>
      </c>
      <c r="B10" s="144">
        <v>35</v>
      </c>
      <c r="C10" s="101">
        <v>34399</v>
      </c>
      <c r="D10" s="4">
        <f t="shared" ref="D10:D24" si="1">+B10/$B$25</f>
        <v>0.2734375</v>
      </c>
      <c r="E10" s="4">
        <f t="shared" ref="E10:E24" si="2">+C10/$C$25</f>
        <v>0.26784866110708805</v>
      </c>
      <c r="F10" s="1">
        <f>IFERROR(+VLOOKUP(A10,$I$10:$J$24,2,FALSE),0)</f>
        <v>37</v>
      </c>
      <c r="G10" s="5">
        <f>IFERROR(+B10-F10,0)</f>
        <v>-2</v>
      </c>
      <c r="H10" s="6">
        <f>IFERROR(+(B10/F10)-1,0)</f>
        <v>-5.4054054054054057E-2</v>
      </c>
      <c r="I10" s="173" t="s">
        <v>40</v>
      </c>
      <c r="J10" s="174">
        <v>37</v>
      </c>
      <c r="K10" s="214">
        <v>44010</v>
      </c>
      <c r="L10" s="176">
        <f t="shared" ref="L10:L24" si="3">+J10/$J$25</f>
        <v>0.22981366459627328</v>
      </c>
      <c r="M10" s="180">
        <f t="shared" ref="M10:M24" si="4">+K10/$K$25</f>
        <v>0.26530427705940862</v>
      </c>
      <c r="N10" s="170"/>
    </row>
    <row r="11" spans="1:14" ht="18">
      <c r="A11" s="143" t="s">
        <v>18</v>
      </c>
      <c r="B11" s="144">
        <v>12</v>
      </c>
      <c r="C11" s="101">
        <v>17290</v>
      </c>
      <c r="D11" s="4">
        <f t="shared" si="1"/>
        <v>9.375E-2</v>
      </c>
      <c r="E11" s="4">
        <f t="shared" si="2"/>
        <v>0.13462901103350541</v>
      </c>
      <c r="F11" s="1">
        <f t="shared" ref="F11:F24" si="5">IFERROR(+VLOOKUP(A11,$I$10:$J$24,2,FALSE),0)</f>
        <v>27</v>
      </c>
      <c r="G11" s="5">
        <f t="shared" ref="G11:G23" si="6">IFERROR(+B11-F11,0)</f>
        <v>-15</v>
      </c>
      <c r="H11" s="6">
        <f t="shared" ref="H11:H26" si="7">IFERROR(+(B11/F11)-1,0)</f>
        <v>-0.55555555555555558</v>
      </c>
      <c r="I11" s="173" t="s">
        <v>18</v>
      </c>
      <c r="J11" s="174">
        <v>27</v>
      </c>
      <c r="K11" s="214">
        <v>35140</v>
      </c>
      <c r="L11" s="176">
        <f t="shared" si="3"/>
        <v>0.16770186335403728</v>
      </c>
      <c r="M11" s="180">
        <f t="shared" si="4"/>
        <v>0.2118334991108298</v>
      </c>
      <c r="N11" s="170"/>
    </row>
    <row r="12" spans="1:14" ht="18">
      <c r="A12" s="143" t="s">
        <v>41</v>
      </c>
      <c r="B12" s="144">
        <v>2</v>
      </c>
      <c r="C12" s="101">
        <v>700</v>
      </c>
      <c r="D12" s="4">
        <f t="shared" si="1"/>
        <v>1.5625E-2</v>
      </c>
      <c r="E12" s="4">
        <f t="shared" si="2"/>
        <v>5.4505672483200571E-3</v>
      </c>
      <c r="F12" s="1">
        <f t="shared" si="5"/>
        <v>2</v>
      </c>
      <c r="G12" s="5">
        <f t="shared" si="6"/>
        <v>0</v>
      </c>
      <c r="H12" s="6">
        <f t="shared" si="7"/>
        <v>0</v>
      </c>
      <c r="I12" s="173" t="s">
        <v>41</v>
      </c>
      <c r="J12" s="174">
        <v>2</v>
      </c>
      <c r="K12" s="214">
        <v>3600</v>
      </c>
      <c r="L12" s="176">
        <f t="shared" si="3"/>
        <v>1.2422360248447204E-2</v>
      </c>
      <c r="M12" s="180">
        <f t="shared" si="4"/>
        <v>2.1701781354552852E-2</v>
      </c>
      <c r="N12" s="170"/>
    </row>
    <row r="13" spans="1:14" ht="18">
      <c r="A13" s="143" t="s">
        <v>42</v>
      </c>
      <c r="B13" s="144">
        <v>37</v>
      </c>
      <c r="C13" s="101">
        <v>36670</v>
      </c>
      <c r="D13" s="4">
        <f t="shared" si="1"/>
        <v>0.2890625</v>
      </c>
      <c r="E13" s="4">
        <f t="shared" si="2"/>
        <v>0.28553185856556645</v>
      </c>
      <c r="F13" s="1">
        <f t="shared" si="5"/>
        <v>35</v>
      </c>
      <c r="G13" s="5">
        <f t="shared" si="6"/>
        <v>2</v>
      </c>
      <c r="H13" s="6">
        <f t="shared" si="7"/>
        <v>5.7142857142857162E-2</v>
      </c>
      <c r="I13" s="173" t="s">
        <v>42</v>
      </c>
      <c r="J13" s="174">
        <v>35</v>
      </c>
      <c r="K13" s="214">
        <v>37180</v>
      </c>
      <c r="L13" s="176">
        <f t="shared" si="3"/>
        <v>0.21739130434782608</v>
      </c>
      <c r="M13" s="180">
        <f t="shared" si="4"/>
        <v>0.22413117521174308</v>
      </c>
      <c r="N13" s="170"/>
    </row>
    <row r="14" spans="1:14" ht="18">
      <c r="A14" s="143" t="s">
        <v>43</v>
      </c>
      <c r="B14" s="144">
        <v>9</v>
      </c>
      <c r="C14" s="101">
        <v>7650</v>
      </c>
      <c r="D14" s="4">
        <f t="shared" si="1"/>
        <v>7.03125E-2</v>
      </c>
      <c r="E14" s="4">
        <f t="shared" si="2"/>
        <v>5.9566913499497769E-2</v>
      </c>
      <c r="F14" s="1">
        <f t="shared" si="5"/>
        <v>7</v>
      </c>
      <c r="G14" s="5">
        <f t="shared" si="6"/>
        <v>2</v>
      </c>
      <c r="H14" s="6">
        <f t="shared" si="7"/>
        <v>0.28571428571428581</v>
      </c>
      <c r="I14" s="173" t="s">
        <v>43</v>
      </c>
      <c r="J14" s="174">
        <v>7</v>
      </c>
      <c r="K14" s="214">
        <v>5000</v>
      </c>
      <c r="L14" s="176">
        <f t="shared" si="3"/>
        <v>4.3478260869565216E-2</v>
      </c>
      <c r="M14" s="180">
        <f t="shared" si="4"/>
        <v>3.0141362992434518E-2</v>
      </c>
      <c r="N14" s="170"/>
    </row>
    <row r="15" spans="1:14" ht="18">
      <c r="A15" s="143" t="s">
        <v>44</v>
      </c>
      <c r="B15" s="144">
        <v>7</v>
      </c>
      <c r="C15" s="101">
        <v>5280</v>
      </c>
      <c r="D15" s="4">
        <f t="shared" si="1"/>
        <v>5.46875E-2</v>
      </c>
      <c r="E15" s="4">
        <f t="shared" si="2"/>
        <v>4.1112850101614147E-2</v>
      </c>
      <c r="F15" s="1">
        <f t="shared" si="5"/>
        <v>10</v>
      </c>
      <c r="G15" s="5">
        <f t="shared" si="6"/>
        <v>-3</v>
      </c>
      <c r="H15" s="6">
        <f t="shared" si="7"/>
        <v>-0.30000000000000004</v>
      </c>
      <c r="I15" s="173" t="s">
        <v>44</v>
      </c>
      <c r="J15" s="174">
        <v>10</v>
      </c>
      <c r="K15" s="214">
        <v>8940</v>
      </c>
      <c r="L15" s="176">
        <f t="shared" si="3"/>
        <v>6.2111801242236024E-2</v>
      </c>
      <c r="M15" s="180">
        <f t="shared" si="4"/>
        <v>5.3892757030472915E-2</v>
      </c>
      <c r="N15" s="170"/>
    </row>
    <row r="16" spans="1:14" ht="18">
      <c r="A16" s="143" t="s">
        <v>117</v>
      </c>
      <c r="B16" s="144">
        <v>1</v>
      </c>
      <c r="C16" s="101">
        <v>2300</v>
      </c>
      <c r="D16" s="4">
        <f t="shared" si="1"/>
        <v>7.8125E-3</v>
      </c>
      <c r="E16" s="4">
        <f t="shared" si="2"/>
        <v>1.7909006673051616E-2</v>
      </c>
      <c r="F16" s="1">
        <f t="shared" si="5"/>
        <v>0</v>
      </c>
      <c r="G16" s="5">
        <f t="shared" si="6"/>
        <v>1</v>
      </c>
      <c r="H16" s="6">
        <f t="shared" si="7"/>
        <v>0</v>
      </c>
      <c r="I16" s="173" t="s">
        <v>45</v>
      </c>
      <c r="J16" s="174">
        <v>10</v>
      </c>
      <c r="K16" s="214">
        <v>6939</v>
      </c>
      <c r="L16" s="176">
        <f t="shared" si="3"/>
        <v>6.2111801242236024E-2</v>
      </c>
      <c r="M16" s="180">
        <f t="shared" si="4"/>
        <v>4.1830183560900625E-2</v>
      </c>
      <c r="N16" s="170"/>
    </row>
    <row r="17" spans="1:21" ht="18">
      <c r="A17" s="143" t="s">
        <v>45</v>
      </c>
      <c r="B17" s="144">
        <v>11</v>
      </c>
      <c r="C17" s="101">
        <v>10160</v>
      </c>
      <c r="D17" s="4">
        <f t="shared" si="1"/>
        <v>8.59375E-2</v>
      </c>
      <c r="E17" s="4">
        <f t="shared" si="2"/>
        <v>7.9111090347045401E-2</v>
      </c>
      <c r="F17" s="1">
        <f t="shared" si="5"/>
        <v>10</v>
      </c>
      <c r="G17" s="5">
        <f t="shared" si="6"/>
        <v>1</v>
      </c>
      <c r="H17" s="6">
        <f t="shared" si="7"/>
        <v>0.10000000000000009</v>
      </c>
      <c r="I17" s="173" t="s">
        <v>34</v>
      </c>
      <c r="J17" s="174">
        <v>1</v>
      </c>
      <c r="K17" s="214">
        <v>900</v>
      </c>
      <c r="L17" s="176">
        <f t="shared" si="3"/>
        <v>6.2111801242236021E-3</v>
      </c>
      <c r="M17" s="180">
        <f t="shared" si="4"/>
        <v>5.4254453386382131E-3</v>
      </c>
      <c r="N17" s="170"/>
    </row>
    <row r="18" spans="1:21" ht="18">
      <c r="A18" s="143" t="s">
        <v>61</v>
      </c>
      <c r="B18" s="144">
        <v>2</v>
      </c>
      <c r="C18" s="101">
        <v>509</v>
      </c>
      <c r="D18" s="4">
        <f t="shared" si="1"/>
        <v>1.5625E-2</v>
      </c>
      <c r="E18" s="4">
        <f t="shared" si="2"/>
        <v>3.9633410419927274E-3</v>
      </c>
      <c r="F18" s="1">
        <f t="shared" si="5"/>
        <v>4</v>
      </c>
      <c r="G18" s="5">
        <f t="shared" si="6"/>
        <v>-2</v>
      </c>
      <c r="H18" s="6">
        <f t="shared" si="7"/>
        <v>-0.5</v>
      </c>
      <c r="I18" s="173" t="s">
        <v>61</v>
      </c>
      <c r="J18" s="174">
        <v>4</v>
      </c>
      <c r="K18" s="214">
        <v>1516</v>
      </c>
      <c r="L18" s="176">
        <f t="shared" si="3"/>
        <v>2.4844720496894408E-2</v>
      </c>
      <c r="M18" s="180">
        <f t="shared" si="4"/>
        <v>9.1388612593061459E-3</v>
      </c>
      <c r="N18" s="170"/>
    </row>
    <row r="19" spans="1:21" ht="18">
      <c r="A19" s="143" t="s">
        <v>71</v>
      </c>
      <c r="B19" s="144">
        <v>1</v>
      </c>
      <c r="C19" s="101">
        <v>550</v>
      </c>
      <c r="D19" s="4">
        <f t="shared" si="1"/>
        <v>7.8125E-3</v>
      </c>
      <c r="E19" s="4">
        <f t="shared" si="2"/>
        <v>4.2825885522514732E-3</v>
      </c>
      <c r="F19" s="1">
        <f t="shared" si="5"/>
        <v>6</v>
      </c>
      <c r="G19" s="5">
        <f t="shared" si="6"/>
        <v>-5</v>
      </c>
      <c r="H19" s="6">
        <f t="shared" si="7"/>
        <v>-0.83333333333333337</v>
      </c>
      <c r="I19" s="173" t="s">
        <v>71</v>
      </c>
      <c r="J19" s="174">
        <v>6</v>
      </c>
      <c r="K19" s="214">
        <v>4110</v>
      </c>
      <c r="L19" s="176">
        <f t="shared" si="3"/>
        <v>3.7267080745341616E-2</v>
      </c>
      <c r="M19" s="180">
        <f t="shared" si="4"/>
        <v>2.4776200379781173E-2</v>
      </c>
      <c r="N19" s="170"/>
    </row>
    <row r="20" spans="1:21" ht="18">
      <c r="A20" s="143" t="s">
        <v>70</v>
      </c>
      <c r="B20" s="144">
        <v>5</v>
      </c>
      <c r="C20" s="101">
        <v>5400</v>
      </c>
      <c r="D20" s="4">
        <f t="shared" si="1"/>
        <v>3.90625E-2</v>
      </c>
      <c r="E20" s="4">
        <f t="shared" si="2"/>
        <v>4.2047233058469011E-2</v>
      </c>
      <c r="F20" s="1">
        <f t="shared" si="5"/>
        <v>4</v>
      </c>
      <c r="G20" s="5">
        <f t="shared" si="6"/>
        <v>1</v>
      </c>
      <c r="H20" s="6">
        <f t="shared" si="7"/>
        <v>0.25</v>
      </c>
      <c r="I20" s="173" t="s">
        <v>70</v>
      </c>
      <c r="J20" s="174">
        <v>4</v>
      </c>
      <c r="K20" s="214">
        <v>5380</v>
      </c>
      <c r="L20" s="176">
        <f t="shared" si="3"/>
        <v>2.4844720496894408E-2</v>
      </c>
      <c r="M20" s="180">
        <f t="shared" si="4"/>
        <v>3.2432106579859545E-2</v>
      </c>
      <c r="N20" s="170"/>
    </row>
    <row r="21" spans="1:21" ht="18">
      <c r="A21" s="143" t="s">
        <v>72</v>
      </c>
      <c r="B21" s="144">
        <v>3</v>
      </c>
      <c r="C21" s="101">
        <v>2579</v>
      </c>
      <c r="D21" s="4">
        <f t="shared" si="1"/>
        <v>2.34375E-2</v>
      </c>
      <c r="E21" s="4">
        <f t="shared" si="2"/>
        <v>2.0081447047739183E-2</v>
      </c>
      <c r="F21" s="1">
        <f t="shared" si="5"/>
        <v>4</v>
      </c>
      <c r="G21" s="5">
        <f t="shared" si="6"/>
        <v>-1</v>
      </c>
      <c r="H21" s="6">
        <f t="shared" si="7"/>
        <v>-0.25</v>
      </c>
      <c r="I21" s="173" t="s">
        <v>72</v>
      </c>
      <c r="J21" s="174">
        <v>4</v>
      </c>
      <c r="K21" s="214">
        <v>4050</v>
      </c>
      <c r="L21" s="176">
        <f t="shared" si="3"/>
        <v>2.4844720496894408E-2</v>
      </c>
      <c r="M21" s="180">
        <f t="shared" si="4"/>
        <v>2.441450402387196E-2</v>
      </c>
      <c r="N21" s="170"/>
    </row>
    <row r="22" spans="1:21" ht="18">
      <c r="A22" s="143" t="s">
        <v>73</v>
      </c>
      <c r="B22" s="144">
        <v>1</v>
      </c>
      <c r="C22" s="101">
        <v>1840</v>
      </c>
      <c r="D22" s="4">
        <f t="shared" si="1"/>
        <v>7.8125E-3</v>
      </c>
      <c r="E22" s="4">
        <f t="shared" si="2"/>
        <v>1.4327205338441293E-2</v>
      </c>
      <c r="F22" s="1">
        <f t="shared" si="5"/>
        <v>8</v>
      </c>
      <c r="G22" s="5">
        <f t="shared" si="6"/>
        <v>-7</v>
      </c>
      <c r="H22" s="6">
        <f t="shared" si="7"/>
        <v>-0.875</v>
      </c>
      <c r="I22" s="173" t="s">
        <v>73</v>
      </c>
      <c r="J22" s="174">
        <v>8</v>
      </c>
      <c r="K22" s="214">
        <v>5160</v>
      </c>
      <c r="L22" s="176">
        <f t="shared" si="3"/>
        <v>4.9689440993788817E-2</v>
      </c>
      <c r="M22" s="180">
        <f t="shared" si="4"/>
        <v>3.1105886608192423E-2</v>
      </c>
      <c r="N22" s="170"/>
    </row>
    <row r="23" spans="1:21" ht="18">
      <c r="A23" s="143" t="s">
        <v>75</v>
      </c>
      <c r="B23" s="144">
        <v>2</v>
      </c>
      <c r="C23" s="101">
        <v>3100</v>
      </c>
      <c r="D23" s="4">
        <f t="shared" si="1"/>
        <v>1.5625E-2</v>
      </c>
      <c r="E23" s="4">
        <f t="shared" si="2"/>
        <v>2.4138226385417398E-2</v>
      </c>
      <c r="F23" s="1">
        <f t="shared" si="5"/>
        <v>1</v>
      </c>
      <c r="G23" s="5">
        <f t="shared" si="6"/>
        <v>1</v>
      </c>
      <c r="H23" s="6">
        <f t="shared" si="7"/>
        <v>1</v>
      </c>
      <c r="I23" s="173" t="s">
        <v>75</v>
      </c>
      <c r="J23" s="174">
        <v>1</v>
      </c>
      <c r="K23" s="214">
        <v>550</v>
      </c>
      <c r="L23" s="176">
        <f t="shared" si="3"/>
        <v>6.2111801242236021E-3</v>
      </c>
      <c r="M23" s="180">
        <f t="shared" si="4"/>
        <v>3.3155499291677971E-3</v>
      </c>
      <c r="N23" s="216"/>
    </row>
    <row r="24" spans="1:21" ht="18">
      <c r="A24" s="19"/>
      <c r="B24" s="21"/>
      <c r="C24" s="91"/>
      <c r="D24" s="4">
        <f t="shared" si="1"/>
        <v>0</v>
      </c>
      <c r="E24" s="4">
        <f t="shared" si="2"/>
        <v>0</v>
      </c>
      <c r="F24" s="1">
        <f t="shared" si="5"/>
        <v>0</v>
      </c>
      <c r="G24" s="5">
        <f>IFERROR(+B24-F24,0)</f>
        <v>0</v>
      </c>
      <c r="H24" s="6">
        <f t="shared" si="7"/>
        <v>0</v>
      </c>
      <c r="I24" s="173" t="s">
        <v>46</v>
      </c>
      <c r="J24" s="174">
        <v>5</v>
      </c>
      <c r="K24" s="214">
        <v>3410</v>
      </c>
      <c r="L24" s="176">
        <f t="shared" si="3"/>
        <v>3.1055900621118012E-2</v>
      </c>
      <c r="M24" s="180">
        <f t="shared" si="4"/>
        <v>2.0556409560840341E-2</v>
      </c>
      <c r="N24" s="216"/>
    </row>
    <row r="25" spans="1:21">
      <c r="A25" s="30" t="s">
        <v>81</v>
      </c>
      <c r="B25" s="31">
        <f t="shared" ref="B25:G25" si="8">SUM(B10:B24)</f>
        <v>128</v>
      </c>
      <c r="C25" s="92">
        <f t="shared" si="8"/>
        <v>128427</v>
      </c>
      <c r="D25" s="32">
        <f t="shared" si="8"/>
        <v>1</v>
      </c>
      <c r="E25" s="32">
        <f t="shared" si="8"/>
        <v>1</v>
      </c>
      <c r="F25" s="33">
        <f t="shared" si="8"/>
        <v>155</v>
      </c>
      <c r="G25" s="34">
        <f t="shared" si="8"/>
        <v>-27</v>
      </c>
      <c r="H25" s="6">
        <f t="shared" si="7"/>
        <v>-0.17419354838709677</v>
      </c>
      <c r="I25" s="30" t="s">
        <v>0</v>
      </c>
      <c r="J25" s="31">
        <f>SUM(J10:J24)</f>
        <v>161</v>
      </c>
      <c r="K25" s="92">
        <f>SUM(K10:K24)</f>
        <v>165885</v>
      </c>
      <c r="L25" s="35">
        <f>SUM(L10:L24)</f>
        <v>1</v>
      </c>
      <c r="M25" s="35">
        <f>SUM(M10:M24)</f>
        <v>1</v>
      </c>
      <c r="N25" s="167"/>
    </row>
    <row r="26" spans="1:21" s="25" customFormat="1">
      <c r="A26" s="44" t="s">
        <v>84</v>
      </c>
      <c r="B26" s="45">
        <f>SUM(B25+B6)</f>
        <v>152</v>
      </c>
      <c r="C26" s="93">
        <f>SUM(C25+C6)</f>
        <v>151865</v>
      </c>
      <c r="D26" s="46">
        <f>SUM(D25+D6)</f>
        <v>2</v>
      </c>
      <c r="E26" s="46">
        <f>SUM(E25+E6)</f>
        <v>2</v>
      </c>
      <c r="F26" s="47">
        <f>SUM(F25+F6)</f>
        <v>171</v>
      </c>
      <c r="G26" s="48">
        <f>SUM(G25+G6)</f>
        <v>-19</v>
      </c>
      <c r="H26" s="6">
        <f t="shared" si="7"/>
        <v>-0.11111111111111116</v>
      </c>
      <c r="I26" s="44"/>
      <c r="J26" s="45">
        <f>SUM(J25+J6)</f>
        <v>177</v>
      </c>
      <c r="K26" s="93">
        <f>SUM(K25+K6)</f>
        <v>174605</v>
      </c>
      <c r="L26" s="73">
        <f>SUM(L25+L6)</f>
        <v>2</v>
      </c>
      <c r="M26" s="73">
        <f>SUM(M25+M6)</f>
        <v>2</v>
      </c>
      <c r="N26" s="168"/>
      <c r="O26" s="1"/>
      <c r="P26" s="1"/>
      <c r="Q26" s="1"/>
      <c r="R26" s="1"/>
      <c r="S26" s="1"/>
      <c r="T26" s="1"/>
      <c r="U26" s="1"/>
    </row>
    <row r="27" spans="1:21" s="25" customFormat="1" ht="28.8">
      <c r="A27" s="106" t="s">
        <v>110</v>
      </c>
      <c r="B27" s="136">
        <f>COUNTA(A10:A24)</f>
        <v>14</v>
      </c>
      <c r="C27" s="136"/>
      <c r="D27" s="136"/>
      <c r="E27" s="136"/>
      <c r="F27" s="136"/>
      <c r="G27" s="136"/>
      <c r="H27" s="6"/>
      <c r="I27" s="122">
        <f>COUNTA(I10:I24)</f>
        <v>15</v>
      </c>
      <c r="J27" s="45"/>
      <c r="K27" s="93"/>
      <c r="L27" s="73"/>
      <c r="M27" s="73"/>
      <c r="N27" s="168"/>
      <c r="O27" s="1"/>
      <c r="P27" s="1"/>
      <c r="Q27" s="1"/>
      <c r="R27" s="1"/>
      <c r="S27" s="1"/>
      <c r="T27" s="1"/>
      <c r="U27" s="1"/>
    </row>
    <row r="28" spans="1:21" s="9" customFormat="1" ht="36">
      <c r="A28" s="37" t="s">
        <v>103</v>
      </c>
      <c r="B28" s="8">
        <f>+B6-J6</f>
        <v>8</v>
      </c>
      <c r="D28" s="22"/>
    </row>
    <row r="29" spans="1:21" s="9" customFormat="1" ht="36">
      <c r="A29" s="37" t="s">
        <v>104</v>
      </c>
      <c r="B29" s="8">
        <f>+B25-J25</f>
        <v>-33</v>
      </c>
      <c r="D29" s="22"/>
    </row>
    <row r="30" spans="1:21" s="9" customFormat="1" ht="23.4">
      <c r="A30" s="7" t="s">
        <v>8</v>
      </c>
      <c r="B30" s="10">
        <f>(B26/J26)-1</f>
        <v>-0.14124293785310738</v>
      </c>
      <c r="E30" s="22"/>
    </row>
    <row r="31" spans="1:21" s="9" customFormat="1" ht="23.4" hidden="1">
      <c r="A31" s="11"/>
      <c r="B31" s="12"/>
      <c r="D31" s="22"/>
    </row>
    <row r="32" spans="1:21" s="9" customFormat="1" ht="23.4" hidden="1">
      <c r="A32" s="13" t="s">
        <v>9</v>
      </c>
      <c r="C32" s="94">
        <v>408778</v>
      </c>
      <c r="H32" s="15">
        <f>+(C32/L32)-1</f>
        <v>0.24568952382113274</v>
      </c>
      <c r="J32" s="13" t="s">
        <v>9</v>
      </c>
      <c r="L32" s="94">
        <v>328154</v>
      </c>
      <c r="M32" s="16"/>
    </row>
    <row r="33" spans="1:13" s="9" customFormat="1" ht="23.4" hidden="1">
      <c r="A33" s="13"/>
      <c r="C33" s="94"/>
      <c r="H33" s="17"/>
      <c r="J33" s="13"/>
      <c r="L33" s="13"/>
    </row>
    <row r="34" spans="1:13" s="9" customFormat="1" ht="23.1" hidden="1" customHeight="1">
      <c r="A34" s="13" t="s">
        <v>10</v>
      </c>
      <c r="C34" s="94">
        <f>C32/C36</f>
        <v>1092.9893048128342</v>
      </c>
      <c r="H34" s="17">
        <f>+(C34/L34)-1</f>
        <v>3.9184843401586678E-2</v>
      </c>
      <c r="J34" s="13" t="s">
        <v>10</v>
      </c>
      <c r="L34" s="94">
        <f>L32/L36</f>
        <v>1051.7756410256411</v>
      </c>
    </row>
    <row r="35" spans="1:13" s="9" customFormat="1" ht="23.4" hidden="1"/>
    <row r="36" spans="1:13" s="9" customFormat="1" ht="23.4" hidden="1">
      <c r="A36" s="13" t="s">
        <v>11</v>
      </c>
      <c r="C36" s="13">
        <v>374</v>
      </c>
      <c r="H36" s="17">
        <f>+(C36/L36)-1</f>
        <v>0.19871794871794868</v>
      </c>
      <c r="J36" s="13" t="s">
        <v>11</v>
      </c>
      <c r="L36" s="13">
        <v>312</v>
      </c>
    </row>
    <row r="37" spans="1:13" s="9" customFormat="1" ht="23.4" hidden="1">
      <c r="A37" s="13"/>
      <c r="C37" s="13"/>
      <c r="H37" s="17"/>
      <c r="J37" s="13"/>
      <c r="L37" s="13"/>
    </row>
    <row r="38" spans="1:13" s="9" customFormat="1" ht="23.4" hidden="1">
      <c r="A38" s="13" t="s">
        <v>12</v>
      </c>
      <c r="J38" s="13" t="s">
        <v>12</v>
      </c>
    </row>
    <row r="39" spans="1:13" hidden="1">
      <c r="A39" s="1" t="s">
        <v>13</v>
      </c>
      <c r="C39" s="1">
        <v>321</v>
      </c>
      <c r="H39" s="6">
        <f>+(C39/L39)-1</f>
        <v>0.11072664359861584</v>
      </c>
      <c r="J39" s="1" t="s">
        <v>13</v>
      </c>
      <c r="L39" s="1">
        <v>289</v>
      </c>
    </row>
    <row r="40" spans="1:13" hidden="1">
      <c r="A40" s="1" t="s">
        <v>14</v>
      </c>
      <c r="C40" s="1">
        <v>247</v>
      </c>
      <c r="D40" s="1">
        <f>+C39/C40</f>
        <v>1.2995951417004048</v>
      </c>
      <c r="H40" s="6">
        <f>+(C40/L40)-1</f>
        <v>0.17619047619047623</v>
      </c>
      <c r="J40" s="1" t="s">
        <v>14</v>
      </c>
      <c r="L40" s="1">
        <v>210</v>
      </c>
      <c r="M40" s="1">
        <f>+L39/L40</f>
        <v>1.3761904761904762</v>
      </c>
    </row>
    <row r="41" spans="1:13" hidden="1">
      <c r="A41" s="1" t="s">
        <v>15</v>
      </c>
      <c r="C41" s="1">
        <v>43</v>
      </c>
      <c r="H41" s="6">
        <f>+(C41/L41)-1</f>
        <v>2.3076923076923075</v>
      </c>
      <c r="J41" s="1" t="s">
        <v>15</v>
      </c>
      <c r="L41" s="1">
        <v>13</v>
      </c>
    </row>
    <row r="42" spans="1:13" hidden="1">
      <c r="A42" s="1" t="s">
        <v>16</v>
      </c>
      <c r="C42" s="1">
        <v>10</v>
      </c>
      <c r="H42" s="6">
        <f>+(C42/L42)-1</f>
        <v>0</v>
      </c>
      <c r="J42" s="1" t="s">
        <v>16</v>
      </c>
      <c r="L42" s="1">
        <v>10</v>
      </c>
    </row>
    <row r="43" spans="1:13" hidden="1">
      <c r="A43" s="1" t="s">
        <v>37</v>
      </c>
      <c r="C43" s="1">
        <v>579</v>
      </c>
      <c r="H43" s="6">
        <f>+(C43/L43)-1</f>
        <v>-0.61167002012072436</v>
      </c>
      <c r="J43" s="1" t="s">
        <v>38</v>
      </c>
      <c r="L43" s="1">
        <v>1491</v>
      </c>
    </row>
    <row r="44" spans="1:13" hidden="1">
      <c r="A44" s="1" t="s">
        <v>39</v>
      </c>
      <c r="C44" s="1">
        <v>0</v>
      </c>
      <c r="H44" s="6">
        <f>IFERROR(+(C44/L44)-1,0)</f>
        <v>-1</v>
      </c>
      <c r="J44" s="1" t="s">
        <v>39</v>
      </c>
      <c r="L44" s="1">
        <v>1</v>
      </c>
    </row>
    <row r="45" spans="1:13" hidden="1"/>
  </sheetData>
  <mergeCells count="8">
    <mergeCell ref="B27:G27"/>
    <mergeCell ref="A2:A3"/>
    <mergeCell ref="J2:M2"/>
    <mergeCell ref="A8:A9"/>
    <mergeCell ref="B1:H1"/>
    <mergeCell ref="B2:E2"/>
    <mergeCell ref="B7:G7"/>
    <mergeCell ref="J1:N1"/>
  </mergeCells>
  <conditionalFormatting sqref="G4:G5 G8:G24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{FCB1BE1B-6DC3-4489-A701-D4627F53EE31}</x14:id>
        </ext>
      </extLst>
    </cfRule>
  </conditionalFormatting>
  <conditionalFormatting sqref="H4:H5 H8:H26">
    <cfRule type="dataBar" priority="5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{48D98229-05F2-4E88-9FB1-4592747E8B03}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B1BE1B-6DC3-4489-A701-D4627F53EE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G4:G5 G8:G24</xm:sqref>
        </x14:conditionalFormatting>
        <x14:conditionalFormatting xmlns:xm="http://schemas.microsoft.com/office/excel/2006/main">
          <x14:cfRule type="dataBar" id="{48D98229-05F2-4E88-9FB1-4592747E8B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H4:H5 H8:H26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316A-2D84-477D-9718-ED083572500C}">
  <sheetPr codeName="Hoja7"/>
  <dimension ref="A1:V25"/>
  <sheetViews>
    <sheetView showGridLines="0" zoomScale="50" zoomScaleNormal="50" workbookViewId="0">
      <selection activeCell="M32" sqref="M32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26" style="1" customWidth="1"/>
    <col min="4" max="4" width="23.33203125" style="1" customWidth="1"/>
    <col min="5" max="5" width="19.88671875" style="1" customWidth="1"/>
    <col min="6" max="7" width="14.44140625" style="1" customWidth="1"/>
    <col min="8" max="8" width="11.44140625" style="1" customWidth="1"/>
    <col min="9" max="9" width="8.88671875" style="1"/>
    <col min="10" max="10" width="26.44140625" style="1" customWidth="1"/>
    <col min="11" max="11" width="21" style="1" customWidth="1"/>
    <col min="12" max="12" width="18.77734375" style="1" bestFit="1" customWidth="1"/>
    <col min="13" max="13" width="26.33203125" style="1" bestFit="1" customWidth="1"/>
    <col min="14" max="14" width="18" style="1" customWidth="1"/>
    <col min="15" max="16384" width="8.88671875" style="1"/>
  </cols>
  <sheetData>
    <row r="1" spans="1:14" ht="18.600000000000001" thickBot="1">
      <c r="A1" s="51" t="s">
        <v>65</v>
      </c>
      <c r="B1" s="146">
        <v>45488</v>
      </c>
      <c r="C1" s="146"/>
      <c r="D1" s="146"/>
      <c r="E1" s="146"/>
      <c r="F1" s="146"/>
      <c r="G1" s="146"/>
      <c r="H1" s="146"/>
      <c r="I1" s="170"/>
      <c r="J1" s="203">
        <v>45122</v>
      </c>
      <c r="K1" s="203"/>
      <c r="L1" s="203"/>
      <c r="M1" s="203"/>
      <c r="N1" s="203"/>
    </row>
    <row r="2" spans="1:14">
      <c r="A2" s="129" t="s">
        <v>97</v>
      </c>
      <c r="B2" s="134" t="s">
        <v>0</v>
      </c>
      <c r="C2" s="134"/>
      <c r="D2" s="134"/>
      <c r="E2" s="134"/>
      <c r="J2" s="202"/>
      <c r="K2" s="204" t="s">
        <v>0</v>
      </c>
      <c r="L2" s="204"/>
      <c r="M2" s="204"/>
      <c r="N2" s="204"/>
    </row>
    <row r="3" spans="1:14" ht="28.8">
      <c r="A3" s="128"/>
      <c r="B3" s="1" t="s">
        <v>1</v>
      </c>
      <c r="C3" s="1" t="s">
        <v>2</v>
      </c>
      <c r="D3" s="20" t="s">
        <v>3</v>
      </c>
      <c r="E3" s="20" t="s">
        <v>4</v>
      </c>
      <c r="F3" s="29" t="s">
        <v>100</v>
      </c>
      <c r="G3" s="29" t="s">
        <v>5</v>
      </c>
      <c r="H3" s="29" t="s">
        <v>6</v>
      </c>
      <c r="J3" s="205">
        <v>2023</v>
      </c>
      <c r="K3" s="202" t="s">
        <v>1</v>
      </c>
      <c r="L3" s="202" t="s">
        <v>2</v>
      </c>
      <c r="M3" s="202" t="s">
        <v>3</v>
      </c>
      <c r="N3" s="202" t="s">
        <v>4</v>
      </c>
    </row>
    <row r="4" spans="1:14" ht="18">
      <c r="A4" s="143" t="s">
        <v>92</v>
      </c>
      <c r="B4" s="144">
        <v>36</v>
      </c>
      <c r="C4" s="127">
        <v>34760</v>
      </c>
      <c r="D4" s="4">
        <f>+B4/$B$8</f>
        <v>1</v>
      </c>
      <c r="E4" s="4">
        <f>+C4/$C$8</f>
        <v>1</v>
      </c>
      <c r="F4" s="1">
        <f>IFERROR(+VLOOKUP(A4,$J$4:$K$7,2,FALSE),0)</f>
        <v>0</v>
      </c>
      <c r="G4" s="5">
        <f t="shared" ref="G4" si="0">+B4-F4</f>
        <v>36</v>
      </c>
      <c r="H4" s="6">
        <f>IFERROR(+(B4/F4)-1,0)</f>
        <v>0</v>
      </c>
      <c r="J4" s="194" t="s">
        <v>55</v>
      </c>
      <c r="K4" s="195">
        <v>2</v>
      </c>
      <c r="L4" s="217">
        <v>2380</v>
      </c>
      <c r="M4" s="207">
        <f>+K4/$K$8</f>
        <v>3.4482758620689655E-2</v>
      </c>
      <c r="N4" s="208">
        <f>+L4/$L$8</f>
        <v>4.0074086546556656E-2</v>
      </c>
    </row>
    <row r="5" spans="1:14" ht="18">
      <c r="A5" s="19"/>
      <c r="B5" s="21"/>
      <c r="C5" s="21"/>
      <c r="D5" s="4">
        <f>+B5/$B$8</f>
        <v>0</v>
      </c>
      <c r="E5" s="4">
        <f>+C5/$C$8</f>
        <v>0</v>
      </c>
      <c r="F5" s="1">
        <f>IFERROR(+VLOOKUP(A5,$J$4:$K$7,2,FALSE),0)</f>
        <v>0</v>
      </c>
      <c r="G5" s="5">
        <f t="shared" ref="G5" si="1">+B5-F5</f>
        <v>0</v>
      </c>
      <c r="H5" s="6">
        <f>IFERROR(+(B5/F5)-1,0)</f>
        <v>0</v>
      </c>
      <c r="J5" s="194" t="s">
        <v>121</v>
      </c>
      <c r="K5" s="195">
        <v>56</v>
      </c>
      <c r="L5" s="217">
        <v>57010</v>
      </c>
      <c r="M5" s="207">
        <f t="shared" ref="M5:M7" si="2">+K5/$K$8</f>
        <v>0.96551724137931039</v>
      </c>
      <c r="N5" s="208">
        <f t="shared" ref="N5:N7" si="3">+L5/$L$8</f>
        <v>0.95992591345344336</v>
      </c>
    </row>
    <row r="6" spans="1:14" ht="18">
      <c r="A6" s="19"/>
      <c r="B6" s="21"/>
      <c r="C6" s="21"/>
      <c r="D6" s="4"/>
      <c r="E6" s="4"/>
      <c r="G6" s="5"/>
      <c r="H6" s="6"/>
      <c r="J6" s="210"/>
      <c r="K6" s="211"/>
      <c r="L6" s="212"/>
      <c r="M6" s="207">
        <f t="shared" si="2"/>
        <v>0</v>
      </c>
      <c r="N6" s="208">
        <f t="shared" si="3"/>
        <v>0</v>
      </c>
    </row>
    <row r="7" spans="1:14" ht="18">
      <c r="A7" s="19"/>
      <c r="B7" s="21"/>
      <c r="C7" s="21"/>
      <c r="D7" s="4"/>
      <c r="E7" s="4"/>
      <c r="G7" s="5"/>
      <c r="H7" s="6"/>
      <c r="J7" s="210"/>
      <c r="K7" s="211"/>
      <c r="L7" s="212"/>
      <c r="M7" s="207">
        <f t="shared" si="2"/>
        <v>0</v>
      </c>
      <c r="N7" s="208">
        <f t="shared" si="3"/>
        <v>0</v>
      </c>
    </row>
    <row r="8" spans="1:14">
      <c r="A8" s="30" t="s">
        <v>80</v>
      </c>
      <c r="B8" s="31">
        <f>SUM(B4:B5)</f>
        <v>36</v>
      </c>
      <c r="C8" s="31">
        <f>SUM(C4:C5)</f>
        <v>34760</v>
      </c>
      <c r="D8" s="32">
        <f t="shared" ref="D8:G8" si="4">SUM(D4:D4)</f>
        <v>1</v>
      </c>
      <c r="E8" s="32">
        <f t="shared" si="4"/>
        <v>1</v>
      </c>
      <c r="F8" s="33">
        <f>SUM(F4:F4)</f>
        <v>0</v>
      </c>
      <c r="G8" s="34">
        <f t="shared" si="4"/>
        <v>36</v>
      </c>
      <c r="H8" s="6">
        <f>IFERROR(+(B8/F8)-1,0)</f>
        <v>0</v>
      </c>
      <c r="J8" s="30" t="s">
        <v>0</v>
      </c>
      <c r="K8" s="31">
        <f>SUM(K4:K6)</f>
        <v>58</v>
      </c>
      <c r="L8" s="92">
        <f>SUM(L4:L6)</f>
        <v>59390</v>
      </c>
      <c r="M8" s="35">
        <f>SUM(M4:M6)</f>
        <v>1</v>
      </c>
      <c r="N8" s="35">
        <f>SUM(N4:N6)</f>
        <v>1</v>
      </c>
    </row>
    <row r="9" spans="1:14" ht="28.8">
      <c r="A9" s="121" t="s">
        <v>110</v>
      </c>
      <c r="B9" s="141">
        <f>COUNTA(A4:A6)</f>
        <v>1</v>
      </c>
      <c r="C9" s="141"/>
      <c r="D9" s="141"/>
      <c r="E9" s="141"/>
      <c r="F9" s="141"/>
      <c r="G9" s="141"/>
      <c r="H9" s="6"/>
      <c r="J9" s="117">
        <f>COUNTA(J4:J7)</f>
        <v>2</v>
      </c>
      <c r="K9" s="31"/>
      <c r="L9" s="92"/>
      <c r="M9" s="35"/>
      <c r="N9" s="35"/>
    </row>
    <row r="10" spans="1:14" ht="18">
      <c r="A10" s="128" t="s">
        <v>99</v>
      </c>
      <c r="B10" s="21"/>
      <c r="C10" s="21"/>
      <c r="D10" s="4"/>
      <c r="E10" s="4"/>
      <c r="G10" s="5"/>
      <c r="H10" s="6"/>
      <c r="J10" s="210"/>
      <c r="K10" s="211"/>
      <c r="L10" s="212"/>
      <c r="M10" s="207"/>
      <c r="N10" s="208"/>
    </row>
    <row r="11" spans="1:14" ht="18">
      <c r="A11" s="128"/>
      <c r="B11" s="21"/>
      <c r="C11" s="21"/>
      <c r="D11" s="4"/>
      <c r="E11" s="4"/>
      <c r="G11" s="5"/>
      <c r="H11" s="6"/>
      <c r="J11" s="194" t="s">
        <v>56</v>
      </c>
      <c r="K11" s="195">
        <v>3</v>
      </c>
      <c r="L11" s="195">
        <v>1980</v>
      </c>
      <c r="M11" s="207">
        <f t="shared" ref="M11:M17" si="5">+K11/$K$19</f>
        <v>0.17647058823529413</v>
      </c>
      <c r="N11" s="208">
        <f t="shared" ref="N11:N17" si="6">+L11/$L$19</f>
        <v>0.11913357400722022</v>
      </c>
    </row>
    <row r="12" spans="1:14" ht="18">
      <c r="A12" s="143" t="s">
        <v>109</v>
      </c>
      <c r="B12" s="144">
        <v>1</v>
      </c>
      <c r="C12" s="144">
        <v>800</v>
      </c>
      <c r="D12" s="4">
        <f t="shared" ref="D12:D18" si="7">+B12/$B$19</f>
        <v>6.25E-2</v>
      </c>
      <c r="E12" s="4">
        <f t="shared" ref="E12:E18" si="8">+C12/$C$19</f>
        <v>6.0331825037707391E-2</v>
      </c>
      <c r="F12" s="1">
        <f>IFERROR(+VLOOKUP(A12,$J$11:$K$16,2,FALSE),0)</f>
        <v>0</v>
      </c>
      <c r="G12" s="5">
        <f>+B12-F12</f>
        <v>1</v>
      </c>
      <c r="H12" s="6">
        <f>IFERROR(+(B12/F12)-1,0)</f>
        <v>0</v>
      </c>
      <c r="J12" s="194" t="s">
        <v>71</v>
      </c>
      <c r="K12" s="195">
        <v>2</v>
      </c>
      <c r="L12" s="195">
        <v>500</v>
      </c>
      <c r="M12" s="207">
        <f t="shared" si="5"/>
        <v>0.11764705882352941</v>
      </c>
      <c r="N12" s="208">
        <f t="shared" si="6"/>
        <v>3.0084235860409144E-2</v>
      </c>
    </row>
    <row r="13" spans="1:14" ht="18">
      <c r="A13" s="143" t="s">
        <v>71</v>
      </c>
      <c r="B13" s="144">
        <v>1</v>
      </c>
      <c r="C13" s="144">
        <v>300</v>
      </c>
      <c r="D13" s="4">
        <f t="shared" si="7"/>
        <v>6.25E-2</v>
      </c>
      <c r="E13" s="4">
        <f t="shared" si="8"/>
        <v>2.2624434389140271E-2</v>
      </c>
      <c r="F13" s="1">
        <f t="shared" ref="F13:F18" si="9">IFERROR(+VLOOKUP(A13,$J$11:$K$16,2,FALSE),0)</f>
        <v>2</v>
      </c>
      <c r="G13" s="5">
        <f t="shared" ref="G13:G18" si="10">+B13-F13</f>
        <v>-1</v>
      </c>
      <c r="H13" s="6">
        <f t="shared" ref="H13:H20" si="11">IFERROR(+(B13/F13)-1,0)</f>
        <v>-0.5</v>
      </c>
      <c r="J13" s="194" t="s">
        <v>69</v>
      </c>
      <c r="K13" s="195">
        <v>1</v>
      </c>
      <c r="L13" s="195">
        <v>1550</v>
      </c>
      <c r="M13" s="207">
        <f t="shared" si="5"/>
        <v>5.8823529411764705E-2</v>
      </c>
      <c r="N13" s="208">
        <f t="shared" si="6"/>
        <v>9.3261131167268349E-2</v>
      </c>
    </row>
    <row r="14" spans="1:14" ht="18">
      <c r="A14" s="143" t="s">
        <v>70</v>
      </c>
      <c r="B14" s="144">
        <v>1</v>
      </c>
      <c r="C14" s="144">
        <v>150</v>
      </c>
      <c r="D14" s="4">
        <f t="shared" si="7"/>
        <v>6.25E-2</v>
      </c>
      <c r="E14" s="4">
        <f t="shared" si="8"/>
        <v>1.1312217194570135E-2</v>
      </c>
      <c r="F14" s="1">
        <f t="shared" si="9"/>
        <v>0</v>
      </c>
      <c r="G14" s="5">
        <f t="shared" si="10"/>
        <v>1</v>
      </c>
      <c r="H14" s="6">
        <f t="shared" si="11"/>
        <v>0</v>
      </c>
      <c r="J14" s="194" t="s">
        <v>73</v>
      </c>
      <c r="K14" s="195">
        <v>3</v>
      </c>
      <c r="L14" s="195">
        <v>3610</v>
      </c>
      <c r="M14" s="207">
        <f t="shared" si="5"/>
        <v>0.17647058823529413</v>
      </c>
      <c r="N14" s="208">
        <f t="shared" si="6"/>
        <v>0.21720818291215402</v>
      </c>
    </row>
    <row r="15" spans="1:14" ht="18">
      <c r="A15" s="143" t="s">
        <v>72</v>
      </c>
      <c r="B15" s="144">
        <v>1</v>
      </c>
      <c r="C15" s="144">
        <v>600</v>
      </c>
      <c r="D15" s="4">
        <f t="shared" si="7"/>
        <v>6.25E-2</v>
      </c>
      <c r="E15" s="4">
        <f t="shared" si="8"/>
        <v>4.5248868778280542E-2</v>
      </c>
      <c r="F15" s="1">
        <f t="shared" si="9"/>
        <v>0</v>
      </c>
      <c r="G15" s="5">
        <f t="shared" si="10"/>
        <v>1</v>
      </c>
      <c r="H15" s="6">
        <f t="shared" si="11"/>
        <v>0</v>
      </c>
      <c r="J15" s="194" t="s">
        <v>75</v>
      </c>
      <c r="K15" s="195">
        <v>1</v>
      </c>
      <c r="L15" s="195">
        <v>1550</v>
      </c>
      <c r="M15" s="207">
        <f t="shared" si="5"/>
        <v>5.8823529411764705E-2</v>
      </c>
      <c r="N15" s="208">
        <f t="shared" si="6"/>
        <v>9.3261131167268349E-2</v>
      </c>
    </row>
    <row r="16" spans="1:14" ht="18">
      <c r="A16" s="143" t="s">
        <v>69</v>
      </c>
      <c r="B16" s="144">
        <v>3</v>
      </c>
      <c r="C16" s="144">
        <v>3730</v>
      </c>
      <c r="D16" s="4">
        <f t="shared" si="7"/>
        <v>0.1875</v>
      </c>
      <c r="E16" s="4">
        <f t="shared" si="8"/>
        <v>0.28129713423831071</v>
      </c>
      <c r="F16" s="1">
        <f t="shared" si="9"/>
        <v>1</v>
      </c>
      <c r="G16" s="5">
        <f t="shared" si="10"/>
        <v>2</v>
      </c>
      <c r="H16" s="6">
        <f t="shared" si="11"/>
        <v>2</v>
      </c>
      <c r="J16" s="194" t="s">
        <v>57</v>
      </c>
      <c r="K16" s="195">
        <v>5</v>
      </c>
      <c r="L16" s="195">
        <v>4130</v>
      </c>
      <c r="M16" s="207">
        <f t="shared" si="5"/>
        <v>0.29411764705882354</v>
      </c>
      <c r="N16" s="208">
        <f t="shared" si="6"/>
        <v>0.24849578820697954</v>
      </c>
    </row>
    <row r="17" spans="1:22" ht="18">
      <c r="A17" s="143" t="s">
        <v>73</v>
      </c>
      <c r="B17" s="144">
        <v>2</v>
      </c>
      <c r="C17" s="144">
        <v>750</v>
      </c>
      <c r="D17" s="4">
        <f t="shared" si="7"/>
        <v>0.125</v>
      </c>
      <c r="E17" s="4">
        <f t="shared" si="8"/>
        <v>5.6561085972850679E-2</v>
      </c>
      <c r="F17" s="1">
        <f t="shared" si="9"/>
        <v>3</v>
      </c>
      <c r="G17" s="5">
        <f t="shared" si="10"/>
        <v>-1</v>
      </c>
      <c r="H17" s="6">
        <f t="shared" si="11"/>
        <v>-0.33333333333333337</v>
      </c>
      <c r="J17" s="194" t="s">
        <v>126</v>
      </c>
      <c r="K17" s="195">
        <v>2</v>
      </c>
      <c r="L17" s="195">
        <v>3300</v>
      </c>
      <c r="M17" s="207">
        <f t="shared" si="5"/>
        <v>0.11764705882352941</v>
      </c>
      <c r="N17" s="208">
        <f t="shared" si="6"/>
        <v>0.19855595667870035</v>
      </c>
    </row>
    <row r="18" spans="1:22" ht="18">
      <c r="A18" s="143" t="s">
        <v>57</v>
      </c>
      <c r="B18" s="144">
        <v>7</v>
      </c>
      <c r="C18" s="144">
        <v>6930</v>
      </c>
      <c r="D18" s="4">
        <f t="shared" si="7"/>
        <v>0.4375</v>
      </c>
      <c r="E18" s="4">
        <f t="shared" si="8"/>
        <v>0.5226244343891403</v>
      </c>
      <c r="F18" s="1">
        <f t="shared" si="9"/>
        <v>5</v>
      </c>
      <c r="G18" s="5">
        <f t="shared" si="10"/>
        <v>2</v>
      </c>
      <c r="H18" s="6">
        <f t="shared" si="11"/>
        <v>0.39999999999999991</v>
      </c>
      <c r="J18" s="210"/>
      <c r="K18" s="211"/>
      <c r="L18" s="212"/>
      <c r="M18" s="207"/>
      <c r="N18" s="208"/>
    </row>
    <row r="19" spans="1:22">
      <c r="A19" s="30" t="s">
        <v>81</v>
      </c>
      <c r="B19" s="31">
        <f>SUM(B12:B18)</f>
        <v>16</v>
      </c>
      <c r="C19" s="31">
        <f>SUM(C12:C18)</f>
        <v>13260</v>
      </c>
      <c r="D19" s="32">
        <f>SUM(D12:D18)</f>
        <v>1</v>
      </c>
      <c r="E19" s="32">
        <f t="shared" ref="E19:F19" si="12">SUM(E12:E18)</f>
        <v>1</v>
      </c>
      <c r="F19" s="33">
        <f t="shared" si="12"/>
        <v>11</v>
      </c>
      <c r="G19" s="34">
        <f>SUM(G12:G18)</f>
        <v>5</v>
      </c>
      <c r="H19" s="6">
        <f t="shared" si="11"/>
        <v>0.45454545454545459</v>
      </c>
      <c r="J19" s="30" t="s">
        <v>0</v>
      </c>
      <c r="K19" s="31">
        <f>SUM(K11:K18)</f>
        <v>17</v>
      </c>
      <c r="L19" s="92">
        <f>SUM(L11:L18)</f>
        <v>16620</v>
      </c>
      <c r="M19" s="35">
        <f>SUM(M11:M18)</f>
        <v>1</v>
      </c>
      <c r="N19" s="35">
        <f>SUM(N11:N18)</f>
        <v>0.99999999999999978</v>
      </c>
    </row>
    <row r="20" spans="1:22" s="25" customFormat="1">
      <c r="A20" s="44" t="s">
        <v>84</v>
      </c>
      <c r="B20" s="45">
        <f t="shared" ref="B20:G20" si="13">SUM(B19+B8)</f>
        <v>52</v>
      </c>
      <c r="C20" s="45">
        <f t="shared" si="13"/>
        <v>48020</v>
      </c>
      <c r="D20" s="46">
        <f t="shared" si="13"/>
        <v>2</v>
      </c>
      <c r="E20" s="46">
        <f t="shared" si="13"/>
        <v>2</v>
      </c>
      <c r="F20" s="47">
        <f t="shared" si="13"/>
        <v>11</v>
      </c>
      <c r="G20" s="48">
        <f t="shared" si="13"/>
        <v>41</v>
      </c>
      <c r="H20" s="6">
        <f t="shared" si="11"/>
        <v>3.7272727272727275</v>
      </c>
      <c r="I20" s="24"/>
      <c r="J20" s="44"/>
      <c r="K20" s="45">
        <f>SUM(K19+K8)</f>
        <v>75</v>
      </c>
      <c r="L20" s="93">
        <f>SUM(L19+L8)</f>
        <v>76010</v>
      </c>
      <c r="M20" s="73">
        <f>SUM(M19+M8)</f>
        <v>2</v>
      </c>
      <c r="N20" s="73">
        <f>SUM(N19+N8)</f>
        <v>1.9999999999999998</v>
      </c>
      <c r="O20" s="1"/>
      <c r="P20" s="1"/>
      <c r="Q20" s="1"/>
      <c r="R20" s="1"/>
      <c r="S20" s="1"/>
      <c r="T20" s="1"/>
      <c r="U20" s="1"/>
      <c r="V20" s="1"/>
    </row>
    <row r="21" spans="1:22" s="25" customFormat="1" ht="28.8">
      <c r="A21" s="106" t="s">
        <v>110</v>
      </c>
      <c r="B21" s="136">
        <f>COUNTA(A12:A18)</f>
        <v>7</v>
      </c>
      <c r="C21" s="136"/>
      <c r="D21" s="136"/>
      <c r="E21" s="136"/>
      <c r="F21" s="136"/>
      <c r="G21" s="136"/>
      <c r="H21" s="6"/>
      <c r="I21" s="24"/>
      <c r="J21" s="122">
        <f>COUNTA(J11:J16)</f>
        <v>6</v>
      </c>
      <c r="K21" s="45"/>
      <c r="L21" s="93"/>
      <c r="M21" s="73"/>
      <c r="N21" s="73"/>
      <c r="O21" s="1"/>
      <c r="P21" s="1"/>
      <c r="Q21" s="1"/>
      <c r="R21" s="1"/>
      <c r="S21" s="1"/>
      <c r="T21" s="1"/>
      <c r="U21" s="1"/>
      <c r="V21" s="1"/>
    </row>
    <row r="22" spans="1:22" s="9" customFormat="1" ht="42">
      <c r="A22" s="27" t="s">
        <v>103</v>
      </c>
      <c r="B22" s="8">
        <f>+K8-B8</f>
        <v>22</v>
      </c>
      <c r="D22" s="22"/>
      <c r="N22" s="26"/>
    </row>
    <row r="23" spans="1:22" s="9" customFormat="1" ht="42">
      <c r="A23" s="27" t="s">
        <v>104</v>
      </c>
      <c r="B23" s="8">
        <f>+B19-K19</f>
        <v>-1</v>
      </c>
      <c r="D23" s="22"/>
      <c r="N23" s="26"/>
    </row>
    <row r="24" spans="1:22" s="9" customFormat="1" ht="23.4">
      <c r="A24" s="7" t="s">
        <v>8</v>
      </c>
      <c r="B24" s="10">
        <f>(B20/K20)-1</f>
        <v>-0.30666666666666664</v>
      </c>
      <c r="E24" s="22"/>
    </row>
    <row r="25" spans="1:22" s="9" customFormat="1" ht="23.4">
      <c r="A25" s="11"/>
      <c r="B25" s="12"/>
      <c r="D25" s="22"/>
    </row>
  </sheetData>
  <mergeCells count="8">
    <mergeCell ref="B21:G21"/>
    <mergeCell ref="A2:A3"/>
    <mergeCell ref="K2:N2"/>
    <mergeCell ref="A10:A11"/>
    <mergeCell ref="B1:H1"/>
    <mergeCell ref="B2:E2"/>
    <mergeCell ref="J1:N1"/>
    <mergeCell ref="B9:G9"/>
  </mergeCells>
  <conditionalFormatting sqref="G4:G7 G10:G18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{097E0FDB-8E50-43A2-AABE-E41B263865FE}</x14:id>
        </ext>
      </extLst>
    </cfRule>
  </conditionalFormatting>
  <conditionalFormatting sqref="H4:H7 H10:H20">
    <cfRule type="dataBar" priority="4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{A4CA056F-8E4B-49FE-8E7B-6B8E170FECE9}</x14:id>
        </ext>
      </extLst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7E0FDB-8E50-43A2-AABE-E41B263865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G4:G7 G10:G18</xm:sqref>
        </x14:conditionalFormatting>
        <x14:conditionalFormatting xmlns:xm="http://schemas.microsoft.com/office/excel/2006/main">
          <x14:cfRule type="dataBar" id="{A4CA056F-8E4B-49FE-8E7B-6B8E170FEC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H4:H7 H10:H20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A264-C1C0-448A-A744-68B9711F0711}">
  <sheetPr codeName="Hoja9"/>
  <dimension ref="A1:P39"/>
  <sheetViews>
    <sheetView showGridLines="0" zoomScale="77" zoomScaleNormal="77" workbookViewId="0">
      <selection activeCell="F23" sqref="F23"/>
    </sheetView>
  </sheetViews>
  <sheetFormatPr baseColWidth="10" defaultColWidth="8.88671875" defaultRowHeight="14.4"/>
  <cols>
    <col min="1" max="1" width="34.109375" style="1" customWidth="1"/>
    <col min="2" max="2" width="22.33203125" style="1" customWidth="1"/>
    <col min="3" max="3" width="26" style="98" customWidth="1"/>
    <col min="4" max="4" width="23.33203125" style="1" customWidth="1"/>
    <col min="5" max="5" width="19.88671875" style="1" customWidth="1"/>
    <col min="6" max="7" width="14.44140625" style="1" customWidth="1"/>
    <col min="8" max="8" width="13.6640625" style="1" customWidth="1"/>
    <col min="9" max="9" width="8.88671875" style="1"/>
    <col min="10" max="10" width="26.44140625" style="1" customWidth="1"/>
    <col min="11" max="11" width="21" style="1" customWidth="1"/>
    <col min="12" max="12" width="15.44140625" style="1" customWidth="1"/>
    <col min="13" max="13" width="24.44140625" style="1" bestFit="1" customWidth="1"/>
    <col min="14" max="14" width="14.109375" style="1" customWidth="1"/>
    <col min="15" max="16384" width="8.88671875" style="1"/>
  </cols>
  <sheetData>
    <row r="1" spans="1:15" ht="18.600000000000001" thickBot="1">
      <c r="A1" s="49" t="s">
        <v>67</v>
      </c>
      <c r="B1" s="146">
        <v>45488</v>
      </c>
      <c r="C1" s="146"/>
      <c r="D1" s="146"/>
      <c r="E1" s="146"/>
      <c r="F1" s="146"/>
      <c r="G1" s="146"/>
      <c r="H1" s="146"/>
      <c r="I1" s="170"/>
      <c r="J1" s="203">
        <v>45122</v>
      </c>
      <c r="K1" s="203"/>
      <c r="L1" s="203"/>
      <c r="M1" s="203"/>
      <c r="N1" s="203"/>
    </row>
    <row r="2" spans="1:15">
      <c r="A2" s="129" t="s">
        <v>97</v>
      </c>
      <c r="B2" s="134" t="s">
        <v>0</v>
      </c>
      <c r="C2" s="134"/>
      <c r="D2" s="134"/>
      <c r="E2" s="134"/>
      <c r="J2" s="202"/>
      <c r="K2" s="204" t="s">
        <v>0</v>
      </c>
      <c r="L2" s="204"/>
      <c r="M2" s="204"/>
      <c r="N2" s="204"/>
    </row>
    <row r="3" spans="1:15" ht="28.8">
      <c r="A3" s="128"/>
      <c r="B3" s="1" t="s">
        <v>1</v>
      </c>
      <c r="C3" s="91" t="s">
        <v>2</v>
      </c>
      <c r="D3" s="20" t="s">
        <v>3</v>
      </c>
      <c r="E3" s="20" t="s">
        <v>4</v>
      </c>
      <c r="F3" s="74" t="s">
        <v>100</v>
      </c>
      <c r="G3" s="74" t="s">
        <v>5</v>
      </c>
      <c r="H3" s="74" t="s">
        <v>6</v>
      </c>
      <c r="J3" s="205">
        <v>2023</v>
      </c>
      <c r="K3" s="202" t="s">
        <v>1</v>
      </c>
      <c r="L3" s="202" t="s">
        <v>2</v>
      </c>
      <c r="M3" s="202" t="s">
        <v>3</v>
      </c>
      <c r="N3" s="202" t="s">
        <v>4</v>
      </c>
    </row>
    <row r="4" spans="1:15" ht="18">
      <c r="A4" s="143" t="s">
        <v>74</v>
      </c>
      <c r="B4" s="144">
        <v>2</v>
      </c>
      <c r="C4" s="91">
        <v>850</v>
      </c>
      <c r="D4" s="4">
        <f>+B4/$B$5</f>
        <v>1</v>
      </c>
      <c r="E4" s="4">
        <f>+C4/$C$5</f>
        <v>1</v>
      </c>
      <c r="F4" s="1">
        <f>IFERROR(+VLOOKUP(A4,$J$4:$K$4,2,FALSE),0)</f>
        <v>5</v>
      </c>
      <c r="G4" s="5">
        <f>IFERROR(+B4-F4,0)</f>
        <v>-3</v>
      </c>
      <c r="H4" s="6">
        <f>IFERROR(+(B4/F4)-1,0)</f>
        <v>-0.6</v>
      </c>
      <c r="J4" s="194" t="s">
        <v>74</v>
      </c>
      <c r="K4" s="195">
        <v>5</v>
      </c>
      <c r="L4" s="212">
        <v>2590</v>
      </c>
      <c r="M4" s="207">
        <f>+K4/$K$5</f>
        <v>1</v>
      </c>
      <c r="N4" s="208">
        <f>+L4/$L$5</f>
        <v>1</v>
      </c>
    </row>
    <row r="5" spans="1:15">
      <c r="A5" s="30" t="s">
        <v>80</v>
      </c>
      <c r="B5" s="31">
        <f>SUM(B4:B4)</f>
        <v>2</v>
      </c>
      <c r="C5" s="92">
        <f t="shared" ref="C5:G5" si="0">SUM(C4:C4)</f>
        <v>850</v>
      </c>
      <c r="D5" s="32">
        <f t="shared" si="0"/>
        <v>1</v>
      </c>
      <c r="E5" s="32">
        <f t="shared" si="0"/>
        <v>1</v>
      </c>
      <c r="F5" s="33">
        <f t="shared" si="0"/>
        <v>5</v>
      </c>
      <c r="G5" s="34">
        <f t="shared" si="0"/>
        <v>-3</v>
      </c>
      <c r="H5" s="6">
        <f>+(B5/F5)-1</f>
        <v>-0.6</v>
      </c>
      <c r="J5" s="30" t="s">
        <v>0</v>
      </c>
      <c r="K5" s="31">
        <f>SUM(K4:K4)</f>
        <v>5</v>
      </c>
      <c r="L5" s="92">
        <f>SUM(L4:L4)</f>
        <v>2590</v>
      </c>
      <c r="M5" s="35">
        <f>SUM(M4:M4)</f>
        <v>1</v>
      </c>
      <c r="N5" s="35">
        <f>SUM(N4:N4)</f>
        <v>1</v>
      </c>
    </row>
    <row r="6" spans="1:15" ht="28.8">
      <c r="A6" s="123" t="s">
        <v>110</v>
      </c>
      <c r="B6" s="140">
        <f>COUNTA(A4)</f>
        <v>1</v>
      </c>
      <c r="C6" s="140"/>
      <c r="D6" s="140"/>
      <c r="E6" s="140"/>
      <c r="F6" s="140"/>
      <c r="G6" s="140"/>
      <c r="H6" s="6"/>
      <c r="J6" s="117">
        <f>COUNTA(J4)</f>
        <v>1</v>
      </c>
      <c r="K6" s="31"/>
      <c r="L6" s="92"/>
      <c r="M6" s="35"/>
      <c r="N6" s="35"/>
    </row>
    <row r="7" spans="1:15" ht="18">
      <c r="A7" s="128" t="s">
        <v>99</v>
      </c>
      <c r="B7" s="21"/>
      <c r="C7" s="91"/>
      <c r="D7" s="4"/>
      <c r="E7" s="4"/>
      <c r="G7" s="5"/>
      <c r="H7" s="6"/>
      <c r="J7" s="210"/>
      <c r="K7" s="211"/>
      <c r="L7" s="212"/>
      <c r="M7" s="207"/>
      <c r="N7" s="208"/>
    </row>
    <row r="8" spans="1:15" ht="18">
      <c r="A8" s="128"/>
      <c r="B8" s="21"/>
      <c r="C8" s="91"/>
      <c r="D8" s="4"/>
      <c r="E8" s="4"/>
      <c r="G8" s="5"/>
      <c r="H8" s="6"/>
      <c r="J8" s="210"/>
      <c r="K8" s="211"/>
      <c r="L8" s="212"/>
      <c r="M8" s="207"/>
      <c r="N8" s="208"/>
    </row>
    <row r="9" spans="1:15" ht="18">
      <c r="A9" s="143" t="s">
        <v>40</v>
      </c>
      <c r="B9" s="144">
        <v>2</v>
      </c>
      <c r="C9" s="91">
        <v>1400</v>
      </c>
      <c r="D9" s="4">
        <f>+B9/$B$19</f>
        <v>9.5238095238095233E-2</v>
      </c>
      <c r="E9" s="4">
        <f>+C9/$C$19</f>
        <v>0.10093727469358327</v>
      </c>
      <c r="F9" s="1">
        <f>IFERROR(+VLOOKUP(A9,$J$9:$K$18,2,FALSE),0)</f>
        <v>3</v>
      </c>
      <c r="G9" s="5">
        <f>IFERROR(+B9-F9,0)</f>
        <v>-1</v>
      </c>
      <c r="H9" s="6">
        <f>IFERROR(+(B9/F9)-1,0)</f>
        <v>-0.33333333333333337</v>
      </c>
      <c r="J9" s="194" t="s">
        <v>40</v>
      </c>
      <c r="K9" s="195">
        <v>3</v>
      </c>
      <c r="L9" s="212">
        <v>4500</v>
      </c>
      <c r="M9" s="207">
        <f>+K9/$K$19</f>
        <v>6.5217391304347824E-2</v>
      </c>
      <c r="N9" s="208">
        <f>+L9/$L$19</f>
        <v>0.13711151736745886</v>
      </c>
    </row>
    <row r="10" spans="1:15" ht="18">
      <c r="A10" s="143" t="s">
        <v>18</v>
      </c>
      <c r="B10" s="144">
        <v>3</v>
      </c>
      <c r="C10" s="91">
        <v>1780</v>
      </c>
      <c r="D10" s="4">
        <f>+B10/$B$19</f>
        <v>0.14285714285714285</v>
      </c>
      <c r="E10" s="4">
        <f>+C10/$C$19</f>
        <v>0.12833453496755587</v>
      </c>
      <c r="F10" s="1">
        <f>IFERROR(+VLOOKUP(A10,$J$9:$K$18,2,FALSE),0)</f>
        <v>19</v>
      </c>
      <c r="G10" s="5">
        <f t="shared" ref="G10:G17" si="1">IFERROR(+B10-F10,0)</f>
        <v>-16</v>
      </c>
      <c r="H10" s="6">
        <f t="shared" ref="H10:H17" si="2">IFERROR(+(B10/F10)-1,0)</f>
        <v>-0.84210526315789469</v>
      </c>
      <c r="J10" s="194" t="s">
        <v>18</v>
      </c>
      <c r="K10" s="195">
        <v>19</v>
      </c>
      <c r="L10" s="212">
        <v>13250</v>
      </c>
      <c r="M10" s="207">
        <f>+K10/$K$19</f>
        <v>0.41304347826086957</v>
      </c>
      <c r="N10" s="208">
        <f>+L10/$L$19</f>
        <v>0.4037172455819622</v>
      </c>
    </row>
    <row r="11" spans="1:15" ht="18">
      <c r="A11" s="143" t="s">
        <v>41</v>
      </c>
      <c r="B11" s="144">
        <v>1</v>
      </c>
      <c r="C11" s="91">
        <v>1250</v>
      </c>
      <c r="D11" s="4">
        <f>+B11/$B$19</f>
        <v>4.7619047619047616E-2</v>
      </c>
      <c r="E11" s="4">
        <f>+C11/$C$19</f>
        <v>9.0122566690699346E-2</v>
      </c>
      <c r="F11" s="1">
        <f>IFERROR(+VLOOKUP(A11,$J$9:$K$18,2,FALSE),0)</f>
        <v>3</v>
      </c>
      <c r="G11" s="5">
        <f t="shared" si="1"/>
        <v>-2</v>
      </c>
      <c r="H11" s="6">
        <f t="shared" si="2"/>
        <v>-0.66666666666666674</v>
      </c>
      <c r="J11" s="194" t="s">
        <v>41</v>
      </c>
      <c r="K11" s="195">
        <v>3</v>
      </c>
      <c r="L11" s="212">
        <v>3700</v>
      </c>
      <c r="M11" s="207">
        <f>+K11/$K$19</f>
        <v>6.5217391304347824E-2</v>
      </c>
      <c r="N11" s="208">
        <f>+L11/$L$19</f>
        <v>0.11273613650213285</v>
      </c>
    </row>
    <row r="12" spans="1:15" ht="18">
      <c r="A12" s="143" t="s">
        <v>42</v>
      </c>
      <c r="B12" s="144">
        <v>2</v>
      </c>
      <c r="C12" s="91">
        <v>1900</v>
      </c>
      <c r="D12" s="4">
        <f>+B12/$B$19</f>
        <v>9.5238095238095233E-2</v>
      </c>
      <c r="E12" s="4">
        <f>+C12/$C$19</f>
        <v>0.13698630136986301</v>
      </c>
      <c r="F12" s="1">
        <f>IFERROR(+VLOOKUP(A12,$J$9:$K$18,2,FALSE),0)</f>
        <v>3</v>
      </c>
      <c r="G12" s="5">
        <f t="shared" si="1"/>
        <v>-1</v>
      </c>
      <c r="H12" s="6">
        <f t="shared" si="2"/>
        <v>-0.33333333333333337</v>
      </c>
      <c r="I12" s="6"/>
      <c r="J12" s="194" t="s">
        <v>42</v>
      </c>
      <c r="K12" s="195">
        <v>3</v>
      </c>
      <c r="L12" s="212">
        <v>1630</v>
      </c>
      <c r="M12" s="207">
        <f>+K12/$K$19</f>
        <v>6.5217391304347824E-2</v>
      </c>
      <c r="N12" s="208">
        <f>+L12/$L$19</f>
        <v>4.9664838513101765E-2</v>
      </c>
      <c r="O12" s="6"/>
    </row>
    <row r="13" spans="1:15" ht="18">
      <c r="A13" s="143" t="s">
        <v>43</v>
      </c>
      <c r="B13" s="144">
        <v>2</v>
      </c>
      <c r="C13" s="91">
        <v>580</v>
      </c>
      <c r="D13" s="4">
        <f>+B13/$B$19</f>
        <v>9.5238095238095233E-2</v>
      </c>
      <c r="E13" s="4">
        <f>+C13/$C$19</f>
        <v>4.1816870944484497E-2</v>
      </c>
      <c r="F13" s="1">
        <f>IFERROR(+VLOOKUP(A13,$J$9:$K$18,2,FALSE),0)</f>
        <v>1</v>
      </c>
      <c r="G13" s="5">
        <f t="shared" si="1"/>
        <v>1</v>
      </c>
      <c r="H13" s="6">
        <f t="shared" si="2"/>
        <v>1</v>
      </c>
      <c r="J13" s="194" t="s">
        <v>43</v>
      </c>
      <c r="K13" s="195">
        <v>1</v>
      </c>
      <c r="L13" s="212">
        <v>450</v>
      </c>
      <c r="M13" s="207">
        <f>+K13/$K$19</f>
        <v>2.1739130434782608E-2</v>
      </c>
      <c r="N13" s="208">
        <f>+L13/$L$19</f>
        <v>1.3711151736745886E-2</v>
      </c>
    </row>
    <row r="14" spans="1:15" ht="18">
      <c r="A14" s="143" t="s">
        <v>44</v>
      </c>
      <c r="B14" s="144">
        <v>2</v>
      </c>
      <c r="C14" s="91">
        <v>1730</v>
      </c>
      <c r="D14" s="4">
        <f>+B14/$B$19</f>
        <v>9.5238095238095233E-2</v>
      </c>
      <c r="E14" s="4">
        <f>+C14/$C$19</f>
        <v>0.1247296322999279</v>
      </c>
      <c r="F14" s="1">
        <f>IFERROR(+VLOOKUP(A14,$J$9:$K$18,2,FALSE),0)</f>
        <v>5</v>
      </c>
      <c r="G14" s="5">
        <f t="shared" si="1"/>
        <v>-3</v>
      </c>
      <c r="H14" s="6">
        <f t="shared" si="2"/>
        <v>-0.6</v>
      </c>
      <c r="J14" s="194" t="s">
        <v>44</v>
      </c>
      <c r="K14" s="195">
        <v>5</v>
      </c>
      <c r="L14" s="212">
        <v>2890</v>
      </c>
      <c r="M14" s="207">
        <f>+K14/$K$19</f>
        <v>0.10869565217391304</v>
      </c>
      <c r="N14" s="208">
        <f>+L14/$L$19</f>
        <v>8.8056063375990257E-2</v>
      </c>
    </row>
    <row r="15" spans="1:15" ht="18">
      <c r="A15" s="143" t="s">
        <v>45</v>
      </c>
      <c r="B15" s="144">
        <v>5</v>
      </c>
      <c r="C15" s="91">
        <v>2910</v>
      </c>
      <c r="D15" s="4">
        <f>+B15/$B$19</f>
        <v>0.23809523809523808</v>
      </c>
      <c r="E15" s="4">
        <f>+C15/$C$19</f>
        <v>0.20980533525594808</v>
      </c>
      <c r="F15" s="1">
        <f>IFERROR(+VLOOKUP(A15,$J$9:$K$18,2,FALSE),0)</f>
        <v>0</v>
      </c>
      <c r="G15" s="5">
        <f t="shared" si="1"/>
        <v>5</v>
      </c>
      <c r="H15" s="6">
        <f t="shared" si="2"/>
        <v>0</v>
      </c>
      <c r="J15" s="194" t="s">
        <v>71</v>
      </c>
      <c r="K15" s="195">
        <v>3</v>
      </c>
      <c r="L15" s="212">
        <v>580</v>
      </c>
      <c r="M15" s="207">
        <f>+K15/$K$19</f>
        <v>6.5217391304347824E-2</v>
      </c>
      <c r="N15" s="208">
        <f>+L15/$L$19</f>
        <v>1.7672151127361365E-2</v>
      </c>
    </row>
    <row r="16" spans="1:15" ht="18">
      <c r="A16" s="143" t="s">
        <v>73</v>
      </c>
      <c r="B16" s="144">
        <v>1</v>
      </c>
      <c r="C16" s="91">
        <v>320</v>
      </c>
      <c r="D16" s="4">
        <f>+B16/$B$19</f>
        <v>4.7619047619047616E-2</v>
      </c>
      <c r="E16" s="4">
        <f>+C16/$C$19</f>
        <v>2.3071377072819033E-2</v>
      </c>
      <c r="F16" s="1">
        <f>IFERROR(+VLOOKUP(A16,$J$9:$K$18,2,FALSE),0)</f>
        <v>0</v>
      </c>
      <c r="G16" s="5">
        <f t="shared" si="1"/>
        <v>1</v>
      </c>
      <c r="H16" s="6">
        <f t="shared" si="2"/>
        <v>0</v>
      </c>
      <c r="J16" s="194" t="s">
        <v>72</v>
      </c>
      <c r="K16" s="195">
        <v>3</v>
      </c>
      <c r="L16" s="212">
        <v>1210</v>
      </c>
      <c r="M16" s="207">
        <f>+K16/$K$19</f>
        <v>6.5217391304347824E-2</v>
      </c>
      <c r="N16" s="208">
        <f>+L16/$L$19</f>
        <v>3.6867763558805604E-2</v>
      </c>
    </row>
    <row r="17" spans="1:16" ht="18">
      <c r="A17" s="143" t="s">
        <v>94</v>
      </c>
      <c r="B17" s="144">
        <v>3</v>
      </c>
      <c r="C17" s="91">
        <v>2000</v>
      </c>
      <c r="D17" s="4"/>
      <c r="E17" s="4"/>
      <c r="F17" s="1">
        <f>IFERROR(+VLOOKUP(A17,$J$9:$K$18,2,FALSE),0)</f>
        <v>0</v>
      </c>
      <c r="G17" s="5">
        <f t="shared" si="1"/>
        <v>3</v>
      </c>
      <c r="H17" s="6">
        <f t="shared" si="2"/>
        <v>0</v>
      </c>
      <c r="J17" s="194" t="s">
        <v>46</v>
      </c>
      <c r="K17" s="195">
        <v>6</v>
      </c>
      <c r="L17" s="212">
        <v>4610</v>
      </c>
      <c r="M17" s="207">
        <f>+K17/$K$19</f>
        <v>0.13043478260869565</v>
      </c>
      <c r="N17" s="208">
        <f>+L17/$L$19</f>
        <v>0.14046313223644119</v>
      </c>
    </row>
    <row r="18" spans="1:16" ht="18">
      <c r="A18" s="19"/>
      <c r="B18" s="21"/>
      <c r="C18" s="91"/>
      <c r="D18" s="4"/>
      <c r="E18" s="4"/>
      <c r="F18" s="1">
        <f>IFERROR(+VLOOKUP(A18,$J$9:$K$18,2,FALSE),0)</f>
        <v>0</v>
      </c>
      <c r="G18" s="5">
        <f>IFERROR(+B18-F18,0)</f>
        <v>0</v>
      </c>
      <c r="H18" s="6">
        <f>IFERROR(+(B18/F18)-1,0)</f>
        <v>0</v>
      </c>
      <c r="J18" s="210"/>
      <c r="K18" s="211"/>
      <c r="L18" s="212"/>
      <c r="M18" s="207">
        <f>+K18/$K$19</f>
        <v>0</v>
      </c>
      <c r="N18" s="208">
        <f>+L18/$L$19</f>
        <v>0</v>
      </c>
    </row>
    <row r="19" spans="1:16">
      <c r="A19" s="30" t="s">
        <v>81</v>
      </c>
      <c r="B19" s="31">
        <f>SUM(B9:B18)</f>
        <v>21</v>
      </c>
      <c r="C19" s="92">
        <f>SUM(C9:C18)</f>
        <v>13870</v>
      </c>
      <c r="D19" s="32">
        <f>SUM(D9:D18)</f>
        <v>0.85714285714285721</v>
      </c>
      <c r="E19" s="32">
        <f>SUM(E9:E18)</f>
        <v>0.85580389329488105</v>
      </c>
      <c r="F19" s="33">
        <f>SUM(F9:F18)</f>
        <v>34</v>
      </c>
      <c r="G19" s="34">
        <f>SUM(G9:G18)</f>
        <v>-13</v>
      </c>
      <c r="H19" s="6">
        <f>+(B19/F19)-1</f>
        <v>-0.38235294117647056</v>
      </c>
      <c r="J19" s="30" t="s">
        <v>0</v>
      </c>
      <c r="K19" s="31">
        <f>SUM(K9:K18)</f>
        <v>46</v>
      </c>
      <c r="L19" s="92">
        <f>SUM(L9:L18)</f>
        <v>32820</v>
      </c>
      <c r="M19" s="35">
        <f>SUM(M9:M18)</f>
        <v>0.99999999999999989</v>
      </c>
      <c r="N19" s="35">
        <f>SUM(N9:N18)</f>
        <v>1</v>
      </c>
    </row>
    <row r="20" spans="1:16" s="25" customFormat="1">
      <c r="A20" s="44" t="s">
        <v>84</v>
      </c>
      <c r="B20" s="45">
        <f>SUM(B19+B5)</f>
        <v>23</v>
      </c>
      <c r="C20" s="93">
        <f>SUM(C19+C5)</f>
        <v>14720</v>
      </c>
      <c r="D20" s="46">
        <f>SUM(D19+D5)</f>
        <v>1.8571428571428572</v>
      </c>
      <c r="E20" s="46">
        <f>SUM(E19+E5)</f>
        <v>1.855803893294881</v>
      </c>
      <c r="F20" s="45">
        <f>SUM(F19+F5)</f>
        <v>39</v>
      </c>
      <c r="G20" s="45">
        <f>SUM(G19+G5)</f>
        <v>-16</v>
      </c>
      <c r="H20" s="6">
        <f>+(B20/F20)-1</f>
        <v>-0.41025641025641024</v>
      </c>
      <c r="I20" s="24"/>
      <c r="J20" s="44"/>
      <c r="K20" s="45">
        <f>SUM(K19+K5)</f>
        <v>51</v>
      </c>
      <c r="L20" s="93">
        <f>SUM(L19+L5)</f>
        <v>35410</v>
      </c>
      <c r="M20" s="73">
        <f>SUM(M19+M5)</f>
        <v>2</v>
      </c>
      <c r="N20" s="73">
        <f>SUM(N19+N5)</f>
        <v>2</v>
      </c>
      <c r="O20" s="1"/>
      <c r="P20" s="1"/>
    </row>
    <row r="21" spans="1:16" s="25" customFormat="1" ht="28.8">
      <c r="A21" s="106" t="s">
        <v>110</v>
      </c>
      <c r="B21" s="136">
        <f>COUNTA(A9:A18)</f>
        <v>9</v>
      </c>
      <c r="C21" s="136"/>
      <c r="D21" s="136"/>
      <c r="E21" s="136"/>
      <c r="F21" s="136"/>
      <c r="G21" s="136"/>
      <c r="H21" s="6"/>
      <c r="I21" s="24"/>
      <c r="J21" s="122">
        <f>COUNTA(J9:J18)</f>
        <v>9</v>
      </c>
      <c r="K21" s="45"/>
      <c r="L21" s="93"/>
      <c r="M21" s="73"/>
      <c r="N21" s="73"/>
      <c r="O21" s="1"/>
      <c r="P21" s="1"/>
    </row>
    <row r="22" spans="1:16" s="9" customFormat="1" ht="42">
      <c r="A22" s="27" t="s">
        <v>103</v>
      </c>
      <c r="B22" s="8">
        <f>+B5-K5</f>
        <v>-3</v>
      </c>
      <c r="C22" s="126"/>
      <c r="D22" s="22"/>
    </row>
    <row r="23" spans="1:16" s="9" customFormat="1" ht="42">
      <c r="A23" s="27" t="s">
        <v>104</v>
      </c>
      <c r="B23" s="8">
        <f>+B19-K19</f>
        <v>-25</v>
      </c>
      <c r="C23" s="126"/>
      <c r="D23" s="22"/>
    </row>
    <row r="24" spans="1:16" s="9" customFormat="1" ht="23.4">
      <c r="A24" s="7" t="s">
        <v>8</v>
      </c>
      <c r="B24" s="10">
        <f>(B20/K20)-1</f>
        <v>-0.5490196078431373</v>
      </c>
      <c r="C24" s="126"/>
      <c r="E24" s="22"/>
    </row>
    <row r="25" spans="1:16" s="9" customFormat="1" ht="23.4">
      <c r="A25" s="11"/>
      <c r="B25" s="12"/>
      <c r="C25" s="126"/>
      <c r="D25" s="22"/>
    </row>
    <row r="26" spans="1:16" s="9" customFormat="1" ht="23.4" hidden="1">
      <c r="A26" s="13" t="s">
        <v>9</v>
      </c>
      <c r="C26" s="94">
        <v>31399</v>
      </c>
      <c r="H26" s="15">
        <f>+(C26/M26)-1</f>
        <v>-0.59749516081477783</v>
      </c>
      <c r="K26" s="13" t="s">
        <v>9</v>
      </c>
      <c r="M26" s="94">
        <v>78009</v>
      </c>
      <c r="N26" s="16"/>
    </row>
    <row r="27" spans="1:16" s="9" customFormat="1" ht="23.4" hidden="1">
      <c r="A27" s="13"/>
      <c r="C27" s="94"/>
      <c r="H27" s="17"/>
      <c r="K27" s="13"/>
      <c r="M27" s="94"/>
    </row>
    <row r="28" spans="1:16" s="9" customFormat="1" ht="23.1" hidden="1" customHeight="1">
      <c r="A28" s="13" t="s">
        <v>10</v>
      </c>
      <c r="C28" s="94">
        <f>C26/C30</f>
        <v>897.11428571428576</v>
      </c>
      <c r="H28" s="17">
        <f>+(C28/M28)-1</f>
        <v>-2.2488247693031704E-2</v>
      </c>
      <c r="K28" s="13" t="s">
        <v>10</v>
      </c>
      <c r="M28" s="94">
        <f>M26/M30</f>
        <v>917.75294117647059</v>
      </c>
    </row>
    <row r="29" spans="1:16" s="9" customFormat="1" ht="23.4" hidden="1">
      <c r="C29" s="126"/>
    </row>
    <row r="30" spans="1:16" s="9" customFormat="1" ht="23.4" hidden="1">
      <c r="A30" s="13" t="s">
        <v>11</v>
      </c>
      <c r="C30" s="94">
        <v>35</v>
      </c>
      <c r="H30" s="17">
        <f>+(C30/M30)-1</f>
        <v>-0.58823529411764708</v>
      </c>
      <c r="K30" s="13" t="s">
        <v>11</v>
      </c>
      <c r="M30" s="13">
        <v>85</v>
      </c>
    </row>
    <row r="31" spans="1:16" s="9" customFormat="1" ht="23.4" hidden="1">
      <c r="A31" s="13"/>
      <c r="C31" s="94"/>
      <c r="H31" s="17"/>
      <c r="K31" s="13"/>
      <c r="M31" s="13"/>
    </row>
    <row r="32" spans="1:16" s="9" customFormat="1" ht="23.4" hidden="1">
      <c r="A32" s="13" t="s">
        <v>12</v>
      </c>
      <c r="C32" s="126"/>
      <c r="K32" s="13" t="s">
        <v>12</v>
      </c>
    </row>
    <row r="33" spans="1:14" hidden="1">
      <c r="A33" s="1" t="s">
        <v>13</v>
      </c>
      <c r="C33" s="98">
        <v>21</v>
      </c>
      <c r="H33" s="6">
        <f>IFERROR(+(C33/M33)-1,0)</f>
        <v>-0.75</v>
      </c>
      <c r="K33" s="1" t="s">
        <v>13</v>
      </c>
      <c r="M33" s="1">
        <v>84</v>
      </c>
    </row>
    <row r="34" spans="1:14" hidden="1">
      <c r="A34" s="1" t="s">
        <v>14</v>
      </c>
      <c r="C34" s="98">
        <v>46</v>
      </c>
      <c r="D34" s="1">
        <f>+C33/C34</f>
        <v>0.45652173913043476</v>
      </c>
      <c r="H34" s="6">
        <f t="shared" ref="H34:H38" si="3">IFERROR(+(C34/M34)-1,0)</f>
        <v>-0.25806451612903225</v>
      </c>
      <c r="K34" s="1" t="s">
        <v>14</v>
      </c>
      <c r="M34" s="1">
        <v>62</v>
      </c>
      <c r="N34" s="1">
        <f>+M33/M34</f>
        <v>1.3548387096774193</v>
      </c>
    </row>
    <row r="35" spans="1:14" hidden="1">
      <c r="A35" s="1" t="s">
        <v>15</v>
      </c>
      <c r="C35" s="98">
        <v>1</v>
      </c>
      <c r="H35" s="6">
        <f t="shared" si="3"/>
        <v>0</v>
      </c>
      <c r="K35" s="1" t="s">
        <v>15</v>
      </c>
      <c r="M35" s="1">
        <v>0</v>
      </c>
    </row>
    <row r="36" spans="1:14" hidden="1">
      <c r="A36" s="1" t="s">
        <v>16</v>
      </c>
      <c r="C36" s="98">
        <v>2</v>
      </c>
      <c r="H36" s="6">
        <f t="shared" si="3"/>
        <v>1</v>
      </c>
      <c r="K36" s="1" t="s">
        <v>16</v>
      </c>
      <c r="M36" s="1">
        <v>1</v>
      </c>
    </row>
    <row r="37" spans="1:14" hidden="1">
      <c r="A37" s="1" t="s">
        <v>37</v>
      </c>
      <c r="C37" s="98">
        <v>68</v>
      </c>
      <c r="H37" s="6">
        <f t="shared" si="3"/>
        <v>-0.72357723577235777</v>
      </c>
      <c r="K37" s="1" t="s">
        <v>38</v>
      </c>
      <c r="M37" s="1">
        <v>246</v>
      </c>
    </row>
    <row r="38" spans="1:14" hidden="1">
      <c r="A38" s="1" t="s">
        <v>39</v>
      </c>
      <c r="C38" s="98">
        <v>0</v>
      </c>
      <c r="H38" s="6">
        <f t="shared" si="3"/>
        <v>0</v>
      </c>
      <c r="K38" s="1" t="s">
        <v>39</v>
      </c>
      <c r="M38" s="1">
        <v>0</v>
      </c>
    </row>
    <row r="39" spans="1:14" hidden="1"/>
  </sheetData>
  <mergeCells count="8">
    <mergeCell ref="B21:G21"/>
    <mergeCell ref="A2:A3"/>
    <mergeCell ref="K2:N2"/>
    <mergeCell ref="A7:A8"/>
    <mergeCell ref="B1:H1"/>
    <mergeCell ref="B2:E2"/>
    <mergeCell ref="J1:N1"/>
    <mergeCell ref="B6:G6"/>
  </mergeCells>
  <conditionalFormatting sqref="G7:G18 G4">
    <cfRule type="dataBar" priority="5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{03AD9418-D8C6-405B-A943-1CF104FCEE41}</x14:id>
        </ext>
      </extLst>
    </cfRule>
  </conditionalFormatting>
  <conditionalFormatting sqref="H7:H18 H4">
    <cfRule type="dataBar" priority="5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{A398EBCC-6212-4485-841B-D0768012984C}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AD9418-D8C6-405B-A943-1CF104FCEE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G7:G18 G4</xm:sqref>
        </x14:conditionalFormatting>
        <x14:conditionalFormatting xmlns:xm="http://schemas.microsoft.com/office/excel/2006/main">
          <x14:cfRule type="dataBar" id="{A398EBCC-6212-4485-841B-D076801298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H7:H18 H4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GLOBAL OFTALMOLOGOS OPTICENTRO</vt:lpstr>
      <vt:lpstr>MATRIZ</vt:lpstr>
      <vt:lpstr>AZURDUY</vt:lpstr>
      <vt:lpstr>POTOSI</vt:lpstr>
      <vt:lpstr>TUPIZA</vt:lpstr>
      <vt:lpstr>LA PAZ 1</vt:lpstr>
      <vt:lpstr>TARIJA 1</vt:lpstr>
      <vt:lpstr>YACUIBA</vt:lpstr>
      <vt:lpstr>TARIJA 2</vt:lpstr>
      <vt:lpstr>LA PAZ 2</vt:lpstr>
      <vt:lpstr>PARAGUAY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atapia</dc:creator>
  <cp:lastModifiedBy>Grupo OC</cp:lastModifiedBy>
  <dcterms:created xsi:type="dcterms:W3CDTF">2022-11-10T21:28:47Z</dcterms:created>
  <dcterms:modified xsi:type="dcterms:W3CDTF">2024-07-17T23:24:14Z</dcterms:modified>
</cp:coreProperties>
</file>