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Juan\"/>
    </mc:Choice>
  </mc:AlternateContent>
  <xr:revisionPtr revIDLastSave="0" documentId="13_ncr:1_{176FA3B6-7D7D-4AC7-AC70-62381AA8C7B6}" xr6:coauthVersionLast="47" xr6:coauthVersionMax="47" xr10:uidLastSave="{00000000-0000-0000-0000-000000000000}"/>
  <bookViews>
    <workbookView xWindow="-120" yWindow="-120" windowWidth="20730" windowHeight="11040" xr2:uid="{6E525B8D-1546-4672-A789-1E08D26C0EA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21" i="1" s="1"/>
  <c r="D22" i="1" s="1"/>
  <c r="D24" i="1" s="1"/>
  <c r="D28" i="1"/>
  <c r="D29" i="1" s="1"/>
  <c r="D30" i="1" s="1"/>
  <c r="D32" i="1" s="1"/>
  <c r="D23" i="1"/>
  <c r="E13" i="1"/>
  <c r="D31" i="1"/>
  <c r="D33" i="1" s="1"/>
  <c r="C27" i="1"/>
  <c r="C19" i="1"/>
  <c r="J13" i="1"/>
  <c r="J12" i="1"/>
  <c r="I12" i="1"/>
  <c r="I13" i="1"/>
  <c r="D38" i="1" l="1"/>
  <c r="D40" i="1" s="1"/>
  <c r="D25" i="1"/>
  <c r="D36" i="1"/>
  <c r="D37" i="1" s="1"/>
  <c r="D39" i="1" s="1"/>
  <c r="D57" i="1" l="1"/>
  <c r="D59" i="1"/>
  <c r="D58" i="1"/>
  <c r="G57" i="1" l="1"/>
  <c r="G58" i="1"/>
  <c r="D63" i="1" l="1"/>
  <c r="D72" i="1" s="1"/>
  <c r="G59" i="1"/>
  <c r="L64" i="1" s="1"/>
  <c r="L63" i="1" l="1"/>
  <c r="L67" i="1" s="1"/>
  <c r="D68" i="1"/>
  <c r="D70" i="1"/>
  <c r="D79" i="1" l="1"/>
  <c r="D82" i="1" s="1"/>
  <c r="D78" i="1"/>
  <c r="D81" i="1" s="1"/>
</calcChain>
</file>

<file path=xl/sharedStrings.xml><?xml version="1.0" encoding="utf-8"?>
<sst xmlns="http://schemas.openxmlformats.org/spreadsheetml/2006/main" count="60" uniqueCount="59">
  <si>
    <t>T(K)</t>
  </si>
  <si>
    <t>P(bar)</t>
  </si>
  <si>
    <t>R</t>
  </si>
  <si>
    <t>R(pa.m3/mol.K)</t>
  </si>
  <si>
    <t>Sustancia 1</t>
  </si>
  <si>
    <t>Sustancia 2</t>
  </si>
  <si>
    <t>Composicion (y)</t>
  </si>
  <si>
    <t>Pc(Pa)</t>
  </si>
  <si>
    <t>Tc(K)</t>
  </si>
  <si>
    <t>ꟺ</t>
  </si>
  <si>
    <t>Tr</t>
  </si>
  <si>
    <t>Pr</t>
  </si>
  <si>
    <t>Fugacidad para una mezcla binaria de gases con peng-robinson</t>
  </si>
  <si>
    <t>k12</t>
  </si>
  <si>
    <t>Parametro de interaccion binaria</t>
  </si>
  <si>
    <t>a1</t>
  </si>
  <si>
    <t>α1</t>
  </si>
  <si>
    <t>b1</t>
  </si>
  <si>
    <t>k1</t>
  </si>
  <si>
    <t>Reglas de mezclado</t>
  </si>
  <si>
    <t>a12</t>
  </si>
  <si>
    <t>amix</t>
  </si>
  <si>
    <t>bmix</t>
  </si>
  <si>
    <t>definiendo =</t>
  </si>
  <si>
    <t>Coeficientes</t>
  </si>
  <si>
    <t>d</t>
  </si>
  <si>
    <t>e</t>
  </si>
  <si>
    <t>f</t>
  </si>
  <si>
    <t>Parametros y discriminantes</t>
  </si>
  <si>
    <t>Q</t>
  </si>
  <si>
    <t>M</t>
  </si>
  <si>
    <t>θ</t>
  </si>
  <si>
    <t>Raices</t>
  </si>
  <si>
    <t>Z1</t>
  </si>
  <si>
    <t>Z2</t>
  </si>
  <si>
    <t>Z3</t>
  </si>
  <si>
    <t>Amix</t>
  </si>
  <si>
    <t>Bmix</t>
  </si>
  <si>
    <t>Fugacidad de los componentes</t>
  </si>
  <si>
    <t>Para la fase gaseosa la raiz con significado es la mas alta</t>
  </si>
  <si>
    <t>A1</t>
  </si>
  <si>
    <t>B1</t>
  </si>
  <si>
    <t>A2</t>
  </si>
  <si>
    <t>B2</t>
  </si>
  <si>
    <t>k2</t>
  </si>
  <si>
    <t>α2</t>
  </si>
  <si>
    <t>a2</t>
  </si>
  <si>
    <t>b2</t>
  </si>
  <si>
    <r>
      <rPr>
        <sz val="11"/>
        <color theme="1"/>
        <rFont val="Calibri"/>
        <family val="2"/>
      </rPr>
      <t>φ</t>
    </r>
    <r>
      <rPr>
        <sz val="9.9"/>
        <color theme="1"/>
        <rFont val="Calibri"/>
        <family val="2"/>
      </rPr>
      <t>1</t>
    </r>
  </si>
  <si>
    <t>φ2</t>
  </si>
  <si>
    <t>f2</t>
  </si>
  <si>
    <t xml:space="preserve">f1 </t>
  </si>
  <si>
    <t>S</t>
  </si>
  <si>
    <t>T</t>
  </si>
  <si>
    <t>metodo 2 M&gt;0</t>
  </si>
  <si>
    <t>metodo 1 M&lt;0</t>
  </si>
  <si>
    <t>benzene</t>
  </si>
  <si>
    <t>n-pentane</t>
  </si>
  <si>
    <t>Para mezclas liquidas el procedimiento  es igualmente valido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</si>
</sst>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.9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164" fontId="0" fillId="0" borderId="1" xfId="0" applyNumberFormat="1" applyBorder="1"/>
    <xf numFmtId="11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0" xfId="0" applyFill="1"/>
    <xf numFmtId="0" fontId="1" fillId="0" borderId="1" xfId="0" applyFont="1" applyBorder="1"/>
    <xf numFmtId="0" fontId="1" fillId="4" borderId="1" xfId="0" applyFont="1" applyFill="1" applyBorder="1"/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/>
    <xf numFmtId="11" fontId="0" fillId="0" borderId="1" xfId="0" applyNumberForma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341842</xdr:colOff>
      <xdr:row>18</xdr:row>
      <xdr:rowOff>173976</xdr:rowOff>
    </xdr:from>
    <xdr:to>
      <xdr:col>10</xdr:col>
      <xdr:colOff>436903</xdr:colOff>
      <xdr:row>33</xdr:row>
      <xdr:rowOff>142289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2545972-00DF-3CD1-81F3-AF0575A1D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2592" y="3602976"/>
          <a:ext cx="5217394" cy="2825813"/>
        </a:xfrm>
        <a:prstGeom prst="rect">
          <a:avLst/>
        </a:prstGeom>
      </xdr:spPr>
    </xdr:pic>
    <xdr:clientData/>
  </xdr:twoCellAnchor>
  <xdr:twoCellAnchor editAs="oneCell">
    <xdr:from>
      <xdr:col>4</xdr:col>
      <xdr:colOff>189441</xdr:colOff>
      <xdr:row>34</xdr:row>
      <xdr:rowOff>66624</xdr:rowOff>
    </xdr:from>
    <xdr:to>
      <xdr:col>11</xdr:col>
      <xdr:colOff>216935</xdr:colOff>
      <xdr:row>44</xdr:row>
      <xdr:rowOff>119946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320B591-3410-7855-5905-C13BB8FEC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0191" y="6543624"/>
          <a:ext cx="5731911" cy="1958322"/>
        </a:xfrm>
        <a:prstGeom prst="rect">
          <a:avLst/>
        </a:prstGeom>
      </xdr:spPr>
    </xdr:pic>
    <xdr:clientData/>
  </xdr:twoCellAnchor>
  <xdr:twoCellAnchor editAs="oneCell">
    <xdr:from>
      <xdr:col>11</xdr:col>
      <xdr:colOff>391583</xdr:colOff>
      <xdr:row>28</xdr:row>
      <xdr:rowOff>87827</xdr:rowOff>
    </xdr:from>
    <xdr:to>
      <xdr:col>17</xdr:col>
      <xdr:colOff>399780</xdr:colOff>
      <xdr:row>42</xdr:row>
      <xdr:rowOff>138010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890A76A-CADE-312E-B5DF-C7543A23E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34500" y="5040827"/>
          <a:ext cx="5035280" cy="2717183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47</xdr:row>
      <xdr:rowOff>0</xdr:rowOff>
    </xdr:from>
    <xdr:to>
      <xdr:col>11</xdr:col>
      <xdr:colOff>264583</xdr:colOff>
      <xdr:row>51</xdr:row>
      <xdr:rowOff>39000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B285149-5624-2B23-9935-231F48B39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499" y="8191500"/>
          <a:ext cx="8477251" cy="801000"/>
        </a:xfrm>
        <a:prstGeom prst="rect">
          <a:avLst/>
        </a:prstGeom>
      </xdr:spPr>
    </xdr:pic>
    <xdr:clientData/>
  </xdr:twoCellAnchor>
  <xdr:oneCellAnchor>
    <xdr:from>
      <xdr:col>3</xdr:col>
      <xdr:colOff>124883</xdr:colOff>
      <xdr:row>52</xdr:row>
      <xdr:rowOff>169333</xdr:rowOff>
    </xdr:from>
    <xdr:ext cx="2309283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C988A727-C5F5-1726-8689-71EF997FAD27}"/>
                </a:ext>
              </a:extLst>
            </xdr:cNvPr>
            <xdr:cNvSpPr txBox="1"/>
          </xdr:nvSpPr>
          <xdr:spPr>
            <a:xfrm>
              <a:off x="2675466" y="9313333"/>
              <a:ext cx="2309283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ES" sz="14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sz="14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s-ES" sz="1400" b="0" i="1">
                        <a:latin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es-E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ES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400" b="0" i="1">
                        <a:latin typeface="Cambria Math" panose="02040503050406030204" pitchFamily="18" charset="0"/>
                      </a:rPr>
                      <m:t>𝑒</m:t>
                    </m:r>
                    <m:r>
                      <a:rPr lang="es-ES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ES" sz="14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s-ES" sz="14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sz="1400" b="0" i="1">
                        <a:latin typeface="Cambria Math" panose="02040503050406030204" pitchFamily="18" charset="0"/>
                      </a:rPr>
                      <m:t>𝑓</m:t>
                    </m:r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C988A727-C5F5-1726-8689-71EF997FAD27}"/>
                </a:ext>
              </a:extLst>
            </xdr:cNvPr>
            <xdr:cNvSpPr txBox="1"/>
          </xdr:nvSpPr>
          <xdr:spPr>
            <a:xfrm>
              <a:off x="2675466" y="9313333"/>
              <a:ext cx="2309283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𝑍^3−𝑑∗𝑍^2+𝑒∗𝑍−𝑓</a:t>
              </a:r>
              <a:endParaRPr lang="es-CO" sz="1400"/>
            </a:p>
          </xdr:txBody>
        </xdr:sp>
      </mc:Fallback>
    </mc:AlternateContent>
    <xdr:clientData/>
  </xdr:oneCellAnchor>
  <xdr:twoCellAnchor editAs="oneCell">
    <xdr:from>
      <xdr:col>7</xdr:col>
      <xdr:colOff>338666</xdr:colOff>
      <xdr:row>53</xdr:row>
      <xdr:rowOff>127000</xdr:rowOff>
    </xdr:from>
    <xdr:to>
      <xdr:col>11</xdr:col>
      <xdr:colOff>861955</xdr:colOff>
      <xdr:row>57</xdr:row>
      <xdr:rowOff>184264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D171616-8025-F170-B25C-C0BB18F79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29916" y="9461500"/>
          <a:ext cx="3391373" cy="819264"/>
        </a:xfrm>
        <a:prstGeom prst="rect">
          <a:avLst/>
        </a:prstGeom>
      </xdr:spPr>
    </xdr:pic>
    <xdr:clientData/>
  </xdr:twoCellAnchor>
  <xdr:twoCellAnchor editAs="oneCell">
    <xdr:from>
      <xdr:col>4</xdr:col>
      <xdr:colOff>423334</xdr:colOff>
      <xdr:row>65</xdr:row>
      <xdr:rowOff>74083</xdr:rowOff>
    </xdr:from>
    <xdr:to>
      <xdr:col>6</xdr:col>
      <xdr:colOff>264810</xdr:colOff>
      <xdr:row>69</xdr:row>
      <xdr:rowOff>93242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D4E14FB-470D-B1D0-085B-56BF9E10F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84084" y="11694583"/>
          <a:ext cx="1619476" cy="781159"/>
        </a:xfrm>
        <a:prstGeom prst="rect">
          <a:avLst/>
        </a:prstGeom>
      </xdr:spPr>
    </xdr:pic>
    <xdr:clientData/>
  </xdr:twoCellAnchor>
  <xdr:twoCellAnchor editAs="oneCell">
    <xdr:from>
      <xdr:col>6</xdr:col>
      <xdr:colOff>624418</xdr:colOff>
      <xdr:row>62</xdr:row>
      <xdr:rowOff>10583</xdr:rowOff>
    </xdr:from>
    <xdr:to>
      <xdr:col>9</xdr:col>
      <xdr:colOff>107619</xdr:colOff>
      <xdr:row>72</xdr:row>
      <xdr:rowOff>148167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805DBD7-5280-F89A-D09B-F2233F91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63168" y="11059583"/>
          <a:ext cx="2065534" cy="2042584"/>
        </a:xfrm>
        <a:prstGeom prst="rect">
          <a:avLst/>
        </a:prstGeom>
      </xdr:spPr>
    </xdr:pic>
    <xdr:clientData/>
  </xdr:twoCellAnchor>
  <xdr:twoCellAnchor editAs="oneCell">
    <xdr:from>
      <xdr:col>4</xdr:col>
      <xdr:colOff>359835</xdr:colOff>
      <xdr:row>74</xdr:row>
      <xdr:rowOff>52916</xdr:rowOff>
    </xdr:from>
    <xdr:to>
      <xdr:col>14</xdr:col>
      <xdr:colOff>296333</xdr:colOff>
      <xdr:row>96</xdr:row>
      <xdr:rowOff>107782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9CFE60C5-5539-8DFE-57A7-70216EEBD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20585" y="14149916"/>
          <a:ext cx="8381998" cy="4245866"/>
        </a:xfrm>
        <a:prstGeom prst="rect">
          <a:avLst/>
        </a:prstGeom>
      </xdr:spPr>
    </xdr:pic>
    <xdr:clientData/>
  </xdr:twoCellAnchor>
  <xdr:twoCellAnchor editAs="oneCell">
    <xdr:from>
      <xdr:col>12</xdr:col>
      <xdr:colOff>201083</xdr:colOff>
      <xdr:row>60</xdr:row>
      <xdr:rowOff>179917</xdr:rowOff>
    </xdr:from>
    <xdr:to>
      <xdr:col>15</xdr:col>
      <xdr:colOff>258560</xdr:colOff>
      <xdr:row>73</xdr:row>
      <xdr:rowOff>161210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362125D-F1C2-31F4-C612-6D217A87A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308166" y="11609917"/>
          <a:ext cx="2343477" cy="2457793"/>
        </a:xfrm>
        <a:prstGeom prst="rect">
          <a:avLst/>
        </a:prstGeom>
      </xdr:spPr>
    </xdr:pic>
    <xdr:clientData/>
  </xdr:twoCellAnchor>
  <xdr:twoCellAnchor editAs="oneCell">
    <xdr:from>
      <xdr:col>10</xdr:col>
      <xdr:colOff>455084</xdr:colOff>
      <xdr:row>5</xdr:row>
      <xdr:rowOff>41317</xdr:rowOff>
    </xdr:from>
    <xdr:to>
      <xdr:col>17</xdr:col>
      <xdr:colOff>596755</xdr:colOff>
      <xdr:row>22</xdr:row>
      <xdr:rowOff>92597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926C4F6F-A783-E75E-2D3E-9F5CE03C7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038167" y="993817"/>
          <a:ext cx="5750838" cy="3289780"/>
        </a:xfrm>
        <a:prstGeom prst="rect">
          <a:avLst/>
        </a:prstGeom>
      </xdr:spPr>
    </xdr:pic>
    <xdr:clientData/>
  </xdr:twoCellAnchor>
  <xdr:oneCellAnchor>
    <xdr:from>
      <xdr:col>4</xdr:col>
      <xdr:colOff>687917</xdr:colOff>
      <xdr:row>4</xdr:row>
      <xdr:rowOff>84667</xdr:rowOff>
    </xdr:from>
    <xdr:ext cx="4095749" cy="655949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E4C823B8-7380-D858-0001-3D8CCF9FF463}"/>
            </a:ext>
          </a:extLst>
        </xdr:cNvPr>
        <xdr:cNvSpPr txBox="1"/>
      </xdr:nvSpPr>
      <xdr:spPr>
        <a:xfrm>
          <a:off x="4148667" y="846667"/>
          <a:ext cx="4095749" cy="65594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CO" sz="1800"/>
            <a:t>Juan</a:t>
          </a:r>
          <a:r>
            <a:rPr lang="es-CO" sz="1800" baseline="0"/>
            <a:t> Felipe Hernandez Arango. Ing.Quimico</a:t>
          </a:r>
          <a:endParaRPr lang="es-CO" sz="18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77E7C-F1BE-43EA-BF24-60CE4C153DB6}">
  <dimension ref="C3:P82"/>
  <sheetViews>
    <sheetView tabSelected="1" topLeftCell="B1" zoomScale="90" zoomScaleNormal="90" workbookViewId="0">
      <selection activeCell="J3" sqref="J3"/>
    </sheetView>
  </sheetViews>
  <sheetFormatPr baseColWidth="10" defaultRowHeight="15" x14ac:dyDescent="0.25"/>
  <cols>
    <col min="3" max="3" width="15.42578125" customWidth="1"/>
    <col min="4" max="4" width="13.7109375" customWidth="1"/>
    <col min="5" max="5" width="15.28515625" bestFit="1" customWidth="1"/>
    <col min="7" max="7" width="15.85546875" customWidth="1"/>
    <col min="11" max="11" width="8.7109375" customWidth="1"/>
    <col min="12" max="12" width="18.28515625" customWidth="1"/>
  </cols>
  <sheetData>
    <row r="3" spans="3:16" x14ac:dyDescent="0.25">
      <c r="C3" s="20" t="s">
        <v>12</v>
      </c>
      <c r="D3" s="20"/>
      <c r="E3" s="20"/>
      <c r="F3" s="20"/>
      <c r="G3" s="20"/>
      <c r="L3" s="27" t="s">
        <v>58</v>
      </c>
      <c r="M3" s="28"/>
      <c r="N3" s="28"/>
      <c r="O3" s="28"/>
      <c r="P3" s="29"/>
    </row>
    <row r="7" spans="3:16" x14ac:dyDescent="0.25">
      <c r="C7" s="10" t="s">
        <v>0</v>
      </c>
      <c r="D7" s="1">
        <v>373.15</v>
      </c>
    </row>
    <row r="8" spans="3:16" x14ac:dyDescent="0.25">
      <c r="C8" s="10" t="s">
        <v>1</v>
      </c>
      <c r="D8" s="4">
        <v>5000000</v>
      </c>
    </row>
    <row r="9" spans="3:16" x14ac:dyDescent="0.25">
      <c r="C9" s="10" t="s">
        <v>3</v>
      </c>
      <c r="D9" s="2">
        <v>8.3144626200000005</v>
      </c>
    </row>
    <row r="11" spans="3:16" x14ac:dyDescent="0.25">
      <c r="C11" s="9"/>
      <c r="D11" s="9"/>
      <c r="E11" s="7" t="s">
        <v>6</v>
      </c>
      <c r="F11" s="7" t="s">
        <v>7</v>
      </c>
      <c r="G11" s="7" t="s">
        <v>8</v>
      </c>
      <c r="H11" s="8" t="s">
        <v>9</v>
      </c>
      <c r="I11" s="8" t="s">
        <v>10</v>
      </c>
      <c r="J11" s="8" t="s">
        <v>11</v>
      </c>
    </row>
    <row r="12" spans="3:16" x14ac:dyDescent="0.25">
      <c r="C12" s="7" t="s">
        <v>4</v>
      </c>
      <c r="D12" s="7" t="s">
        <v>56</v>
      </c>
      <c r="E12" s="5">
        <v>0.5</v>
      </c>
      <c r="F12" s="25">
        <v>4894000</v>
      </c>
      <c r="G12" s="5">
        <v>562.1</v>
      </c>
      <c r="H12" s="5">
        <v>0.21199999999999999</v>
      </c>
      <c r="I12" s="6">
        <f>D7/G12</f>
        <v>0.66384984878135556</v>
      </c>
      <c r="J12" s="1">
        <f>D8/F12</f>
        <v>1.021659174499387</v>
      </c>
    </row>
    <row r="13" spans="3:16" x14ac:dyDescent="0.25">
      <c r="C13" s="7" t="s">
        <v>5</v>
      </c>
      <c r="D13" s="7" t="s">
        <v>57</v>
      </c>
      <c r="E13" s="5">
        <f>1-E12</f>
        <v>0.5</v>
      </c>
      <c r="F13" s="3">
        <v>3374000</v>
      </c>
      <c r="G13" s="5">
        <v>469.6</v>
      </c>
      <c r="H13" s="5">
        <v>0.251</v>
      </c>
      <c r="I13" s="1">
        <f>D7/G13</f>
        <v>0.7946124361158432</v>
      </c>
      <c r="J13" s="1">
        <f>D8/F13</f>
        <v>1.4819205690574986</v>
      </c>
    </row>
    <row r="15" spans="3:16" x14ac:dyDescent="0.25">
      <c r="C15" s="21" t="s">
        <v>14</v>
      </c>
      <c r="D15" s="21"/>
    </row>
    <row r="16" spans="3:16" x14ac:dyDescent="0.25">
      <c r="C16" s="21"/>
      <c r="D16" s="21"/>
    </row>
    <row r="17" spans="3:4" x14ac:dyDescent="0.25">
      <c r="C17" s="1" t="s">
        <v>13</v>
      </c>
      <c r="D17" s="1">
        <v>1.7999999999999999E-2</v>
      </c>
    </row>
    <row r="19" spans="3:4" x14ac:dyDescent="0.25">
      <c r="C19" s="22" t="str">
        <f>D12</f>
        <v>benzene</v>
      </c>
      <c r="D19" s="22"/>
    </row>
    <row r="20" spans="3:4" x14ac:dyDescent="0.25">
      <c r="C20" s="1" t="s">
        <v>18</v>
      </c>
      <c r="D20" s="1">
        <f>0.37464+1.54226*H12-0.26992*H12^2</f>
        <v>0.68946783552000002</v>
      </c>
    </row>
    <row r="21" spans="3:4" x14ac:dyDescent="0.25">
      <c r="C21" s="12" t="s">
        <v>16</v>
      </c>
      <c r="D21" s="1">
        <f>(1+D20*(1-SQRT(D7/G12)))^2</f>
        <v>1.2717304211441944</v>
      </c>
    </row>
    <row r="22" spans="3:4" x14ac:dyDescent="0.25">
      <c r="C22" s="1" t="s">
        <v>15</v>
      </c>
      <c r="D22" s="1">
        <f>0.45724*(((D9^2)*(G12^2))/F12)*D21</f>
        <v>2.5952001173357648</v>
      </c>
    </row>
    <row r="23" spans="3:4" x14ac:dyDescent="0.25">
      <c r="C23" s="1" t="s">
        <v>17</v>
      </c>
      <c r="D23" s="1">
        <f>0.0778*(D9*G12/F12)</f>
        <v>7.4295652703517691E-5</v>
      </c>
    </row>
    <row r="24" spans="3:4" x14ac:dyDescent="0.25">
      <c r="C24" s="1" t="s">
        <v>40</v>
      </c>
      <c r="D24" s="1">
        <f>(D22*$D$8)/(($D$9*$D$7)^2)</f>
        <v>1.3480487382988238</v>
      </c>
    </row>
    <row r="25" spans="3:4" x14ac:dyDescent="0.25">
      <c r="C25" s="1" t="s">
        <v>41</v>
      </c>
      <c r="D25" s="1">
        <f>(D23*$D$8)/($D$9*$D$7)</f>
        <v>0.11973352697445801</v>
      </c>
    </row>
    <row r="27" spans="3:4" x14ac:dyDescent="0.25">
      <c r="C27" s="22" t="str">
        <f>D13</f>
        <v>n-pentane</v>
      </c>
      <c r="D27" s="22"/>
    </row>
    <row r="28" spans="3:4" x14ac:dyDescent="0.25">
      <c r="C28" s="1" t="s">
        <v>44</v>
      </c>
      <c r="D28" s="1">
        <f>0.37464+1.54226*H13-0.26992*H13^2</f>
        <v>0.74474203007999995</v>
      </c>
    </row>
    <row r="29" spans="3:4" x14ac:dyDescent="0.25">
      <c r="C29" s="12" t="s">
        <v>45</v>
      </c>
      <c r="D29" s="1">
        <f>(1+D28*(1-SQRT(D7/G13)))^2</f>
        <v>1.1682826944191085</v>
      </c>
    </row>
    <row r="30" spans="3:4" x14ac:dyDescent="0.25">
      <c r="C30" s="1" t="s">
        <v>46</v>
      </c>
      <c r="D30" s="1">
        <f>0.45724*(((D9^2)*(G13^2))/F13)*D29</f>
        <v>2.4136351852754196</v>
      </c>
    </row>
    <row r="31" spans="3:4" x14ac:dyDescent="0.25">
      <c r="C31" s="1" t="s">
        <v>47</v>
      </c>
      <c r="D31" s="1">
        <f>0.0778*(D9*G13/F13)</f>
        <v>9.0031978093119618E-5</v>
      </c>
    </row>
    <row r="32" spans="3:4" x14ac:dyDescent="0.25">
      <c r="C32" s="1" t="s">
        <v>42</v>
      </c>
      <c r="D32" s="1">
        <f>(D30*$D$8)/(($D$9*$D$7)^2)</f>
        <v>1.2537367906581429</v>
      </c>
    </row>
    <row r="33" spans="3:4" x14ac:dyDescent="0.25">
      <c r="C33" s="1" t="s">
        <v>43</v>
      </c>
      <c r="D33" s="1">
        <f>(D31*$D$8)/($D$9*$D$7)</f>
        <v>0.14509390368497233</v>
      </c>
    </row>
    <row r="35" spans="3:4" x14ac:dyDescent="0.25">
      <c r="C35" s="22" t="s">
        <v>19</v>
      </c>
      <c r="D35" s="22"/>
    </row>
    <row r="36" spans="3:4" x14ac:dyDescent="0.25">
      <c r="C36" s="1" t="s">
        <v>20</v>
      </c>
      <c r="D36" s="1">
        <f>(SQRT(D22*D30))*(1-D17)</f>
        <v>2.4577218356318773</v>
      </c>
    </row>
    <row r="37" spans="3:4" x14ac:dyDescent="0.25">
      <c r="C37" s="1" t="s">
        <v>21</v>
      </c>
      <c r="D37" s="1">
        <f>E12^2*D22+2*E12*E13*D36+E13^2*D30</f>
        <v>2.4810697434687348</v>
      </c>
    </row>
    <row r="38" spans="3:4" x14ac:dyDescent="0.25">
      <c r="C38" s="1" t="s">
        <v>22</v>
      </c>
      <c r="D38" s="1">
        <f>E12*D23+D31*E13</f>
        <v>8.2163815398318655E-5</v>
      </c>
    </row>
    <row r="39" spans="3:4" x14ac:dyDescent="0.25">
      <c r="C39" s="1" t="s">
        <v>36</v>
      </c>
      <c r="D39" s="1">
        <f>(D37*D8)/(D9*D7)^2</f>
        <v>1.2887649453206664</v>
      </c>
    </row>
    <row r="40" spans="3:4" x14ac:dyDescent="0.25">
      <c r="C40" s="1" t="s">
        <v>37</v>
      </c>
      <c r="D40" s="1">
        <f>(D38*D8)/(D9*D7)</f>
        <v>0.13241371532971516</v>
      </c>
    </row>
    <row r="49" spans="3:16" x14ac:dyDescent="0.25">
      <c r="M49" s="16" t="s">
        <v>39</v>
      </c>
      <c r="N49" s="16"/>
      <c r="O49" s="16"/>
      <c r="P49" s="16"/>
    </row>
    <row r="50" spans="3:16" x14ac:dyDescent="0.25">
      <c r="M50" s="16"/>
      <c r="N50" s="16"/>
      <c r="O50" s="16"/>
      <c r="P50" s="16"/>
    </row>
    <row r="54" spans="3:16" x14ac:dyDescent="0.25">
      <c r="C54" s="11" t="s">
        <v>23</v>
      </c>
      <c r="D54" s="11"/>
      <c r="E54" s="11"/>
      <c r="F54" s="11"/>
    </row>
    <row r="56" spans="3:16" x14ac:dyDescent="0.25">
      <c r="C56" s="17" t="s">
        <v>24</v>
      </c>
      <c r="D56" s="17"/>
      <c r="F56" s="17" t="s">
        <v>28</v>
      </c>
      <c r="G56" s="17"/>
    </row>
    <row r="57" spans="3:16" x14ac:dyDescent="0.25">
      <c r="C57" s="1" t="s">
        <v>25</v>
      </c>
      <c r="D57" s="1">
        <f>-1+D40</f>
        <v>-0.86758628467028487</v>
      </c>
      <c r="F57" s="1" t="s">
        <v>29</v>
      </c>
      <c r="G57" s="1">
        <f>(D57^2-3*D58)/9</f>
        <v>-0.24014511717432782</v>
      </c>
    </row>
    <row r="58" spans="3:16" x14ac:dyDescent="0.25">
      <c r="C58" s="1" t="s">
        <v>26</v>
      </c>
      <c r="D58" s="1">
        <f>D39-3*D40^2-2*D40</f>
        <v>0.97133733863897964</v>
      </c>
      <c r="F58" s="1" t="s">
        <v>2</v>
      </c>
      <c r="G58" s="1">
        <f>(2*D57^3-9*D57*D58+27*D59)/54</f>
        <v>4.0869039090936005E-2</v>
      </c>
    </row>
    <row r="59" spans="3:16" x14ac:dyDescent="0.25">
      <c r="C59" s="1" t="s">
        <v>27</v>
      </c>
      <c r="D59" s="1">
        <f>-D39*D40+D40^2+D40^3</f>
        <v>-0.15079510101115315</v>
      </c>
      <c r="F59" s="1" t="s">
        <v>30</v>
      </c>
      <c r="G59" s="1">
        <f>G58^2-G57^3</f>
        <v>1.551936976947221E-2</v>
      </c>
    </row>
    <row r="61" spans="3:16" x14ac:dyDescent="0.25">
      <c r="C61" s="26" t="s">
        <v>55</v>
      </c>
      <c r="D61" s="26"/>
      <c r="K61" s="26" t="s">
        <v>54</v>
      </c>
      <c r="L61" s="26"/>
    </row>
    <row r="63" spans="3:16" x14ac:dyDescent="0.25">
      <c r="C63" s="13" t="s">
        <v>31</v>
      </c>
      <c r="D63" s="1" t="e">
        <f>ACOS(G58/SQRT(G57^3))</f>
        <v>#NUM!</v>
      </c>
      <c r="K63" s="10" t="s">
        <v>52</v>
      </c>
      <c r="L63" s="1">
        <f>(-G58+SQRT(G59))^(1/3)</f>
        <v>0.43744337503612235</v>
      </c>
    </row>
    <row r="64" spans="3:16" x14ac:dyDescent="0.25">
      <c r="K64" s="10" t="s">
        <v>53</v>
      </c>
      <c r="L64" s="1">
        <f>(-G58-SQRT(G59))^(1/3)</f>
        <v>-0.54897417786815861</v>
      </c>
    </row>
    <row r="67" spans="3:12" x14ac:dyDescent="0.25">
      <c r="C67" s="17" t="s">
        <v>32</v>
      </c>
      <c r="D67" s="17"/>
      <c r="K67" s="23" t="s">
        <v>33</v>
      </c>
      <c r="L67" s="18">
        <f>L63+L64-D57/3</f>
        <v>0.17766462539139205</v>
      </c>
    </row>
    <row r="68" spans="3:12" ht="15" customHeight="1" x14ac:dyDescent="0.25">
      <c r="C68" s="18" t="s">
        <v>33</v>
      </c>
      <c r="D68" s="19" t="e">
        <f>-(2*SQRT(G57)*COS(D63/3))-D57/3</f>
        <v>#NUM!</v>
      </c>
      <c r="K68" s="23"/>
      <c r="L68" s="18"/>
    </row>
    <row r="69" spans="3:12" x14ac:dyDescent="0.25">
      <c r="C69" s="18"/>
      <c r="D69" s="19"/>
    </row>
    <row r="70" spans="3:12" x14ac:dyDescent="0.25">
      <c r="C70" s="19" t="s">
        <v>34</v>
      </c>
      <c r="D70" s="19" t="e">
        <f>-(2*SQRT(G57)*COS((D63+2*PI())/3))-D57/3</f>
        <v>#NUM!</v>
      </c>
    </row>
    <row r="71" spans="3:12" x14ac:dyDescent="0.25">
      <c r="C71" s="19"/>
      <c r="D71" s="19"/>
    </row>
    <row r="72" spans="3:12" x14ac:dyDescent="0.25">
      <c r="C72" s="19" t="s">
        <v>35</v>
      </c>
      <c r="D72" s="19" t="e">
        <f>-(2*SQRT(G57)*COS((D63-2*PI())/3))-D57/3</f>
        <v>#NUM!</v>
      </c>
      <c r="E72" s="24"/>
    </row>
    <row r="73" spans="3:12" x14ac:dyDescent="0.25">
      <c r="C73" s="19"/>
      <c r="D73" s="19"/>
    </row>
    <row r="77" spans="3:12" x14ac:dyDescent="0.25">
      <c r="C77" s="15" t="s">
        <v>38</v>
      </c>
      <c r="D77" s="15"/>
    </row>
    <row r="78" spans="3:12" x14ac:dyDescent="0.25">
      <c r="C78" s="12" t="s">
        <v>48</v>
      </c>
      <c r="D78" s="1">
        <f>EXP((D25/$D$40)*($L$67-1)-LN($L$67-$D$40)-($D$39/(2*SQRT(2)*$D$40))*(2*(E12*D22+E13*D36)/$D$37-D23/$D$38)*LN(($L$67+(1+SQRT(2))*$D$40)/($L$67+(1-SQRT(2))*$D$40)))</f>
        <v>4.5155572462769973E-2</v>
      </c>
    </row>
    <row r="79" spans="3:12" x14ac:dyDescent="0.25">
      <c r="C79" s="12" t="s">
        <v>49</v>
      </c>
      <c r="D79" s="1">
        <f>EXP((D33/$D$40)*($L$67-1)-LN($L$67-$D$40)-($D$39/(2*SQRT(2)*$D$40))*(2*(E13*D30+E12*D36)/$D$37-D31/$D$38)*LN(($L$67+(1+SQRT(2))*$D$40)/($L$67+(1-SQRT(2))*$D$40)))</f>
        <v>0.13790125608077339</v>
      </c>
    </row>
    <row r="81" spans="3:4" x14ac:dyDescent="0.25">
      <c r="C81" s="14" t="s">
        <v>51</v>
      </c>
      <c r="D81" s="1">
        <f>D78*D8*E12</f>
        <v>112888.93115692493</v>
      </c>
    </row>
    <row r="82" spans="3:4" x14ac:dyDescent="0.25">
      <c r="C82" s="14" t="s">
        <v>50</v>
      </c>
      <c r="D82" s="1">
        <f>D79*E13*D8</f>
        <v>344753.14020193345</v>
      </c>
    </row>
  </sheetData>
  <mergeCells count="21">
    <mergeCell ref="L3:P3"/>
    <mergeCell ref="C56:D56"/>
    <mergeCell ref="F56:G56"/>
    <mergeCell ref="C61:D61"/>
    <mergeCell ref="K67:K68"/>
    <mergeCell ref="K61:L61"/>
    <mergeCell ref="C3:G3"/>
    <mergeCell ref="C15:D16"/>
    <mergeCell ref="C19:D19"/>
    <mergeCell ref="C27:D27"/>
    <mergeCell ref="C35:D35"/>
    <mergeCell ref="C77:D77"/>
    <mergeCell ref="M49:P50"/>
    <mergeCell ref="C67:D67"/>
    <mergeCell ref="C68:C69"/>
    <mergeCell ref="C70:C71"/>
    <mergeCell ref="C72:C73"/>
    <mergeCell ref="D68:D69"/>
    <mergeCell ref="D70:D71"/>
    <mergeCell ref="D72:D73"/>
    <mergeCell ref="L67:L68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2023-01-30T22:41:41Z</dcterms:created>
  <dcterms:modified xsi:type="dcterms:W3CDTF">2023-01-31T14:31:15Z</dcterms:modified>
</cp:coreProperties>
</file>