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Portfolio\Finanzas\documentos\"/>
    </mc:Choice>
  </mc:AlternateContent>
  <xr:revisionPtr revIDLastSave="0" documentId="13_ncr:1_{0C4ACA04-1CD9-4A3C-8460-2E04DF710979}" xr6:coauthVersionLast="47" xr6:coauthVersionMax="47" xr10:uidLastSave="{00000000-0000-0000-0000-000000000000}"/>
  <bookViews>
    <workbookView xWindow="-110" yWindow="-110" windowWidth="19420" windowHeight="10540" activeTab="2" xr2:uid="{A49CED7D-81D5-4A6C-A85D-C63A0F937790}"/>
  </bookViews>
  <sheets>
    <sheet name="DASHB" sheetId="1" r:id="rId1"/>
    <sheet name="ENTRADAS" sheetId="6" r:id="rId2"/>
    <sheet name="WISHLIST" sheetId="5" r:id="rId3"/>
    <sheet name="DETALLES" sheetId="7" r:id="rId4"/>
    <sheet name="PILOT F" sheetId="8" r:id="rId5"/>
    <sheet name="PENS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8" l="1"/>
  <c r="D29" i="8"/>
  <c r="D23" i="8"/>
  <c r="N21" i="8"/>
  <c r="F28" i="8"/>
  <c r="I27" i="8"/>
  <c r="F26" i="8"/>
  <c r="F15" i="8"/>
  <c r="I15" i="8" s="1"/>
  <c r="C20" i="8" s="1"/>
  <c r="F11" i="8"/>
  <c r="I11" i="8" s="1"/>
  <c r="F9" i="8"/>
  <c r="I9" i="8" s="1"/>
  <c r="B4" i="1"/>
  <c r="B9" i="1"/>
  <c r="C6" i="5"/>
  <c r="G12" i="5"/>
  <c r="C14" i="5"/>
  <c r="C5" i="5"/>
  <c r="C7" i="5"/>
  <c r="C13" i="5"/>
  <c r="C15" i="5"/>
  <c r="C4" i="5"/>
  <c r="C9" i="5"/>
  <c r="H3" i="4"/>
  <c r="G16" i="5"/>
  <c r="C8" i="5" s="1"/>
  <c r="K7" i="1"/>
  <c r="D8" i="1" s="1"/>
  <c r="G19" i="5"/>
  <c r="C12" i="5" s="1"/>
  <c r="G17" i="5"/>
  <c r="G22" i="5"/>
  <c r="C16" i="5" s="1"/>
  <c r="G8" i="5"/>
  <c r="C10" i="5" s="1"/>
  <c r="G7" i="5"/>
  <c r="C9" i="7"/>
  <c r="G9" i="5" s="1"/>
  <c r="C11" i="5" s="1"/>
  <c r="B15" i="1"/>
  <c r="I6" i="1"/>
  <c r="F10" i="1"/>
  <c r="C8" i="1"/>
  <c r="B16" i="1"/>
  <c r="D50" i="4"/>
  <c r="B2" i="4"/>
  <c r="D21" i="1"/>
  <c r="C21" i="1" s="1"/>
  <c r="B7" i="1"/>
  <c r="B5" i="1"/>
  <c r="B6" i="1"/>
  <c r="B8" i="1"/>
  <c r="B10" i="1"/>
  <c r="B11" i="1"/>
  <c r="B12" i="1"/>
  <c r="B13" i="1"/>
  <c r="B14" i="1"/>
  <c r="I23" i="1"/>
  <c r="H4" i="4"/>
  <c r="B44" i="4"/>
  <c r="B45" i="4" s="1"/>
  <c r="B46" i="4" s="1"/>
  <c r="B47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5" i="4"/>
  <c r="B4" i="4"/>
  <c r="B3" i="4"/>
  <c r="F9" i="1"/>
  <c r="G9" i="1"/>
  <c r="D27" i="1"/>
  <c r="A1" i="1"/>
  <c r="N26" i="8" l="1"/>
  <c r="O26" i="8" s="1"/>
  <c r="J13" i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J21" i="1"/>
  <c r="J17" i="1"/>
  <c r="J18" i="1" l="1"/>
  <c r="J15" i="1"/>
  <c r="J20" i="1"/>
  <c r="J12" i="1"/>
  <c r="J19" i="1"/>
  <c r="J16" i="1"/>
  <c r="J14" i="1"/>
  <c r="J22" i="1"/>
</calcChain>
</file>

<file path=xl/sharedStrings.xml><?xml version="1.0" encoding="utf-8"?>
<sst xmlns="http://schemas.openxmlformats.org/spreadsheetml/2006/main" count="220" uniqueCount="131">
  <si>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</si>
  <si>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</si>
  <si>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</si>
  <si>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</si>
  <si>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</si>
  <si>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</si>
  <si>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</si>
  <si>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</si>
  <si>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</si>
  <si>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</si>
  <si>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</si>
  <si>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</si>
  <si>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mensual</t>
  </si>
  <si>
    <t>trabajo good</t>
  </si>
  <si>
    <t>trabajo normie</t>
  </si>
  <si>
    <t>U</t>
  </si>
  <si>
    <t>Transporte</t>
  </si>
  <si>
    <t>FIJO</t>
  </si>
  <si>
    <t>Mensual</t>
  </si>
  <si>
    <t>Yonny</t>
  </si>
  <si>
    <t>suscrips</t>
  </si>
  <si>
    <t>Meditopia</t>
  </si>
  <si>
    <t>Audifonos</t>
  </si>
  <si>
    <t>VAR</t>
  </si>
  <si>
    <t>Personal</t>
  </si>
  <si>
    <t>Libros</t>
  </si>
  <si>
    <t>Fondo - Emerg.</t>
  </si>
  <si>
    <t>Deudas</t>
  </si>
  <si>
    <t>Celular</t>
  </si>
  <si>
    <t>Pension</t>
  </si>
  <si>
    <t>Vivienda</t>
  </si>
  <si>
    <t>Fondo - oportunidad</t>
  </si>
  <si>
    <t>Ropa</t>
  </si>
  <si>
    <t>Otros</t>
  </si>
  <si>
    <t>Fondo - emerg</t>
  </si>
  <si>
    <t>Seguro 6 meses</t>
  </si>
  <si>
    <t>Nuevo cel</t>
  </si>
  <si>
    <t>Reparacion</t>
  </si>
  <si>
    <t>Robo Disp Elect</t>
  </si>
  <si>
    <t>Comida</t>
  </si>
  <si>
    <t>Salidas</t>
  </si>
  <si>
    <t>Fondo - oport.</t>
  </si>
  <si>
    <t>Inversion</t>
  </si>
  <si>
    <t>Accesorios</t>
  </si>
  <si>
    <t>Perfumes</t>
  </si>
  <si>
    <t>Gafas</t>
  </si>
  <si>
    <t>Reloj</t>
  </si>
  <si>
    <t>Saldo Fijo</t>
  </si>
  <si>
    <t>Otros pagos</t>
  </si>
  <si>
    <t>ENTER.CO</t>
  </si>
  <si>
    <t>MEDIO SALARIO ANUAL</t>
  </si>
  <si>
    <t>1 SALARIO ANUAL</t>
  </si>
  <si>
    <t>2 SALARIOS ANUALES</t>
  </si>
  <si>
    <t>3 SALARIOS ANUALES</t>
  </si>
  <si>
    <t>5 SALARIOS ANUALES</t>
  </si>
  <si>
    <t>7 SALARIOS ANUALES</t>
  </si>
  <si>
    <t>8-10 SALARIOS ANUALES</t>
  </si>
  <si>
    <t>10 SALARIOS ANUALES</t>
  </si>
  <si>
    <t>LO QUE DEBO AHORRAR</t>
  </si>
  <si>
    <t>portatil</t>
  </si>
  <si>
    <t>2,5 h 4 dias</t>
  </si>
  <si>
    <t>4 h 5 dias</t>
  </si>
  <si>
    <t>10*11000*4</t>
  </si>
  <si>
    <t>Ahorrando 110.000 anualmente</t>
  </si>
  <si>
    <t>WOM</t>
  </si>
  <si>
    <t>Debo</t>
  </si>
  <si>
    <t>Me debe</t>
  </si>
  <si>
    <t>LifePoints</t>
  </si>
  <si>
    <t>Hamburguesa Vale RT</t>
  </si>
  <si>
    <t>Dólar</t>
  </si>
  <si>
    <t>N</t>
  </si>
  <si>
    <t>Y</t>
  </si>
  <si>
    <t>Deuda yonny</t>
  </si>
  <si>
    <t>Peluqueada</t>
  </si>
  <si>
    <t>SOFA</t>
  </si>
  <si>
    <t>ESNTLS</t>
  </si>
  <si>
    <t>HE</t>
  </si>
  <si>
    <t>Feria del libro</t>
  </si>
  <si>
    <t>2023+</t>
  </si>
  <si>
    <t>Magia del orden</t>
  </si>
  <si>
    <t>Felicidad despues del orden</t>
  </si>
  <si>
    <t>Entrada</t>
  </si>
  <si>
    <t>GTD</t>
  </si>
  <si>
    <t>Libro Yonny</t>
  </si>
  <si>
    <t>Esferos</t>
  </si>
  <si>
    <t>Gastado ya</t>
  </si>
  <si>
    <t>Audífonos</t>
  </si>
  <si>
    <t>Reloj correa de malla</t>
  </si>
  <si>
    <t>Collar</t>
  </si>
  <si>
    <t>Maleta RB o similar</t>
  </si>
  <si>
    <t>Dr Strange 2</t>
  </si>
  <si>
    <t>Perfume</t>
  </si>
  <si>
    <t>Columna1</t>
  </si>
  <si>
    <t>Columna2</t>
  </si>
  <si>
    <t>Columna3</t>
  </si>
  <si>
    <t>Padre Ricardo</t>
  </si>
  <si>
    <t>Proximo año pensar:</t>
  </si>
  <si>
    <t>Inversiones</t>
  </si>
  <si>
    <t>Mas ropa :v</t>
  </si>
  <si>
    <t>Repartición por porcentajes en general</t>
  </si>
  <si>
    <t>Vulkit (tarjetero)</t>
  </si>
  <si>
    <t>Curso pablo Lomeli</t>
  </si>
  <si>
    <t>2 años:</t>
  </si>
  <si>
    <t>Platzi</t>
  </si>
  <si>
    <t>Inversiones a mitad de año</t>
  </si>
  <si>
    <t>Blazer</t>
  </si>
  <si>
    <t>A ver, necesito comprar mina roja (almenos 2) y unos cuantas minas de repueseto</t>
  </si>
  <si>
    <t>https://articulo.mercadolibre.com.co/MCO-489102979-pilot-frixion-pluma-borrable-_JM?searchVariation=43933558780#searchVariation=43933558780&amp;position=12&amp;search_layout=stack&amp;type=item&amp;tracking_id=5f4890d9-baa6-4df8-b7e2-b8102be22bee</t>
  </si>
  <si>
    <t>ESFERO</t>
  </si>
  <si>
    <t>NEGRO</t>
  </si>
  <si>
    <t>TOTAL:</t>
  </si>
  <si>
    <t>https://articulo.mercadolibre.com.co/MCO-581727771-pilot-frixion-borra-rocketbook-_JM#position=14&amp;search_layout=stack&amp;type=item&amp;tracking_id=05715ee3-a0ab-4d70-9631-5382f0078289</t>
  </si>
  <si>
    <t>R,N,A</t>
  </si>
  <si>
    <t>C/U</t>
  </si>
  <si>
    <t>negro</t>
  </si>
  <si>
    <t>R</t>
  </si>
  <si>
    <t>https://articulo.mercadolibre.com.co/MCO-653434783-pilot-frixion-gelborrable-05mm-_JM?searchVariation=93345128130#searchVariation=93345128130&amp;position=16&amp;search_layout=stack&amp;type=item&amp;tracking_id=05715ee3-a0ab-4d70-9631-5382f0078289</t>
  </si>
  <si>
    <t>https://articulo.mercadolibre.com.co/MCO-600079057-pilot-frixion-clicker-esfero-borrable-calor-tela-rocketbook-_JM?searchVariation=72140457474#searchVariation=72140457474&amp;position=1&amp;search_layout=stack&amp;type=item&amp;tracking_id=a47d777b-9242-4e60-a715-235532cce962</t>
  </si>
  <si>
    <t>COMPRA COLOMBIA</t>
  </si>
  <si>
    <t xml:space="preserve">TOTAL: </t>
  </si>
  <si>
    <t>COMPRA USA:</t>
  </si>
  <si>
    <t xml:space="preserve">ENVIO: </t>
  </si>
  <si>
    <t>https://www.amazon.com/-/es/gp/product/B084P7G7BS/ref=ox_sc_act_image_5?smid=AJX3OYGEOV72Z&amp;psc=1</t>
  </si>
  <si>
    <t>https://www.amazon.com/-/es/gp/product/B07W7VS2JC/ref=ox_sc_act_image_3?smid=AJX3OYGEOV72Z&amp;psc=1</t>
  </si>
  <si>
    <t>casillero</t>
  </si>
  <si>
    <t>DÓLAR:</t>
  </si>
  <si>
    <t>DÓLAR COBRADO:</t>
  </si>
  <si>
    <t>R(1) 3 variados</t>
  </si>
  <si>
    <t>Gana Colombia, con esa diferencia de precio en USA deberia de poder comprar 6 esferos mas, pero solo compro 3 mas</t>
  </si>
  <si>
    <t>F</t>
  </si>
  <si>
    <t>https://articulo.mercadolibre.com.co/MCO-510519508-recambios-de-tinta-de-gel-piloto-para-frixion-borrable-tinta-_JM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</si>
</sst>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0%"/>
    <numFmt numFmtId="165" formatCode="_-* #,##0_-;\-* #,##0_-;_-* &quot;-&quot;??_-;_-@_-"/>
    <numFmt numFmtId="166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" fontId="0" fillId="0" borderId="0" xfId="0" applyNumberFormat="1"/>
    <xf numFmtId="164" fontId="0" fillId="0" borderId="0" xfId="3" applyNumberFormat="1" applyFont="1"/>
    <xf numFmtId="0" fontId="3" fillId="0" borderId="0" xfId="0" applyFont="1"/>
    <xf numFmtId="0" fontId="4" fillId="0" borderId="0" xfId="0" applyFont="1"/>
    <xf numFmtId="44" fontId="4" fillId="0" borderId="0" xfId="1" applyFont="1"/>
    <xf numFmtId="44" fontId="4" fillId="0" borderId="0" xfId="0" applyNumberFormat="1" applyFont="1"/>
    <xf numFmtId="165" fontId="4" fillId="0" borderId="0" xfId="2" applyNumberFormat="1" applyFont="1"/>
    <xf numFmtId="166" fontId="4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6" fontId="0" fillId="0" borderId="0" xfId="0" applyNumberFormat="1"/>
    <xf numFmtId="165" fontId="0" fillId="0" borderId="0" xfId="2" applyNumberFormat="1" applyFont="1"/>
    <xf numFmtId="0" fontId="0" fillId="2" borderId="0" xfId="0" applyFill="1"/>
    <xf numFmtId="6" fontId="0" fillId="2" borderId="0" xfId="0" applyNumberFormat="1" applyFill="1"/>
    <xf numFmtId="0" fontId="0" fillId="0" borderId="7" xfId="0" applyBorder="1" applyAlignment="1">
      <alignment horizontal="center"/>
    </xf>
    <xf numFmtId="0" fontId="0" fillId="0" borderId="0" xfId="0" applyFill="1"/>
    <xf numFmtId="0" fontId="5" fillId="2" borderId="0" xfId="4" applyFill="1"/>
    <xf numFmtId="0" fontId="5" fillId="0" borderId="0" xfId="4"/>
  </cellXfs>
  <cellStyles count="5">
    <cellStyle name="Hipervínculo" xfId="4" builtinId="8"/>
    <cellStyle name="Millares" xfId="2" builtinId="3"/>
    <cellStyle name="Moneda" xfId="1" builtinId="4"/>
    <cellStyle name="Normal" xfId="0" builtinId="0"/>
    <cellStyle name="Porcentaje" xfId="3" builtinId="5"/>
  </cellStyles>
  <dxfs count="2">
    <dxf>
      <font>
        <color rgb="FF9C0006"/>
      </font>
      <fill>
        <patternFill>
          <bgColor rgb="FFFFC7CE"/>
        </patternFill>
      </fill>
    </dxf>
    <dxf>
      <numFmt numFmtId="10" formatCode="&quot;$&quot;\ #,##0;[Red]\-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PENSION!$G$2:$G$47</c:f>
              <c:strCache>
                <c:ptCount val="4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5">
                  <c:v>Ahorrando 110.000 anualmente</c:v>
                </c:pt>
              </c:strCache>
            </c:strRef>
          </c:xVal>
          <c:yVal>
            <c:numRef>
              <c:f>PENSION!$H$2:$H$47</c:f>
              <c:numCache>
                <c:formatCode>General</c:formatCode>
                <c:ptCount val="46"/>
                <c:pt idx="0">
                  <c:v>110000</c:v>
                </c:pt>
                <c:pt idx="1">
                  <c:v>225500</c:v>
                </c:pt>
                <c:pt idx="2">
                  <c:v>346775</c:v>
                </c:pt>
                <c:pt idx="3">
                  <c:v>474113.75</c:v>
                </c:pt>
                <c:pt idx="4">
                  <c:v>607819.4375</c:v>
                </c:pt>
                <c:pt idx="5">
                  <c:v>748210.40937500005</c:v>
                </c:pt>
                <c:pt idx="6">
                  <c:v>895620.92984375008</c:v>
                </c:pt>
                <c:pt idx="7">
                  <c:v>1050401.9763359376</c:v>
                </c:pt>
                <c:pt idx="8">
                  <c:v>1212922.0751527345</c:v>
                </c:pt>
                <c:pt idx="9">
                  <c:v>1383568.1789103711</c:v>
                </c:pt>
                <c:pt idx="10">
                  <c:v>1562746.5878558897</c:v>
                </c:pt>
                <c:pt idx="11">
                  <c:v>1750883.9172486842</c:v>
                </c:pt>
                <c:pt idx="12">
                  <c:v>1948428.1131111183</c:v>
                </c:pt>
                <c:pt idx="13">
                  <c:v>2155849.5187666742</c:v>
                </c:pt>
                <c:pt idx="14">
                  <c:v>2373641.9947050079</c:v>
                </c:pt>
                <c:pt idx="15">
                  <c:v>2602324.0944402581</c:v>
                </c:pt>
                <c:pt idx="16">
                  <c:v>2842440.299162271</c:v>
                </c:pt>
                <c:pt idx="17">
                  <c:v>3094562.3141203844</c:v>
                </c:pt>
                <c:pt idx="18">
                  <c:v>3359290.4298264035</c:v>
                </c:pt>
                <c:pt idx="19">
                  <c:v>3637254.9513177238</c:v>
                </c:pt>
                <c:pt idx="20">
                  <c:v>3929117.6988836098</c:v>
                </c:pt>
                <c:pt idx="21">
                  <c:v>4235573.5838277899</c:v>
                </c:pt>
                <c:pt idx="22">
                  <c:v>4557352.263019179</c:v>
                </c:pt>
                <c:pt idx="23">
                  <c:v>4895219.8761701379</c:v>
                </c:pt>
                <c:pt idx="24">
                  <c:v>5249980.8699786449</c:v>
                </c:pt>
                <c:pt idx="25">
                  <c:v>5622479.9134775773</c:v>
                </c:pt>
                <c:pt idx="26">
                  <c:v>6013603.9091514563</c:v>
                </c:pt>
                <c:pt idx="27">
                  <c:v>6424284.1046090294</c:v>
                </c:pt>
                <c:pt idx="28">
                  <c:v>6855498.3098394806</c:v>
                </c:pt>
                <c:pt idx="29">
                  <c:v>7308273.2253314545</c:v>
                </c:pt>
                <c:pt idx="30">
                  <c:v>7783686.8865980273</c:v>
                </c:pt>
                <c:pt idx="31">
                  <c:v>8282871.2309279284</c:v>
                </c:pt>
                <c:pt idx="32">
                  <c:v>8807014.7924743257</c:v>
                </c:pt>
                <c:pt idx="33">
                  <c:v>9357365.5320980418</c:v>
                </c:pt>
                <c:pt idx="34">
                  <c:v>9935233.8087029438</c:v>
                </c:pt>
                <c:pt idx="35">
                  <c:v>10541995.499138091</c:v>
                </c:pt>
                <c:pt idx="36">
                  <c:v>11179095.274094995</c:v>
                </c:pt>
                <c:pt idx="37">
                  <c:v>11848050.037799746</c:v>
                </c:pt>
                <c:pt idx="38">
                  <c:v>12550452.539689733</c:v>
                </c:pt>
                <c:pt idx="39">
                  <c:v>13287975.166674219</c:v>
                </c:pt>
                <c:pt idx="40">
                  <c:v>14062373.92500793</c:v>
                </c:pt>
                <c:pt idx="41">
                  <c:v>14875492.621258326</c:v>
                </c:pt>
                <c:pt idx="42">
                  <c:v>15729267.252321241</c:v>
                </c:pt>
                <c:pt idx="43" formatCode="_-* #,##0_-;\-* #,##0_-;_-* &quot;-&quot;??_-;_-@_-">
                  <c:v>16625730.614937304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5-4CB7-83D6-91707821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1520"/>
        <c:axId val="645241936"/>
      </c:scatterChart>
      <c:valAx>
        <c:axId val="6452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241936"/>
        <c:crosses val="autoZero"/>
        <c:crossBetween val="midCat"/>
      </c:valAx>
      <c:valAx>
        <c:axId val="6452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2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13</xdr:row>
      <xdr:rowOff>149225</xdr:rowOff>
    </xdr:from>
    <xdr:to>
      <xdr:col>14</xdr:col>
      <xdr:colOff>142875</xdr:colOff>
      <xdr:row>28</xdr:row>
      <xdr:rowOff>130175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BA67CD-3D02-46E1-8AA8-A4BED442F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097FC-D08B-4A48-982F-A0CE7F7C612B}" name="Tabla1" displayName="Tabla1" ref="G2:I23" totalsRowShown="0">
  <autoFilter ref="G2:I23" xr:uid="{317097FC-D08B-4A48-982F-A0CE7F7C612B}"/>
  <tableColumns count="3">
    <tableColumn id="1" xr3:uid="{234E085A-9F21-4989-BD69-54B8251FDFF8}" name="Columna1" dataDxfId="1"/>
    <tableColumn id="2" xr3:uid="{B69958E3-B8D8-45B9-8A54-DCD9943AE004}" name="Columna2"/>
    <tableColumn id="3" xr3:uid="{1CF1F455-6FD4-407B-B184-BA6356F98DD4}" name="Columna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-/es/gp/product/B084P7G7BS/ref=ox_sc_act_image_5?smid=AJX3OYGEOV72Z&amp;psc=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2397-C1D9-45EA-B1A1-F72D28340612}">
  <dimension ref="A1:K35"/>
  <sheetViews>
    <sheetView workbookViewId="0">
      <selection activeCell="E5" sqref="E5"/>
    </sheetView>
  </sheetViews>
  <sheetFormatPr baseColWidth="10" defaultRowHeight="14.5" x14ac:dyDescent="0.35"/>
  <cols>
    <col min="2" max="2" width="11.81640625" bestFit="1" customWidth="1"/>
    <col min="4" max="4" width="13.26953125" bestFit="1" customWidth="1"/>
    <col min="5" max="5" width="13.6328125" customWidth="1"/>
    <col min="8" max="8" width="19.90625" customWidth="1"/>
    <col min="9" max="9" width="9" customWidth="1"/>
  </cols>
  <sheetData>
    <row r="1" spans="1:11" x14ac:dyDescent="0.35">
      <c r="A1">
        <f>7*5*2</f>
        <v>70</v>
      </c>
    </row>
    <row r="2" spans="1:11" x14ac:dyDescent="0.35">
      <c r="E2" t="s">
        <v>12</v>
      </c>
      <c r="H2" t="s">
        <v>17</v>
      </c>
      <c r="I2" t="s">
        <v>18</v>
      </c>
    </row>
    <row r="3" spans="1:11" ht="15" thickBot="1" x14ac:dyDescent="0.4">
      <c r="D3" t="s">
        <v>13</v>
      </c>
      <c r="E3">
        <v>870000</v>
      </c>
      <c r="F3" t="s">
        <v>61</v>
      </c>
      <c r="H3" t="s">
        <v>95</v>
      </c>
      <c r="I3">
        <v>30000</v>
      </c>
    </row>
    <row r="4" spans="1:11" x14ac:dyDescent="0.35">
      <c r="A4" s="9" t="s">
        <v>0</v>
      </c>
      <c r="B4" s="10">
        <f>(5*3650)+E3</f>
        <v>888250</v>
      </c>
      <c r="H4" t="s">
        <v>73</v>
      </c>
      <c r="I4">
        <v>12000</v>
      </c>
    </row>
    <row r="5" spans="1:11" x14ac:dyDescent="0.35">
      <c r="A5" s="11" t="s">
        <v>1</v>
      </c>
      <c r="B5" s="12">
        <f>SUM($E$4:$E$6)</f>
        <v>430000</v>
      </c>
      <c r="D5" t="s">
        <v>14</v>
      </c>
      <c r="E5">
        <v>430000</v>
      </c>
      <c r="F5" t="s">
        <v>60</v>
      </c>
      <c r="H5" t="s">
        <v>19</v>
      </c>
      <c r="I5">
        <v>7000</v>
      </c>
    </row>
    <row r="6" spans="1:11" x14ac:dyDescent="0.35">
      <c r="A6" s="11" t="s">
        <v>2</v>
      </c>
      <c r="B6" s="12">
        <f t="shared" ref="B6:B14" si="0">SUM($E$4:$E$6)</f>
        <v>430000</v>
      </c>
      <c r="H6" t="s">
        <v>64</v>
      </c>
      <c r="I6">
        <f>20000</f>
        <v>20000</v>
      </c>
    </row>
    <row r="7" spans="1:11" x14ac:dyDescent="0.35">
      <c r="A7" s="11" t="s">
        <v>3</v>
      </c>
      <c r="B7" s="12">
        <f>SUM($E$4:$E$6)</f>
        <v>430000</v>
      </c>
      <c r="K7">
        <f>SUM(I3:I6)</f>
        <v>69000</v>
      </c>
    </row>
    <row r="8" spans="1:11" x14ac:dyDescent="0.35">
      <c r="A8" s="11" t="s">
        <v>4</v>
      </c>
      <c r="B8" s="12">
        <f>SUM($E$4:$E$6)</f>
        <v>430000</v>
      </c>
      <c r="C8">
        <f>SUM(E4:E6)</f>
        <v>430000</v>
      </c>
      <c r="D8">
        <f>C8-K7</f>
        <v>361000</v>
      </c>
    </row>
    <row r="9" spans="1:11" x14ac:dyDescent="0.35">
      <c r="A9" s="11" t="s">
        <v>5</v>
      </c>
      <c r="B9" s="12">
        <f>E7+(5*3650)+E3+E4</f>
        <v>888250</v>
      </c>
      <c r="F9">
        <f>1900*2*5*4*4.5</f>
        <v>342000</v>
      </c>
      <c r="G9">
        <f>F9*2/12</f>
        <v>57000</v>
      </c>
    </row>
    <row r="10" spans="1:11" x14ac:dyDescent="0.35">
      <c r="A10" s="11" t="s">
        <v>6</v>
      </c>
      <c r="B10" s="12">
        <f>E7+E3+E4</f>
        <v>870000</v>
      </c>
      <c r="D10" t="s">
        <v>62</v>
      </c>
      <c r="F10">
        <f>40000+114000</f>
        <v>154000</v>
      </c>
    </row>
    <row r="11" spans="1:11" x14ac:dyDescent="0.35">
      <c r="A11" s="11" t="s">
        <v>7</v>
      </c>
      <c r="B11" s="12">
        <f t="shared" si="0"/>
        <v>430000</v>
      </c>
      <c r="H11" t="s">
        <v>23</v>
      </c>
    </row>
    <row r="12" spans="1:11" x14ac:dyDescent="0.35">
      <c r="A12" s="11" t="s">
        <v>8</v>
      </c>
      <c r="B12" s="12">
        <f t="shared" si="0"/>
        <v>430000</v>
      </c>
      <c r="H12" t="s">
        <v>24</v>
      </c>
      <c r="I12">
        <v>15</v>
      </c>
      <c r="J12" s="1">
        <f>$D$8*(I12%)</f>
        <v>54150</v>
      </c>
    </row>
    <row r="13" spans="1:11" x14ac:dyDescent="0.35">
      <c r="A13" s="11" t="s">
        <v>9</v>
      </c>
      <c r="B13" s="12">
        <f t="shared" si="0"/>
        <v>430000</v>
      </c>
      <c r="H13" t="s">
        <v>25</v>
      </c>
      <c r="I13">
        <v>10</v>
      </c>
      <c r="J13" s="1">
        <f>$D$8*(I13%)</f>
        <v>36100</v>
      </c>
    </row>
    <row r="14" spans="1:11" x14ac:dyDescent="0.35">
      <c r="A14" s="11" t="s">
        <v>10</v>
      </c>
      <c r="B14" s="12">
        <f t="shared" si="0"/>
        <v>430000</v>
      </c>
      <c r="E14" t="s">
        <v>20</v>
      </c>
      <c r="F14" t="s">
        <v>49</v>
      </c>
      <c r="H14" t="s">
        <v>26</v>
      </c>
      <c r="I14">
        <v>5</v>
      </c>
      <c r="J14" s="1">
        <f t="shared" ref="J14:J19" si="1">$D$8*(I14%)</f>
        <v>18050</v>
      </c>
    </row>
    <row r="15" spans="1:11" ht="15" thickBot="1" x14ac:dyDescent="0.4">
      <c r="A15" s="13" t="s">
        <v>11</v>
      </c>
      <c r="B15" s="14">
        <f>E7+E3+E4</f>
        <v>870000</v>
      </c>
      <c r="E15" t="s">
        <v>20</v>
      </c>
      <c r="F15" t="s">
        <v>21</v>
      </c>
      <c r="H15" t="s">
        <v>33</v>
      </c>
      <c r="I15">
        <v>5</v>
      </c>
      <c r="J15" s="1">
        <f t="shared" si="1"/>
        <v>18050</v>
      </c>
    </row>
    <row r="16" spans="1:11" x14ac:dyDescent="0.35">
      <c r="B16" s="4">
        <f>SUM(B4:B15)</f>
        <v>6956500</v>
      </c>
      <c r="E16" t="s">
        <v>33</v>
      </c>
      <c r="F16" t="s">
        <v>33</v>
      </c>
      <c r="H16" t="s">
        <v>28</v>
      </c>
      <c r="I16">
        <v>20</v>
      </c>
      <c r="J16" s="1">
        <f t="shared" si="1"/>
        <v>72200</v>
      </c>
    </row>
    <row r="17" spans="2:10" x14ac:dyDescent="0.35">
      <c r="E17" t="s">
        <v>33</v>
      </c>
      <c r="F17" t="s">
        <v>27</v>
      </c>
      <c r="H17" t="s">
        <v>29</v>
      </c>
      <c r="I17">
        <v>5</v>
      </c>
      <c r="J17" s="1">
        <f t="shared" si="1"/>
        <v>18050</v>
      </c>
    </row>
    <row r="18" spans="2:10" x14ac:dyDescent="0.35">
      <c r="E18" t="s">
        <v>34</v>
      </c>
      <c r="F18" t="s">
        <v>38</v>
      </c>
      <c r="H18" t="s">
        <v>30</v>
      </c>
      <c r="I18">
        <v>5</v>
      </c>
      <c r="J18" s="1">
        <f t="shared" si="1"/>
        <v>18050</v>
      </c>
    </row>
    <row r="19" spans="2:10" x14ac:dyDescent="0.35">
      <c r="B19">
        <v>561000</v>
      </c>
      <c r="C19">
        <v>880000</v>
      </c>
      <c r="D19">
        <v>100</v>
      </c>
      <c r="E19" t="s">
        <v>34</v>
      </c>
      <c r="F19" t="s">
        <v>35</v>
      </c>
      <c r="H19" t="s">
        <v>31</v>
      </c>
      <c r="I19">
        <v>5</v>
      </c>
      <c r="J19" s="1">
        <f t="shared" si="1"/>
        <v>18050</v>
      </c>
    </row>
    <row r="20" spans="2:10" x14ac:dyDescent="0.35">
      <c r="B20">
        <v>55581</v>
      </c>
      <c r="C20">
        <v>307005</v>
      </c>
      <c r="D20" s="2">
        <v>9.9000000000000008E-3</v>
      </c>
      <c r="E20" t="s">
        <v>28</v>
      </c>
      <c r="F20" t="s">
        <v>36</v>
      </c>
      <c r="H20" t="s">
        <v>32</v>
      </c>
      <c r="I20">
        <v>20</v>
      </c>
      <c r="J20" s="1">
        <f>$D$8*(I20%)</f>
        <v>72200</v>
      </c>
    </row>
    <row r="21" spans="2:10" x14ac:dyDescent="0.35">
      <c r="C21">
        <f>C19-D21</f>
        <v>871288</v>
      </c>
      <c r="D21">
        <f>C19*D20</f>
        <v>8712</v>
      </c>
      <c r="E21" t="s">
        <v>28</v>
      </c>
      <c r="F21" t="s">
        <v>37</v>
      </c>
      <c r="H21" t="s">
        <v>15</v>
      </c>
      <c r="I21">
        <v>5</v>
      </c>
      <c r="J21" s="1">
        <f>$D$8*(I21%)</f>
        <v>18050</v>
      </c>
    </row>
    <row r="22" spans="2:10" x14ac:dyDescent="0.35">
      <c r="E22" t="s">
        <v>29</v>
      </c>
      <c r="F22" t="s">
        <v>29</v>
      </c>
      <c r="H22" t="s">
        <v>59</v>
      </c>
      <c r="I22">
        <v>5</v>
      </c>
      <c r="J22" s="1">
        <f>$D$8*(I22%)</f>
        <v>18050</v>
      </c>
    </row>
    <row r="23" spans="2:10" x14ac:dyDescent="0.35">
      <c r="E23" t="s">
        <v>24</v>
      </c>
      <c r="F23" t="s">
        <v>39</v>
      </c>
      <c r="I23">
        <f>SUM(I12:I22)</f>
        <v>100</v>
      </c>
    </row>
    <row r="24" spans="2:10" x14ac:dyDescent="0.35">
      <c r="E24" t="s">
        <v>24</v>
      </c>
      <c r="F24" t="s">
        <v>40</v>
      </c>
    </row>
    <row r="25" spans="2:10" x14ac:dyDescent="0.35">
      <c r="E25" t="s">
        <v>30</v>
      </c>
      <c r="F25" t="s">
        <v>30</v>
      </c>
    </row>
    <row r="26" spans="2:10" x14ac:dyDescent="0.35">
      <c r="E26" t="s">
        <v>41</v>
      </c>
      <c r="F26" t="s">
        <v>42</v>
      </c>
    </row>
    <row r="27" spans="2:10" x14ac:dyDescent="0.35">
      <c r="D27">
        <f>5000000/36</f>
        <v>138888.88888888888</v>
      </c>
      <c r="E27" t="s">
        <v>32</v>
      </c>
      <c r="F27" t="s">
        <v>46</v>
      </c>
    </row>
    <row r="28" spans="2:10" x14ac:dyDescent="0.35">
      <c r="E28" t="s">
        <v>32</v>
      </c>
      <c r="F28" t="s">
        <v>44</v>
      </c>
    </row>
    <row r="29" spans="2:10" x14ac:dyDescent="0.35">
      <c r="E29" t="s">
        <v>32</v>
      </c>
      <c r="F29" t="s">
        <v>32</v>
      </c>
    </row>
    <row r="30" spans="2:10" x14ac:dyDescent="0.35">
      <c r="E30" t="s">
        <v>32</v>
      </c>
      <c r="F30" t="s">
        <v>45</v>
      </c>
    </row>
    <row r="31" spans="2:10" x14ac:dyDescent="0.35">
      <c r="E31" t="s">
        <v>32</v>
      </c>
      <c r="F31" t="s">
        <v>43</v>
      </c>
    </row>
    <row r="32" spans="2:10" x14ac:dyDescent="0.35">
      <c r="E32" t="s">
        <v>16</v>
      </c>
      <c r="F32" t="s">
        <v>16</v>
      </c>
    </row>
    <row r="33" spans="5:6" x14ac:dyDescent="0.35">
      <c r="E33" t="s">
        <v>19</v>
      </c>
      <c r="F33" t="s">
        <v>47</v>
      </c>
    </row>
    <row r="34" spans="5:6" x14ac:dyDescent="0.35">
      <c r="E34" t="s">
        <v>19</v>
      </c>
      <c r="F34" t="s">
        <v>48</v>
      </c>
    </row>
    <row r="35" spans="5:6" x14ac:dyDescent="0.35">
      <c r="E35" t="s">
        <v>22</v>
      </c>
      <c r="F35" t="s">
        <v>22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F8DD-C1D1-44A9-9D58-21F28D98A871}">
  <dimension ref="C3:G7"/>
  <sheetViews>
    <sheetView workbookViewId="0">
      <selection activeCell="C4" sqref="C4"/>
    </sheetView>
  </sheetViews>
  <sheetFormatPr baseColWidth="10" defaultRowHeight="14.5" x14ac:dyDescent="0.35"/>
  <cols>
    <col min="3" max="3" width="20.81640625" customWidth="1"/>
    <col min="6" max="6" width="24.54296875" customWidth="1"/>
  </cols>
  <sheetData>
    <row r="3" spans="3:7" x14ac:dyDescent="0.35">
      <c r="G3" t="s">
        <v>69</v>
      </c>
    </row>
    <row r="4" spans="3:7" x14ac:dyDescent="0.35">
      <c r="C4" t="s">
        <v>19</v>
      </c>
      <c r="D4" t="s">
        <v>65</v>
      </c>
      <c r="E4">
        <v>-55000</v>
      </c>
      <c r="F4" t="s">
        <v>2</v>
      </c>
      <c r="G4" t="s">
        <v>70</v>
      </c>
    </row>
    <row r="5" spans="3:7" x14ac:dyDescent="0.35">
      <c r="E5" s="15"/>
    </row>
    <row r="6" spans="3:7" x14ac:dyDescent="0.35">
      <c r="C6" t="s">
        <v>67</v>
      </c>
      <c r="D6" t="s">
        <v>66</v>
      </c>
      <c r="E6" s="15">
        <v>25</v>
      </c>
      <c r="F6" t="s">
        <v>11</v>
      </c>
      <c r="G6" t="s">
        <v>71</v>
      </c>
    </row>
    <row r="7" spans="3:7" x14ac:dyDescent="0.35">
      <c r="C7" t="s">
        <v>68</v>
      </c>
      <c r="D7" t="s">
        <v>65</v>
      </c>
      <c r="E7">
        <v>-100000</v>
      </c>
      <c r="G7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F4E5-AB9E-4CA9-8CDA-1F01788992CA}">
  <dimension ref="B2:I32"/>
  <sheetViews>
    <sheetView tabSelected="1" topLeftCell="A7" workbookViewId="0">
      <selection activeCell="J9" sqref="J9"/>
    </sheetView>
  </sheetViews>
  <sheetFormatPr baseColWidth="10" defaultRowHeight="14.5" x14ac:dyDescent="0.35"/>
  <cols>
    <col min="3" max="3" width="11.08984375" style="16" bestFit="1" customWidth="1"/>
    <col min="7" max="7" width="11.26953125" customWidth="1"/>
    <col min="8" max="8" width="17.7265625" customWidth="1"/>
    <col min="9" max="9" width="11.26953125" customWidth="1"/>
  </cols>
  <sheetData>
    <row r="2" spans="2:9" x14ac:dyDescent="0.35">
      <c r="G2" t="s">
        <v>92</v>
      </c>
      <c r="H2" t="s">
        <v>93</v>
      </c>
      <c r="I2" t="s">
        <v>94</v>
      </c>
    </row>
    <row r="3" spans="2:9" ht="15" thickBot="1" x14ac:dyDescent="0.4">
      <c r="E3" t="s">
        <v>69</v>
      </c>
      <c r="G3" s="17">
        <v>55000</v>
      </c>
      <c r="H3" s="17" t="s">
        <v>72</v>
      </c>
      <c r="I3" s="17" t="s">
        <v>2</v>
      </c>
    </row>
    <row r="4" spans="2:9" x14ac:dyDescent="0.35">
      <c r="B4" s="9" t="s">
        <v>0</v>
      </c>
      <c r="C4" s="16">
        <f>SUMIF(DASHB!$A$4:$A$15,WISHLIST!B4,DASHB!$B$4:$B$15)-SUMIF($I$3:$I$23,B4,$G$3:$G$23)-DASHB!$K$7</f>
        <v>819250</v>
      </c>
      <c r="E4">
        <v>3950</v>
      </c>
      <c r="G4">
        <v>100000</v>
      </c>
      <c r="H4" t="s">
        <v>100</v>
      </c>
      <c r="I4" t="s">
        <v>1</v>
      </c>
    </row>
    <row r="5" spans="2:9" x14ac:dyDescent="0.35">
      <c r="B5" s="11" t="s">
        <v>1</v>
      </c>
      <c r="C5" s="16">
        <f>SUMIF(DASHB!$A$4:$A$15,WISHLIST!B5,DASHB!$B$4:$B$15)-SUMIF($I$3:$I$23,B5,$G$3:$G$23)-DASHB!$K$7</f>
        <v>61000</v>
      </c>
      <c r="G5">
        <v>250000</v>
      </c>
      <c r="H5" t="s">
        <v>74</v>
      </c>
      <c r="I5" t="s">
        <v>9</v>
      </c>
    </row>
    <row r="6" spans="2:9" x14ac:dyDescent="0.35">
      <c r="B6" s="11" t="s">
        <v>2</v>
      </c>
      <c r="C6" s="16">
        <f>SUMIF(DASHB!$A$4:$A$15,WISHLIST!B6,DASHB!$B$4:$B$15)-SUMIF($I$3:$I$23,B6,$G$3:$G$23)-DASHB!$K$7</f>
        <v>306000</v>
      </c>
      <c r="G6">
        <v>40000</v>
      </c>
      <c r="H6" t="s">
        <v>49</v>
      </c>
      <c r="I6" t="s">
        <v>5</v>
      </c>
    </row>
    <row r="7" spans="2:9" x14ac:dyDescent="0.35">
      <c r="B7" s="11" t="s">
        <v>3</v>
      </c>
      <c r="C7" s="16">
        <f>SUMIF(DASHB!$A$4:$A$15,WISHLIST!B7,DASHB!$B$4:$B$15)-SUMIF($I$3:$I$23,B7,$G$3:$G$23)-DASHB!$K$7</f>
        <v>151750</v>
      </c>
      <c r="G7" s="15">
        <f>200*E4</f>
        <v>790000</v>
      </c>
      <c r="H7" t="s">
        <v>75</v>
      </c>
      <c r="I7" t="s">
        <v>5</v>
      </c>
    </row>
    <row r="8" spans="2:9" x14ac:dyDescent="0.35">
      <c r="B8" s="11" t="s">
        <v>4</v>
      </c>
      <c r="C8" s="16">
        <f>SUMIF(DASHB!$A$4:$A$15,WISHLIST!B8,DASHB!$B$4:$B$15)-SUMIF($I$3:$I$23,B8,$G$3:$G$23)-DASHB!$K$7</f>
        <v>-292000</v>
      </c>
      <c r="G8" s="15">
        <f>200*E4</f>
        <v>790000</v>
      </c>
      <c r="H8" t="s">
        <v>76</v>
      </c>
      <c r="I8" t="s">
        <v>6</v>
      </c>
    </row>
    <row r="9" spans="2:9" x14ac:dyDescent="0.35">
      <c r="B9" s="11" t="s">
        <v>5</v>
      </c>
      <c r="C9" s="16">
        <f>SUMIF(DASHB!$A$4:$A$15,WISHLIST!B9,DASHB!$B$4:$B$15)-SUMIF($I$3:$I$23,B9,$G$3:$G$23)-DASHB!$K$7</f>
        <v>-10750</v>
      </c>
      <c r="G9">
        <f>DETALLES!C9</f>
        <v>240000</v>
      </c>
      <c r="H9" t="s">
        <v>77</v>
      </c>
      <c r="I9" t="s">
        <v>7</v>
      </c>
    </row>
    <row r="10" spans="2:9" x14ac:dyDescent="0.35">
      <c r="B10" s="11" t="s">
        <v>6</v>
      </c>
      <c r="C10" s="16">
        <f>SUMIF(DASHB!$A$4:$A$15,WISHLIST!B10,DASHB!$B$4:$B$15)-SUMIF($I$3:$I$23,B10,$G$3:$G$23)-DASHB!$K$7</f>
        <v>11000</v>
      </c>
      <c r="G10" s="15"/>
    </row>
    <row r="11" spans="2:9" x14ac:dyDescent="0.35">
      <c r="B11" s="11" t="s">
        <v>7</v>
      </c>
      <c r="C11" s="16">
        <f>SUMIF(DASHB!$A$4:$A$15,WISHLIST!B11,DASHB!$B$4:$B$15)-SUMIF($I$3:$I$23,B11,$G$3:$G$23)-DASHB!$K$7</f>
        <v>121000</v>
      </c>
      <c r="G11" s="15">
        <v>150000</v>
      </c>
      <c r="H11" t="s">
        <v>105</v>
      </c>
      <c r="I11" t="s">
        <v>3</v>
      </c>
    </row>
    <row r="12" spans="2:9" x14ac:dyDescent="0.35">
      <c r="B12" s="11" t="s">
        <v>8</v>
      </c>
      <c r="C12" s="16">
        <f>SUMIF(DASHB!$A$4:$A$15,WISHLIST!B12,DASHB!$B$4:$B$15)-SUMIF($I$3:$I$23,B12,$G$3:$G$23)-DASHB!$K$7</f>
        <v>124000</v>
      </c>
      <c r="G12" s="15">
        <f>15*E4</f>
        <v>59250</v>
      </c>
      <c r="H12" t="s">
        <v>84</v>
      </c>
      <c r="I12" t="s">
        <v>3</v>
      </c>
    </row>
    <row r="13" spans="2:9" x14ac:dyDescent="0.35">
      <c r="B13" s="11" t="s">
        <v>9</v>
      </c>
      <c r="C13" s="16">
        <f>SUMIF(DASHB!$A$4:$A$15,WISHLIST!B13,DASHB!$B$4:$B$15)-SUMIF($I$3:$I$23,B13,$G$3:$G$23)-DASHB!$K$7</f>
        <v>111000</v>
      </c>
      <c r="G13" s="18">
        <v>200000</v>
      </c>
      <c r="H13" s="17" t="s">
        <v>85</v>
      </c>
      <c r="I13" s="17" t="s">
        <v>1</v>
      </c>
    </row>
    <row r="14" spans="2:9" x14ac:dyDescent="0.35">
      <c r="B14" s="11" t="s">
        <v>10</v>
      </c>
      <c r="C14" s="16">
        <f>SUMIF(DASHB!$A$4:$A$15,WISHLIST!B14,DASHB!$B$4:$B$15)-SUMIF($I$3:$I$23,B14,$G$3:$G$23)-DASHB!$K$7</f>
        <v>261000</v>
      </c>
      <c r="G14" s="15">
        <v>100000</v>
      </c>
      <c r="H14" t="s">
        <v>86</v>
      </c>
      <c r="I14" t="s">
        <v>10</v>
      </c>
    </row>
    <row r="15" spans="2:9" ht="15" thickBot="1" x14ac:dyDescent="0.4">
      <c r="B15" s="13" t="s">
        <v>11</v>
      </c>
      <c r="C15" s="16">
        <f>SUMIF(DASHB!$A$4:$A$15,WISHLIST!B15,DASHB!$B$4:$B$15)-SUMIF($I$3:$I$23,B15,$G$3:$G$23)-DASHB!$K$7</f>
        <v>221000</v>
      </c>
      <c r="G15" s="15">
        <v>150000</v>
      </c>
      <c r="H15" t="s">
        <v>87</v>
      </c>
    </row>
    <row r="16" spans="2:9" x14ac:dyDescent="0.35">
      <c r="B16" t="s">
        <v>78</v>
      </c>
      <c r="C16" s="16">
        <f>SUMIF(DASHB!$A$4:$A$15,WISHLIST!B16,DASHB!$B$4:$B$15)-SUMIF($I$3:$I$23,B16,$G$3:$G$23)-DASHB!$K$7</f>
        <v>-3133000</v>
      </c>
      <c r="G16" s="15">
        <f>140*E4</f>
        <v>553000</v>
      </c>
      <c r="H16" t="s">
        <v>88</v>
      </c>
      <c r="I16" t="s">
        <v>4</v>
      </c>
    </row>
    <row r="17" spans="2:9" x14ac:dyDescent="0.35">
      <c r="G17" s="15">
        <f>70*E4</f>
        <v>276500</v>
      </c>
      <c r="H17" t="s">
        <v>89</v>
      </c>
    </row>
    <row r="18" spans="2:9" x14ac:dyDescent="0.35">
      <c r="G18" s="15">
        <v>500000</v>
      </c>
      <c r="H18" t="s">
        <v>98</v>
      </c>
      <c r="I18" t="s">
        <v>11</v>
      </c>
    </row>
    <row r="19" spans="2:9" x14ac:dyDescent="0.35">
      <c r="G19" s="15">
        <f>60*E4</f>
        <v>237000</v>
      </c>
      <c r="H19" t="s">
        <v>45</v>
      </c>
      <c r="I19" t="s">
        <v>8</v>
      </c>
    </row>
    <row r="20" spans="2:9" x14ac:dyDescent="0.35">
      <c r="G20" s="15">
        <v>1800000</v>
      </c>
      <c r="H20" t="s">
        <v>28</v>
      </c>
      <c r="I20" t="s">
        <v>78</v>
      </c>
    </row>
    <row r="21" spans="2:9" x14ac:dyDescent="0.35">
      <c r="G21" s="15">
        <v>100000</v>
      </c>
      <c r="H21" t="s">
        <v>90</v>
      </c>
      <c r="I21" t="s">
        <v>4</v>
      </c>
    </row>
    <row r="22" spans="2:9" x14ac:dyDescent="0.35">
      <c r="G22" s="15">
        <f>320*E4</f>
        <v>1264000</v>
      </c>
      <c r="H22" t="s">
        <v>91</v>
      </c>
      <c r="I22" t="s">
        <v>78</v>
      </c>
    </row>
    <row r="23" spans="2:9" x14ac:dyDescent="0.35">
      <c r="G23">
        <v>80000</v>
      </c>
      <c r="H23" t="s">
        <v>130</v>
      </c>
      <c r="I23" t="s">
        <v>11</v>
      </c>
    </row>
    <row r="24" spans="2:9" x14ac:dyDescent="0.35">
      <c r="G24" s="19" t="s">
        <v>104</v>
      </c>
      <c r="H24" s="19"/>
      <c r="I24" s="19"/>
    </row>
    <row r="25" spans="2:9" x14ac:dyDescent="0.35">
      <c r="B25" t="s">
        <v>96</v>
      </c>
    </row>
    <row r="26" spans="2:9" x14ac:dyDescent="0.35">
      <c r="C26" s="16" t="s">
        <v>97</v>
      </c>
    </row>
    <row r="27" spans="2:9" x14ac:dyDescent="0.35">
      <c r="C27" s="16" t="s">
        <v>91</v>
      </c>
    </row>
    <row r="28" spans="2:9" x14ac:dyDescent="0.35">
      <c r="C28" s="16" t="s">
        <v>28</v>
      </c>
    </row>
    <row r="29" spans="2:9" x14ac:dyDescent="0.35">
      <c r="C29" s="16" t="s">
        <v>99</v>
      </c>
    </row>
    <row r="30" spans="2:9" x14ac:dyDescent="0.35">
      <c r="C30" s="16" t="s">
        <v>101</v>
      </c>
    </row>
    <row r="31" spans="2:9" x14ac:dyDescent="0.35">
      <c r="B31" t="s">
        <v>102</v>
      </c>
    </row>
    <row r="32" spans="2:9" x14ac:dyDescent="0.35">
      <c r="C32" s="16" t="s">
        <v>103</v>
      </c>
    </row>
  </sheetData>
  <mergeCells count="1">
    <mergeCell ref="G24:I24"/>
  </mergeCells>
  <conditionalFormatting sqref="C4:C16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DFFA-1BFB-4C17-9167-D1A2295504DB}">
  <dimension ref="B3:D9"/>
  <sheetViews>
    <sheetView workbookViewId="0">
      <selection activeCell="D12" sqref="D12"/>
    </sheetView>
  </sheetViews>
  <sheetFormatPr baseColWidth="10" defaultRowHeight="14.5" x14ac:dyDescent="0.35"/>
  <sheetData>
    <row r="3" spans="2:4" x14ac:dyDescent="0.35">
      <c r="B3" t="s">
        <v>77</v>
      </c>
    </row>
    <row r="4" spans="2:4" x14ac:dyDescent="0.35">
      <c r="C4">
        <v>60000</v>
      </c>
      <c r="D4" t="s">
        <v>79</v>
      </c>
    </row>
    <row r="5" spans="2:4" x14ac:dyDescent="0.35">
      <c r="C5">
        <v>60000</v>
      </c>
      <c r="D5" t="s">
        <v>80</v>
      </c>
    </row>
    <row r="6" spans="2:4" x14ac:dyDescent="0.35">
      <c r="C6">
        <v>20000</v>
      </c>
      <c r="D6" t="s">
        <v>81</v>
      </c>
    </row>
    <row r="7" spans="2:4" x14ac:dyDescent="0.35">
      <c r="C7">
        <v>60000</v>
      </c>
      <c r="D7" t="s">
        <v>82</v>
      </c>
    </row>
    <row r="8" spans="2:4" x14ac:dyDescent="0.35">
      <c r="C8">
        <v>40000</v>
      </c>
      <c r="D8" t="s">
        <v>83</v>
      </c>
    </row>
    <row r="9" spans="2:4" x14ac:dyDescent="0.35">
      <c r="C9" s="3">
        <f>SUM(C4:C8)</f>
        <v>240000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AFDA-AADC-43C4-968C-996A2F1FD6DC}">
  <dimension ref="B4:O33"/>
  <sheetViews>
    <sheetView workbookViewId="0">
      <selection activeCell="H4" sqref="H4"/>
    </sheetView>
  </sheetViews>
  <sheetFormatPr baseColWidth="10" defaultRowHeight="14.5" x14ac:dyDescent="0.35"/>
  <sheetData>
    <row r="4" spans="2:12" x14ac:dyDescent="0.35">
      <c r="C4" t="s">
        <v>129</v>
      </c>
    </row>
    <row r="6" spans="2:12" x14ac:dyDescent="0.35">
      <c r="C6" t="s">
        <v>106</v>
      </c>
    </row>
    <row r="7" spans="2:12" x14ac:dyDescent="0.35">
      <c r="B7" t="s">
        <v>118</v>
      </c>
    </row>
    <row r="8" spans="2:12" x14ac:dyDescent="0.35">
      <c r="C8" s="20" t="s">
        <v>107</v>
      </c>
    </row>
    <row r="9" spans="2:12" x14ac:dyDescent="0.35">
      <c r="B9" t="s">
        <v>70</v>
      </c>
      <c r="C9" s="20" t="s">
        <v>108</v>
      </c>
      <c r="D9" t="s">
        <v>109</v>
      </c>
      <c r="E9" t="s">
        <v>113</v>
      </c>
      <c r="F9">
        <f>55710/L9</f>
        <v>11142</v>
      </c>
      <c r="H9" t="s">
        <v>110</v>
      </c>
      <c r="I9">
        <f>F9*5 + 6600</f>
        <v>62310</v>
      </c>
      <c r="K9" t="s">
        <v>15</v>
      </c>
      <c r="L9">
        <v>5</v>
      </c>
    </row>
    <row r="10" spans="2:12" x14ac:dyDescent="0.35">
      <c r="C10" t="s">
        <v>111</v>
      </c>
    </row>
    <row r="11" spans="2:12" x14ac:dyDescent="0.35">
      <c r="B11" t="s">
        <v>115</v>
      </c>
      <c r="C11" t="s">
        <v>108</v>
      </c>
      <c r="D11" t="s">
        <v>112</v>
      </c>
      <c r="E11" t="s">
        <v>113</v>
      </c>
      <c r="F11">
        <f>47710/L11</f>
        <v>15903.333333333334</v>
      </c>
      <c r="H11" t="s">
        <v>110</v>
      </c>
      <c r="I11">
        <f>F11*3 +6600</f>
        <v>54310</v>
      </c>
      <c r="K11" t="s">
        <v>15</v>
      </c>
      <c r="L11">
        <v>3</v>
      </c>
    </row>
    <row r="12" spans="2:12" x14ac:dyDescent="0.35">
      <c r="C12" s="21"/>
    </row>
    <row r="13" spans="2:12" x14ac:dyDescent="0.35">
      <c r="C13" s="17"/>
    </row>
    <row r="14" spans="2:12" x14ac:dyDescent="0.35">
      <c r="C14" s="17" t="s">
        <v>116</v>
      </c>
    </row>
    <row r="15" spans="2:12" x14ac:dyDescent="0.35">
      <c r="C15" s="17" t="s">
        <v>108</v>
      </c>
      <c r="D15" t="s">
        <v>114</v>
      </c>
      <c r="E15" t="s">
        <v>113</v>
      </c>
      <c r="F15">
        <f>88000/L15</f>
        <v>7333.333333333333</v>
      </c>
      <c r="H15" t="s">
        <v>110</v>
      </c>
      <c r="I15">
        <f>F15*L15</f>
        <v>88000</v>
      </c>
      <c r="K15" t="s">
        <v>15</v>
      </c>
      <c r="L15">
        <v>12</v>
      </c>
    </row>
    <row r="16" spans="2:12" x14ac:dyDescent="0.35">
      <c r="C16" s="17"/>
    </row>
    <row r="17" spans="2:15" x14ac:dyDescent="0.35">
      <c r="C17" s="17" t="s">
        <v>117</v>
      </c>
    </row>
    <row r="18" spans="2:15" x14ac:dyDescent="0.35">
      <c r="C18" s="17" t="s">
        <v>108</v>
      </c>
      <c r="D18" t="s">
        <v>127</v>
      </c>
      <c r="E18" t="s">
        <v>113</v>
      </c>
      <c r="F18">
        <f>I18/4</f>
        <v>5000</v>
      </c>
      <c r="H18" t="s">
        <v>119</v>
      </c>
      <c r="I18">
        <v>20000</v>
      </c>
    </row>
    <row r="20" spans="2:15" x14ac:dyDescent="0.35">
      <c r="B20" t="s">
        <v>110</v>
      </c>
      <c r="C20">
        <f>I18+I15</f>
        <v>108000</v>
      </c>
    </row>
    <row r="21" spans="2:15" x14ac:dyDescent="0.35">
      <c r="I21" t="s">
        <v>125</v>
      </c>
      <c r="J21">
        <v>3800</v>
      </c>
      <c r="L21" t="s">
        <v>126</v>
      </c>
      <c r="N21">
        <f>J21+80</f>
        <v>3880</v>
      </c>
    </row>
    <row r="22" spans="2:15" x14ac:dyDescent="0.35">
      <c r="B22" t="s">
        <v>120</v>
      </c>
    </row>
    <row r="23" spans="2:15" x14ac:dyDescent="0.35">
      <c r="C23" t="s">
        <v>121</v>
      </c>
      <c r="D23">
        <f>7*N21</f>
        <v>27160</v>
      </c>
      <c r="F23" t="s">
        <v>124</v>
      </c>
    </row>
    <row r="25" spans="2:15" x14ac:dyDescent="0.35">
      <c r="C25" s="22" t="s">
        <v>122</v>
      </c>
    </row>
    <row r="26" spans="2:15" x14ac:dyDescent="0.35">
      <c r="C26" t="s">
        <v>108</v>
      </c>
      <c r="D26" t="s">
        <v>109</v>
      </c>
      <c r="E26" t="s">
        <v>113</v>
      </c>
      <c r="F26">
        <f>I26/L26</f>
        <v>1.25</v>
      </c>
      <c r="H26" t="s">
        <v>110</v>
      </c>
      <c r="I26">
        <v>15</v>
      </c>
      <c r="K26" t="s">
        <v>15</v>
      </c>
      <c r="L26">
        <v>12</v>
      </c>
      <c r="N26">
        <f>D29-C20</f>
        <v>31680</v>
      </c>
      <c r="O26">
        <f>N26/F18</f>
        <v>6.3360000000000003</v>
      </c>
    </row>
    <row r="27" spans="2:15" x14ac:dyDescent="0.35">
      <c r="I27">
        <f>I26*3900</f>
        <v>58500</v>
      </c>
    </row>
    <row r="28" spans="2:15" x14ac:dyDescent="0.35">
      <c r="C28" t="s">
        <v>108</v>
      </c>
      <c r="D28" t="s">
        <v>112</v>
      </c>
      <c r="E28" t="s">
        <v>113</v>
      </c>
      <c r="F28">
        <f>I28/L28</f>
        <v>2.3333333333333335</v>
      </c>
      <c r="H28" t="s">
        <v>110</v>
      </c>
      <c r="I28">
        <v>14</v>
      </c>
      <c r="K28" t="s">
        <v>15</v>
      </c>
      <c r="L28">
        <v>6</v>
      </c>
    </row>
    <row r="29" spans="2:15" x14ac:dyDescent="0.35">
      <c r="C29" t="s">
        <v>110</v>
      </c>
      <c r="D29">
        <f>D23+(I26*N21)+(I28*N21)</f>
        <v>139680</v>
      </c>
    </row>
    <row r="30" spans="2:15" x14ac:dyDescent="0.35">
      <c r="C30" t="s">
        <v>123</v>
      </c>
    </row>
    <row r="33" spans="3:3" x14ac:dyDescent="0.35">
      <c r="C33" t="s">
        <v>128</v>
      </c>
    </row>
  </sheetData>
  <hyperlinks>
    <hyperlink ref="C25" r:id="rId1" xr:uid="{B66B6A89-DCD9-423B-950F-D161AB20857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2DAD-00D0-41B9-A093-D886F48B6703}">
  <dimension ref="B2:H50"/>
  <sheetViews>
    <sheetView topLeftCell="B13" workbookViewId="0">
      <selection activeCell="H4" sqref="H4"/>
    </sheetView>
  </sheetViews>
  <sheetFormatPr baseColWidth="10" defaultRowHeight="14.5" x14ac:dyDescent="0.35"/>
  <cols>
    <col min="1" max="1" width="17.26953125" customWidth="1"/>
    <col min="2" max="2" width="15.08984375" bestFit="1" customWidth="1"/>
    <col min="4" max="4" width="24.08984375" customWidth="1"/>
    <col min="7" max="7" width="17.7265625" bestFit="1" customWidth="1"/>
    <col min="8" max="8" width="15.08984375" bestFit="1" customWidth="1"/>
  </cols>
  <sheetData>
    <row r="2" spans="2:8" x14ac:dyDescent="0.35">
      <c r="B2">
        <f>1900000*12</f>
        <v>22800000</v>
      </c>
      <c r="C2">
        <v>19</v>
      </c>
      <c r="G2">
        <v>2021</v>
      </c>
      <c r="H2">
        <v>110000</v>
      </c>
    </row>
    <row r="3" spans="2:8" x14ac:dyDescent="0.35">
      <c r="B3">
        <f>B2+(B2*0.01)</f>
        <v>23028000</v>
      </c>
      <c r="C3">
        <v>20</v>
      </c>
      <c r="G3">
        <v>2022</v>
      </c>
      <c r="H3">
        <f>H2+(H2*0.05)+110000</f>
        <v>225500</v>
      </c>
    </row>
    <row r="4" spans="2:8" x14ac:dyDescent="0.35">
      <c r="B4">
        <f>B3+(B3*0.01)</f>
        <v>23258280</v>
      </c>
      <c r="C4">
        <v>21</v>
      </c>
      <c r="G4">
        <v>2023</v>
      </c>
      <c r="H4">
        <f>H3+(H3*0.05)+110000</f>
        <v>346775</v>
      </c>
    </row>
    <row r="5" spans="2:8" x14ac:dyDescent="0.35">
      <c r="B5">
        <f>B4+(B4*0.01)</f>
        <v>23490862.800000001</v>
      </c>
      <c r="C5">
        <v>22</v>
      </c>
      <c r="G5">
        <v>2024</v>
      </c>
      <c r="H5">
        <f t="shared" ref="H5:H45" si="0">H4+(H4*0.05)+110000</f>
        <v>474113.75</v>
      </c>
    </row>
    <row r="6" spans="2:8" x14ac:dyDescent="0.35">
      <c r="B6">
        <f t="shared" ref="B6:B47" si="1">B5+(B5*0.01)</f>
        <v>23725771.427999999</v>
      </c>
      <c r="C6">
        <v>23</v>
      </c>
      <c r="G6">
        <v>2025</v>
      </c>
      <c r="H6">
        <f t="shared" si="0"/>
        <v>607819.4375</v>
      </c>
    </row>
    <row r="7" spans="2:8" x14ac:dyDescent="0.35">
      <c r="B7">
        <f t="shared" si="1"/>
        <v>23963029.142280001</v>
      </c>
      <c r="C7">
        <v>24</v>
      </c>
      <c r="G7">
        <v>2026</v>
      </c>
      <c r="H7">
        <f t="shared" si="0"/>
        <v>748210.40937500005</v>
      </c>
    </row>
    <row r="8" spans="2:8" x14ac:dyDescent="0.35">
      <c r="B8">
        <f t="shared" si="1"/>
        <v>24202659.4337028</v>
      </c>
      <c r="C8">
        <v>25</v>
      </c>
      <c r="G8">
        <v>2027</v>
      </c>
      <c r="H8">
        <f t="shared" si="0"/>
        <v>895620.92984375008</v>
      </c>
    </row>
    <row r="9" spans="2:8" x14ac:dyDescent="0.35">
      <c r="B9">
        <f t="shared" si="1"/>
        <v>24444686.028039828</v>
      </c>
      <c r="C9">
        <v>26</v>
      </c>
      <c r="G9">
        <v>2028</v>
      </c>
      <c r="H9">
        <f t="shared" si="0"/>
        <v>1050401.9763359376</v>
      </c>
    </row>
    <row r="10" spans="2:8" x14ac:dyDescent="0.35">
      <c r="B10">
        <f t="shared" si="1"/>
        <v>24689132.888320226</v>
      </c>
      <c r="C10">
        <v>27</v>
      </c>
      <c r="G10">
        <v>2029</v>
      </c>
      <c r="H10">
        <f t="shared" si="0"/>
        <v>1212922.0751527345</v>
      </c>
    </row>
    <row r="11" spans="2:8" x14ac:dyDescent="0.35">
      <c r="B11">
        <f t="shared" si="1"/>
        <v>24936024.217203427</v>
      </c>
      <c r="C11">
        <v>28</v>
      </c>
      <c r="G11">
        <v>2030</v>
      </c>
      <c r="H11">
        <f t="shared" si="0"/>
        <v>1383568.1789103711</v>
      </c>
    </row>
    <row r="12" spans="2:8" x14ac:dyDescent="0.35">
      <c r="B12">
        <f t="shared" si="1"/>
        <v>25185384.45937546</v>
      </c>
      <c r="C12">
        <v>29</v>
      </c>
      <c r="G12">
        <v>2031</v>
      </c>
      <c r="H12">
        <f t="shared" si="0"/>
        <v>1562746.5878558897</v>
      </c>
    </row>
    <row r="13" spans="2:8" x14ac:dyDescent="0.35">
      <c r="B13">
        <f t="shared" si="1"/>
        <v>25437238.303969216</v>
      </c>
      <c r="C13">
        <v>30</v>
      </c>
      <c r="D13" t="s">
        <v>50</v>
      </c>
      <c r="G13">
        <v>2032</v>
      </c>
      <c r="H13">
        <f t="shared" si="0"/>
        <v>1750883.9172486842</v>
      </c>
    </row>
    <row r="14" spans="2:8" x14ac:dyDescent="0.35">
      <c r="B14">
        <f t="shared" si="1"/>
        <v>25691610.687008906</v>
      </c>
      <c r="C14">
        <v>31</v>
      </c>
      <c r="G14">
        <v>2033</v>
      </c>
      <c r="H14">
        <f t="shared" si="0"/>
        <v>1948428.1131111183</v>
      </c>
    </row>
    <row r="15" spans="2:8" x14ac:dyDescent="0.35">
      <c r="B15">
        <f t="shared" si="1"/>
        <v>25948526.793878995</v>
      </c>
      <c r="C15">
        <v>32</v>
      </c>
      <c r="G15">
        <v>2034</v>
      </c>
      <c r="H15">
        <f t="shared" si="0"/>
        <v>2155849.5187666742</v>
      </c>
    </row>
    <row r="16" spans="2:8" x14ac:dyDescent="0.35">
      <c r="B16">
        <f t="shared" si="1"/>
        <v>26208012.061817784</v>
      </c>
      <c r="C16">
        <v>33</v>
      </c>
      <c r="G16">
        <v>2035</v>
      </c>
      <c r="H16">
        <f t="shared" si="0"/>
        <v>2373641.9947050079</v>
      </c>
    </row>
    <row r="17" spans="2:8" x14ac:dyDescent="0.35">
      <c r="B17">
        <f t="shared" si="1"/>
        <v>26470092.182435963</v>
      </c>
      <c r="C17">
        <v>34</v>
      </c>
      <c r="G17">
        <v>2036</v>
      </c>
      <c r="H17">
        <f t="shared" si="0"/>
        <v>2602324.0944402581</v>
      </c>
    </row>
    <row r="18" spans="2:8" x14ac:dyDescent="0.35">
      <c r="B18">
        <f t="shared" si="1"/>
        <v>26734793.104260322</v>
      </c>
      <c r="C18">
        <v>35</v>
      </c>
      <c r="D18" t="s">
        <v>51</v>
      </c>
      <c r="G18">
        <v>2037</v>
      </c>
      <c r="H18">
        <f t="shared" si="0"/>
        <v>2842440.299162271</v>
      </c>
    </row>
    <row r="19" spans="2:8" x14ac:dyDescent="0.35">
      <c r="B19">
        <f t="shared" si="1"/>
        <v>27002141.035302926</v>
      </c>
      <c r="C19">
        <v>36</v>
      </c>
      <c r="G19">
        <v>2038</v>
      </c>
      <c r="H19">
        <f t="shared" si="0"/>
        <v>3094562.3141203844</v>
      </c>
    </row>
    <row r="20" spans="2:8" x14ac:dyDescent="0.35">
      <c r="B20">
        <f t="shared" si="1"/>
        <v>27272162.445655957</v>
      </c>
      <c r="C20">
        <v>37</v>
      </c>
      <c r="G20">
        <v>2039</v>
      </c>
      <c r="H20">
        <f t="shared" si="0"/>
        <v>3359290.4298264035</v>
      </c>
    </row>
    <row r="21" spans="2:8" x14ac:dyDescent="0.35">
      <c r="B21">
        <f t="shared" si="1"/>
        <v>27544884.070112515</v>
      </c>
      <c r="C21">
        <v>38</v>
      </c>
      <c r="G21">
        <v>2040</v>
      </c>
      <c r="H21">
        <f t="shared" si="0"/>
        <v>3637254.9513177238</v>
      </c>
    </row>
    <row r="22" spans="2:8" x14ac:dyDescent="0.35">
      <c r="B22">
        <f t="shared" si="1"/>
        <v>27820332.910813641</v>
      </c>
      <c r="C22">
        <v>39</v>
      </c>
      <c r="G22">
        <v>2041</v>
      </c>
      <c r="H22">
        <f t="shared" si="0"/>
        <v>3929117.6988836098</v>
      </c>
    </row>
    <row r="23" spans="2:8" x14ac:dyDescent="0.35">
      <c r="B23">
        <f t="shared" si="1"/>
        <v>28098536.239921778</v>
      </c>
      <c r="C23">
        <v>40</v>
      </c>
      <c r="D23" t="s">
        <v>52</v>
      </c>
      <c r="G23">
        <v>2042</v>
      </c>
      <c r="H23">
        <f t="shared" si="0"/>
        <v>4235573.5838277899</v>
      </c>
    </row>
    <row r="24" spans="2:8" x14ac:dyDescent="0.35">
      <c r="B24">
        <f t="shared" si="1"/>
        <v>28379521.602320995</v>
      </c>
      <c r="C24">
        <v>41</v>
      </c>
      <c r="G24">
        <v>2043</v>
      </c>
      <c r="H24">
        <f t="shared" si="0"/>
        <v>4557352.263019179</v>
      </c>
    </row>
    <row r="25" spans="2:8" x14ac:dyDescent="0.35">
      <c r="B25">
        <f t="shared" si="1"/>
        <v>28663316.818344206</v>
      </c>
      <c r="C25">
        <v>42</v>
      </c>
      <c r="G25">
        <v>2044</v>
      </c>
      <c r="H25">
        <f t="shared" si="0"/>
        <v>4895219.8761701379</v>
      </c>
    </row>
    <row r="26" spans="2:8" x14ac:dyDescent="0.35">
      <c r="B26">
        <f t="shared" si="1"/>
        <v>28949949.986527648</v>
      </c>
      <c r="C26">
        <v>43</v>
      </c>
      <c r="G26">
        <v>2045</v>
      </c>
      <c r="H26">
        <f t="shared" si="0"/>
        <v>5249980.8699786449</v>
      </c>
    </row>
    <row r="27" spans="2:8" x14ac:dyDescent="0.35">
      <c r="B27">
        <f t="shared" si="1"/>
        <v>29239449.486392923</v>
      </c>
      <c r="C27">
        <v>44</v>
      </c>
      <c r="G27">
        <v>2046</v>
      </c>
      <c r="H27">
        <f t="shared" si="0"/>
        <v>5622479.9134775773</v>
      </c>
    </row>
    <row r="28" spans="2:8" x14ac:dyDescent="0.35">
      <c r="B28">
        <f t="shared" si="1"/>
        <v>29531843.98125685</v>
      </c>
      <c r="C28">
        <v>45</v>
      </c>
      <c r="D28" t="s">
        <v>53</v>
      </c>
      <c r="G28">
        <v>2047</v>
      </c>
      <c r="H28">
        <f t="shared" si="0"/>
        <v>6013603.9091514563</v>
      </c>
    </row>
    <row r="29" spans="2:8" x14ac:dyDescent="0.35">
      <c r="B29">
        <f t="shared" si="1"/>
        <v>29827162.421069417</v>
      </c>
      <c r="C29">
        <v>46</v>
      </c>
      <c r="G29">
        <v>2048</v>
      </c>
      <c r="H29">
        <f t="shared" si="0"/>
        <v>6424284.1046090294</v>
      </c>
    </row>
    <row r="30" spans="2:8" x14ac:dyDescent="0.35">
      <c r="B30">
        <f t="shared" si="1"/>
        <v>30125434.04528011</v>
      </c>
      <c r="C30">
        <v>47</v>
      </c>
      <c r="G30">
        <v>2049</v>
      </c>
      <c r="H30">
        <f t="shared" si="0"/>
        <v>6855498.3098394806</v>
      </c>
    </row>
    <row r="31" spans="2:8" x14ac:dyDescent="0.35">
      <c r="B31">
        <f t="shared" si="1"/>
        <v>30426688.385732912</v>
      </c>
      <c r="C31">
        <v>48</v>
      </c>
      <c r="G31">
        <v>2050</v>
      </c>
      <c r="H31">
        <f t="shared" si="0"/>
        <v>7308273.2253314545</v>
      </c>
    </row>
    <row r="32" spans="2:8" x14ac:dyDescent="0.35">
      <c r="B32">
        <f t="shared" si="1"/>
        <v>30730955.26959024</v>
      </c>
      <c r="C32">
        <v>49</v>
      </c>
      <c r="G32">
        <v>2051</v>
      </c>
      <c r="H32">
        <f t="shared" si="0"/>
        <v>7783686.8865980273</v>
      </c>
    </row>
    <row r="33" spans="2:8" x14ac:dyDescent="0.35">
      <c r="B33">
        <f t="shared" si="1"/>
        <v>31038264.822286144</v>
      </c>
      <c r="C33">
        <v>50</v>
      </c>
      <c r="D33" t="s">
        <v>54</v>
      </c>
      <c r="G33">
        <v>2052</v>
      </c>
      <c r="H33">
        <f t="shared" si="0"/>
        <v>8282871.2309279284</v>
      </c>
    </row>
    <row r="34" spans="2:8" x14ac:dyDescent="0.35">
      <c r="B34">
        <f t="shared" si="1"/>
        <v>31348647.470509004</v>
      </c>
      <c r="C34">
        <v>51</v>
      </c>
      <c r="G34">
        <v>2053</v>
      </c>
      <c r="H34">
        <f t="shared" si="0"/>
        <v>8807014.7924743257</v>
      </c>
    </row>
    <row r="35" spans="2:8" x14ac:dyDescent="0.35">
      <c r="B35">
        <f t="shared" si="1"/>
        <v>31662133.945214093</v>
      </c>
      <c r="C35">
        <v>52</v>
      </c>
      <c r="G35">
        <v>2054</v>
      </c>
      <c r="H35">
        <f t="shared" si="0"/>
        <v>9357365.5320980418</v>
      </c>
    </row>
    <row r="36" spans="2:8" x14ac:dyDescent="0.35">
      <c r="B36">
        <f t="shared" si="1"/>
        <v>31978755.284666233</v>
      </c>
      <c r="C36">
        <v>53</v>
      </c>
      <c r="G36">
        <v>2055</v>
      </c>
      <c r="H36">
        <f t="shared" si="0"/>
        <v>9935233.8087029438</v>
      </c>
    </row>
    <row r="37" spans="2:8" x14ac:dyDescent="0.35">
      <c r="B37">
        <f t="shared" si="1"/>
        <v>32298542.837512895</v>
      </c>
      <c r="C37">
        <v>54</v>
      </c>
      <c r="G37">
        <v>2056</v>
      </c>
      <c r="H37">
        <f t="shared" si="0"/>
        <v>10541995.499138091</v>
      </c>
    </row>
    <row r="38" spans="2:8" x14ac:dyDescent="0.35">
      <c r="B38">
        <f t="shared" si="1"/>
        <v>32621528.265888024</v>
      </c>
      <c r="C38">
        <v>55</v>
      </c>
      <c r="D38" t="s">
        <v>55</v>
      </c>
      <c r="G38">
        <v>2057</v>
      </c>
      <c r="H38">
        <f t="shared" si="0"/>
        <v>11179095.274094995</v>
      </c>
    </row>
    <row r="39" spans="2:8" x14ac:dyDescent="0.35">
      <c r="B39">
        <f t="shared" si="1"/>
        <v>32947743.548546903</v>
      </c>
      <c r="C39">
        <v>56</v>
      </c>
      <c r="G39">
        <v>2058</v>
      </c>
      <c r="H39">
        <f t="shared" si="0"/>
        <v>11848050.037799746</v>
      </c>
    </row>
    <row r="40" spans="2:8" x14ac:dyDescent="0.35">
      <c r="B40">
        <f t="shared" si="1"/>
        <v>33277220.98403237</v>
      </c>
      <c r="C40">
        <v>57</v>
      </c>
      <c r="G40">
        <v>2059</v>
      </c>
      <c r="H40">
        <f t="shared" si="0"/>
        <v>12550452.539689733</v>
      </c>
    </row>
    <row r="41" spans="2:8" x14ac:dyDescent="0.35">
      <c r="B41">
        <f t="shared" si="1"/>
        <v>33609993.19387269</v>
      </c>
      <c r="C41">
        <v>58</v>
      </c>
      <c r="G41">
        <v>2060</v>
      </c>
      <c r="H41">
        <f t="shared" si="0"/>
        <v>13287975.166674219</v>
      </c>
    </row>
    <row r="42" spans="2:8" x14ac:dyDescent="0.35">
      <c r="B42">
        <f t="shared" si="1"/>
        <v>33946093.12581142</v>
      </c>
      <c r="C42">
        <v>59</v>
      </c>
      <c r="G42">
        <v>2061</v>
      </c>
      <c r="H42">
        <f t="shared" si="0"/>
        <v>14062373.92500793</v>
      </c>
    </row>
    <row r="43" spans="2:8" x14ac:dyDescent="0.35">
      <c r="B43">
        <f t="shared" si="1"/>
        <v>34285554.057069533</v>
      </c>
      <c r="C43">
        <v>60</v>
      </c>
      <c r="D43" t="s">
        <v>56</v>
      </c>
      <c r="G43">
        <v>2062</v>
      </c>
      <c r="H43">
        <f t="shared" si="0"/>
        <v>14875492.621258326</v>
      </c>
    </row>
    <row r="44" spans="2:8" x14ac:dyDescent="0.35">
      <c r="B44">
        <f t="shared" si="1"/>
        <v>34628409.597640231</v>
      </c>
      <c r="C44">
        <v>61</v>
      </c>
      <c r="G44">
        <v>2063</v>
      </c>
      <c r="H44">
        <f t="shared" si="0"/>
        <v>15729267.252321241</v>
      </c>
    </row>
    <row r="45" spans="2:8" x14ac:dyDescent="0.35">
      <c r="B45">
        <f t="shared" si="1"/>
        <v>34974693.693616636</v>
      </c>
      <c r="C45">
        <v>62</v>
      </c>
      <c r="G45" s="3">
        <v>2064</v>
      </c>
      <c r="H45" s="7">
        <f t="shared" si="0"/>
        <v>16625730.614937304</v>
      </c>
    </row>
    <row r="46" spans="2:8" x14ac:dyDescent="0.35">
      <c r="B46">
        <f t="shared" si="1"/>
        <v>35324440.630552806</v>
      </c>
      <c r="C46">
        <v>63</v>
      </c>
    </row>
    <row r="47" spans="2:8" x14ac:dyDescent="0.35">
      <c r="B47" s="8">
        <f t="shared" si="1"/>
        <v>35677685.036858335</v>
      </c>
      <c r="C47" s="3">
        <v>64</v>
      </c>
      <c r="D47" s="3" t="s">
        <v>57</v>
      </c>
      <c r="G47" s="3" t="s">
        <v>63</v>
      </c>
      <c r="H47" s="5"/>
    </row>
    <row r="49" spans="4:4" x14ac:dyDescent="0.35">
      <c r="D49" s="3" t="s">
        <v>58</v>
      </c>
    </row>
    <row r="50" spans="4:4" x14ac:dyDescent="0.35">
      <c r="D50" s="6">
        <f>B47*4</f>
        <v>142710740.14743334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</vt:lpstr>
      <vt:lpstr>ENTRADAS</vt:lpstr>
      <vt:lpstr>WISHLIST</vt:lpstr>
      <vt:lpstr>DETALLES</vt:lpstr>
      <vt:lpstr>PILOT F</vt:lpstr>
      <vt:lpstr>PENSION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2021-07-10T02:06:17Z</dcterms:created>
  <dcterms:modified xsi:type="dcterms:W3CDTF">2022-03-27T19:10:16Z</dcterms:modified>
</cp:coreProperties>
</file>