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Studium\PhysikBachelor\PAP2\PAP2.1\Protokolle\"/>
    </mc:Choice>
  </mc:AlternateContent>
  <xr:revisionPtr revIDLastSave="0" documentId="13_ncr:1_{9D1C43BF-9000-4082-9BB3-6F2847AE7B72}" xr6:coauthVersionLast="47" xr6:coauthVersionMax="47" xr10:uidLastSave="{00000000-0000-0000-0000-000000000000}"/>
  <bookViews>
    <workbookView xWindow="-120" yWindow="-120" windowWidth="29040" windowHeight="15840" xr2:uid="{7E62F474-81D6-400F-81D4-EC4E8B1BCD98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5" i="1" l="1"/>
  <c r="G45" i="1"/>
  <c r="H45" i="1"/>
  <c r="I45" i="1"/>
  <c r="J45" i="1" s="1"/>
  <c r="K45" i="1" s="1"/>
  <c r="E45" i="1"/>
  <c r="F44" i="1"/>
  <c r="F47" i="1" s="1"/>
  <c r="G44" i="1"/>
  <c r="G47" i="1" s="1"/>
  <c r="G50" i="1" s="1"/>
  <c r="H44" i="1"/>
  <c r="H47" i="1" s="1"/>
  <c r="H50" i="1" s="1"/>
  <c r="E44" i="1"/>
  <c r="E47" i="1" s="1"/>
  <c r="E50" i="1" s="1"/>
  <c r="D47" i="1"/>
  <c r="D50" i="1" s="1"/>
  <c r="E27" i="4"/>
  <c r="E24" i="4"/>
  <c r="E23" i="4"/>
  <c r="E29" i="4" s="1"/>
  <c r="E32" i="4" s="1"/>
  <c r="K21" i="1"/>
  <c r="K27" i="1" s="1"/>
  <c r="K33" i="1" s="1"/>
  <c r="E36" i="1"/>
  <c r="F36" i="1"/>
  <c r="G36" i="1"/>
  <c r="H36" i="1"/>
  <c r="I36" i="1"/>
  <c r="J36" i="1"/>
  <c r="K36" i="1"/>
  <c r="D36" i="1"/>
  <c r="G12" i="1"/>
  <c r="J12" i="1"/>
  <c r="E10" i="1"/>
  <c r="E12" i="1" s="1"/>
  <c r="F10" i="1"/>
  <c r="F37" i="1" s="1"/>
  <c r="G10" i="1"/>
  <c r="G37" i="1" s="1"/>
  <c r="H10" i="1"/>
  <c r="H37" i="1" s="1"/>
  <c r="I10" i="1"/>
  <c r="I37" i="1" s="1"/>
  <c r="J10" i="1"/>
  <c r="J37" i="1" s="1"/>
  <c r="K10" i="1"/>
  <c r="K12" i="1" s="1"/>
  <c r="D10" i="1"/>
  <c r="D37" i="1" s="1"/>
  <c r="E11" i="1"/>
  <c r="F11" i="1"/>
  <c r="F12" i="1" s="1"/>
  <c r="G11" i="1"/>
  <c r="H11" i="1"/>
  <c r="H12" i="1" s="1"/>
  <c r="I11" i="1"/>
  <c r="I12" i="1" s="1"/>
  <c r="J11" i="1"/>
  <c r="K11" i="1"/>
  <c r="D11" i="1"/>
  <c r="D12" i="1" s="1"/>
  <c r="E22" i="1"/>
  <c r="F22" i="1"/>
  <c r="G22" i="1"/>
  <c r="H22" i="1"/>
  <c r="H28" i="1" s="1"/>
  <c r="H34" i="1" s="1"/>
  <c r="I22" i="1"/>
  <c r="J22" i="1"/>
  <c r="K22" i="1"/>
  <c r="D22" i="1"/>
  <c r="E21" i="1"/>
  <c r="E27" i="1" s="1"/>
  <c r="E38" i="1" s="1"/>
  <c r="E41" i="1" s="1"/>
  <c r="F21" i="1"/>
  <c r="F27" i="1" s="1"/>
  <c r="F38" i="1" s="1"/>
  <c r="F41" i="1" s="1"/>
  <c r="G21" i="1"/>
  <c r="G27" i="1" s="1"/>
  <c r="G38" i="1" s="1"/>
  <c r="G41" i="1" s="1"/>
  <c r="H21" i="1"/>
  <c r="H27" i="1" s="1"/>
  <c r="H33" i="1" s="1"/>
  <c r="I21" i="1"/>
  <c r="I27" i="1" s="1"/>
  <c r="I33" i="1" s="1"/>
  <c r="J21" i="1"/>
  <c r="J27" i="1" s="1"/>
  <c r="J38" i="1" s="1"/>
  <c r="J41" i="1" s="1"/>
  <c r="D21" i="1"/>
  <c r="D27" i="1" s="1"/>
  <c r="D38" i="1" s="1"/>
  <c r="D41" i="1" s="1"/>
  <c r="I44" i="1" l="1"/>
  <c r="J44" i="1" s="1"/>
  <c r="K44" i="1"/>
  <c r="K47" i="1" s="1"/>
  <c r="K53" i="1" s="1"/>
  <c r="J47" i="1"/>
  <c r="J53" i="1" s="1"/>
  <c r="I47" i="1"/>
  <c r="I50" i="1" s="1"/>
  <c r="I56" i="1" s="1"/>
  <c r="D56" i="1"/>
  <c r="G33" i="1"/>
  <c r="I38" i="1"/>
  <c r="I41" i="1" s="1"/>
  <c r="H38" i="1"/>
  <c r="H41" i="1" s="1"/>
  <c r="D33" i="1"/>
  <c r="F33" i="1"/>
  <c r="E56" i="1"/>
  <c r="E33" i="1"/>
  <c r="K37" i="1"/>
  <c r="E37" i="1"/>
  <c r="K50" i="1"/>
  <c r="K56" i="1" s="1"/>
  <c r="J33" i="1"/>
  <c r="H56" i="1"/>
  <c r="F53" i="1"/>
  <c r="G56" i="1"/>
  <c r="E53" i="1"/>
  <c r="F50" i="1"/>
  <c r="F56" i="1" s="1"/>
  <c r="H53" i="1"/>
  <c r="G53" i="1"/>
  <c r="D53" i="1"/>
  <c r="E34" i="4"/>
  <c r="E30" i="4"/>
  <c r="K38" i="1"/>
  <c r="K41" i="1" s="1"/>
  <c r="E28" i="1"/>
  <c r="K28" i="1"/>
  <c r="K34" i="1" s="1"/>
  <c r="G28" i="1"/>
  <c r="D28" i="1"/>
  <c r="F28" i="1"/>
  <c r="I28" i="1"/>
  <c r="J28" i="1"/>
  <c r="J50" i="1" l="1"/>
  <c r="J56" i="1" s="1"/>
  <c r="I53" i="1"/>
  <c r="H39" i="1"/>
  <c r="H42" i="1" s="1"/>
  <c r="J34" i="1"/>
  <c r="J39" i="1"/>
  <c r="J42" i="1" s="1"/>
  <c r="D39" i="1"/>
  <c r="D42" i="1" s="1"/>
  <c r="D34" i="1"/>
  <c r="G34" i="1"/>
  <c r="G39" i="1"/>
  <c r="G42" i="1" s="1"/>
  <c r="I34" i="1"/>
  <c r="I39" i="1"/>
  <c r="I42" i="1" s="1"/>
  <c r="E34" i="1"/>
  <c r="E39" i="1"/>
  <c r="E42" i="1" s="1"/>
  <c r="F34" i="1"/>
  <c r="F39" i="1"/>
  <c r="F42" i="1" s="1"/>
  <c r="K39" i="1"/>
  <c r="K42" i="1" s="1"/>
  <c r="D45" i="1" l="1"/>
  <c r="F48" i="1" s="1"/>
  <c r="F51" i="1" s="1"/>
  <c r="G48" i="1" l="1"/>
  <c r="G51" i="1" s="1"/>
  <c r="D48" i="1"/>
  <c r="E35" i="4" s="1"/>
  <c r="E36" i="4" s="1"/>
  <c r="E48" i="1"/>
  <c r="E51" i="1" s="1"/>
  <c r="K48" i="1"/>
  <c r="K51" i="1" s="1"/>
  <c r="J48" i="1"/>
  <c r="J51" i="1" s="1"/>
  <c r="H48" i="1"/>
  <c r="H51" i="1" s="1"/>
  <c r="I48" i="1"/>
  <c r="I51" i="1" s="1"/>
  <c r="D51" i="1"/>
</calcChain>
</file>

<file path=xl/sharedStrings.xml><?xml version="1.0" encoding="utf-8"?>
<sst xmlns="http://schemas.openxmlformats.org/spreadsheetml/2006/main" count="84" uniqueCount="72">
  <si>
    <t>Kugeln i</t>
  </si>
  <si>
    <t>Korrekturfaktor Lambda:</t>
  </si>
  <si>
    <t>Delta Lambda:</t>
  </si>
  <si>
    <t>Aus Anhang</t>
  </si>
  <si>
    <t>Messung</t>
  </si>
  <si>
    <t>Messung/Skript</t>
  </si>
  <si>
    <t>Messung und Anhang</t>
  </si>
  <si>
    <t>Re</t>
  </si>
  <si>
    <t>v/v_lam</t>
  </si>
  <si>
    <t>Delta Re</t>
  </si>
  <si>
    <t>Delta v/v_lam</t>
  </si>
  <si>
    <t>Da Re abgeschätzt wird</t>
  </si>
  <si>
    <t>"=dV/dt"</t>
  </si>
  <si>
    <t>Re_Kapillar:</t>
  </si>
  <si>
    <t>&lt;2300</t>
  </si>
  <si>
    <t>Vergleich Viskositäten:</t>
  </si>
  <si>
    <t>Radien r_i [m]:</t>
  </si>
  <si>
    <t>Delta r_i [m]:</t>
  </si>
  <si>
    <t>Delta (r_i)^2 [m^2]:</t>
  </si>
  <si>
    <t>(r_i)^2 [m^2]:</t>
  </si>
  <si>
    <t>Fallstrecke s_i [m]:</t>
  </si>
  <si>
    <t>Delta s [m]:</t>
  </si>
  <si>
    <t>Delta t [s]:</t>
  </si>
  <si>
    <t>Fallzeiten t_i [s]:</t>
  </si>
  <si>
    <t>Mittelwert t_i [s]:</t>
  </si>
  <si>
    <t>Standartabweichung t_i [s]:</t>
  </si>
  <si>
    <t>Dichte Kugeln rho_k_i [kg/m^3]:</t>
  </si>
  <si>
    <t>Delta rho_k [kg/m^3]:</t>
  </si>
  <si>
    <t>Delta rho_f [kg/m^3]:</t>
  </si>
  <si>
    <t>Innendurchmesser R (Fehlerlos) [m]:</t>
  </si>
  <si>
    <t>Ortsfaktor Erde g [m/s^2]:</t>
  </si>
  <si>
    <t>Fallgeschwindigkeiten v_i [m/s]:</t>
  </si>
  <si>
    <t>Delta v_i [m/s]:</t>
  </si>
  <si>
    <t>v_i_korrigiert [m/s]:</t>
  </si>
  <si>
    <t>delta v_i_korrigiert [m/s]:</t>
  </si>
  <si>
    <t>Delta y_korrigiert [m^4/s*kg]:</t>
  </si>
  <si>
    <t>y_korrigiert [m^4/s*kg]:</t>
  </si>
  <si>
    <t>q_lin_korr [m^2/kg*s]:</t>
  </si>
  <si>
    <t>Delta q_lin_korr [m^2/kg*s]:</t>
  </si>
  <si>
    <t>Viskosität Eta_s [kg/m*s]:</t>
  </si>
  <si>
    <t>Delta Eta_s [kg/m*s]:</t>
  </si>
  <si>
    <t>Viskosität eta_hp [kg/m*s]:</t>
  </si>
  <si>
    <t>Delta eta_hp [kg/m*s]:</t>
  </si>
  <si>
    <t>eta_s [kg/m*s]:</t>
  </si>
  <si>
    <t>Delta eta_s [kg/m*s]:</t>
  </si>
  <si>
    <t>Diagramm</t>
  </si>
  <si>
    <t>v_lam [m/s]:</t>
  </si>
  <si>
    <t>Delta v_lam [m/s]:</t>
  </si>
  <si>
    <t>Zeit t [s]:</t>
  </si>
  <si>
    <t>Volumen V [m^3]:</t>
  </si>
  <si>
    <t>Delta V [m^3]:</t>
  </si>
  <si>
    <t>Kapillarradius R [m]:</t>
  </si>
  <si>
    <t>Delta R [m]:</t>
  </si>
  <si>
    <t>Kapillarlänge L [m]:</t>
  </si>
  <si>
    <t>Delta L [m]:</t>
  </si>
  <si>
    <t>h_quer [m]:</t>
  </si>
  <si>
    <t>Delta h_quer [m]:</t>
  </si>
  <si>
    <t>h_A [m]:</t>
  </si>
  <si>
    <t>h_E [m]:</t>
  </si>
  <si>
    <t>delta h_A [m]:</t>
  </si>
  <si>
    <t>delta h_E [m]:</t>
  </si>
  <si>
    <t>Ortsfaktor Erde [m/s^2]:</t>
  </si>
  <si>
    <t>q_A [m^3/s]:</t>
  </si>
  <si>
    <t>delta q_A [m^3/s]:</t>
  </si>
  <si>
    <t>Am Besten für eigenen Graph anpassen</t>
  </si>
  <si>
    <t>Aus Diagramm (Muss Aktiv erneut berechnet werden (Sheet 2))</t>
  </si>
  <si>
    <t>Neu errechnen!</t>
  </si>
  <si>
    <t>y_i [m^4/s*kg]:</t>
  </si>
  <si>
    <t>Delta y_i [m^4/s*kg]:</t>
  </si>
  <si>
    <t>Dichte rho_f bei T=_____ [kg/m^3]:</t>
  </si>
  <si>
    <t>Dichte rho_f bei T=____°C [kg/m^3]:</t>
  </si>
  <si>
    <t>Skript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</si>
</sst>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3" borderId="0" xfId="0" applyFill="1"/>
    <xf numFmtId="0" fontId="0" fillId="0" borderId="0" xfId="0" applyNumberFormat="1" applyFill="1" applyBorder="1"/>
    <xf numFmtId="0" fontId="3" fillId="3" borderId="0" xfId="0" applyNumberFormat="1" applyFont="1" applyFill="1"/>
    <xf numFmtId="0" fontId="0" fillId="3" borderId="0" xfId="0" applyNumberFormat="1" applyFill="1"/>
    <xf numFmtId="0" fontId="0" fillId="0" borderId="0" xfId="0" applyNumberFormat="1" applyFill="1"/>
    <xf numFmtId="0" fontId="0" fillId="0" borderId="0" xfId="0" applyFill="1"/>
    <xf numFmtId="164" fontId="0" fillId="2" borderId="0" xfId="0" applyNumberFormat="1" applyFill="1" applyBorder="1"/>
    <xf numFmtId="164" fontId="0" fillId="0" borderId="0" xfId="0" applyNumberFormat="1" applyFill="1" applyBorder="1"/>
    <xf numFmtId="164" fontId="2" fillId="0" borderId="0" xfId="0" applyNumberFormat="1" applyFont="1" applyFill="1" applyBorder="1"/>
    <xf numFmtId="0" fontId="4" fillId="0" borderId="0" xfId="0" applyFont="1"/>
    <xf numFmtId="164" fontId="0" fillId="2" borderId="4" xfId="0" applyNumberFormat="1" applyFill="1" applyBorder="1"/>
    <xf numFmtId="164" fontId="0" fillId="0" borderId="4" xfId="0" applyNumberFormat="1" applyFill="1" applyBorder="1"/>
    <xf numFmtId="164" fontId="0" fillId="0" borderId="0" xfId="0" applyNumberFormat="1" applyBorder="1"/>
    <xf numFmtId="164" fontId="0" fillId="0" borderId="4" xfId="0" applyNumberFormat="1" applyBorder="1"/>
    <xf numFmtId="164" fontId="0" fillId="4" borderId="0" xfId="0" applyNumberFormat="1" applyFill="1" applyBorder="1"/>
    <xf numFmtId="164" fontId="0" fillId="4" borderId="4" xfId="0" applyNumberFormat="1" applyFill="1" applyBorder="1"/>
    <xf numFmtId="164" fontId="0" fillId="4" borderId="5" xfId="0" applyNumberFormat="1" applyFill="1" applyBorder="1"/>
    <xf numFmtId="164" fontId="0" fillId="4" borderId="6" xfId="0" applyNumberFormat="1" applyFill="1" applyBorder="1"/>
    <xf numFmtId="164" fontId="0" fillId="2" borderId="8" xfId="0" applyNumberFormat="1" applyFill="1" applyBorder="1"/>
    <xf numFmtId="164" fontId="0" fillId="0" borderId="8" xfId="0" applyNumberFormat="1" applyFill="1" applyBorder="1"/>
    <xf numFmtId="164" fontId="0" fillId="0" borderId="8" xfId="0" applyNumberFormat="1" applyBorder="1"/>
    <xf numFmtId="164" fontId="0" fillId="0" borderId="9" xfId="0" applyNumberFormat="1" applyBorder="1"/>
    <xf numFmtId="0" fontId="3" fillId="3" borderId="0" xfId="0" applyFont="1" applyFill="1"/>
    <xf numFmtId="164" fontId="0" fillId="5" borderId="0" xfId="0" applyNumberFormat="1" applyFill="1" applyBorder="1"/>
    <xf numFmtId="164" fontId="0" fillId="5" borderId="4" xfId="0" applyNumberFormat="1" applyFill="1" applyBorder="1"/>
    <xf numFmtId="0" fontId="0" fillId="0" borderId="0" xfId="0" applyBorder="1"/>
    <xf numFmtId="0" fontId="0" fillId="0" borderId="4" xfId="0" applyBorder="1"/>
    <xf numFmtId="0" fontId="0" fillId="0" borderId="8" xfId="0" applyBorder="1"/>
    <xf numFmtId="164" fontId="0" fillId="5" borderId="0" xfId="0" applyNumberFormat="1" applyFill="1"/>
    <xf numFmtId="164" fontId="0" fillId="6" borderId="0" xfId="0" applyNumberFormat="1" applyFill="1"/>
    <xf numFmtId="0" fontId="0" fillId="5" borderId="4" xfId="0" applyFill="1" applyBorder="1"/>
    <xf numFmtId="0" fontId="0" fillId="6" borderId="4" xfId="0" applyFill="1" applyBorder="1"/>
    <xf numFmtId="164" fontId="0" fillId="5" borderId="8" xfId="0" applyNumberFormat="1" applyFill="1" applyBorder="1"/>
    <xf numFmtId="0" fontId="0" fillId="6" borderId="6" xfId="0" applyFill="1" applyBorder="1"/>
    <xf numFmtId="164" fontId="0" fillId="6" borderId="5" xfId="0" applyNumberFormat="1" applyFill="1" applyBorder="1"/>
    <xf numFmtId="0" fontId="0" fillId="5" borderId="6" xfId="0" applyFill="1" applyBorder="1"/>
    <xf numFmtId="164" fontId="0" fillId="5" borderId="5" xfId="0" applyNumberFormat="1" applyFill="1" applyBorder="1"/>
    <xf numFmtId="0" fontId="0" fillId="5" borderId="11" xfId="0" applyFill="1" applyBorder="1"/>
    <xf numFmtId="164" fontId="0" fillId="5" borderId="10" xfId="0" applyNumberFormat="1" applyFill="1" applyBorder="1"/>
    <xf numFmtId="164" fontId="0" fillId="5" borderId="6" xfId="0" applyNumberFormat="1" applyFill="1" applyBorder="1"/>
    <xf numFmtId="164" fontId="0" fillId="6" borderId="4" xfId="0" applyNumberFormat="1" applyFill="1" applyBorder="1"/>
    <xf numFmtId="164" fontId="0" fillId="6" borderId="6" xfId="0" applyNumberFormat="1" applyFill="1" applyBorder="1"/>
    <xf numFmtId="11" fontId="0" fillId="6" borderId="4" xfId="0" applyNumberFormat="1" applyFill="1" applyBorder="1"/>
    <xf numFmtId="164" fontId="0" fillId="7" borderId="0" xfId="0" applyNumberFormat="1" applyFill="1" applyBorder="1"/>
    <xf numFmtId="164" fontId="0" fillId="7" borderId="4" xfId="0" applyNumberFormat="1" applyFill="1" applyBorder="1"/>
    <xf numFmtId="164" fontId="0" fillId="7" borderId="8" xfId="0" applyNumberFormat="1" applyFill="1" applyBorder="1"/>
    <xf numFmtId="164" fontId="2" fillId="5" borderId="0" xfId="0" applyNumberFormat="1" applyFont="1" applyFill="1" applyBorder="1"/>
    <xf numFmtId="164" fontId="0" fillId="0" borderId="7" xfId="0" applyNumberFormat="1" applyFill="1" applyBorder="1"/>
    <xf numFmtId="164" fontId="0" fillId="0" borderId="2" xfId="0" applyNumberFormat="1" applyFill="1" applyBorder="1"/>
    <xf numFmtId="164" fontId="0" fillId="0" borderId="3" xfId="0" applyNumberFormat="1" applyFill="1" applyBorder="1"/>
    <xf numFmtId="164" fontId="0" fillId="8" borderId="8" xfId="0" applyNumberFormat="1" applyFill="1" applyBorder="1"/>
    <xf numFmtId="0" fontId="0" fillId="0" borderId="0" xfId="0" applyFill="1" applyBorder="1"/>
    <xf numFmtId="164" fontId="0" fillId="9" borderId="8" xfId="0" applyNumberFormat="1" applyFill="1" applyBorder="1"/>
    <xf numFmtId="164" fontId="0" fillId="9" borderId="0" xfId="0" applyNumberFormat="1" applyFill="1" applyBorder="1"/>
    <xf numFmtId="164" fontId="0" fillId="9" borderId="4" xfId="0" applyNumberFormat="1" applyFill="1" applyBorder="1"/>
    <xf numFmtId="164" fontId="0" fillId="10" borderId="8" xfId="0" applyNumberFormat="1" applyFill="1" applyBorder="1"/>
    <xf numFmtId="164" fontId="0" fillId="10" borderId="0" xfId="0" applyNumberFormat="1" applyFill="1" applyBorder="1"/>
    <xf numFmtId="164" fontId="0" fillId="10" borderId="4" xfId="0" applyNumberFormat="1" applyFill="1" applyBorder="1"/>
    <xf numFmtId="164" fontId="0" fillId="11" borderId="8" xfId="0" applyNumberFormat="1" applyFill="1" applyBorder="1"/>
    <xf numFmtId="164" fontId="0" fillId="11" borderId="0" xfId="0" applyNumberFormat="1" applyFill="1" applyBorder="1"/>
    <xf numFmtId="164" fontId="0" fillId="11" borderId="4" xfId="0" applyNumberFormat="1" applyFill="1" applyBorder="1"/>
    <xf numFmtId="0" fontId="0" fillId="11" borderId="1" xfId="0" applyNumberFormat="1" applyFill="1" applyBorder="1"/>
    <xf numFmtId="0" fontId="0" fillId="11" borderId="10" xfId="0" applyNumberFormat="1" applyFill="1" applyBorder="1"/>
    <xf numFmtId="0" fontId="0" fillId="11" borderId="11" xfId="0" applyNumberFormat="1" applyFill="1" applyBorder="1"/>
    <xf numFmtId="0" fontId="3" fillId="0" borderId="0" xfId="0" applyFont="1" applyFill="1"/>
    <xf numFmtId="0" fontId="0" fillId="8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Nicht Korrigiert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9525" cap="rnd" cmpd="sng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forward val="2.0000000000000008E-6"/>
            <c:backward val="5.000000000000003E-7"/>
            <c:dispRSqr val="0"/>
            <c:dispEq val="1"/>
            <c:trendlineLbl>
              <c:layout>
                <c:manualLayout>
                  <c:x val="9.8946103666965893E-2"/>
                  <c:y val="7.6635265109046316E-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q = 7,2537 </a:t>
                    </a:r>
                    <a:r>
                      <a:rPr lang="en-GB" sz="900" b="0" i="0" u="none" strike="noStrike" baseline="0">
                        <a:effectLst/>
                      </a:rPr>
                      <a:t>m^2/kg*s</a:t>
                    </a:r>
                    <a:r>
                      <a:rPr lang="en-GB" sz="900" b="0" i="0" u="none" strike="noStrike" baseline="0"/>
                      <a:t> 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Sheet1!$D$12:$K$12</c:f>
                <c:numCache>
                  <c:formatCode>General</c:formatCode>
                  <c:ptCount val="8"/>
                  <c:pt idx="0">
                    <c:v>2.0000000000000001E-9</c:v>
                  </c:pt>
                  <c:pt idx="1">
                    <c:v>4.5000000000000006E-9</c:v>
                  </c:pt>
                  <c:pt idx="2">
                    <c:v>8.0000000000000005E-9</c:v>
                  </c:pt>
                  <c:pt idx="3">
                    <c:v>1.2500000000000001E-8</c:v>
                  </c:pt>
                  <c:pt idx="4">
                    <c:v>1.8000000000000002E-8</c:v>
                  </c:pt>
                  <c:pt idx="5">
                    <c:v>2.5518368000000002E-8</c:v>
                  </c:pt>
                  <c:pt idx="6">
                    <c:v>3.2000000000000002E-8</c:v>
                  </c:pt>
                  <c:pt idx="7">
                    <c:v>4.0499999999999999E-8</c:v>
                  </c:pt>
                </c:numCache>
              </c:numRef>
            </c:plus>
            <c:minus>
              <c:numRef>
                <c:f>Sheet1!$D$12:$K$12</c:f>
                <c:numCache>
                  <c:formatCode>General</c:formatCode>
                  <c:ptCount val="8"/>
                  <c:pt idx="0">
                    <c:v>2.0000000000000001E-9</c:v>
                  </c:pt>
                  <c:pt idx="1">
                    <c:v>4.5000000000000006E-9</c:v>
                  </c:pt>
                  <c:pt idx="2">
                    <c:v>8.0000000000000005E-9</c:v>
                  </c:pt>
                  <c:pt idx="3">
                    <c:v>1.2500000000000001E-8</c:v>
                  </c:pt>
                  <c:pt idx="4">
                    <c:v>1.8000000000000002E-8</c:v>
                  </c:pt>
                  <c:pt idx="5">
                    <c:v>2.5518368000000002E-8</c:v>
                  </c:pt>
                  <c:pt idx="6">
                    <c:v>3.2000000000000002E-8</c:v>
                  </c:pt>
                  <c:pt idx="7">
                    <c:v>4.0499999999999999E-8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Sheet1!$D$34:$K$34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</c:numCache>
              </c:numRef>
            </c:plus>
            <c:minus>
              <c:numRef>
                <c:f>Sheet1!$D$34:$K$34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xVal>
            <c:numRef>
              <c:f>Sheet1!$D$11:$K$11</c:f>
              <c:numCache>
                <c:formatCode>0.000E+00</c:formatCode>
                <c:ptCount val="8"/>
                <c:pt idx="0">
                  <c:v>9.9999999999999995E-7</c:v>
                </c:pt>
                <c:pt idx="1">
                  <c:v>2.2500000000000001E-6</c:v>
                </c:pt>
                <c:pt idx="2">
                  <c:v>3.9999999999999998E-6</c:v>
                </c:pt>
                <c:pt idx="3">
                  <c:v>6.2500000000000003E-6</c:v>
                </c:pt>
                <c:pt idx="4">
                  <c:v>9.0000000000000002E-6</c:v>
                </c:pt>
                <c:pt idx="5">
                  <c:v>1.2759184000000001E-5</c:v>
                </c:pt>
                <c:pt idx="6">
                  <c:v>1.5999999999999999E-5</c:v>
                </c:pt>
                <c:pt idx="7">
                  <c:v>2.0249999999999998E-5</c:v>
                </c:pt>
              </c:numCache>
            </c:numRef>
          </c:xVal>
          <c:yVal>
            <c:numRef>
              <c:f>Sheet1!$D$33:$K$33</c:f>
              <c:numCache>
                <c:formatCode>0.000E+00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8E-4A7B-A25A-D571FF132076}"/>
            </c:ext>
          </c:extLst>
        </c:ser>
        <c:ser>
          <c:idx val="1"/>
          <c:order val="1"/>
          <c:tx>
            <c:v>Korrigiert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forward val="2.0000000000000008E-6"/>
            <c:backward val="5.000000000000003E-7"/>
            <c:dispRSqr val="0"/>
            <c:dispEq val="1"/>
            <c:trendlineLbl>
              <c:layout>
                <c:manualLayout>
                  <c:x val="0.11755967640398853"/>
                  <c:y val="2.262114944306266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q_korr = 8,2216 </a:t>
                    </a:r>
                    <a:r>
                      <a:rPr lang="en-GB" sz="900" b="0" i="0" u="none" strike="noStrike" baseline="0">
                        <a:effectLst/>
                      </a:rPr>
                      <a:t>m^2/kg*s</a:t>
                    </a:r>
                    <a:r>
                      <a:rPr lang="en-GB" sz="900" b="0" i="0" u="none" strike="noStrike" baseline="0"/>
                      <a:t> 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Sheet1!$D$12:$K$12</c:f>
                <c:numCache>
                  <c:formatCode>General</c:formatCode>
                  <c:ptCount val="8"/>
                  <c:pt idx="0">
                    <c:v>2.0000000000000001E-9</c:v>
                  </c:pt>
                  <c:pt idx="1">
                    <c:v>4.5000000000000006E-9</c:v>
                  </c:pt>
                  <c:pt idx="2">
                    <c:v>8.0000000000000005E-9</c:v>
                  </c:pt>
                  <c:pt idx="3">
                    <c:v>1.2500000000000001E-8</c:v>
                  </c:pt>
                  <c:pt idx="4">
                    <c:v>1.8000000000000002E-8</c:v>
                  </c:pt>
                  <c:pt idx="5">
                    <c:v>2.5518368000000002E-8</c:v>
                  </c:pt>
                  <c:pt idx="6">
                    <c:v>3.2000000000000002E-8</c:v>
                  </c:pt>
                  <c:pt idx="7">
                    <c:v>4.0499999999999999E-8</c:v>
                  </c:pt>
                </c:numCache>
              </c:numRef>
            </c:plus>
            <c:minus>
              <c:numRef>
                <c:f>Sheet1!$D$12:$K$12</c:f>
                <c:numCache>
                  <c:formatCode>General</c:formatCode>
                  <c:ptCount val="8"/>
                  <c:pt idx="0">
                    <c:v>2.0000000000000001E-9</c:v>
                  </c:pt>
                  <c:pt idx="1">
                    <c:v>4.5000000000000006E-9</c:v>
                  </c:pt>
                  <c:pt idx="2">
                    <c:v>8.0000000000000005E-9</c:v>
                  </c:pt>
                  <c:pt idx="3">
                    <c:v>1.2500000000000001E-8</c:v>
                  </c:pt>
                  <c:pt idx="4">
                    <c:v>1.8000000000000002E-8</c:v>
                  </c:pt>
                  <c:pt idx="5">
                    <c:v>2.5518368000000002E-8</c:v>
                  </c:pt>
                  <c:pt idx="6">
                    <c:v>3.2000000000000002E-8</c:v>
                  </c:pt>
                  <c:pt idx="7">
                    <c:v>4.0499999999999999E-8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Sheet1!$D$42:$K$42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</c:numCache>
              </c:numRef>
            </c:plus>
            <c:minus>
              <c:numRef>
                <c:f>Sheet1!$D$42:$K$42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</c:errBars>
          <c:xVal>
            <c:numRef>
              <c:f>Sheet1!$D$11:$K$11</c:f>
              <c:numCache>
                <c:formatCode>0.000E+00</c:formatCode>
                <c:ptCount val="8"/>
                <c:pt idx="0">
                  <c:v>9.9999999999999995E-7</c:v>
                </c:pt>
                <c:pt idx="1">
                  <c:v>2.2500000000000001E-6</c:v>
                </c:pt>
                <c:pt idx="2">
                  <c:v>3.9999999999999998E-6</c:v>
                </c:pt>
                <c:pt idx="3">
                  <c:v>6.2500000000000003E-6</c:v>
                </c:pt>
                <c:pt idx="4">
                  <c:v>9.0000000000000002E-6</c:v>
                </c:pt>
                <c:pt idx="5">
                  <c:v>1.2759184000000001E-5</c:v>
                </c:pt>
                <c:pt idx="6">
                  <c:v>1.5999999999999999E-5</c:v>
                </c:pt>
                <c:pt idx="7">
                  <c:v>2.0249999999999998E-5</c:v>
                </c:pt>
              </c:numCache>
            </c:numRef>
          </c:xVal>
          <c:yVal>
            <c:numRef>
              <c:f>Sheet1!$D$41:$K$41</c:f>
              <c:numCache>
                <c:formatCode>0.000E+00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C8E-4A7B-A25A-D571FF132076}"/>
            </c:ext>
          </c:extLst>
        </c:ser>
        <c:ser>
          <c:idx val="2"/>
          <c:order val="2"/>
          <c:tx>
            <c:v>linearer Teil (Korrigiert)</c:v>
          </c:tx>
          <c:spPr>
            <a:ln w="25400" cap="rnd">
              <a:noFill/>
              <a:round/>
            </a:ln>
            <a:effectLst/>
          </c:spPr>
          <c:marker>
            <c:symbol val="x"/>
            <c:size val="9"/>
            <c:spPr>
              <a:noFill/>
              <a:ln w="15875">
                <a:solidFill>
                  <a:schemeClr val="tx2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2"/>
                </a:solidFill>
                <a:prstDash val="solid"/>
              </a:ln>
              <a:effectLst/>
            </c:spPr>
            <c:trendlineType val="linear"/>
            <c:forward val="9.5000000000000039E-6"/>
            <c:backward val="2.200000000000001E-6"/>
            <c:intercept val="0"/>
            <c:dispRSqr val="0"/>
            <c:dispEq val="1"/>
            <c:trendlineLbl>
              <c:layout>
                <c:manualLayout>
                  <c:x val="0.13065324137891896"/>
                  <c:y val="-9.9318272613631974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q_lin_korr = 8,8464 </a:t>
                    </a:r>
                    <a:r>
                      <a:rPr lang="en-GB" sz="900" b="0" i="0" u="none" strike="noStrike" baseline="0">
                        <a:effectLst/>
                      </a:rPr>
                      <a:t>m^2/kg*s</a:t>
                    </a:r>
                    <a:r>
                      <a:rPr lang="en-GB" sz="900" b="0" i="0" u="none" strike="noStrike" baseline="0"/>
                      <a:t> 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Sheet1!$E$12:$I$12</c:f>
                <c:numCache>
                  <c:formatCode>General</c:formatCode>
                  <c:ptCount val="5"/>
                  <c:pt idx="0">
                    <c:v>4.5000000000000006E-9</c:v>
                  </c:pt>
                  <c:pt idx="1">
                    <c:v>8.0000000000000005E-9</c:v>
                  </c:pt>
                  <c:pt idx="2">
                    <c:v>1.2500000000000001E-8</c:v>
                  </c:pt>
                  <c:pt idx="3">
                    <c:v>1.8000000000000002E-8</c:v>
                  </c:pt>
                  <c:pt idx="4">
                    <c:v>2.5518368000000002E-8</c:v>
                  </c:pt>
                </c:numCache>
              </c:numRef>
            </c:plus>
            <c:minus>
              <c:numRef>
                <c:f>Sheet1!$E$12:$I$12</c:f>
                <c:numCache>
                  <c:formatCode>General</c:formatCode>
                  <c:ptCount val="5"/>
                  <c:pt idx="0">
                    <c:v>4.5000000000000006E-9</c:v>
                  </c:pt>
                  <c:pt idx="1">
                    <c:v>8.0000000000000005E-9</c:v>
                  </c:pt>
                  <c:pt idx="2">
                    <c:v>1.2500000000000001E-8</c:v>
                  </c:pt>
                  <c:pt idx="3">
                    <c:v>1.8000000000000002E-8</c:v>
                  </c:pt>
                  <c:pt idx="4">
                    <c:v>2.5518368000000002E-8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Sheet1!$E$42:$I$42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</c:numCache>
              </c:numRef>
            </c:plus>
            <c:minus>
              <c:numRef>
                <c:f>Sheet1!$E$42:$I$42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</c:errBars>
          <c:xVal>
            <c:numRef>
              <c:f>Sheet1!$E$11:$I$11</c:f>
              <c:numCache>
                <c:formatCode>0.000E+00</c:formatCode>
                <c:ptCount val="5"/>
                <c:pt idx="0">
                  <c:v>2.2500000000000001E-6</c:v>
                </c:pt>
                <c:pt idx="1">
                  <c:v>3.9999999999999998E-6</c:v>
                </c:pt>
                <c:pt idx="2">
                  <c:v>6.2500000000000003E-6</c:v>
                </c:pt>
                <c:pt idx="3">
                  <c:v>9.0000000000000002E-6</c:v>
                </c:pt>
                <c:pt idx="4">
                  <c:v>1.2759184000000001E-5</c:v>
                </c:pt>
              </c:numCache>
            </c:numRef>
          </c:xVal>
          <c:yVal>
            <c:numRef>
              <c:f>Sheet1!$E$41:$I$41</c:f>
              <c:numCache>
                <c:formatCode>0.000E+00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C8E-4A7B-A25A-D571FF1320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194079"/>
        <c:axId val="619194495"/>
      </c:scatterChart>
      <c:valAx>
        <c:axId val="6191940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(r_i)^2 [m^2]</a:t>
                </a:r>
              </a:p>
            </c:rich>
          </c:tx>
          <c:layout>
            <c:manualLayout>
              <c:xMode val="edge"/>
              <c:yMode val="edge"/>
              <c:x val="0.81258322790639237"/>
              <c:y val="0.948511239695692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0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>
            <a:softEdge rad="0"/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19194495"/>
        <c:crosses val="autoZero"/>
        <c:crossBetween val="midCat"/>
      </c:valAx>
      <c:valAx>
        <c:axId val="619194495"/>
        <c:scaling>
          <c:orientation val="minMax"/>
        </c:scaling>
        <c:delete val="0"/>
        <c:axPos val="l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y_i [m^4/s*kg]</a:t>
                </a:r>
              </a:p>
            </c:rich>
          </c:tx>
          <c:layout>
            <c:manualLayout>
              <c:xMode val="edge"/>
              <c:yMode val="edge"/>
              <c:x val="2.7519407003900986E-2"/>
              <c:y val="4.760063748168958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0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191940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066368824537822E-2"/>
          <c:y val="4.2634267490757202E-2"/>
          <c:w val="0.87641416375728654"/>
          <c:h val="0.8796894715337363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</a:ln>
              <a:effectLst/>
            </c:spPr>
          </c:marker>
          <c:xVal>
            <c:numRef>
              <c:f>Sheet1!$D$53:$K$53</c:f>
              <c:numCache>
                <c:formatCode>0.000E+00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Sheet1!$D$56:$K$56</c:f>
              <c:numCache>
                <c:formatCode>0.000E+00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B77-4321-A878-4B314C1BD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3211407"/>
        <c:axId val="188320974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Versuch 2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Sheet1!$D$56:$K$56</c15:sqref>
                        </c15:formulaRef>
                      </c:ext>
                    </c:extLst>
                    <c:numCache>
                      <c:formatCode>0.000E+00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Sheet1!$D$53:$K$53</c15:sqref>
                        </c15:formulaRef>
                      </c:ext>
                    </c:extLst>
                    <c:numCache>
                      <c:formatCode>0.000E+00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E-8B77-4321-A878-4B314C1BD9E7}"/>
                  </c:ext>
                </c:extLst>
              </c15:ser>
            </c15:filteredScatterSeries>
          </c:ext>
        </c:extLst>
      </c:scatterChart>
      <c:valAx>
        <c:axId val="188321140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Reynoldszahl</a:t>
                </a:r>
                <a:r>
                  <a:rPr lang="en-GB" baseline="0"/>
                  <a:t> (logarithmisch)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76249662948587604"/>
              <c:y val="0.916158383427877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000E+00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883209743"/>
        <c:crosses val="autoZero"/>
        <c:crossBetween val="midCat"/>
      </c:valAx>
      <c:valAx>
        <c:axId val="1883209743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 v/v_lam</a:t>
                </a:r>
              </a:p>
            </c:rich>
          </c:tx>
          <c:layout>
            <c:manualLayout>
              <c:xMode val="edge"/>
              <c:yMode val="edge"/>
              <c:x val="7.1706729401520381E-3"/>
              <c:y val="5.536853592225703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000E+00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883211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Durchflussrate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trendline>
            <c:spPr>
              <a:ln w="12700" cap="rnd">
                <a:solidFill>
                  <a:srgbClr val="00B050"/>
                </a:solidFill>
                <a:prstDash val="solid"/>
              </a:ln>
              <a:effectLst/>
            </c:spPr>
            <c:trendlineType val="linear"/>
            <c:forward val="100"/>
            <c:backward val="50"/>
            <c:dispRSqr val="0"/>
            <c:dispEq val="1"/>
            <c:trendlineLbl>
              <c:layout>
                <c:manualLayout>
                  <c:x val="-4.8870906014812148E-3"/>
                  <c:y val="-2.110545005403736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q_A = 3E-08 m^3/s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Sheet4!$E$7:$I$7</c:f>
                <c:numCache>
                  <c:formatCode>General</c:formatCode>
                  <c:ptCount val="5"/>
                </c:numCache>
              </c:numRef>
            </c:plus>
            <c:minus>
              <c:numRef>
                <c:f>Sheet4!$E$7:$I$7</c:f>
                <c:numCache>
                  <c:formatCode>General</c:formatCode>
                  <c:ptCount val="5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Sheet4!$E$9:$I$9</c:f>
                <c:numCache>
                  <c:formatCode>General</c:formatCode>
                  <c:ptCount val="5"/>
                </c:numCache>
              </c:numRef>
            </c:plus>
            <c:minus>
              <c:numRef>
                <c:f>Sheet4!$E$9:$I$9</c:f>
                <c:numCache>
                  <c:formatCode>General</c:formatCode>
                  <c:ptCount val="5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Sheet4!$E$6:$I$6</c:f>
              <c:numCache>
                <c:formatCode>0.000E+00</c:formatCode>
                <c:ptCount val="5"/>
              </c:numCache>
            </c:numRef>
          </c:xVal>
          <c:yVal>
            <c:numRef>
              <c:f>Sheet4!$E$8:$I$8</c:f>
              <c:numCache>
                <c:formatCode>0.000E+00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86-4DA3-A67B-35905C794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1697743"/>
        <c:axId val="1890070863"/>
      </c:scatterChart>
      <c:valAx>
        <c:axId val="2021697743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Zeit</a:t>
                </a:r>
                <a:r>
                  <a:rPr lang="en-GB" baseline="0"/>
                  <a:t> t [s]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00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890070863"/>
        <c:crosses val="autoZero"/>
        <c:crossBetween val="midCat"/>
      </c:valAx>
      <c:valAx>
        <c:axId val="18900708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Volumen V</a:t>
                </a:r>
                <a:r>
                  <a:rPr lang="en-GB" baseline="0"/>
                  <a:t> [m^3]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5.3872040688237345E-2"/>
              <c:y val="5.34430923407301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000E+00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021697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76198</xdr:colOff>
      <xdr:row>2</xdr:row>
      <xdr:rowOff>38100</xdr:rowOff>
    </xdr:from>
    <xdr:to>
      <xdr:col>21</xdr:col>
      <xdr:colOff>571499</xdr:colOff>
      <xdr:row>32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A3C247-A9E4-4414-B00A-E1268CA413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2</xdr:row>
      <xdr:rowOff>38100</xdr:rowOff>
    </xdr:from>
    <xdr:to>
      <xdr:col>19</xdr:col>
      <xdr:colOff>466725</xdr:colOff>
      <xdr:row>30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3401A8-FA30-416A-BA66-FA465DCB57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10</xdr:row>
      <xdr:rowOff>1883</xdr:rowOff>
    </xdr:from>
    <xdr:to>
      <xdr:col>19</xdr:col>
      <xdr:colOff>104775</xdr:colOff>
      <xdr:row>31</xdr:row>
      <xdr:rowOff>1883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ACAF88-1E13-4471-A211-F782AA0ECE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F0969-5235-44EE-BDD9-C87C813F11BC}">
  <dimension ref="B1:Y72"/>
  <sheetViews>
    <sheetView tabSelected="1" workbookViewId="0">
      <selection activeCell="S40" sqref="S40"/>
    </sheetView>
  </sheetViews>
  <sheetFormatPr defaultRowHeight="15" x14ac:dyDescent="0.25"/>
  <cols>
    <col min="3" max="3" width="36.140625" customWidth="1"/>
    <col min="4" max="11" width="12" bestFit="1" customWidth="1"/>
    <col min="13" max="13" width="9.7109375" customWidth="1"/>
    <col min="14" max="14" width="12.42578125" customWidth="1"/>
    <col min="15" max="15" width="10.28515625" bestFit="1" customWidth="1"/>
    <col min="16" max="16" width="10.42578125" customWidth="1"/>
    <col min="17" max="17" width="10.28515625" customWidth="1"/>
    <col min="18" max="18" width="9.85546875" customWidth="1"/>
    <col min="19" max="20" width="10" customWidth="1"/>
    <col min="21" max="21" width="9.7109375" customWidth="1"/>
    <col min="22" max="22" width="9.5703125" customWidth="1"/>
    <col min="23" max="23" width="10" customWidth="1"/>
    <col min="24" max="24" width="10.140625" customWidth="1"/>
  </cols>
  <sheetData>
    <row r="1" spans="2:25" x14ac:dyDescent="0.25">
      <c r="B1" s="3"/>
    </row>
    <row r="2" spans="2:25" x14ac:dyDescent="0.25">
      <c r="B2" s="3"/>
      <c r="C2" s="51" t="s">
        <v>30</v>
      </c>
      <c r="D2" s="52">
        <v>9.81</v>
      </c>
      <c r="E2" s="52">
        <v>9.81</v>
      </c>
      <c r="F2" s="52">
        <v>9.81</v>
      </c>
      <c r="G2" s="52">
        <v>9.81</v>
      </c>
      <c r="H2" s="52">
        <v>9.81</v>
      </c>
      <c r="I2" s="52">
        <v>9.81</v>
      </c>
      <c r="J2" s="52">
        <v>9.81</v>
      </c>
      <c r="K2" s="53">
        <v>9.81</v>
      </c>
      <c r="L2" s="1"/>
      <c r="M2" s="1"/>
    </row>
    <row r="3" spans="2:25" x14ac:dyDescent="0.25">
      <c r="B3" s="3"/>
      <c r="C3" s="56" t="s">
        <v>29</v>
      </c>
      <c r="D3" s="57">
        <v>7.4999999999999997E-2</v>
      </c>
      <c r="E3" s="57">
        <v>7.4999999999999997E-2</v>
      </c>
      <c r="F3" s="57">
        <v>7.4999999999999997E-2</v>
      </c>
      <c r="G3" s="57">
        <v>7.4999999999999997E-2</v>
      </c>
      <c r="H3" s="57">
        <v>7.4999999999999997E-2</v>
      </c>
      <c r="I3" s="57">
        <v>7.4999999999999997E-2</v>
      </c>
      <c r="J3" s="57">
        <v>7.4999999999999997E-2</v>
      </c>
      <c r="K3" s="58">
        <v>7.4999999999999997E-2</v>
      </c>
      <c r="L3" s="1"/>
      <c r="M3" s="4" t="s">
        <v>71</v>
      </c>
      <c r="N3" s="4"/>
      <c r="O3" s="2"/>
      <c r="P3" s="2"/>
      <c r="Q3" s="2"/>
      <c r="R3" s="2"/>
      <c r="S3" s="2"/>
      <c r="T3" s="2"/>
      <c r="U3" s="2"/>
      <c r="V3" s="2"/>
      <c r="W3" s="2"/>
      <c r="X3" s="2"/>
    </row>
    <row r="4" spans="2:25" x14ac:dyDescent="0.25">
      <c r="B4" s="3"/>
      <c r="C4" s="54" t="s">
        <v>69</v>
      </c>
      <c r="D4" s="27"/>
      <c r="E4" s="27"/>
      <c r="F4" s="27"/>
      <c r="G4" s="27"/>
      <c r="H4" s="27"/>
      <c r="I4" s="27"/>
      <c r="J4" s="27"/>
      <c r="K4" s="28"/>
      <c r="L4" s="2"/>
      <c r="M4" s="6" t="s">
        <v>6</v>
      </c>
      <c r="N4" s="7"/>
      <c r="O4" s="2"/>
      <c r="P4" s="2"/>
      <c r="Q4" s="2"/>
      <c r="R4" s="2"/>
      <c r="S4" s="2"/>
      <c r="T4" s="2"/>
      <c r="U4" s="2"/>
      <c r="V4" s="2"/>
      <c r="W4" s="2"/>
      <c r="X4" s="2"/>
    </row>
    <row r="5" spans="2:25" x14ac:dyDescent="0.25">
      <c r="B5" s="3"/>
      <c r="C5" s="49" t="s">
        <v>28</v>
      </c>
      <c r="D5" s="47"/>
      <c r="E5" s="47"/>
      <c r="F5" s="47"/>
      <c r="G5" s="47"/>
      <c r="H5" s="47"/>
      <c r="I5" s="47"/>
      <c r="J5" s="47"/>
      <c r="K5" s="48"/>
      <c r="L5" s="2"/>
      <c r="M5" s="6" t="s">
        <v>6</v>
      </c>
      <c r="N5" s="7"/>
      <c r="O5" s="2"/>
      <c r="P5" s="2"/>
      <c r="Q5" s="2"/>
      <c r="R5" s="2"/>
      <c r="S5" s="2"/>
      <c r="T5" s="2"/>
      <c r="U5" s="2"/>
      <c r="V5" s="2"/>
      <c r="W5" s="2"/>
      <c r="X5" s="2"/>
    </row>
    <row r="6" spans="2:25" x14ac:dyDescent="0.25">
      <c r="B6" s="3"/>
      <c r="C6" s="23"/>
      <c r="D6" s="11"/>
      <c r="E6" s="11"/>
      <c r="F6" s="11"/>
      <c r="G6" s="11"/>
      <c r="H6" s="11"/>
      <c r="I6" s="11"/>
      <c r="J6" s="11"/>
      <c r="K6" s="15"/>
      <c r="L6" s="2"/>
      <c r="M6" s="8"/>
      <c r="N6" s="8"/>
      <c r="O6" s="2"/>
      <c r="P6" s="2"/>
      <c r="Q6" s="2"/>
      <c r="R6" s="2"/>
      <c r="S6" s="2"/>
      <c r="T6" s="2"/>
      <c r="U6" s="2"/>
      <c r="V6" s="2"/>
      <c r="W6" s="2"/>
      <c r="X6" s="2"/>
    </row>
    <row r="7" spans="2:25" x14ac:dyDescent="0.25">
      <c r="B7" s="3"/>
      <c r="C7" s="65" t="s">
        <v>0</v>
      </c>
      <c r="D7" s="66">
        <v>1</v>
      </c>
      <c r="E7" s="66">
        <v>2</v>
      </c>
      <c r="F7" s="66">
        <v>3</v>
      </c>
      <c r="G7" s="66">
        <v>4</v>
      </c>
      <c r="H7" s="66">
        <v>5</v>
      </c>
      <c r="I7" s="66">
        <v>6</v>
      </c>
      <c r="J7" s="66">
        <v>7</v>
      </c>
      <c r="K7" s="67">
        <v>8</v>
      </c>
      <c r="L7" s="2"/>
      <c r="M7" s="8"/>
      <c r="N7" s="8"/>
      <c r="O7" s="2"/>
      <c r="P7" s="2"/>
      <c r="Q7" s="2"/>
      <c r="R7" s="2"/>
      <c r="S7" s="2"/>
      <c r="T7" s="2"/>
      <c r="U7" s="2"/>
      <c r="V7" s="2"/>
      <c r="W7" s="2"/>
      <c r="X7" s="2"/>
    </row>
    <row r="8" spans="2:25" x14ac:dyDescent="0.25">
      <c r="B8" s="3"/>
      <c r="C8" s="23"/>
      <c r="D8" s="11"/>
      <c r="E8" s="11"/>
      <c r="F8" s="11"/>
      <c r="G8" s="11"/>
      <c r="H8" s="11"/>
      <c r="I8" s="11"/>
      <c r="J8" s="11"/>
      <c r="K8" s="15"/>
      <c r="L8" s="2"/>
      <c r="M8" s="8"/>
      <c r="N8" s="8"/>
      <c r="O8" s="2"/>
      <c r="P8" s="2"/>
      <c r="Q8" s="2"/>
      <c r="R8" s="2"/>
      <c r="S8" s="2"/>
      <c r="T8" s="2"/>
      <c r="U8" s="2"/>
      <c r="V8" s="2"/>
      <c r="W8" s="2"/>
      <c r="X8" s="2"/>
    </row>
    <row r="9" spans="2:25" x14ac:dyDescent="0.25">
      <c r="B9" s="3"/>
      <c r="C9" s="56" t="s">
        <v>16</v>
      </c>
      <c r="D9" s="57">
        <v>1E-3</v>
      </c>
      <c r="E9" s="57">
        <v>1.5E-3</v>
      </c>
      <c r="F9" s="57">
        <v>2E-3</v>
      </c>
      <c r="G9" s="57">
        <v>2.5000000000000001E-3</v>
      </c>
      <c r="H9" s="57">
        <v>3.0000000000000001E-3</v>
      </c>
      <c r="I9" s="57">
        <v>3.5720000000000001E-3</v>
      </c>
      <c r="J9" s="57">
        <v>4.0000000000000001E-3</v>
      </c>
      <c r="K9" s="58">
        <v>4.4999999999999997E-3</v>
      </c>
      <c r="L9" s="2"/>
      <c r="M9" s="7" t="s">
        <v>5</v>
      </c>
      <c r="N9" s="7"/>
      <c r="O9" s="2"/>
      <c r="P9" s="2"/>
      <c r="Q9" s="2"/>
      <c r="R9" s="2"/>
      <c r="S9" s="2"/>
      <c r="T9" s="2"/>
      <c r="U9" s="2"/>
      <c r="V9" s="2"/>
      <c r="W9" s="2"/>
      <c r="X9" s="2"/>
    </row>
    <row r="10" spans="2:25" x14ac:dyDescent="0.25">
      <c r="B10" s="3"/>
      <c r="C10" s="59" t="s">
        <v>17</v>
      </c>
      <c r="D10" s="60">
        <f>D9*0.001</f>
        <v>9.9999999999999995E-7</v>
      </c>
      <c r="E10" s="60">
        <f t="shared" ref="E10:K10" si="0">E9*0.001</f>
        <v>1.5E-6</v>
      </c>
      <c r="F10" s="60">
        <f t="shared" si="0"/>
        <v>1.9999999999999999E-6</v>
      </c>
      <c r="G10" s="60">
        <f t="shared" si="0"/>
        <v>2.5000000000000002E-6</v>
      </c>
      <c r="H10" s="60">
        <f t="shared" si="0"/>
        <v>3.0000000000000001E-6</v>
      </c>
      <c r="I10" s="60">
        <f t="shared" si="0"/>
        <v>3.5720000000000003E-6</v>
      </c>
      <c r="J10" s="60">
        <f t="shared" si="0"/>
        <v>3.9999999999999998E-6</v>
      </c>
      <c r="K10" s="61">
        <f t="shared" si="0"/>
        <v>4.5000000000000001E-6</v>
      </c>
      <c r="L10" s="2"/>
      <c r="M10" s="8"/>
      <c r="N10" s="8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2:25" x14ac:dyDescent="0.25">
      <c r="B11" s="3"/>
      <c r="C11" s="23" t="s">
        <v>19</v>
      </c>
      <c r="D11" s="11">
        <f t="shared" ref="D11:K11" si="1">D9^2</f>
        <v>9.9999999999999995E-7</v>
      </c>
      <c r="E11" s="11">
        <f t="shared" si="1"/>
        <v>2.2500000000000001E-6</v>
      </c>
      <c r="F11" s="11">
        <f t="shared" si="1"/>
        <v>3.9999999999999998E-6</v>
      </c>
      <c r="G11" s="11">
        <f t="shared" si="1"/>
        <v>6.2500000000000003E-6</v>
      </c>
      <c r="H11" s="11">
        <f t="shared" si="1"/>
        <v>9.0000000000000002E-6</v>
      </c>
      <c r="I11" s="11">
        <f t="shared" si="1"/>
        <v>1.2759184000000001E-5</v>
      </c>
      <c r="J11" s="11">
        <f t="shared" si="1"/>
        <v>1.5999999999999999E-5</v>
      </c>
      <c r="K11" s="15">
        <f t="shared" si="1"/>
        <v>2.0249999999999998E-5</v>
      </c>
      <c r="L11" s="2"/>
      <c r="M11" s="8"/>
      <c r="N11" s="8"/>
      <c r="P11" s="2"/>
      <c r="Q11" s="2"/>
      <c r="R11" s="2"/>
      <c r="S11" s="2"/>
      <c r="T11" s="2"/>
      <c r="U11" s="2"/>
      <c r="V11" s="2"/>
      <c r="W11" s="2"/>
      <c r="X11" s="2"/>
    </row>
    <row r="12" spans="2:25" x14ac:dyDescent="0.25">
      <c r="B12" s="3"/>
      <c r="C12" s="23" t="s">
        <v>18</v>
      </c>
      <c r="D12" s="11">
        <f>D11*(2*D10/D9)</f>
        <v>2.0000000000000001E-9</v>
      </c>
      <c r="E12" s="11">
        <f t="shared" ref="E12:K12" si="2">E11*(2*E10/E9)</f>
        <v>4.5000000000000006E-9</v>
      </c>
      <c r="F12" s="11">
        <f t="shared" si="2"/>
        <v>8.0000000000000005E-9</v>
      </c>
      <c r="G12" s="11">
        <f t="shared" si="2"/>
        <v>1.2500000000000001E-8</v>
      </c>
      <c r="H12" s="11">
        <f t="shared" si="2"/>
        <v>1.8000000000000002E-8</v>
      </c>
      <c r="I12" s="11">
        <f t="shared" si="2"/>
        <v>2.5518368000000002E-8</v>
      </c>
      <c r="J12" s="11">
        <f t="shared" si="2"/>
        <v>3.2000000000000002E-8</v>
      </c>
      <c r="K12" s="15">
        <f t="shared" si="2"/>
        <v>4.0499999999999999E-8</v>
      </c>
      <c r="L12" s="2"/>
      <c r="M12" s="8"/>
      <c r="N12" s="8"/>
      <c r="O12" s="5"/>
      <c r="P12" s="5"/>
      <c r="Q12" s="5"/>
      <c r="R12" s="5"/>
      <c r="S12" s="5"/>
      <c r="T12" s="5"/>
      <c r="U12" s="5"/>
      <c r="V12" s="5"/>
      <c r="W12" s="5"/>
      <c r="X12" s="5"/>
      <c r="Y12" s="55"/>
    </row>
    <row r="13" spans="2:25" x14ac:dyDescent="0.25">
      <c r="B13" s="3"/>
      <c r="C13" s="24"/>
      <c r="D13" s="16"/>
      <c r="E13" s="16"/>
      <c r="F13" s="16"/>
      <c r="G13" s="16"/>
      <c r="H13" s="16"/>
      <c r="I13" s="16"/>
      <c r="J13" s="16"/>
      <c r="K13" s="17"/>
      <c r="L13" s="2"/>
      <c r="M13" s="8"/>
      <c r="N13" s="8"/>
      <c r="O13" s="5"/>
      <c r="P13" s="5"/>
      <c r="Q13" s="5"/>
      <c r="R13" s="5"/>
      <c r="S13" s="5"/>
      <c r="T13" s="5"/>
      <c r="U13" s="5"/>
      <c r="V13" s="5"/>
      <c r="W13" s="5"/>
      <c r="X13" s="5"/>
      <c r="Y13" s="55"/>
    </row>
    <row r="14" spans="2:25" x14ac:dyDescent="0.25">
      <c r="B14" s="3"/>
      <c r="C14" s="36" t="s">
        <v>23</v>
      </c>
      <c r="D14" s="50"/>
      <c r="E14" s="27"/>
      <c r="F14" s="27"/>
      <c r="G14" s="27"/>
      <c r="H14" s="27"/>
      <c r="I14" s="27"/>
      <c r="J14" s="27"/>
      <c r="K14" s="28"/>
      <c r="L14" s="2"/>
      <c r="M14" s="7" t="s">
        <v>4</v>
      </c>
      <c r="N14" s="7"/>
      <c r="O14" s="5"/>
      <c r="P14" s="11"/>
      <c r="Q14" s="12"/>
      <c r="R14" s="11"/>
      <c r="S14" s="11"/>
      <c r="T14" s="11"/>
      <c r="U14" s="11"/>
      <c r="V14" s="11"/>
      <c r="W14" s="11"/>
      <c r="X14" s="11"/>
      <c r="Y14" s="55"/>
    </row>
    <row r="15" spans="2:25" x14ac:dyDescent="0.25">
      <c r="B15" s="3"/>
      <c r="C15" s="23"/>
      <c r="D15" s="27"/>
      <c r="E15" s="27"/>
      <c r="F15" s="27"/>
      <c r="G15" s="27"/>
      <c r="H15" s="27"/>
      <c r="I15" s="27"/>
      <c r="J15" s="27"/>
      <c r="K15" s="28"/>
      <c r="L15" s="2"/>
      <c r="M15" s="7" t="s">
        <v>4</v>
      </c>
      <c r="N15" s="7"/>
      <c r="O15" s="5"/>
      <c r="P15" s="11"/>
      <c r="Q15" s="11"/>
      <c r="R15" s="11"/>
      <c r="S15" s="11"/>
      <c r="T15" s="11"/>
      <c r="U15" s="11"/>
      <c r="V15" s="11"/>
      <c r="W15" s="11"/>
      <c r="X15" s="11"/>
      <c r="Y15" s="55"/>
    </row>
    <row r="16" spans="2:25" x14ac:dyDescent="0.25">
      <c r="B16" s="3"/>
      <c r="C16" s="23"/>
      <c r="D16" s="27"/>
      <c r="E16" s="27"/>
      <c r="F16" s="27"/>
      <c r="G16" s="27"/>
      <c r="H16" s="27"/>
      <c r="I16" s="27"/>
      <c r="J16" s="27"/>
      <c r="K16" s="28"/>
      <c r="L16" s="2"/>
      <c r="M16" s="7" t="s">
        <v>4</v>
      </c>
      <c r="N16" s="7"/>
      <c r="O16" s="5"/>
      <c r="P16" s="11"/>
      <c r="Q16" s="11"/>
      <c r="R16" s="11"/>
      <c r="S16" s="11"/>
      <c r="T16" s="11"/>
      <c r="U16" s="11"/>
      <c r="V16" s="11"/>
      <c r="W16" s="11"/>
      <c r="X16" s="11"/>
      <c r="Y16" s="55"/>
    </row>
    <row r="17" spans="2:25" x14ac:dyDescent="0.25">
      <c r="B17" s="3"/>
      <c r="C17" s="23"/>
      <c r="D17" s="27"/>
      <c r="E17" s="27"/>
      <c r="F17" s="27"/>
      <c r="G17" s="27"/>
      <c r="H17" s="27"/>
      <c r="I17" s="27"/>
      <c r="J17" s="27"/>
      <c r="K17" s="28"/>
      <c r="L17" s="2"/>
      <c r="M17" s="7" t="s">
        <v>4</v>
      </c>
      <c r="N17" s="7"/>
      <c r="O17" s="5"/>
      <c r="P17" s="11"/>
      <c r="Q17" s="11"/>
      <c r="R17" s="11"/>
      <c r="S17" s="11"/>
      <c r="T17" s="11"/>
      <c r="U17" s="11"/>
      <c r="V17" s="11"/>
      <c r="W17" s="11"/>
      <c r="X17" s="11"/>
      <c r="Y17" s="55"/>
    </row>
    <row r="18" spans="2:25" x14ac:dyDescent="0.25">
      <c r="B18" s="3"/>
      <c r="C18" s="23"/>
      <c r="D18" s="27"/>
      <c r="E18" s="27"/>
      <c r="F18" s="27"/>
      <c r="G18" s="27"/>
      <c r="H18" s="27"/>
      <c r="I18" s="27"/>
      <c r="J18" s="27"/>
      <c r="K18" s="28"/>
      <c r="L18" s="2"/>
      <c r="M18" s="7" t="s">
        <v>4</v>
      </c>
      <c r="N18" s="7"/>
      <c r="O18" s="5"/>
      <c r="P18" s="11"/>
      <c r="Q18" s="11"/>
      <c r="R18" s="11"/>
      <c r="S18" s="11"/>
      <c r="T18" s="11"/>
      <c r="U18" s="11"/>
      <c r="V18" s="11"/>
      <c r="W18" s="11"/>
      <c r="X18" s="11"/>
      <c r="Y18" s="55"/>
    </row>
    <row r="19" spans="2:25" x14ac:dyDescent="0.25">
      <c r="B19" s="3"/>
      <c r="C19" s="49" t="s">
        <v>22</v>
      </c>
      <c r="D19" s="47"/>
      <c r="E19" s="47"/>
      <c r="F19" s="47"/>
      <c r="G19" s="47"/>
      <c r="H19" s="47"/>
      <c r="I19" s="47"/>
      <c r="J19" s="47"/>
      <c r="K19" s="48"/>
      <c r="L19" s="2"/>
      <c r="M19" s="7" t="s">
        <v>4</v>
      </c>
      <c r="N19" s="7"/>
      <c r="O19" s="5"/>
      <c r="P19" s="11"/>
      <c r="Q19" s="11"/>
      <c r="R19" s="11"/>
      <c r="S19" s="11"/>
      <c r="T19" s="11"/>
      <c r="U19" s="11"/>
      <c r="V19" s="11"/>
      <c r="W19" s="11"/>
      <c r="X19" s="11"/>
      <c r="Y19" s="55"/>
    </row>
    <row r="20" spans="2:25" x14ac:dyDescent="0.25">
      <c r="B20" s="3"/>
      <c r="C20" s="23"/>
      <c r="D20" s="11"/>
      <c r="E20" s="11"/>
      <c r="F20" s="11"/>
      <c r="G20" s="11"/>
      <c r="H20" s="11"/>
      <c r="I20" s="11"/>
      <c r="J20" s="11"/>
      <c r="K20" s="15"/>
      <c r="L20" s="2"/>
      <c r="M20" s="8"/>
      <c r="N20" s="8"/>
      <c r="O20" s="5"/>
      <c r="P20" s="11"/>
      <c r="Q20" s="11"/>
      <c r="R20" s="11"/>
      <c r="S20" s="11"/>
      <c r="T20" s="11"/>
      <c r="U20" s="11"/>
      <c r="V20" s="11"/>
      <c r="W20" s="11"/>
      <c r="X20" s="11"/>
      <c r="Y20" s="55"/>
    </row>
    <row r="21" spans="2:25" x14ac:dyDescent="0.25">
      <c r="B21" s="3"/>
      <c r="C21" s="23" t="s">
        <v>24</v>
      </c>
      <c r="D21" s="11" t="e">
        <f t="shared" ref="D21:K21" si="3">AVERAGE(D14:D18)</f>
        <v>#DIV/0!</v>
      </c>
      <c r="E21" s="11" t="e">
        <f t="shared" si="3"/>
        <v>#DIV/0!</v>
      </c>
      <c r="F21" s="11" t="e">
        <f t="shared" si="3"/>
        <v>#DIV/0!</v>
      </c>
      <c r="G21" s="11" t="e">
        <f t="shared" si="3"/>
        <v>#DIV/0!</v>
      </c>
      <c r="H21" s="11" t="e">
        <f t="shared" si="3"/>
        <v>#DIV/0!</v>
      </c>
      <c r="I21" s="11" t="e">
        <f t="shared" si="3"/>
        <v>#DIV/0!</v>
      </c>
      <c r="J21" s="11" t="e">
        <f t="shared" si="3"/>
        <v>#DIV/0!</v>
      </c>
      <c r="K21" s="15" t="e">
        <f t="shared" si="3"/>
        <v>#DIV/0!</v>
      </c>
      <c r="L21" s="2"/>
      <c r="M21" s="9"/>
      <c r="N21" s="8"/>
      <c r="O21" s="5"/>
      <c r="P21" s="11"/>
      <c r="Q21" s="11"/>
      <c r="R21" s="11"/>
      <c r="S21" s="11"/>
      <c r="T21" s="11"/>
      <c r="U21" s="11"/>
      <c r="V21" s="11"/>
      <c r="W21" s="11"/>
      <c r="X21" s="11"/>
      <c r="Y21" s="55"/>
    </row>
    <row r="22" spans="2:25" x14ac:dyDescent="0.25">
      <c r="B22" s="3"/>
      <c r="C22" s="23" t="s">
        <v>25</v>
      </c>
      <c r="D22" s="11" t="e">
        <f t="shared" ref="D22:K22" si="4">SQRT(VAR(D14:D18))</f>
        <v>#DIV/0!</v>
      </c>
      <c r="E22" s="11" t="e">
        <f t="shared" si="4"/>
        <v>#DIV/0!</v>
      </c>
      <c r="F22" s="11" t="e">
        <f t="shared" si="4"/>
        <v>#DIV/0!</v>
      </c>
      <c r="G22" s="11" t="e">
        <f t="shared" si="4"/>
        <v>#DIV/0!</v>
      </c>
      <c r="H22" s="11" t="e">
        <f t="shared" si="4"/>
        <v>#DIV/0!</v>
      </c>
      <c r="I22" s="11" t="e">
        <f t="shared" si="4"/>
        <v>#DIV/0!</v>
      </c>
      <c r="J22" s="11" t="e">
        <f t="shared" si="4"/>
        <v>#DIV/0!</v>
      </c>
      <c r="K22" s="15" t="e">
        <f t="shared" si="4"/>
        <v>#DIV/0!</v>
      </c>
      <c r="L22" s="2"/>
      <c r="M22" s="8"/>
      <c r="N22" s="8"/>
      <c r="O22" s="5"/>
      <c r="P22" s="11"/>
      <c r="Q22" s="11"/>
      <c r="R22" s="11"/>
      <c r="S22" s="11"/>
      <c r="T22" s="11"/>
      <c r="U22" s="11"/>
      <c r="V22" s="11"/>
      <c r="W22" s="11"/>
      <c r="X22" s="11"/>
      <c r="Y22" s="55"/>
    </row>
    <row r="23" spans="2:25" x14ac:dyDescent="0.25">
      <c r="B23" s="3"/>
      <c r="C23" s="23"/>
      <c r="D23" s="11"/>
      <c r="E23" s="11"/>
      <c r="F23" s="11"/>
      <c r="G23" s="11"/>
      <c r="H23" s="11"/>
      <c r="I23" s="11"/>
      <c r="J23" s="11"/>
      <c r="K23" s="15"/>
      <c r="L23" s="2"/>
      <c r="M23" s="8"/>
      <c r="N23" s="8"/>
      <c r="O23" s="5"/>
      <c r="P23" s="11"/>
      <c r="Q23" s="11"/>
      <c r="R23" s="11"/>
      <c r="S23" s="11"/>
      <c r="T23" s="11"/>
      <c r="U23" s="11"/>
      <c r="V23" s="11"/>
      <c r="W23" s="11"/>
      <c r="X23" s="11"/>
      <c r="Y23" s="55"/>
    </row>
    <row r="24" spans="2:25" x14ac:dyDescent="0.25">
      <c r="B24" s="3"/>
      <c r="C24" s="36" t="s">
        <v>20</v>
      </c>
      <c r="D24" s="27"/>
      <c r="E24" s="27"/>
      <c r="F24" s="27"/>
      <c r="G24" s="27"/>
      <c r="H24" s="27"/>
      <c r="I24" s="27"/>
      <c r="J24" s="27"/>
      <c r="K24" s="28"/>
      <c r="L24" s="2"/>
      <c r="M24" s="7" t="s">
        <v>4</v>
      </c>
      <c r="N24" s="7"/>
      <c r="O24" s="5"/>
      <c r="P24" s="11"/>
      <c r="Q24" s="11"/>
      <c r="R24" s="11"/>
      <c r="S24" s="11"/>
      <c r="T24" s="11"/>
      <c r="U24" s="11"/>
      <c r="V24" s="11"/>
      <c r="W24" s="11"/>
      <c r="X24" s="11"/>
      <c r="Y24" s="55"/>
    </row>
    <row r="25" spans="2:25" x14ac:dyDescent="0.25">
      <c r="B25" s="3"/>
      <c r="C25" s="49" t="s">
        <v>21</v>
      </c>
      <c r="D25" s="47"/>
      <c r="E25" s="47"/>
      <c r="F25" s="47"/>
      <c r="G25" s="47"/>
      <c r="H25" s="47"/>
      <c r="I25" s="47"/>
      <c r="J25" s="47"/>
      <c r="K25" s="48"/>
      <c r="L25" s="2"/>
      <c r="M25" s="7" t="s">
        <v>4</v>
      </c>
      <c r="N25" s="7"/>
      <c r="O25" s="5"/>
      <c r="P25" s="11"/>
      <c r="Q25" s="11"/>
      <c r="R25" s="11"/>
      <c r="S25" s="11"/>
      <c r="T25" s="11"/>
      <c r="U25" s="11"/>
      <c r="V25" s="11"/>
      <c r="W25" s="11"/>
      <c r="X25" s="11"/>
      <c r="Y25" s="55"/>
    </row>
    <row r="26" spans="2:25" x14ac:dyDescent="0.25">
      <c r="B26" s="3"/>
      <c r="C26" s="23"/>
      <c r="D26" s="11"/>
      <c r="E26" s="11"/>
      <c r="F26" s="11"/>
      <c r="G26" s="11"/>
      <c r="H26" s="11"/>
      <c r="I26" s="11"/>
      <c r="J26" s="11"/>
      <c r="K26" s="15"/>
      <c r="L26" s="2"/>
      <c r="M26" s="8"/>
      <c r="N26" s="8"/>
      <c r="O26" s="5"/>
      <c r="P26" s="11"/>
      <c r="Q26" s="11"/>
      <c r="R26" s="11"/>
      <c r="S26" s="11"/>
      <c r="T26" s="11"/>
      <c r="U26" s="11"/>
      <c r="V26" s="11"/>
      <c r="W26" s="11"/>
      <c r="X26" s="11"/>
      <c r="Y26" s="55"/>
    </row>
    <row r="27" spans="2:25" x14ac:dyDescent="0.25">
      <c r="B27" s="3"/>
      <c r="C27" s="62" t="s">
        <v>31</v>
      </c>
      <c r="D27" s="63" t="e">
        <f t="shared" ref="D27:K27" si="5">D24/D21</f>
        <v>#DIV/0!</v>
      </c>
      <c r="E27" s="63" t="e">
        <f t="shared" si="5"/>
        <v>#DIV/0!</v>
      </c>
      <c r="F27" s="63" t="e">
        <f t="shared" si="5"/>
        <v>#DIV/0!</v>
      </c>
      <c r="G27" s="63" t="e">
        <f t="shared" si="5"/>
        <v>#DIV/0!</v>
      </c>
      <c r="H27" s="63" t="e">
        <f t="shared" si="5"/>
        <v>#DIV/0!</v>
      </c>
      <c r="I27" s="63" t="e">
        <f t="shared" si="5"/>
        <v>#DIV/0!</v>
      </c>
      <c r="J27" s="63" t="e">
        <f t="shared" si="5"/>
        <v>#DIV/0!</v>
      </c>
      <c r="K27" s="64" t="e">
        <f t="shared" si="5"/>
        <v>#DIV/0!</v>
      </c>
      <c r="L27" s="2"/>
      <c r="O27" s="5"/>
      <c r="P27" s="11"/>
      <c r="Q27" s="11"/>
      <c r="R27" s="11"/>
      <c r="S27" s="11"/>
      <c r="T27" s="11"/>
      <c r="U27" s="11"/>
      <c r="V27" s="11"/>
      <c r="W27" s="11"/>
      <c r="X27" s="11"/>
      <c r="Y27" s="55"/>
    </row>
    <row r="28" spans="2:25" x14ac:dyDescent="0.25">
      <c r="B28" s="3"/>
      <c r="C28" s="22" t="s">
        <v>32</v>
      </c>
      <c r="D28" s="10" t="e">
        <f t="shared" ref="D28:K28" si="6">SQRT((D25/D24)^2+(SQRT(D19^2+D22^2)/D21)^2)*D27</f>
        <v>#DIV/0!</v>
      </c>
      <c r="E28" s="10" t="e">
        <f t="shared" si="6"/>
        <v>#DIV/0!</v>
      </c>
      <c r="F28" s="10" t="e">
        <f t="shared" si="6"/>
        <v>#DIV/0!</v>
      </c>
      <c r="G28" s="10" t="e">
        <f t="shared" si="6"/>
        <v>#DIV/0!</v>
      </c>
      <c r="H28" s="10" t="e">
        <f t="shared" si="6"/>
        <v>#DIV/0!</v>
      </c>
      <c r="I28" s="10" t="e">
        <f t="shared" si="6"/>
        <v>#DIV/0!</v>
      </c>
      <c r="J28" s="10" t="e">
        <f t="shared" si="6"/>
        <v>#DIV/0!</v>
      </c>
      <c r="K28" s="14" t="e">
        <f t="shared" si="6"/>
        <v>#DIV/0!</v>
      </c>
      <c r="L28" s="2"/>
      <c r="O28" s="5"/>
      <c r="P28" s="11"/>
      <c r="Q28" s="11"/>
      <c r="R28" s="11"/>
      <c r="S28" s="11"/>
      <c r="T28" s="11"/>
      <c r="U28" s="11"/>
      <c r="V28" s="11"/>
      <c r="W28" s="11"/>
      <c r="X28" s="11"/>
      <c r="Y28" s="55"/>
    </row>
    <row r="29" spans="2:25" x14ac:dyDescent="0.25">
      <c r="B29" s="3"/>
      <c r="C29" s="23"/>
      <c r="D29" s="11"/>
      <c r="E29" s="11"/>
      <c r="F29" s="11"/>
      <c r="G29" s="11"/>
      <c r="H29" s="11"/>
      <c r="I29" s="11"/>
      <c r="J29" s="11"/>
      <c r="K29" s="15"/>
      <c r="L29" s="2"/>
      <c r="M29" s="2"/>
      <c r="N29" s="2"/>
      <c r="O29" s="5"/>
      <c r="P29" s="5"/>
      <c r="Q29" s="5"/>
      <c r="R29" s="5"/>
      <c r="S29" s="5"/>
      <c r="T29" s="5"/>
      <c r="U29" s="5"/>
      <c r="V29" s="5"/>
      <c r="W29" s="5"/>
      <c r="X29" s="5"/>
      <c r="Y29" s="55"/>
    </row>
    <row r="30" spans="2:25" x14ac:dyDescent="0.25">
      <c r="B30" s="3"/>
      <c r="C30" s="56" t="s">
        <v>26</v>
      </c>
      <c r="D30" s="57">
        <v>1377.5</v>
      </c>
      <c r="E30" s="57">
        <v>1377.5</v>
      </c>
      <c r="F30" s="57">
        <v>1377.5</v>
      </c>
      <c r="G30" s="57">
        <v>1377.5</v>
      </c>
      <c r="H30" s="57">
        <v>1377.5</v>
      </c>
      <c r="I30" s="57">
        <v>1377.5</v>
      </c>
      <c r="J30" s="57">
        <v>1357.5</v>
      </c>
      <c r="K30" s="58">
        <v>1362.5</v>
      </c>
      <c r="L30" s="2"/>
      <c r="M30" s="7" t="s">
        <v>3</v>
      </c>
      <c r="N30" s="7"/>
      <c r="O30" s="5"/>
      <c r="P30" s="5"/>
      <c r="Q30" s="5"/>
      <c r="R30" s="5"/>
      <c r="S30" s="5"/>
      <c r="T30" s="5"/>
      <c r="U30" s="5"/>
      <c r="V30" s="5"/>
      <c r="W30" s="5"/>
      <c r="X30" s="5"/>
      <c r="Y30" s="55"/>
    </row>
    <row r="31" spans="2:25" x14ac:dyDescent="0.25">
      <c r="B31" s="3"/>
      <c r="C31" s="59" t="s">
        <v>27</v>
      </c>
      <c r="D31" s="60">
        <v>2.5</v>
      </c>
      <c r="E31" s="60">
        <v>2.5</v>
      </c>
      <c r="F31" s="60">
        <v>2.5</v>
      </c>
      <c r="G31" s="60">
        <v>2.5</v>
      </c>
      <c r="H31" s="60">
        <v>2.5</v>
      </c>
      <c r="I31" s="60">
        <v>2.5</v>
      </c>
      <c r="J31" s="60">
        <v>2.5</v>
      </c>
      <c r="K31" s="61">
        <v>2.5</v>
      </c>
      <c r="L31" s="2"/>
      <c r="M31" s="7" t="s">
        <v>3</v>
      </c>
      <c r="N31" s="7"/>
      <c r="Q31" s="2"/>
      <c r="R31" s="2"/>
      <c r="S31" s="2"/>
      <c r="T31" s="2"/>
      <c r="U31" s="2"/>
      <c r="V31" s="2"/>
      <c r="W31" s="2"/>
      <c r="X31" s="2"/>
    </row>
    <row r="32" spans="2:25" x14ac:dyDescent="0.25">
      <c r="B32" s="3"/>
      <c r="C32" s="23"/>
      <c r="D32" s="11"/>
      <c r="E32" s="11"/>
      <c r="F32" s="11"/>
      <c r="G32" s="11"/>
      <c r="H32" s="11"/>
      <c r="I32" s="11"/>
      <c r="J32" s="11"/>
      <c r="K32" s="15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2:24" x14ac:dyDescent="0.25">
      <c r="B33" s="3"/>
      <c r="C33" s="23" t="s">
        <v>67</v>
      </c>
      <c r="D33" s="11" t="e">
        <f t="shared" ref="D33:K33" si="7">D27/(D30-D4)</f>
        <v>#DIV/0!</v>
      </c>
      <c r="E33" s="11" t="e">
        <f t="shared" si="7"/>
        <v>#DIV/0!</v>
      </c>
      <c r="F33" s="11" t="e">
        <f t="shared" si="7"/>
        <v>#DIV/0!</v>
      </c>
      <c r="G33" s="11" t="e">
        <f t="shared" si="7"/>
        <v>#DIV/0!</v>
      </c>
      <c r="H33" s="11" t="e">
        <f t="shared" si="7"/>
        <v>#DIV/0!</v>
      </c>
      <c r="I33" s="11" t="e">
        <f t="shared" si="7"/>
        <v>#DIV/0!</v>
      </c>
      <c r="J33" s="11" t="e">
        <f t="shared" si="7"/>
        <v>#DIV/0!</v>
      </c>
      <c r="K33" s="15" t="e">
        <f t="shared" si="7"/>
        <v>#DIV/0!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2:24" x14ac:dyDescent="0.25">
      <c r="B34" s="3"/>
      <c r="C34" s="23" t="s">
        <v>68</v>
      </c>
      <c r="D34" s="11" t="e">
        <f t="shared" ref="D34:K34" si="8">SQRT((D28/(D30-D4))^2+((D27*D31)/(D30-D4)^2)^2+((D27*D5)/(D30-D4)^2)^2)</f>
        <v>#DIV/0!</v>
      </c>
      <c r="E34" s="11" t="e">
        <f t="shared" si="8"/>
        <v>#DIV/0!</v>
      </c>
      <c r="F34" s="11" t="e">
        <f t="shared" si="8"/>
        <v>#DIV/0!</v>
      </c>
      <c r="G34" s="11" t="e">
        <f t="shared" si="8"/>
        <v>#DIV/0!</v>
      </c>
      <c r="H34" s="11" t="e">
        <f t="shared" si="8"/>
        <v>#DIV/0!</v>
      </c>
      <c r="I34" s="11" t="e">
        <f t="shared" si="8"/>
        <v>#DIV/0!</v>
      </c>
      <c r="J34" s="11" t="e">
        <f t="shared" si="8"/>
        <v>#DIV/0!</v>
      </c>
      <c r="K34" s="15" t="e">
        <f t="shared" si="8"/>
        <v>#DIV/0!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2:24" x14ac:dyDescent="0.25">
      <c r="B35" s="3"/>
      <c r="C35" s="24"/>
      <c r="D35" s="16"/>
      <c r="E35" s="16"/>
      <c r="F35" s="16"/>
      <c r="G35" s="16"/>
      <c r="H35" s="16"/>
      <c r="I35" s="16"/>
      <c r="J35" s="16"/>
      <c r="K35" s="17"/>
      <c r="L35" s="2"/>
      <c r="Q35" s="2"/>
      <c r="R35" s="2"/>
      <c r="S35" s="2"/>
      <c r="T35" s="2"/>
      <c r="U35" s="2"/>
      <c r="V35" s="2"/>
      <c r="W35" s="2"/>
      <c r="X35" s="2"/>
    </row>
    <row r="36" spans="2:24" x14ac:dyDescent="0.25">
      <c r="B36" s="3"/>
      <c r="C36" s="23" t="s">
        <v>1</v>
      </c>
      <c r="D36" s="11">
        <f>(1+2.1*(D9/D3))</f>
        <v>1.028</v>
      </c>
      <c r="E36" s="11">
        <f t="shared" ref="E36:K36" si="9">(1+2.1*(E9/E3))</f>
        <v>1.042</v>
      </c>
      <c r="F36" s="11">
        <f t="shared" si="9"/>
        <v>1.056</v>
      </c>
      <c r="G36" s="11">
        <f t="shared" si="9"/>
        <v>1.07</v>
      </c>
      <c r="H36" s="11">
        <f t="shared" si="9"/>
        <v>1.0840000000000001</v>
      </c>
      <c r="I36" s="11">
        <f t="shared" si="9"/>
        <v>1.1000160000000001</v>
      </c>
      <c r="J36" s="11">
        <f t="shared" si="9"/>
        <v>1.1120000000000001</v>
      </c>
      <c r="K36" s="15">
        <f t="shared" si="9"/>
        <v>1.1259999999999999</v>
      </c>
      <c r="L36" s="2"/>
      <c r="P36" s="2"/>
      <c r="Q36" s="2"/>
      <c r="R36" s="2"/>
      <c r="S36" s="2"/>
      <c r="T36" s="2"/>
      <c r="U36" s="2"/>
      <c r="V36" s="2"/>
      <c r="W36" s="2"/>
      <c r="X36" s="2"/>
    </row>
    <row r="37" spans="2:24" x14ac:dyDescent="0.25">
      <c r="B37" s="3"/>
      <c r="C37" s="24" t="s">
        <v>2</v>
      </c>
      <c r="D37" s="16">
        <f>2.1*(D10/D3)</f>
        <v>2.8E-5</v>
      </c>
      <c r="E37" s="16">
        <f t="shared" ref="E37:K37" si="10">2.1*(E10/E3)</f>
        <v>4.2000000000000004E-5</v>
      </c>
      <c r="F37" s="16">
        <f t="shared" si="10"/>
        <v>5.5999999999999999E-5</v>
      </c>
      <c r="G37" s="16">
        <f t="shared" si="10"/>
        <v>7.0000000000000007E-5</v>
      </c>
      <c r="H37" s="16">
        <f t="shared" si="10"/>
        <v>8.4000000000000009E-5</v>
      </c>
      <c r="I37" s="16">
        <f t="shared" si="10"/>
        <v>1.0001600000000001E-4</v>
      </c>
      <c r="J37" s="16">
        <f t="shared" si="10"/>
        <v>1.12E-4</v>
      </c>
      <c r="K37" s="17">
        <f t="shared" si="10"/>
        <v>1.26E-4</v>
      </c>
      <c r="L37" s="2"/>
      <c r="P37" s="2"/>
      <c r="Q37" s="2"/>
      <c r="R37" s="2"/>
      <c r="S37" s="2"/>
      <c r="T37" s="2"/>
      <c r="U37" s="2"/>
      <c r="V37" s="2"/>
      <c r="W37" s="2"/>
      <c r="X37" s="2"/>
    </row>
    <row r="38" spans="2:24" x14ac:dyDescent="0.25">
      <c r="B38" s="3"/>
      <c r="C38" s="24" t="s">
        <v>33</v>
      </c>
      <c r="D38" s="16" t="e">
        <f t="shared" ref="D38:K38" si="11">D27*D36</f>
        <v>#DIV/0!</v>
      </c>
      <c r="E38" s="16" t="e">
        <f t="shared" si="11"/>
        <v>#DIV/0!</v>
      </c>
      <c r="F38" s="16" t="e">
        <f t="shared" si="11"/>
        <v>#DIV/0!</v>
      </c>
      <c r="G38" s="16" t="e">
        <f t="shared" si="11"/>
        <v>#DIV/0!</v>
      </c>
      <c r="H38" s="16" t="e">
        <f t="shared" si="11"/>
        <v>#DIV/0!</v>
      </c>
      <c r="I38" s="16" t="e">
        <f t="shared" si="11"/>
        <v>#DIV/0!</v>
      </c>
      <c r="J38" s="16" t="e">
        <f t="shared" si="11"/>
        <v>#DIV/0!</v>
      </c>
      <c r="K38" s="17" t="e">
        <f t="shared" si="11"/>
        <v>#DIV/0!</v>
      </c>
      <c r="L38" s="2"/>
      <c r="P38" s="2"/>
      <c r="Q38" s="2"/>
      <c r="R38" s="2"/>
      <c r="S38" s="2"/>
      <c r="T38" s="2"/>
      <c r="U38" s="2"/>
      <c r="V38" s="2"/>
      <c r="W38" s="2"/>
      <c r="X38" s="2"/>
    </row>
    <row r="39" spans="2:24" x14ac:dyDescent="0.25">
      <c r="B39" s="3"/>
      <c r="C39" s="24" t="s">
        <v>34</v>
      </c>
      <c r="D39" s="16" t="e">
        <f t="shared" ref="D39:K39" si="12">D38*SQRT((D28/D27)^2+(D37/D36)^2)</f>
        <v>#DIV/0!</v>
      </c>
      <c r="E39" s="16" t="e">
        <f t="shared" si="12"/>
        <v>#DIV/0!</v>
      </c>
      <c r="F39" s="16" t="e">
        <f t="shared" si="12"/>
        <v>#DIV/0!</v>
      </c>
      <c r="G39" s="16" t="e">
        <f t="shared" si="12"/>
        <v>#DIV/0!</v>
      </c>
      <c r="H39" s="16" t="e">
        <f t="shared" si="12"/>
        <v>#DIV/0!</v>
      </c>
      <c r="I39" s="16" t="e">
        <f t="shared" si="12"/>
        <v>#DIV/0!</v>
      </c>
      <c r="J39" s="16" t="e">
        <f t="shared" si="12"/>
        <v>#DIV/0!</v>
      </c>
      <c r="K39" s="17" t="e">
        <f t="shared" si="12"/>
        <v>#DIV/0!</v>
      </c>
      <c r="L39" s="2"/>
      <c r="P39" s="2"/>
      <c r="Q39" s="2"/>
      <c r="R39" s="2"/>
      <c r="S39" s="2"/>
      <c r="T39" s="2"/>
      <c r="U39" s="2"/>
      <c r="V39" s="2"/>
      <c r="W39" s="2"/>
      <c r="X39" s="2"/>
    </row>
    <row r="40" spans="2:24" x14ac:dyDescent="0.25">
      <c r="B40" s="3"/>
      <c r="C40" s="24"/>
      <c r="D40" s="16"/>
      <c r="E40" s="16"/>
      <c r="F40" s="16"/>
      <c r="G40" s="16"/>
      <c r="H40" s="16"/>
      <c r="I40" s="16"/>
      <c r="J40" s="16"/>
      <c r="K40" s="17"/>
      <c r="L40" s="2"/>
      <c r="P40" s="2"/>
      <c r="Q40" s="2"/>
      <c r="R40" s="2"/>
      <c r="S40" s="2"/>
      <c r="T40" s="2"/>
      <c r="U40" s="2"/>
      <c r="V40" s="2"/>
      <c r="W40" s="2"/>
      <c r="X40" s="2"/>
    </row>
    <row r="41" spans="2:24" x14ac:dyDescent="0.25">
      <c r="B41" s="3"/>
      <c r="C41" s="24" t="s">
        <v>36</v>
      </c>
      <c r="D41" s="16" t="e">
        <f t="shared" ref="D41:K41" si="13">D38/(D30-D4)</f>
        <v>#DIV/0!</v>
      </c>
      <c r="E41" s="16" t="e">
        <f t="shared" si="13"/>
        <v>#DIV/0!</v>
      </c>
      <c r="F41" s="16" t="e">
        <f t="shared" si="13"/>
        <v>#DIV/0!</v>
      </c>
      <c r="G41" s="16" t="e">
        <f t="shared" si="13"/>
        <v>#DIV/0!</v>
      </c>
      <c r="H41" s="16" t="e">
        <f t="shared" si="13"/>
        <v>#DIV/0!</v>
      </c>
      <c r="I41" s="16" t="e">
        <f t="shared" si="13"/>
        <v>#DIV/0!</v>
      </c>
      <c r="J41" s="16" t="e">
        <f t="shared" si="13"/>
        <v>#DIV/0!</v>
      </c>
      <c r="K41" s="17" t="e">
        <f t="shared" si="13"/>
        <v>#DIV/0!</v>
      </c>
      <c r="L41" s="2"/>
      <c r="M41" s="2"/>
      <c r="N41" s="2"/>
    </row>
    <row r="42" spans="2:24" x14ac:dyDescent="0.25">
      <c r="B42" s="3"/>
      <c r="C42" s="24" t="s">
        <v>35</v>
      </c>
      <c r="D42" s="16" t="e">
        <f t="shared" ref="D42:K42" si="14">SQRT((D39/(D30-D4))^2+((D38*D31)/(D30-D4)^2)^2+((D38*D5)/(D30-D4)^2)^2)</f>
        <v>#DIV/0!</v>
      </c>
      <c r="E42" s="16" t="e">
        <f t="shared" si="14"/>
        <v>#DIV/0!</v>
      </c>
      <c r="F42" s="16" t="e">
        <f t="shared" si="14"/>
        <v>#DIV/0!</v>
      </c>
      <c r="G42" s="16" t="e">
        <f t="shared" si="14"/>
        <v>#DIV/0!</v>
      </c>
      <c r="H42" s="16" t="e">
        <f t="shared" si="14"/>
        <v>#DIV/0!</v>
      </c>
      <c r="I42" s="16" t="e">
        <f t="shared" si="14"/>
        <v>#DIV/0!</v>
      </c>
      <c r="J42" s="16" t="e">
        <f t="shared" si="14"/>
        <v>#DIV/0!</v>
      </c>
      <c r="K42" s="17" t="e">
        <f t="shared" si="14"/>
        <v>#DIV/0!</v>
      </c>
      <c r="L42" s="1"/>
    </row>
    <row r="43" spans="2:24" x14ac:dyDescent="0.25">
      <c r="B43" s="3"/>
      <c r="C43" s="24"/>
      <c r="D43" s="16"/>
      <c r="E43" s="16"/>
      <c r="F43" s="16"/>
      <c r="G43" s="16"/>
      <c r="H43" s="16"/>
      <c r="I43" s="16"/>
      <c r="J43" s="16"/>
      <c r="K43" s="17"/>
      <c r="L43" s="1"/>
    </row>
    <row r="44" spans="2:24" x14ac:dyDescent="0.25">
      <c r="B44" s="3"/>
      <c r="C44" s="24" t="s">
        <v>37</v>
      </c>
      <c r="D44" s="27"/>
      <c r="E44" s="11">
        <f>D44</f>
        <v>0</v>
      </c>
      <c r="F44" s="11">
        <f t="shared" ref="F44:K45" si="15">E44</f>
        <v>0</v>
      </c>
      <c r="G44" s="11">
        <f t="shared" si="15"/>
        <v>0</v>
      </c>
      <c r="H44" s="11">
        <f t="shared" si="15"/>
        <v>0</v>
      </c>
      <c r="I44" s="11">
        <f t="shared" si="15"/>
        <v>0</v>
      </c>
      <c r="J44" s="11">
        <f t="shared" si="15"/>
        <v>0</v>
      </c>
      <c r="K44" s="15">
        <f t="shared" si="15"/>
        <v>0</v>
      </c>
      <c r="L44" s="1"/>
      <c r="M44" s="26" t="s">
        <v>65</v>
      </c>
      <c r="N44" s="26"/>
      <c r="O44" s="26"/>
      <c r="P44" s="26"/>
      <c r="Q44" s="68"/>
      <c r="R44" s="9"/>
    </row>
    <row r="45" spans="2:24" x14ac:dyDescent="0.25">
      <c r="B45" s="3"/>
      <c r="C45" s="24" t="s">
        <v>38</v>
      </c>
      <c r="D45" s="32" t="e">
        <f>E44-ABS(I41+I42-(E41-E42))/(I11-E11)</f>
        <v>#DIV/0!</v>
      </c>
      <c r="E45" s="11" t="e">
        <f>D45</f>
        <v>#DIV/0!</v>
      </c>
      <c r="F45" s="11" t="e">
        <f t="shared" si="15"/>
        <v>#DIV/0!</v>
      </c>
      <c r="G45" s="11" t="e">
        <f t="shared" si="15"/>
        <v>#DIV/0!</v>
      </c>
      <c r="H45" s="11" t="e">
        <f t="shared" si="15"/>
        <v>#DIV/0!</v>
      </c>
      <c r="I45" s="11" t="e">
        <f t="shared" si="15"/>
        <v>#DIV/0!</v>
      </c>
      <c r="J45" s="11" t="e">
        <f t="shared" si="15"/>
        <v>#DIV/0!</v>
      </c>
      <c r="K45" s="15" t="e">
        <f t="shared" si="15"/>
        <v>#DIV/0!</v>
      </c>
      <c r="L45" s="1"/>
      <c r="M45" s="4" t="s">
        <v>64</v>
      </c>
      <c r="N45" s="4"/>
      <c r="O45" s="4"/>
      <c r="P45" s="4"/>
      <c r="Q45" s="9"/>
      <c r="R45" s="9"/>
    </row>
    <row r="46" spans="2:24" x14ac:dyDescent="0.25">
      <c r="B46" s="17"/>
      <c r="C46" s="31"/>
      <c r="K46" s="30"/>
      <c r="L46" s="1"/>
    </row>
    <row r="47" spans="2:24" x14ac:dyDescent="0.25">
      <c r="B47" s="3"/>
      <c r="C47" s="62" t="s">
        <v>39</v>
      </c>
      <c r="D47" s="63" t="e">
        <f t="shared" ref="D47:K47" si="16">2*D2/(9*D44)</f>
        <v>#DIV/0!</v>
      </c>
      <c r="E47" s="63" t="e">
        <f t="shared" si="16"/>
        <v>#DIV/0!</v>
      </c>
      <c r="F47" s="63" t="e">
        <f t="shared" si="16"/>
        <v>#DIV/0!</v>
      </c>
      <c r="G47" s="63" t="e">
        <f t="shared" si="16"/>
        <v>#DIV/0!</v>
      </c>
      <c r="H47" s="63" t="e">
        <f t="shared" si="16"/>
        <v>#DIV/0!</v>
      </c>
      <c r="I47" s="63" t="e">
        <f t="shared" si="16"/>
        <v>#DIV/0!</v>
      </c>
      <c r="J47" s="63" t="e">
        <f t="shared" si="16"/>
        <v>#DIV/0!</v>
      </c>
      <c r="K47" s="64" t="e">
        <f t="shared" si="16"/>
        <v>#DIV/0!</v>
      </c>
      <c r="L47" s="1"/>
    </row>
    <row r="48" spans="2:24" x14ac:dyDescent="0.25">
      <c r="B48" s="3"/>
      <c r="C48" s="22" t="s">
        <v>40</v>
      </c>
      <c r="D48" s="10" t="e">
        <f>2*D2*#REF!/(9*D44^2)</f>
        <v>#REF!</v>
      </c>
      <c r="E48" s="10" t="e">
        <f t="shared" ref="E48:K48" si="17">2*E2*E45/(9*E44^2)</f>
        <v>#DIV/0!</v>
      </c>
      <c r="F48" s="10" t="e">
        <f t="shared" si="17"/>
        <v>#DIV/0!</v>
      </c>
      <c r="G48" s="10" t="e">
        <f t="shared" si="17"/>
        <v>#DIV/0!</v>
      </c>
      <c r="H48" s="10" t="e">
        <f t="shared" si="17"/>
        <v>#DIV/0!</v>
      </c>
      <c r="I48" s="10" t="e">
        <f t="shared" si="17"/>
        <v>#DIV/0!</v>
      </c>
      <c r="J48" s="10" t="e">
        <f t="shared" si="17"/>
        <v>#DIV/0!</v>
      </c>
      <c r="K48" s="14" t="e">
        <f t="shared" si="17"/>
        <v>#DIV/0!</v>
      </c>
      <c r="L48" s="1"/>
    </row>
    <row r="49" spans="2:14" x14ac:dyDescent="0.25">
      <c r="B49" s="3"/>
      <c r="C49" s="24"/>
      <c r="D49" s="16"/>
      <c r="E49" s="16"/>
      <c r="F49" s="16"/>
      <c r="G49" s="16"/>
      <c r="H49" s="16"/>
      <c r="I49" s="16"/>
      <c r="J49" s="16"/>
      <c r="K49" s="17"/>
      <c r="L49" s="1"/>
    </row>
    <row r="50" spans="2:14" x14ac:dyDescent="0.25">
      <c r="B50" s="3"/>
      <c r="C50" s="24" t="s">
        <v>46</v>
      </c>
      <c r="D50" s="16" t="e">
        <f t="shared" ref="D50:K50" si="18">2*D2*(D30-D4)*D9^2/(9*D47)</f>
        <v>#DIV/0!</v>
      </c>
      <c r="E50" s="16" t="e">
        <f t="shared" si="18"/>
        <v>#DIV/0!</v>
      </c>
      <c r="F50" s="16" t="e">
        <f t="shared" si="18"/>
        <v>#DIV/0!</v>
      </c>
      <c r="G50" s="16" t="e">
        <f t="shared" si="18"/>
        <v>#DIV/0!</v>
      </c>
      <c r="H50" s="16" t="e">
        <f t="shared" si="18"/>
        <v>#DIV/0!</v>
      </c>
      <c r="I50" s="16" t="e">
        <f t="shared" si="18"/>
        <v>#DIV/0!</v>
      </c>
      <c r="J50" s="16" t="e">
        <f t="shared" si="18"/>
        <v>#DIV/0!</v>
      </c>
      <c r="K50" s="17" t="e">
        <f t="shared" si="18"/>
        <v>#DIV/0!</v>
      </c>
      <c r="L50" s="1"/>
    </row>
    <row r="51" spans="2:14" x14ac:dyDescent="0.25">
      <c r="B51" s="3"/>
      <c r="C51" s="24" t="s">
        <v>47</v>
      </c>
      <c r="D51" s="16" t="e">
        <f t="shared" ref="D51:K51" si="19">SQRT((2*D2*D9^2*D31/(9*D47))^2+(2*D2*D9^2*D5/(9*D47))^2+(4*D2*(D30-D4)*D9*D10/(9*D47))^2+(2*D2*(D30-D4)*D9^2*D48/(9*D47^2))^2)</f>
        <v>#DIV/0!</v>
      </c>
      <c r="E51" s="16" t="e">
        <f t="shared" si="19"/>
        <v>#DIV/0!</v>
      </c>
      <c r="F51" s="16" t="e">
        <f t="shared" si="19"/>
        <v>#DIV/0!</v>
      </c>
      <c r="G51" s="16" t="e">
        <f t="shared" si="19"/>
        <v>#DIV/0!</v>
      </c>
      <c r="H51" s="16" t="e">
        <f t="shared" si="19"/>
        <v>#DIV/0!</v>
      </c>
      <c r="I51" s="16" t="e">
        <f t="shared" si="19"/>
        <v>#DIV/0!</v>
      </c>
      <c r="J51" s="16" t="e">
        <f t="shared" si="19"/>
        <v>#DIV/0!</v>
      </c>
      <c r="K51" s="17" t="e">
        <f t="shared" si="19"/>
        <v>#DIV/0!</v>
      </c>
      <c r="L51" s="1"/>
    </row>
    <row r="52" spans="2:14" x14ac:dyDescent="0.25">
      <c r="B52" s="3"/>
      <c r="C52" s="31"/>
      <c r="D52" s="29"/>
      <c r="E52" s="29"/>
      <c r="F52" s="29"/>
      <c r="G52" s="29"/>
      <c r="H52" s="29"/>
      <c r="I52" s="29"/>
      <c r="J52" s="29"/>
      <c r="K52" s="30"/>
      <c r="L52" s="1"/>
    </row>
    <row r="53" spans="2:14" x14ac:dyDescent="0.25">
      <c r="B53" s="3"/>
      <c r="C53" s="24" t="s">
        <v>7</v>
      </c>
      <c r="D53" s="16" t="e">
        <f t="shared" ref="D53:K53" si="20">D4*D27*2*D9/D47</f>
        <v>#DIV/0!</v>
      </c>
      <c r="E53" s="16" t="e">
        <f t="shared" si="20"/>
        <v>#DIV/0!</v>
      </c>
      <c r="F53" s="16" t="e">
        <f t="shared" si="20"/>
        <v>#DIV/0!</v>
      </c>
      <c r="G53" s="16" t="e">
        <f t="shared" si="20"/>
        <v>#DIV/0!</v>
      </c>
      <c r="H53" s="16" t="e">
        <f t="shared" si="20"/>
        <v>#DIV/0!</v>
      </c>
      <c r="I53" s="16" t="e">
        <f t="shared" si="20"/>
        <v>#DIV/0!</v>
      </c>
      <c r="J53" s="16" t="e">
        <f t="shared" si="20"/>
        <v>#DIV/0!</v>
      </c>
      <c r="K53" s="17" t="e">
        <f t="shared" si="20"/>
        <v>#DIV/0!</v>
      </c>
    </row>
    <row r="54" spans="2:14" x14ac:dyDescent="0.25">
      <c r="B54" s="3"/>
      <c r="C54" s="24" t="s">
        <v>9</v>
      </c>
      <c r="D54" s="18"/>
      <c r="E54" s="18"/>
      <c r="F54" s="18"/>
      <c r="G54" s="18"/>
      <c r="H54" s="18"/>
      <c r="I54" s="18"/>
      <c r="J54" s="18"/>
      <c r="K54" s="19"/>
      <c r="L54" s="1"/>
      <c r="M54" s="4" t="s">
        <v>11</v>
      </c>
      <c r="N54" s="4"/>
    </row>
    <row r="55" spans="2:14" x14ac:dyDescent="0.25">
      <c r="B55" s="1"/>
      <c r="C55" s="24"/>
      <c r="D55" s="16"/>
      <c r="E55" s="16"/>
      <c r="F55" s="16"/>
      <c r="G55" s="16"/>
      <c r="H55" s="16"/>
      <c r="I55" s="16"/>
      <c r="J55" s="16"/>
      <c r="K55" s="17"/>
      <c r="L55" s="1"/>
    </row>
    <row r="56" spans="2:14" x14ac:dyDescent="0.25">
      <c r="B56" s="1"/>
      <c r="C56" s="24" t="s">
        <v>8</v>
      </c>
      <c r="D56" s="16" t="e">
        <f t="shared" ref="D56:K56" si="21">D27/D50</f>
        <v>#DIV/0!</v>
      </c>
      <c r="E56" s="16" t="e">
        <f t="shared" si="21"/>
        <v>#DIV/0!</v>
      </c>
      <c r="F56" s="16" t="e">
        <f t="shared" si="21"/>
        <v>#DIV/0!</v>
      </c>
      <c r="G56" s="16" t="e">
        <f t="shared" si="21"/>
        <v>#DIV/0!</v>
      </c>
      <c r="H56" s="16" t="e">
        <f t="shared" si="21"/>
        <v>#DIV/0!</v>
      </c>
      <c r="I56" s="16" t="e">
        <f t="shared" si="21"/>
        <v>#DIV/0!</v>
      </c>
      <c r="J56" s="16" t="e">
        <f t="shared" si="21"/>
        <v>#DIV/0!</v>
      </c>
      <c r="K56" s="17" t="e">
        <f t="shared" si="21"/>
        <v>#DIV/0!</v>
      </c>
      <c r="L56" s="1"/>
    </row>
    <row r="57" spans="2:14" x14ac:dyDescent="0.25">
      <c r="B57" s="1"/>
      <c r="C57" s="25" t="s">
        <v>10</v>
      </c>
      <c r="D57" s="20"/>
      <c r="E57" s="20"/>
      <c r="F57" s="20"/>
      <c r="G57" s="20"/>
      <c r="H57" s="20"/>
      <c r="I57" s="20"/>
      <c r="J57" s="20"/>
      <c r="K57" s="21"/>
      <c r="L57" s="1"/>
      <c r="M57" s="4" t="s">
        <v>11</v>
      </c>
      <c r="N57" s="4"/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2:12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2:12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2:12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2:12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2:12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2:12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2:12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2:12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F3D85-B426-44A9-B499-5A802BDCE832}">
  <dimension ref="X6"/>
  <sheetViews>
    <sheetView workbookViewId="0">
      <selection activeCell="X26" sqref="X26"/>
    </sheetView>
  </sheetViews>
  <sheetFormatPr defaultRowHeight="15" x14ac:dyDescent="0.25"/>
  <sheetData>
    <row r="6" spans="24:24" x14ac:dyDescent="0.25">
      <c r="X6" s="1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6456-E29E-4585-9C46-565F4F2D620E}">
  <dimension ref="A1"/>
  <sheetViews>
    <sheetView workbookViewId="0">
      <selection activeCell="X12" sqref="X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4EFC1-02AB-4775-92E2-69B68AD6AD89}">
  <dimension ref="B6:I36"/>
  <sheetViews>
    <sheetView topLeftCell="A4" workbookViewId="0">
      <selection activeCell="B13" sqref="B13"/>
    </sheetView>
  </sheetViews>
  <sheetFormatPr defaultRowHeight="15" x14ac:dyDescent="0.25"/>
  <cols>
    <col min="4" max="4" width="32.28515625" customWidth="1"/>
    <col min="5" max="9" width="9.5703125" bestFit="1" customWidth="1"/>
    <col min="12" max="17" width="9.140625" customWidth="1"/>
  </cols>
  <sheetData>
    <row r="6" spans="4:9" x14ac:dyDescent="0.25">
      <c r="D6" s="39" t="s">
        <v>48</v>
      </c>
      <c r="E6" s="40"/>
      <c r="F6" s="40"/>
      <c r="G6" s="40"/>
      <c r="H6" s="40"/>
      <c r="I6" s="40"/>
    </row>
    <row r="7" spans="4:9" x14ac:dyDescent="0.25">
      <c r="D7" s="37" t="s">
        <v>22</v>
      </c>
      <c r="E7" s="38"/>
      <c r="F7" s="38"/>
      <c r="G7" s="38"/>
      <c r="H7" s="38"/>
      <c r="I7" s="38"/>
    </row>
    <row r="8" spans="4:9" x14ac:dyDescent="0.25">
      <c r="D8" s="41" t="s">
        <v>49</v>
      </c>
      <c r="E8" s="42"/>
      <c r="F8" s="42"/>
      <c r="G8" s="42"/>
      <c r="H8" s="42"/>
      <c r="I8" s="42"/>
    </row>
    <row r="9" spans="4:9" x14ac:dyDescent="0.25">
      <c r="D9" s="35" t="s">
        <v>50</v>
      </c>
      <c r="E9" s="33"/>
      <c r="F9" s="33"/>
      <c r="G9" s="33"/>
      <c r="H9" s="33"/>
      <c r="I9" s="33"/>
    </row>
    <row r="10" spans="4:9" x14ac:dyDescent="0.25">
      <c r="E10" s="3"/>
      <c r="F10" s="3"/>
      <c r="G10" s="3"/>
      <c r="H10" s="3"/>
      <c r="I10" s="3"/>
    </row>
    <row r="11" spans="4:9" x14ac:dyDescent="0.25">
      <c r="D11" s="34" t="s">
        <v>51</v>
      </c>
      <c r="E11" s="32">
        <v>7.5000000000000002E-4</v>
      </c>
      <c r="F11" s="3"/>
      <c r="I11" s="3"/>
    </row>
    <row r="12" spans="4:9" x14ac:dyDescent="0.25">
      <c r="D12" s="39" t="s">
        <v>52</v>
      </c>
      <c r="E12" s="40">
        <v>1.0000000000000001E-5</v>
      </c>
      <c r="F12" s="3"/>
      <c r="I12" s="3"/>
    </row>
    <row r="13" spans="4:9" x14ac:dyDescent="0.25">
      <c r="D13" s="35" t="s">
        <v>53</v>
      </c>
      <c r="E13" s="33">
        <v>0.1</v>
      </c>
      <c r="F13" s="3"/>
      <c r="I13" s="3"/>
    </row>
    <row r="14" spans="4:9" x14ac:dyDescent="0.25">
      <c r="D14" s="37" t="s">
        <v>54</v>
      </c>
      <c r="E14" s="38">
        <v>5.0000000000000001E-3</v>
      </c>
      <c r="F14" s="3"/>
      <c r="I14" s="3"/>
    </row>
    <row r="15" spans="4:9" x14ac:dyDescent="0.25">
      <c r="D15" s="28" t="s">
        <v>57</v>
      </c>
      <c r="E15" s="32"/>
      <c r="F15" s="3"/>
      <c r="G15" s="3"/>
      <c r="H15" s="3"/>
      <c r="I15" s="3"/>
    </row>
    <row r="16" spans="4:9" x14ac:dyDescent="0.25">
      <c r="D16" s="43" t="s">
        <v>59</v>
      </c>
      <c r="E16" s="40"/>
      <c r="F16" s="1"/>
    </row>
    <row r="17" spans="2:6" x14ac:dyDescent="0.25">
      <c r="D17" s="44" t="s">
        <v>58</v>
      </c>
      <c r="E17" s="33"/>
    </row>
    <row r="18" spans="2:6" x14ac:dyDescent="0.25">
      <c r="D18" s="45" t="s">
        <v>60</v>
      </c>
      <c r="E18" s="38"/>
    </row>
    <row r="19" spans="2:6" x14ac:dyDescent="0.25">
      <c r="D19" s="69" t="s">
        <v>70</v>
      </c>
      <c r="E19" s="32"/>
    </row>
    <row r="20" spans="2:6" x14ac:dyDescent="0.25">
      <c r="D20" s="39" t="s">
        <v>28</v>
      </c>
      <c r="E20" s="40"/>
    </row>
    <row r="21" spans="2:6" x14ac:dyDescent="0.25">
      <c r="D21" s="46" t="s">
        <v>61</v>
      </c>
      <c r="E21" s="33">
        <v>9.81</v>
      </c>
    </row>
    <row r="23" spans="2:6" x14ac:dyDescent="0.25">
      <c r="D23" s="34" t="s">
        <v>55</v>
      </c>
      <c r="E23" s="32">
        <f>(E15+E17)/2</f>
        <v>0</v>
      </c>
      <c r="F23" s="1"/>
    </row>
    <row r="24" spans="2:6" x14ac:dyDescent="0.25">
      <c r="D24" s="34" t="s">
        <v>56</v>
      </c>
      <c r="E24" s="32" t="e">
        <f>SQRT((E16/E15)^2+(E18/E17)^2)</f>
        <v>#DIV/0!</v>
      </c>
    </row>
    <row r="26" spans="2:6" x14ac:dyDescent="0.25">
      <c r="B26" t="s">
        <v>45</v>
      </c>
      <c r="C26" s="1" t="s">
        <v>12</v>
      </c>
      <c r="D26" s="46" t="s">
        <v>62</v>
      </c>
      <c r="E26" s="33"/>
    </row>
    <row r="27" spans="2:6" x14ac:dyDescent="0.25">
      <c r="B27" t="s">
        <v>66</v>
      </c>
      <c r="D27" s="46" t="s">
        <v>63</v>
      </c>
      <c r="E27" s="33" t="e">
        <f>(I8+I9-(E8-E9))/(I6-E6)-E26</f>
        <v>#DIV/0!</v>
      </c>
      <c r="F27" s="1"/>
    </row>
    <row r="28" spans="2:6" x14ac:dyDescent="0.25">
      <c r="E28" s="3"/>
    </row>
    <row r="29" spans="2:6" x14ac:dyDescent="0.25">
      <c r="D29" s="34" t="s">
        <v>41</v>
      </c>
      <c r="E29" s="32" t="e">
        <f>(PI()*E19*E21*E23*E11^4)/(8*E13*E26)</f>
        <v>#DIV/0!</v>
      </c>
    </row>
    <row r="30" spans="2:6" x14ac:dyDescent="0.25">
      <c r="D30" s="34" t="s">
        <v>42</v>
      </c>
      <c r="E30" s="32" t="e">
        <f>E29*SQRT((E20/E19)^2+(E24/E23)^2+(4*E12/E11)^2+(E14/E13)^2+(E27/E26)^2)</f>
        <v>#DIV/0!</v>
      </c>
    </row>
    <row r="31" spans="2:6" x14ac:dyDescent="0.25">
      <c r="E31" s="3"/>
    </row>
    <row r="32" spans="2:6" x14ac:dyDescent="0.25">
      <c r="D32" s="35" t="s">
        <v>13</v>
      </c>
      <c r="E32" s="33" t="e">
        <f>(E19*E26*E13)/(PI()*E29*E11^2)</f>
        <v>#DIV/0!</v>
      </c>
      <c r="F32" t="s">
        <v>14</v>
      </c>
    </row>
    <row r="33" spans="4:5" x14ac:dyDescent="0.25">
      <c r="E33" s="3"/>
    </row>
    <row r="34" spans="4:5" x14ac:dyDescent="0.25">
      <c r="D34" s="34" t="s">
        <v>43</v>
      </c>
      <c r="E34" s="32" t="e">
        <f>Sheet1!D47</f>
        <v>#DIV/0!</v>
      </c>
    </row>
    <row r="35" spans="4:5" x14ac:dyDescent="0.25">
      <c r="D35" s="34" t="s">
        <v>44</v>
      </c>
      <c r="E35" s="32" t="e">
        <f>Sheet1!D48</f>
        <v>#REF!</v>
      </c>
    </row>
    <row r="36" spans="4:5" x14ac:dyDescent="0.25">
      <c r="D36" s="34" t="s">
        <v>15</v>
      </c>
      <c r="E36" s="32" t="e">
        <f>(E34-E29)/SQRT(E30^2+E35^2)</f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A. Kesting</dc:creator>
  <cp:lastModifiedBy>Jan A. Kesting</cp:lastModifiedBy>
  <dcterms:created xsi:type="dcterms:W3CDTF">2021-10-25T12:22:01Z</dcterms:created>
  <dcterms:modified xsi:type="dcterms:W3CDTF">2021-10-29T21:30:09Z</dcterms:modified>
</cp:coreProperties>
</file>