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elich/Documents/Maestria/Contabilidad Fiannciera/Practicas y Ejercicios/"/>
    </mc:Choice>
  </mc:AlternateContent>
  <xr:revisionPtr revIDLastSave="0" documentId="13_ncr:1_{FC103E1A-6FDF-544F-B51B-E349ECA8F1B5}" xr6:coauthVersionLast="47" xr6:coauthVersionMax="47" xr10:uidLastSave="{00000000-0000-0000-0000-000000000000}"/>
  <bookViews>
    <workbookView xWindow="0" yWindow="0" windowWidth="28800" windowHeight="18000" firstSheet="1" activeTab="4" xr2:uid="{97A3A86E-29A0-224A-BEB6-F92B0D07D709}"/>
  </bookViews>
  <sheets>
    <sheet name="Practico 5" sheetId="1" r:id="rId1"/>
    <sheet name="Practico 6" sheetId="2" r:id="rId2"/>
    <sheet name="Practico 7" sheetId="3" r:id="rId3"/>
    <sheet name="Practico 8" sheetId="4" r:id="rId4"/>
    <sheet name="Practico 9" sheetId="5" r:id="rId5"/>
    <sheet name="Practico 10" sheetId="6" r:id="rId6"/>
    <sheet name="Practico 11" sheetId="7" r:id="rId7"/>
    <sheet name="Practico 12" sheetId="8" r:id="rId8"/>
    <sheet name="Practico 13" sheetId="9" r:id="rId9"/>
    <sheet name="Practico 14" sheetId="10" r:id="rId10"/>
    <sheet name="Practico 15" sheetId="11" r:id="rId11"/>
    <sheet name="Practico 16" sheetId="12" r:id="rId12"/>
    <sheet name="Practico 17" sheetId="14" r:id="rId13"/>
    <sheet name="Practico 18" sheetId="15" r:id="rId14"/>
    <sheet name="Practico 19" sheetId="13" r:id="rId15"/>
    <sheet name="Practico 20" sheetId="16" r:id="rId16"/>
    <sheet name="Practico 21" sheetId="17" r:id="rId17"/>
    <sheet name="Practico 22" sheetId="18" r:id="rId18"/>
    <sheet name="Practico 23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9" l="1"/>
  <c r="B22" i="9"/>
  <c r="B23" i="9" s="1"/>
  <c r="B24" i="9" s="1"/>
  <c r="D26" i="8"/>
  <c r="B26" i="8"/>
  <c r="C8" i="7"/>
  <c r="E8" i="7"/>
  <c r="F8" i="7"/>
  <c r="D8" i="7"/>
  <c r="G7" i="7"/>
  <c r="B7" i="7" s="1"/>
  <c r="E7" i="7"/>
  <c r="F7" i="7"/>
  <c r="D7" i="7"/>
  <c r="D11" i="6"/>
  <c r="B32" i="5"/>
  <c r="B30" i="5"/>
  <c r="B31" i="5" s="1"/>
  <c r="B29" i="5"/>
  <c r="B28" i="5"/>
  <c r="B27" i="5"/>
  <c r="B15" i="5"/>
  <c r="B21" i="5"/>
  <c r="B24" i="5"/>
  <c r="B11" i="5"/>
  <c r="B19" i="5"/>
  <c r="B18" i="5"/>
  <c r="B16" i="5"/>
  <c r="B22" i="5"/>
  <c r="B13" i="4"/>
  <c r="B14" i="4" s="1"/>
  <c r="B12" i="4"/>
  <c r="B36" i="3"/>
  <c r="B35" i="3"/>
  <c r="B34" i="3"/>
  <c r="B31" i="3"/>
  <c r="B57" i="2"/>
  <c r="B56" i="2"/>
  <c r="B55" i="2"/>
  <c r="B54" i="2"/>
  <c r="B53" i="2"/>
  <c r="B52" i="2"/>
  <c r="B51" i="2"/>
  <c r="B46" i="2"/>
  <c r="B38" i="2"/>
  <c r="B37" i="2"/>
  <c r="B44" i="2"/>
  <c r="B45" i="2"/>
  <c r="C43" i="2"/>
  <c r="B43" i="2"/>
  <c r="B35" i="2"/>
  <c r="B32" i="2"/>
  <c r="B33" i="2" s="1"/>
  <c r="B34" i="2" s="1"/>
  <c r="B36" i="2" s="1"/>
  <c r="B31" i="2"/>
  <c r="A26" i="2"/>
  <c r="A27" i="2" s="1"/>
  <c r="B41" i="2"/>
  <c r="B13" i="1"/>
  <c r="C5" i="1"/>
  <c r="B6" i="1" s="1"/>
  <c r="B8" i="1" s="1"/>
  <c r="B28" i="2" l="1"/>
  <c r="B5" i="1"/>
  <c r="B9" i="1" s="1"/>
  <c r="B10" i="1" s="1"/>
  <c r="B11" i="1" s="1"/>
  <c r="B3" i="1"/>
  <c r="B7" i="1" s="1"/>
  <c r="B14" i="1" l="1"/>
  <c r="B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tc={03E0EC31-E761-F34E-8B51-B5291B10DA4B}</author>
  </authors>
  <commentList>
    <comment ref="B11" authorId="0" shapeId="0" xr:uid="{03E0EC31-E761-F34E-8B51-B5291B10DA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Tamaño relativo de la ampliación de capital, respecto a la ronda anterior
</t>
      </text>
    </comment>
  </commentList>
</comments>
</file>

<file path=xl/sharedStrings.xml><?xml version="1.0" encoding="utf-8"?>
<sst xmlns="http://schemas.openxmlformats.org/spreadsheetml/2006/main" count="201" uniqueCount="180">
  <si>
    <t>A</t>
  </si>
  <si>
    <t>B</t>
  </si>
  <si>
    <t>Valor Nominal</t>
  </si>
  <si>
    <t>Numero de acciones</t>
  </si>
  <si>
    <t>Cotización</t>
  </si>
  <si>
    <t>Market cap</t>
  </si>
  <si>
    <t>Cantidad de acciones a emitir</t>
  </si>
  <si>
    <t xml:space="preserve">Relación de canje </t>
  </si>
  <si>
    <t xml:space="preserve">Total de acciones </t>
  </si>
  <si>
    <t>Nuevas acciones</t>
  </si>
  <si>
    <t xml:space="preserve">Nuevas acciones valor nominal </t>
  </si>
  <si>
    <t xml:space="preserve">Prima de emisión </t>
  </si>
  <si>
    <t>Post money valuation de A</t>
  </si>
  <si>
    <t xml:space="preserve">Participación relativa de la ampliación </t>
  </si>
  <si>
    <t>Acciones</t>
  </si>
  <si>
    <t>Accionista A</t>
  </si>
  <si>
    <t>Accionista B</t>
  </si>
  <si>
    <t>C</t>
  </si>
  <si>
    <t>Aportes Irrevocables</t>
  </si>
  <si>
    <t>(31-10-06)</t>
  </si>
  <si>
    <t>Plazo perentorio</t>
  </si>
  <si>
    <t>180 días</t>
  </si>
  <si>
    <t>Part. Equity D</t>
  </si>
  <si>
    <t>(post money)</t>
  </si>
  <si>
    <t>Resultados No Asignados</t>
  </si>
  <si>
    <t>(ej. ant.)</t>
  </si>
  <si>
    <t>(res. ej.)</t>
  </si>
  <si>
    <t>Reserva Legal</t>
  </si>
  <si>
    <t>Máximo Legal</t>
  </si>
  <si>
    <t>Cálculo Delta Reserva Legal</t>
  </si>
  <si>
    <t>(&lt; dif. Saldo Anterior Reserva Legal vs. Máximo Legal)</t>
  </si>
  <si>
    <t>Capitalización RNA</t>
  </si>
  <si>
    <t>RNA</t>
  </si>
  <si>
    <t>Cantidad acciones</t>
  </si>
  <si>
    <t>(Capitalization - Protección anti-dilution)</t>
  </si>
  <si>
    <t>el 30-06 el aporte irrevocable se hubiera</t>
  </si>
  <si>
    <t>transformado en pasivo</t>
  </si>
  <si>
    <t>100% Valor post-money</t>
  </si>
  <si>
    <t>(Rta. Bullet # 2)</t>
  </si>
  <si>
    <t>(Rta. Bullet # 6)</t>
  </si>
  <si>
    <t>100% Valor pre-money</t>
  </si>
  <si>
    <t>(Rta. Bullet # 1)</t>
  </si>
  <si>
    <t>Valor económico D</t>
  </si>
  <si>
    <t>(Rta. Bullet # 3)</t>
  </si>
  <si>
    <t>Cantidad acciones D</t>
  </si>
  <si>
    <t>Acciones pre-money</t>
  </si>
  <si>
    <t>Acciones post-money (A+B+C)</t>
  </si>
  <si>
    <t>Acciones post-money (A+B+C+D)</t>
  </si>
  <si>
    <t>Acciones a favor de D</t>
  </si>
  <si>
    <t>Aporte Irrevocable</t>
  </si>
  <si>
    <t>Precio por acción</t>
  </si>
  <si>
    <t>Prima de emisión (por acción)</t>
  </si>
  <si>
    <t>Nuevas acciones de mercado</t>
  </si>
  <si>
    <t>Precio</t>
  </si>
  <si>
    <t xml:space="preserve">Capital de mercado </t>
  </si>
  <si>
    <t>Acciones pre-money (A+B+C+D)</t>
  </si>
  <si>
    <t>Acciones post-money (A+B+C+D+M)</t>
  </si>
  <si>
    <t>Valor pre money</t>
  </si>
  <si>
    <t>Valor post money</t>
  </si>
  <si>
    <t>Total de prima</t>
  </si>
  <si>
    <t>(Capitalization - Sin Protección anti-dilución)</t>
  </si>
  <si>
    <t>Acciones pre Money</t>
  </si>
  <si>
    <t>Acciones post money</t>
  </si>
  <si>
    <t>Acciones de D</t>
  </si>
  <si>
    <t>Acciones post money + capital</t>
  </si>
  <si>
    <t>Particiapación post capitalización</t>
  </si>
  <si>
    <t xml:space="preserve">Valor economico </t>
  </si>
  <si>
    <t xml:space="preserve">Precio por acción </t>
  </si>
  <si>
    <t>Prima de la acción</t>
  </si>
  <si>
    <t>Eiercicio Práctico # 7 - Convertible: La Compañía XX presenta la siguiente información:</t>
  </si>
  <si>
    <t>Estado Patrimonial</t>
  </si>
  <si>
    <t>Año 0</t>
  </si>
  <si>
    <t>Año 1</t>
  </si>
  <si>
    <t>Caja y Bancos</t>
  </si>
  <si>
    <t>Bienes de Cambio</t>
  </si>
  <si>
    <t>Bienes de Uso</t>
  </si>
  <si>
    <t>Proveedores</t>
  </si>
  <si>
    <t>Deuda Bancaria</t>
  </si>
  <si>
    <t>Deuda Convertible</t>
  </si>
  <si>
    <t>Capital(1)</t>
  </si>
  <si>
    <t>Prima de Emisión</t>
  </si>
  <si>
    <t>Cash Flow</t>
  </si>
  <si>
    <t>Ventas</t>
  </si>
  <si>
    <t>Costos</t>
  </si>
  <si>
    <t>Gastos Administración(2)</t>
  </si>
  <si>
    <t>(20</t>
  </si>
  <si>
    <t>Gastos Comercialización</t>
  </si>
  <si>
    <t>EBITDA</t>
  </si>
  <si>
    <t>Variación Cap. Trabajo</t>
  </si>
  <si>
    <t>1- Cash Flow Operativo</t>
  </si>
  <si>
    <t>Cancelación Deuda Convertible</t>
  </si>
  <si>
    <t>2- Cash Flow Financiero</t>
  </si>
  <si>
    <t>Cash now Neto 3= 1 + 2</t>
  </si>
  <si>
    <t>Diferencia</t>
  </si>
  <si>
    <t>Es lo que queda de la cancelación</t>
  </si>
  <si>
    <t>Va a capital</t>
  </si>
  <si>
    <t>A la prima de capital</t>
  </si>
  <si>
    <t>VALOR PORCENTUAL  DEL EQUITU</t>
  </si>
  <si>
    <t>MONTO DE PRIMA DE EMISION</t>
  </si>
  <si>
    <t xml:space="preserve">Se emitieron X acciones a un valor de </t>
  </si>
  <si>
    <t>Prima de emisión total</t>
  </si>
  <si>
    <t>Prima de emisión por acción</t>
  </si>
  <si>
    <t>Respusta 2</t>
  </si>
  <si>
    <t>Respuesta 1</t>
  </si>
  <si>
    <t>Cotabiliazar</t>
  </si>
  <si>
    <t>Pra</t>
  </si>
  <si>
    <t>Empresa XX</t>
  </si>
  <si>
    <t>Valor nominal</t>
  </si>
  <si>
    <t>Fecha de escisión</t>
  </si>
  <si>
    <t>Company value</t>
  </si>
  <si>
    <t>Debt value</t>
  </si>
  <si>
    <t>Pasivos Marca A</t>
  </si>
  <si>
    <t>Pasivos Marca B</t>
  </si>
  <si>
    <t>Equity value Marca A</t>
  </si>
  <si>
    <t>Equity value Marca B</t>
  </si>
  <si>
    <t>XX sa</t>
  </si>
  <si>
    <t>Accionistas</t>
  </si>
  <si>
    <t>Aumento de capital</t>
  </si>
  <si>
    <t>Vn$</t>
  </si>
  <si>
    <t>Cantidad de acciones pre money</t>
  </si>
  <si>
    <t>Cantidad de acciones post money</t>
  </si>
  <si>
    <t>Cantidad de cupones por acción</t>
  </si>
  <si>
    <t>Cantidad total de cupones</t>
  </si>
  <si>
    <t>Cantidad de cupones necesarios</t>
  </si>
  <si>
    <t>Dinero pre money</t>
  </si>
  <si>
    <t>Dinero post money</t>
  </si>
  <si>
    <t>Valor de la acción pre money</t>
  </si>
  <si>
    <t>Equity value pre money</t>
  </si>
  <si>
    <t>Equity value post money</t>
  </si>
  <si>
    <t>Equity a $25</t>
  </si>
  <si>
    <t>Pre money</t>
  </si>
  <si>
    <t>Aporte a 25</t>
  </si>
  <si>
    <t xml:space="preserve">Post Money </t>
  </si>
  <si>
    <t>Prima total de emisión</t>
  </si>
  <si>
    <t>Valor Libro sobre valor equity</t>
  </si>
  <si>
    <t>Patrimonio Neto</t>
  </si>
  <si>
    <t>Año T</t>
  </si>
  <si>
    <t>Año T + 1</t>
  </si>
  <si>
    <t>Capital</t>
  </si>
  <si>
    <t>Reserva legal</t>
  </si>
  <si>
    <t>Resesa Facultativa</t>
  </si>
  <si>
    <t>del ejercicio</t>
  </si>
  <si>
    <t>Total Patrimonio Neto</t>
  </si>
  <si>
    <t>Estado de Resultados</t>
  </si>
  <si>
    <t>Costo</t>
  </si>
  <si>
    <t>Resultado Bruto</t>
  </si>
  <si>
    <t>Gastos de Adm Comerc</t>
  </si>
  <si>
    <t>Resultado Ordinario</t>
  </si>
  <si>
    <t>Impuesto a las Ganandas</t>
  </si>
  <si>
    <t>Resultado Neto</t>
  </si>
  <si>
    <t>Resultados no Asignados</t>
  </si>
  <si>
    <t>de Ejercicosa anteriores</t>
  </si>
  <si>
    <t xml:space="preserve">Dif </t>
  </si>
  <si>
    <t>Sociedad XX</t>
  </si>
  <si>
    <t xml:space="preserve">Tipo de Acciones </t>
  </si>
  <si>
    <t>Acciones ordinarias, 1 voto por acción</t>
  </si>
  <si>
    <t>Acciones preferidas, sin voto</t>
  </si>
  <si>
    <t># de acciones</t>
  </si>
  <si>
    <t>D</t>
  </si>
  <si>
    <t>La Ley de Sociedades del país YY establece que el quórum de la asamblea ordinaria en primera convocatoria se constituye con la presencia de accionistas que representen al menos el 60% del capital con derecho a voto, en tanto que las decisiones serán válidas con el voto de la mayoría absoluta de los votos presentes. El día 31-05 se celebró la asamblea con la presencia de los accionistas A, B y C. A votó el orden del día en un sentido, mientras que B y C lo hicieron en sentido contrario, por lo cual el Presidente de la asamblea concluyó que la posición de A se había impuesto sobre el resto. Por favor indique si, con la información con que Ud. cuenta, existen razones para que cualquier accionista distinto de A pueda impugnar la asamblea precitada.</t>
  </si>
  <si>
    <t>Respuesta: La asamblea comenzo con más del 60% de los accionistas con derecho a voto, por lo cual la asamblea fue valida. En la misma, A tiene mayoria, por lo que es valido y ni hay razon a impugnar</t>
  </si>
  <si>
    <t>Tenencias de A en C</t>
  </si>
  <si>
    <t>Tenencias de D en F</t>
  </si>
  <si>
    <t>Tenencia de A en B</t>
  </si>
  <si>
    <t>Tenencia de B en C</t>
  </si>
  <si>
    <t xml:space="preserve">Tenencia indirecta </t>
  </si>
  <si>
    <t>Tenencia de D en E</t>
  </si>
  <si>
    <t>Tenencia de E en F</t>
  </si>
  <si>
    <t>Tenencia indirecta</t>
  </si>
  <si>
    <t>Ninguno es controlante directo o indirecto, ya que siempre pierden  con el controlante. A pierde con el de B y D con el de F</t>
  </si>
  <si>
    <t>Oferta Combinada</t>
  </si>
  <si>
    <t>Oferta Primaria</t>
  </si>
  <si>
    <t xml:space="preserve">Oferta Secundaria </t>
  </si>
  <si>
    <t>Monto total depositado</t>
  </si>
  <si>
    <t>Capital social pre money</t>
  </si>
  <si>
    <t xml:space="preserve">Valor pre money </t>
  </si>
  <si>
    <t xml:space="preserve">Valor post money </t>
  </si>
  <si>
    <t xml:space="preserve">% de las acciones de ampliación </t>
  </si>
  <si>
    <t>Precio por acción (post money)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</si>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</sst>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_(* #,##0.000_);_(* \(#,##0.000\);_(* &quot;-&quot;?_);_(@_)"/>
  </numFmts>
  <fonts count="9">
    <font>
      <sz val="12"/>
      <color theme="1"/>
      <name val="HK Grotesk"/>
      <family val="2"/>
    </font>
    <font>
      <sz val="12"/>
      <color theme="1"/>
      <name val="HK Grotesk"/>
      <family val="2"/>
    </font>
    <font>
      <b/>
      <sz val="11"/>
      <color theme="1"/>
      <name val="Times"/>
      <family val="1"/>
    </font>
    <font>
      <b/>
      <u/>
      <sz val="14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sz val="14"/>
      <color theme="1"/>
      <name val="HK Grotesk"/>
      <family val="2"/>
    </font>
    <font>
      <sz val="10"/>
      <color theme="1"/>
      <name val="CIDFont+F3"/>
    </font>
    <font>
      <sz val="10"/>
      <color theme="1"/>
      <name val="CIDFont+F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43" fontId="0" fillId="0" borderId="0" xfId="1" applyFont="1"/>
    <xf numFmtId="0" fontId="0" fillId="0" borderId="0" xfId="0" applyAlignment="1">
      <alignment horizontal="left" indent="1"/>
    </xf>
    <xf numFmtId="14" fontId="0" fillId="0" borderId="0" xfId="0" applyNumberFormat="1"/>
    <xf numFmtId="14" fontId="2" fillId="0" borderId="0" xfId="0" applyNumberFormat="1" applyFont="1"/>
    <xf numFmtId="14" fontId="2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left" wrapText="1" indent="1"/>
    </xf>
    <xf numFmtId="165" fontId="0" fillId="0" borderId="0" xfId="0" applyNumberForma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5" fillId="0" borderId="0" xfId="0" applyNumberFormat="1" applyFont="1"/>
    <xf numFmtId="9" fontId="5" fillId="0" borderId="0" xfId="0" applyNumberFormat="1" applyFont="1"/>
    <xf numFmtId="10" fontId="5" fillId="0" borderId="0" xfId="0" applyNumberFormat="1" applyFont="1"/>
    <xf numFmtId="10" fontId="4" fillId="0" borderId="0" xfId="2" applyNumberFormat="1" applyFont="1"/>
    <xf numFmtId="3" fontId="4" fillId="0" borderId="0" xfId="0" applyNumberFormat="1" applyFont="1"/>
    <xf numFmtId="2" fontId="5" fillId="0" borderId="0" xfId="0" applyNumberFormat="1" applyFont="1"/>
    <xf numFmtId="9" fontId="0" fillId="0" borderId="0" xfId="2" applyFont="1"/>
    <xf numFmtId="166" fontId="0" fillId="0" borderId="0" xfId="2" applyNumberFormat="1" applyFont="1"/>
    <xf numFmtId="9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43" fontId="0" fillId="0" borderId="0" xfId="0" applyNumberFormat="1"/>
    <xf numFmtId="0" fontId="7" fillId="0" borderId="0" xfId="0" applyFont="1"/>
    <xf numFmtId="0" fontId="8" fillId="0" borderId="0" xfId="0" applyFont="1"/>
    <xf numFmtId="3" fontId="0" fillId="0" borderId="0" xfId="0" applyNumberFormat="1"/>
    <xf numFmtId="3" fontId="8" fillId="0" borderId="0" xfId="0" applyNumberFormat="1" applyFont="1"/>
    <xf numFmtId="3" fontId="7" fillId="0" borderId="0" xfId="0" applyNumberFormat="1" applyFont="1"/>
    <xf numFmtId="0" fontId="0" fillId="0" borderId="0" xfId="0" applyAlignment="1">
      <alignment wrapText="1"/>
    </xf>
    <xf numFmtId="164" fontId="0" fillId="3" borderId="0" xfId="1" applyNumberFormat="1" applyFont="1" applyFill="1"/>
    <xf numFmtId="167" fontId="0" fillId="0" borderId="0" xfId="0" applyNumberFormat="1"/>
    <xf numFmtId="0" fontId="0" fillId="3" borderId="0" xfId="0" applyFill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23</xdr:row>
      <xdr:rowOff>114300</xdr:rowOff>
    </xdr:from>
    <xdr:to>
      <xdr:col>5</xdr:col>
      <xdr:colOff>749300</xdr:colOff>
      <xdr:row>23</xdr:row>
      <xdr:rowOff>114300</xdr:rowOff>
    </xdr:to>
    <xdr:sp macro="" textlink="">
      <xdr:nvSpPr>
        <xdr:cNvPr id="2" name="Line 5">
          <a:extLst>
            <a:ext uri="{FF2B5EF4-FFF2-40B4-BE49-F238E27FC236}">
              <a16:creationId xmlns:a16="http://schemas.microsoft.com/office/drawing/2014/main" id="{D29F06B2-C39B-CB45-B0E8-130169BC81D6}"/>
            </a:ext>
          </a:extLst>
        </xdr:cNvPr>
        <xdr:cNvSpPr>
          <a:spLocks noChangeShapeType="1"/>
        </xdr:cNvSpPr>
      </xdr:nvSpPr>
      <xdr:spPr bwMode="auto">
        <a:xfrm>
          <a:off x="5156200" y="5803900"/>
          <a:ext cx="1409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38</xdr:row>
      <xdr:rowOff>102181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559833-F36D-7A16-A3FB-87A3CF9DF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830638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35</xdr:row>
      <xdr:rowOff>10073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573E75-0720-4E71-A624-F5E73E2E2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756657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444500</xdr:colOff>
      <xdr:row>35</xdr:row>
      <xdr:rowOff>203200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B11862-53C5-0676-FE2A-37BDB799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59500" cy="7759700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0</xdr:row>
      <xdr:rowOff>12700</xdr:rowOff>
    </xdr:from>
    <xdr:to>
      <xdr:col>12</xdr:col>
      <xdr:colOff>787400</xdr:colOff>
      <xdr:row>34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A69A7B-E6CC-80FE-A8C7-FB569248E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6800" y="12700"/>
          <a:ext cx="6070600" cy="746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0</xdr:col>
      <xdr:colOff>1854200</xdr:colOff>
      <xdr:row>57</xdr:row>
      <xdr:rowOff>12700</xdr:rowOff>
    </xdr:to>
    <xdr:pic>
      <xdr:nvPicPr>
        <xdr:cNvPr id="2" name="Picture 1" descr="page1image3182189488">
          <a:extLst>
            <a:ext uri="{FF2B5EF4-FFF2-40B4-BE49-F238E27FC236}">
              <a16:creationId xmlns:a16="http://schemas.microsoft.com/office/drawing/2014/main" id="{B048640D-7F5C-0FA6-A1CF-6D50381A9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90400"/>
          <a:ext cx="18542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558800</xdr:colOff>
      <xdr:row>58</xdr:row>
      <xdr:rowOff>0</xdr:rowOff>
    </xdr:to>
    <xdr:pic>
      <xdr:nvPicPr>
        <xdr:cNvPr id="3" name="Picture 2" descr="page1image3182236256">
          <a:extLst>
            <a:ext uri="{FF2B5EF4-FFF2-40B4-BE49-F238E27FC236}">
              <a16:creationId xmlns:a16="http://schemas.microsoft.com/office/drawing/2014/main" id="{792C7BFD-F9BC-E0B6-9956-00D68BAF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630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571500</xdr:colOff>
      <xdr:row>58</xdr:row>
      <xdr:rowOff>0</xdr:rowOff>
    </xdr:from>
    <xdr:to>
      <xdr:col>0</xdr:col>
      <xdr:colOff>1587500</xdr:colOff>
      <xdr:row>58</xdr:row>
      <xdr:rowOff>12700</xdr:rowOff>
    </xdr:to>
    <xdr:pic>
      <xdr:nvPicPr>
        <xdr:cNvPr id="4" name="Picture 3" descr="page1image3182236544">
          <a:extLst>
            <a:ext uri="{FF2B5EF4-FFF2-40B4-BE49-F238E27FC236}">
              <a16:creationId xmlns:a16="http://schemas.microsoft.com/office/drawing/2014/main" id="{E779A674-8A26-BBB1-6E17-9A5561A83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2306300"/>
          <a:ext cx="1016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647700</xdr:colOff>
      <xdr:row>58</xdr:row>
      <xdr:rowOff>0</xdr:rowOff>
    </xdr:from>
    <xdr:to>
      <xdr:col>2</xdr:col>
      <xdr:colOff>469900</xdr:colOff>
      <xdr:row>58</xdr:row>
      <xdr:rowOff>12700</xdr:rowOff>
    </xdr:to>
    <xdr:pic>
      <xdr:nvPicPr>
        <xdr:cNvPr id="5" name="Picture 4" descr="page1image3182237168">
          <a:extLst>
            <a:ext uri="{FF2B5EF4-FFF2-40B4-BE49-F238E27FC236}">
              <a16:creationId xmlns:a16="http://schemas.microsoft.com/office/drawing/2014/main" id="{E0B10068-8F5E-F32A-F372-1C214D131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2306300"/>
          <a:ext cx="1016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723900</xdr:colOff>
      <xdr:row>58</xdr:row>
      <xdr:rowOff>0</xdr:rowOff>
    </xdr:from>
    <xdr:to>
      <xdr:col>3</xdr:col>
      <xdr:colOff>444500</xdr:colOff>
      <xdr:row>58</xdr:row>
      <xdr:rowOff>12700</xdr:rowOff>
    </xdr:to>
    <xdr:pic>
      <xdr:nvPicPr>
        <xdr:cNvPr id="6" name="Picture 5" descr="page1image3182237888">
          <a:extLst>
            <a:ext uri="{FF2B5EF4-FFF2-40B4-BE49-F238E27FC236}">
              <a16:creationId xmlns:a16="http://schemas.microsoft.com/office/drawing/2014/main" id="{35BF7257-2177-C555-7D31-C130B535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2306300"/>
          <a:ext cx="1016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800100</xdr:colOff>
      <xdr:row>58</xdr:row>
      <xdr:rowOff>0</xdr:rowOff>
    </xdr:from>
    <xdr:to>
      <xdr:col>4</xdr:col>
      <xdr:colOff>838200</xdr:colOff>
      <xdr:row>58</xdr:row>
      <xdr:rowOff>12700</xdr:rowOff>
    </xdr:to>
    <xdr:pic>
      <xdr:nvPicPr>
        <xdr:cNvPr id="7" name="Picture 6" descr="page1image3182238544">
          <a:extLst>
            <a:ext uri="{FF2B5EF4-FFF2-40B4-BE49-F238E27FC236}">
              <a16:creationId xmlns:a16="http://schemas.microsoft.com/office/drawing/2014/main" id="{38FC7BFE-D733-8988-7DCF-AD6C42FBA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306300"/>
          <a:ext cx="10160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876300</xdr:colOff>
      <xdr:row>58</xdr:row>
      <xdr:rowOff>0</xdr:rowOff>
    </xdr:from>
    <xdr:to>
      <xdr:col>8</xdr:col>
      <xdr:colOff>533400</xdr:colOff>
      <xdr:row>58</xdr:row>
      <xdr:rowOff>12700</xdr:rowOff>
    </xdr:to>
    <xdr:pic>
      <xdr:nvPicPr>
        <xdr:cNvPr id="8" name="Picture 7" descr="page1image3182239232">
          <a:extLst>
            <a:ext uri="{FF2B5EF4-FFF2-40B4-BE49-F238E27FC236}">
              <a16:creationId xmlns:a16="http://schemas.microsoft.com/office/drawing/2014/main" id="{1906BA74-D6D8-D46D-08F6-4BB953866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12306300"/>
          <a:ext cx="3467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546100</xdr:colOff>
      <xdr:row>58</xdr:row>
      <xdr:rowOff>0</xdr:rowOff>
    </xdr:from>
    <xdr:to>
      <xdr:col>12</xdr:col>
      <xdr:colOff>203200</xdr:colOff>
      <xdr:row>58</xdr:row>
      <xdr:rowOff>12700</xdr:rowOff>
    </xdr:to>
    <xdr:pic>
      <xdr:nvPicPr>
        <xdr:cNvPr id="9" name="Picture 8" descr="page1image3182240048">
          <a:extLst>
            <a:ext uri="{FF2B5EF4-FFF2-40B4-BE49-F238E27FC236}">
              <a16:creationId xmlns:a16="http://schemas.microsoft.com/office/drawing/2014/main" id="{0F78E32F-2E93-A500-E5EF-3D2E97523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6100" y="12306300"/>
          <a:ext cx="34671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12700</xdr:colOff>
      <xdr:row>20</xdr:row>
      <xdr:rowOff>107644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DF5D9-1F9F-79AF-6AE2-7CA7E0B98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4256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6</xdr:col>
      <xdr:colOff>635000</xdr:colOff>
      <xdr:row>12</xdr:row>
      <xdr:rowOff>122315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32721-05B5-6C06-8260-2B4747995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00"/>
          <a:ext cx="7772400" cy="26623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15</xdr:row>
      <xdr:rowOff>187351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77E51-4BE0-0B98-BE3B-B0A32831B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4258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711200</xdr:colOff>
      <xdr:row>26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CE0E3-3197-1550-736F-0299A5F9D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78700" cy="568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28</xdr:row>
      <xdr:rowOff>140414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02FD0-D735-8A2C-4C01-287EC5126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61856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482600</xdr:colOff>
      <xdr:row>35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0D017A-CA18-3C51-4069-4CE6E16D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7600" cy="7734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41</xdr:row>
      <xdr:rowOff>53752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24F583-E415-3F9E-12C3-C92A01AC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89056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Delich" id="{2805629B-C6F6-D340-9202-8335FC7E7B27}" userId="S::jdelich@ecogos.onmicrosoft.com::038497e1-3cd8-48c3-b1c8-0d23483104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2-05-31T03:25:52.44" personId="{2805629B-C6F6-D340-9202-8335FC7E7B27}" id="{03E0EC31-E761-F34E-8B51-B5291B10DA4B}">
    <text xml:space="preserve">Tamaño relativo de la ampliación de capital, respecto a la ronda anterior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FE454-EC37-754F-9CFB-D5BC6664D6C5}">
  <dimension ref="A1:D14"/>
  <sheetViews>
    <sheetView workbookViewId="0">
      <selection activeCell="D22" sqref="D22"/>
    </sheetView>
  </sheetViews>
  <sheetFormatPr baseColWidth="10" defaultRowHeight="17"/>
  <cols>
    <col min="1" max="1" width="31.5703125" bestFit="1" customWidth="1"/>
    <col min="2" max="2" width="10.85546875" bestFit="1" customWidth="1"/>
    <col min="3" max="3" width="13.5703125" bestFit="1" customWidth="1"/>
    <col min="4" max="4" width="12" bestFit="1" customWidth="1"/>
  </cols>
  <sheetData>
    <row r="1" spans="1:4">
      <c r="B1" t="s">
        <v>0</v>
      </c>
      <c r="C1" t="s">
        <v>1</v>
      </c>
    </row>
    <row r="2" spans="1:4">
      <c r="A2" t="s">
        <v>2</v>
      </c>
      <c r="B2" s="1">
        <v>100</v>
      </c>
      <c r="C2" s="1">
        <v>100</v>
      </c>
    </row>
    <row r="3" spans="1:4">
      <c r="A3" t="s">
        <v>3</v>
      </c>
      <c r="B3" s="1">
        <f>B5/B4</f>
        <v>45900</v>
      </c>
      <c r="C3" s="1">
        <v>114750</v>
      </c>
    </row>
    <row r="4" spans="1:4">
      <c r="A4" t="s">
        <v>4</v>
      </c>
      <c r="B4" s="1">
        <v>1530</v>
      </c>
      <c r="C4" s="1">
        <v>408</v>
      </c>
    </row>
    <row r="5" spans="1:4">
      <c r="A5" t="s">
        <v>5</v>
      </c>
      <c r="B5" s="1">
        <f>1.5*C5</f>
        <v>70227000</v>
      </c>
      <c r="C5" s="1">
        <f>C4*C3</f>
        <v>46818000</v>
      </c>
      <c r="D5" s="3"/>
    </row>
    <row r="6" spans="1:4">
      <c r="A6" t="s">
        <v>6</v>
      </c>
      <c r="B6" s="43">
        <f>C5/B4</f>
        <v>30600</v>
      </c>
      <c r="C6" s="43"/>
      <c r="D6" s="3"/>
    </row>
    <row r="7" spans="1:4">
      <c r="A7" t="s">
        <v>6</v>
      </c>
      <c r="B7" s="43">
        <f>(B5+C5)/B4-B3</f>
        <v>30600</v>
      </c>
      <c r="C7" s="43"/>
    </row>
    <row r="8" spans="1:4">
      <c r="A8" t="s">
        <v>7</v>
      </c>
      <c r="B8" s="40">
        <f>C3/B6</f>
        <v>3.75</v>
      </c>
      <c r="C8" s="40"/>
    </row>
    <row r="9" spans="1:4">
      <c r="A9" t="s">
        <v>8</v>
      </c>
      <c r="B9" s="41">
        <f>(B5+C5)/B4</f>
        <v>76500</v>
      </c>
      <c r="C9" s="41"/>
    </row>
    <row r="10" spans="1:4">
      <c r="A10" t="s">
        <v>9</v>
      </c>
      <c r="B10" s="41">
        <f>(B9/18)*5</f>
        <v>21250</v>
      </c>
      <c r="C10" s="41"/>
      <c r="D10" s="3"/>
    </row>
    <row r="11" spans="1:4">
      <c r="A11" t="s">
        <v>13</v>
      </c>
      <c r="B11" s="42">
        <f>B10/(SUM(B9:C10))</f>
        <v>0.21739130434782608</v>
      </c>
      <c r="C11" s="42"/>
      <c r="D11" s="3"/>
    </row>
    <row r="12" spans="1:4">
      <c r="A12" s="2" t="s">
        <v>10</v>
      </c>
      <c r="B12" s="39">
        <f>B10*100</f>
        <v>2125000</v>
      </c>
      <c r="C12" s="40"/>
    </row>
    <row r="13" spans="1:4">
      <c r="A13" t="s">
        <v>11</v>
      </c>
      <c r="B13" s="39">
        <f>((B4*1.2)-B2)</f>
        <v>1736</v>
      </c>
      <c r="C13" s="40"/>
    </row>
    <row r="14" spans="1:4">
      <c r="A14" t="s">
        <v>12</v>
      </c>
      <c r="B14" s="41">
        <f>(B10+B9)*(B4*1.2)</f>
        <v>179469000</v>
      </c>
      <c r="C14" s="41"/>
    </row>
  </sheetData>
  <mergeCells count="9">
    <mergeCell ref="B13:C13"/>
    <mergeCell ref="B14:C14"/>
    <mergeCell ref="B11:C11"/>
    <mergeCell ref="B6:C6"/>
    <mergeCell ref="B7:C7"/>
    <mergeCell ref="B8:C8"/>
    <mergeCell ref="B9:C9"/>
    <mergeCell ref="B10:C10"/>
    <mergeCell ref="B12:C1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2A29-8D9B-CE46-BA90-520F340F63B6}">
  <sheetPr>
    <tabColor theme="5"/>
  </sheetPr>
  <dimension ref="A1"/>
  <sheetViews>
    <sheetView workbookViewId="0"/>
  </sheetViews>
  <sheetFormatPr baseColWidth="10" defaultRowHeight="17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F306-7FF5-AF45-B426-836A0940AE7D}">
  <sheetPr>
    <tabColor theme="5" tint="-0.249977111117893"/>
  </sheetPr>
  <dimension ref="A1"/>
  <sheetViews>
    <sheetView workbookViewId="0">
      <selection activeCell="E29" sqref="E29"/>
    </sheetView>
  </sheetViews>
  <sheetFormatPr baseColWidth="10" defaultRowHeight="17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B416-F582-614A-9C36-531E0B7E892A}">
  <sheetPr>
    <tabColor theme="5" tint="-0.249977111117893"/>
  </sheetPr>
  <dimension ref="A1"/>
  <sheetViews>
    <sheetView workbookViewId="0">
      <selection activeCell="E29" sqref="E29"/>
    </sheetView>
  </sheetViews>
  <sheetFormatPr baseColWidth="10" defaultRowHeight="17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5727-3EAD-6944-A647-1E00926CF6CB}">
  <sheetPr>
    <tabColor theme="5" tint="-0.249977111117893"/>
  </sheetPr>
  <dimension ref="A1"/>
  <sheetViews>
    <sheetView workbookViewId="0">
      <selection activeCell="D41" sqref="D41"/>
    </sheetView>
  </sheetViews>
  <sheetFormatPr baseColWidth="10" defaultRowHeight="17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1133-0662-734E-9165-1D8EE5D67B82}">
  <sheetPr>
    <tabColor theme="5" tint="-0.249977111117893"/>
  </sheetPr>
  <dimension ref="A1"/>
  <sheetViews>
    <sheetView workbookViewId="0">
      <selection activeCell="F46" sqref="F46"/>
    </sheetView>
  </sheetViews>
  <sheetFormatPr baseColWidth="10" defaultRowHeight="17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35C1-8EAB-2740-B4DF-937F0763D485}">
  <sheetPr>
    <tabColor theme="5" tint="-0.249977111117893"/>
  </sheetPr>
  <dimension ref="A1"/>
  <sheetViews>
    <sheetView workbookViewId="0">
      <selection activeCell="F46" sqref="F46"/>
    </sheetView>
  </sheetViews>
  <sheetFormatPr baseColWidth="10" defaultRowHeight="17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25CB-8F74-F749-AD49-F279A2FF8488}">
  <sheetPr>
    <tabColor theme="5" tint="-0.249977111117893"/>
  </sheetPr>
  <dimension ref="A1"/>
  <sheetViews>
    <sheetView workbookViewId="0">
      <selection activeCell="F46" sqref="F46"/>
    </sheetView>
  </sheetViews>
  <sheetFormatPr baseColWidth="10" defaultRowHeight="17"/>
  <sheetData>
    <row r="1" spans="1:1">
      <c r="A1" t="s">
        <v>179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0E07-F122-7E4E-A582-306CBD9C4C3D}">
  <sheetPr>
    <tabColor theme="5" tint="-0.249977111117893"/>
  </sheetPr>
  <dimension ref="A1"/>
  <sheetViews>
    <sheetView workbookViewId="0">
      <selection activeCell="F46" sqref="F46"/>
    </sheetView>
  </sheetViews>
  <sheetFormatPr baseColWidth="10" defaultRowHeight="17"/>
  <sheetData>
    <row r="1" spans="1:1">
      <c r="A1" t="s">
        <v>105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5CA0-05F8-BE4C-8074-8765A0607722}">
  <sheetPr>
    <tabColor theme="5" tint="-0.249977111117893"/>
  </sheetPr>
  <dimension ref="A1"/>
  <sheetViews>
    <sheetView workbookViewId="0">
      <selection activeCell="F41" sqref="F41"/>
    </sheetView>
  </sheetViews>
  <sheetFormatPr baseColWidth="10" defaultRowHeight="17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E5AB-E216-3B44-AFBB-706A96D248E6}">
  <sheetPr>
    <tabColor theme="5" tint="-0.249977111117893"/>
  </sheetPr>
  <dimension ref="A1"/>
  <sheetViews>
    <sheetView workbookViewId="0">
      <selection activeCell="F46" sqref="F46"/>
    </sheetView>
  </sheetViews>
  <sheetFormatPr baseColWidth="10" defaultRowHeight="17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6379-84A4-0444-93CE-69B6ECAD7BB2}">
  <dimension ref="A1:H57"/>
  <sheetViews>
    <sheetView topLeftCell="A28" workbookViewId="0">
      <selection activeCell="D40" sqref="D40"/>
    </sheetView>
  </sheetViews>
  <sheetFormatPr baseColWidth="10" defaultRowHeight="17"/>
  <cols>
    <col min="1" max="1" width="30.42578125" bestFit="1" customWidth="1"/>
    <col min="2" max="2" width="25.28515625" bestFit="1" customWidth="1"/>
    <col min="3" max="3" width="11" bestFit="1" customWidth="1"/>
  </cols>
  <sheetData>
    <row r="1" spans="1:4" s="9" customFormat="1">
      <c r="A1" s="8">
        <v>39082</v>
      </c>
    </row>
    <row r="2" spans="1:4">
      <c r="A2" t="s">
        <v>18</v>
      </c>
      <c r="B2">
        <v>130000</v>
      </c>
      <c r="C2" t="s">
        <v>19</v>
      </c>
    </row>
    <row r="3" spans="1:4">
      <c r="A3" t="s">
        <v>20</v>
      </c>
      <c r="B3" t="s">
        <v>21</v>
      </c>
      <c r="C3" s="1">
        <v>39202</v>
      </c>
    </row>
    <row r="4" spans="1:4">
      <c r="A4" t="s">
        <v>22</v>
      </c>
      <c r="B4" s="5">
        <v>0.3</v>
      </c>
      <c r="C4" s="1" t="s">
        <v>23</v>
      </c>
    </row>
    <row r="5" spans="1:4">
      <c r="A5" t="s">
        <v>24</v>
      </c>
      <c r="B5" s="5">
        <v>33000</v>
      </c>
      <c r="C5" s="1">
        <v>31000</v>
      </c>
      <c r="D5" t="s">
        <v>25</v>
      </c>
    </row>
    <row r="6" spans="1:4">
      <c r="B6" s="5"/>
      <c r="C6" s="1">
        <v>2000</v>
      </c>
      <c r="D6" t="s">
        <v>26</v>
      </c>
    </row>
    <row r="7" spans="1:4">
      <c r="A7" t="s">
        <v>27</v>
      </c>
      <c r="B7" s="5">
        <v>10000</v>
      </c>
      <c r="C7" s="1"/>
    </row>
    <row r="8" spans="1:4">
      <c r="B8" s="10"/>
      <c r="C8" s="1"/>
    </row>
    <row r="9" spans="1:4">
      <c r="A9" t="s">
        <v>28</v>
      </c>
      <c r="B9" s="5">
        <v>20000</v>
      </c>
      <c r="C9" s="1"/>
    </row>
    <row r="10" spans="1:4">
      <c r="A10" t="s">
        <v>29</v>
      </c>
      <c r="B10" s="5">
        <v>100</v>
      </c>
      <c r="C10" s="1" t="s">
        <v>30</v>
      </c>
    </row>
    <row r="14" spans="1:4">
      <c r="A14" s="6">
        <v>39141</v>
      </c>
    </row>
    <row r="15" spans="1:4">
      <c r="A15" t="s">
        <v>31</v>
      </c>
      <c r="B15">
        <v>23000</v>
      </c>
    </row>
    <row r="16" spans="1:4">
      <c r="B16">
        <v>2000</v>
      </c>
      <c r="C16">
        <v>0.95</v>
      </c>
      <c r="D16">
        <v>1900</v>
      </c>
    </row>
    <row r="17" spans="1:8">
      <c r="C17">
        <v>0.05</v>
      </c>
      <c r="D17">
        <v>100</v>
      </c>
    </row>
    <row r="18" spans="1:8">
      <c r="A18" t="s">
        <v>31</v>
      </c>
      <c r="B18">
        <v>24900</v>
      </c>
    </row>
    <row r="19" spans="1:8">
      <c r="A19" t="s">
        <v>32</v>
      </c>
      <c r="B19">
        <v>0</v>
      </c>
    </row>
    <row r="20" spans="1:8">
      <c r="A20" t="s">
        <v>27</v>
      </c>
      <c r="B20">
        <v>10100</v>
      </c>
    </row>
    <row r="21" spans="1:8">
      <c r="A21" t="s">
        <v>33</v>
      </c>
      <c r="B21">
        <v>124900</v>
      </c>
    </row>
    <row r="24" spans="1:8" ht="19">
      <c r="A24" s="12">
        <v>39156</v>
      </c>
      <c r="B24" s="13" t="s">
        <v>34</v>
      </c>
      <c r="C24" s="14"/>
      <c r="D24" s="14"/>
      <c r="E24" s="14"/>
      <c r="F24" s="14"/>
      <c r="G24" s="14" t="s">
        <v>35</v>
      </c>
      <c r="H24" s="15"/>
    </row>
    <row r="25" spans="1:8" ht="19">
      <c r="A25" s="16">
        <v>130000</v>
      </c>
      <c r="B25" s="17">
        <v>0.3</v>
      </c>
      <c r="C25" s="14"/>
      <c r="D25" s="14"/>
      <c r="E25" s="14"/>
      <c r="F25" s="14"/>
      <c r="G25" s="14" t="s">
        <v>36</v>
      </c>
      <c r="H25" s="15"/>
    </row>
    <row r="26" spans="1:8" ht="19">
      <c r="A26" s="16">
        <f>+A25*B26/B25</f>
        <v>433333.33333333337</v>
      </c>
      <c r="B26" s="17">
        <v>1</v>
      </c>
      <c r="C26" s="14" t="s">
        <v>37</v>
      </c>
      <c r="D26" s="14"/>
      <c r="E26" s="13" t="s">
        <v>38</v>
      </c>
      <c r="F26" s="14"/>
      <c r="G26" s="13" t="s">
        <v>39</v>
      </c>
      <c r="H26" s="15"/>
    </row>
    <row r="27" spans="1:8" ht="19">
      <c r="A27" s="16">
        <f>+A26-A25</f>
        <v>303333.33333333337</v>
      </c>
      <c r="B27" s="17"/>
      <c r="C27" s="14" t="s">
        <v>40</v>
      </c>
      <c r="D27" s="14"/>
      <c r="E27" s="13" t="s">
        <v>41</v>
      </c>
      <c r="F27" s="14"/>
      <c r="G27" s="14"/>
      <c r="H27" s="15"/>
    </row>
    <row r="28" spans="1:8" ht="19">
      <c r="A28" s="16" t="s">
        <v>42</v>
      </c>
      <c r="B28" s="16">
        <f>+B25*A26</f>
        <v>130000</v>
      </c>
      <c r="C28" s="13" t="s">
        <v>43</v>
      </c>
      <c r="D28" s="14"/>
      <c r="E28" s="13"/>
      <c r="F28" s="14"/>
      <c r="G28" s="14"/>
      <c r="H28" s="15"/>
    </row>
    <row r="29" spans="1:8" ht="19">
      <c r="A29" s="16"/>
      <c r="B29" s="17"/>
      <c r="C29" s="14"/>
      <c r="D29" s="14"/>
      <c r="E29" s="13"/>
      <c r="F29" s="14"/>
      <c r="G29" s="14"/>
      <c r="H29" s="15"/>
    </row>
    <row r="30" spans="1:8" ht="19">
      <c r="A30" s="13" t="s">
        <v>44</v>
      </c>
      <c r="B30" s="14"/>
      <c r="C30" s="14"/>
      <c r="D30" s="14"/>
      <c r="E30" s="14"/>
      <c r="F30" s="14"/>
      <c r="G30" s="14"/>
      <c r="H30" s="15"/>
    </row>
    <row r="31" spans="1:8" ht="19">
      <c r="A31" s="14" t="s">
        <v>45</v>
      </c>
      <c r="B31" s="16">
        <f>+B21</f>
        <v>124900</v>
      </c>
      <c r="C31" s="18">
        <v>1</v>
      </c>
      <c r="D31" s="14"/>
      <c r="E31" s="14"/>
      <c r="F31" s="14"/>
      <c r="G31" s="14"/>
      <c r="H31" s="15"/>
    </row>
    <row r="32" spans="1:8" ht="19">
      <c r="A32" s="14" t="s">
        <v>46</v>
      </c>
      <c r="B32" s="16">
        <f>+B31</f>
        <v>124900</v>
      </c>
      <c r="C32" s="18">
        <v>0.7</v>
      </c>
      <c r="D32" s="14"/>
      <c r="E32" s="14"/>
      <c r="F32" s="14"/>
      <c r="G32" s="14"/>
      <c r="H32" s="15"/>
    </row>
    <row r="33" spans="1:8" ht="19">
      <c r="A33" s="14" t="s">
        <v>47</v>
      </c>
      <c r="B33" s="16">
        <f>+B32*C33/C32</f>
        <v>178428.57142857145</v>
      </c>
      <c r="C33" s="18">
        <v>1</v>
      </c>
      <c r="D33" s="14"/>
      <c r="E33" s="14"/>
      <c r="F33" s="14"/>
      <c r="G33" s="14"/>
      <c r="H33" s="15"/>
    </row>
    <row r="34" spans="1:8" ht="19">
      <c r="A34" s="14" t="s">
        <v>48</v>
      </c>
      <c r="B34" s="16">
        <f>+B33-B32</f>
        <v>53528.571428571449</v>
      </c>
      <c r="C34" s="14"/>
      <c r="D34" s="14"/>
      <c r="E34" s="19"/>
      <c r="F34" s="20"/>
      <c r="G34" s="14"/>
      <c r="H34" s="15"/>
    </row>
    <row r="35" spans="1:8" ht="19">
      <c r="A35" s="14" t="s">
        <v>49</v>
      </c>
      <c r="B35" s="16">
        <f>+B2</f>
        <v>130000</v>
      </c>
      <c r="C35" s="14"/>
      <c r="D35" s="14"/>
      <c r="E35" s="14"/>
      <c r="F35" s="14"/>
      <c r="G35" s="14"/>
      <c r="H35" s="15"/>
    </row>
    <row r="36" spans="1:8" ht="19">
      <c r="A36" s="14" t="s">
        <v>50</v>
      </c>
      <c r="B36" s="21">
        <f>+B35/B34</f>
        <v>2.4286095543101136</v>
      </c>
      <c r="C36" s="14"/>
      <c r="D36" s="14"/>
      <c r="E36" s="14"/>
      <c r="F36" s="14"/>
      <c r="G36" s="14"/>
      <c r="H36" s="15"/>
    </row>
    <row r="37" spans="1:8" ht="19">
      <c r="A37" s="14" t="s">
        <v>51</v>
      </c>
      <c r="B37" s="21">
        <f>+B36-1</f>
        <v>1.4286095543101136</v>
      </c>
      <c r="C37" s="14"/>
      <c r="D37" s="14"/>
      <c r="E37" s="13"/>
      <c r="F37" s="14"/>
      <c r="G37" s="14"/>
      <c r="H37" s="15"/>
    </row>
    <row r="38" spans="1:8" ht="19">
      <c r="A38" s="14" t="s">
        <v>59</v>
      </c>
      <c r="B38" s="4">
        <f>B34*B37</f>
        <v>76471.428571428536</v>
      </c>
    </row>
    <row r="39" spans="1:8">
      <c r="A39" s="7">
        <v>39355</v>
      </c>
    </row>
    <row r="40" spans="1:8">
      <c r="A40" t="s">
        <v>52</v>
      </c>
      <c r="B40">
        <v>15000</v>
      </c>
      <c r="C40" t="s">
        <v>53</v>
      </c>
      <c r="D40">
        <v>5</v>
      </c>
    </row>
    <row r="41" spans="1:8">
      <c r="A41" t="s">
        <v>54</v>
      </c>
      <c r="B41">
        <f>B40*D40</f>
        <v>75000</v>
      </c>
    </row>
    <row r="42" spans="1:8">
      <c r="A42" t="s">
        <v>55</v>
      </c>
      <c r="B42" s="1">
        <v>178428.57142857145</v>
      </c>
    </row>
    <row r="43" spans="1:8">
      <c r="A43" t="s">
        <v>56</v>
      </c>
      <c r="B43" s="1">
        <f>B42+B40</f>
        <v>193428.57142857145</v>
      </c>
      <c r="C43" s="23">
        <f>B40/B43</f>
        <v>7.7548005908419496E-2</v>
      </c>
    </row>
    <row r="44" spans="1:8">
      <c r="A44" t="s">
        <v>57</v>
      </c>
      <c r="B44" s="3">
        <f>B45-B41</f>
        <v>892142.85714285716</v>
      </c>
    </row>
    <row r="45" spans="1:8">
      <c r="A45" t="s">
        <v>58</v>
      </c>
      <c r="B45" s="1">
        <f>B41*100%/C43</f>
        <v>967142.85714285716</v>
      </c>
    </row>
    <row r="46" spans="1:8">
      <c r="A46" t="s">
        <v>59</v>
      </c>
      <c r="B46" s="4">
        <f>B40*(5-1)</f>
        <v>60000</v>
      </c>
    </row>
    <row r="48" spans="1:8" ht="19">
      <c r="A48" s="12">
        <v>39156</v>
      </c>
      <c r="B48" s="13" t="s">
        <v>60</v>
      </c>
    </row>
    <row r="50" spans="1:3">
      <c r="A50" t="s">
        <v>61</v>
      </c>
      <c r="B50" s="1">
        <v>100000</v>
      </c>
      <c r="C50" s="24">
        <v>0.7</v>
      </c>
    </row>
    <row r="51" spans="1:3">
      <c r="A51" t="s">
        <v>62</v>
      </c>
      <c r="B51" s="3">
        <f>B50*C51/C50</f>
        <v>142857.14285714287</v>
      </c>
      <c r="C51" s="24">
        <v>1</v>
      </c>
    </row>
    <row r="52" spans="1:3">
      <c r="A52" t="s">
        <v>63</v>
      </c>
      <c r="B52" s="3">
        <f>B51-B50</f>
        <v>42857.14285714287</v>
      </c>
      <c r="C52" s="24">
        <v>0.3</v>
      </c>
    </row>
    <row r="53" spans="1:3">
      <c r="A53" t="s">
        <v>64</v>
      </c>
      <c r="B53" s="3">
        <f>B51+B18</f>
        <v>167757.14285714287</v>
      </c>
    </row>
    <row r="54" spans="1:3">
      <c r="A54" t="s">
        <v>65</v>
      </c>
      <c r="B54" s="25">
        <f>B52/B53</f>
        <v>0.25547134463084398</v>
      </c>
    </row>
    <row r="55" spans="1:3">
      <c r="A55" t="s">
        <v>66</v>
      </c>
      <c r="B55" s="1">
        <f>B54*A26</f>
        <v>110704.2493400324</v>
      </c>
    </row>
    <row r="56" spans="1:3">
      <c r="A56" t="s">
        <v>67</v>
      </c>
      <c r="B56" s="27">
        <f>A25/B52</f>
        <v>3.0333333333333323</v>
      </c>
    </row>
    <row r="57" spans="1:3">
      <c r="A57" t="s">
        <v>68</v>
      </c>
      <c r="B57" s="27">
        <f>B56-1</f>
        <v>2.0333333333333323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DBDB-6D19-F54A-880E-3D3D92FC75FB}">
  <dimension ref="A3:E56"/>
  <sheetViews>
    <sheetView topLeftCell="A4" workbookViewId="0">
      <selection activeCell="B31" sqref="B31"/>
    </sheetView>
  </sheetViews>
  <sheetFormatPr baseColWidth="10" defaultRowHeight="17"/>
  <cols>
    <col min="1" max="1" width="26.7109375" customWidth="1"/>
    <col min="2" max="2" width="13.42578125" customWidth="1"/>
    <col min="3" max="3" width="14.5703125" customWidth="1"/>
    <col min="4" max="4" width="11" bestFit="1" customWidth="1"/>
  </cols>
  <sheetData>
    <row r="3" spans="1:5">
      <c r="A3" s="28"/>
    </row>
    <row r="4" spans="1:5" ht="72">
      <c r="A4" s="33" t="s">
        <v>69</v>
      </c>
    </row>
    <row r="5" spans="1:5" ht="18">
      <c r="A5" s="33" t="s">
        <v>70</v>
      </c>
      <c r="B5" t="s">
        <v>71</v>
      </c>
      <c r="C5" t="s">
        <v>72</v>
      </c>
      <c r="D5" t="s">
        <v>93</v>
      </c>
    </row>
    <row r="6" spans="1:5" ht="18">
      <c r="A6" s="33" t="s">
        <v>73</v>
      </c>
      <c r="B6" s="1">
        <v>35000</v>
      </c>
      <c r="C6" s="1">
        <v>62000</v>
      </c>
      <c r="D6" s="1"/>
    </row>
    <row r="7" spans="1:5" ht="18">
      <c r="A7" s="33" t="s">
        <v>74</v>
      </c>
      <c r="B7" s="1">
        <v>12000</v>
      </c>
      <c r="C7" s="1">
        <v>13520</v>
      </c>
      <c r="D7" s="1"/>
    </row>
    <row r="8" spans="1:5" ht="18">
      <c r="A8" s="33" t="s">
        <v>75</v>
      </c>
      <c r="B8" s="1">
        <v>25000</v>
      </c>
      <c r="C8" s="1">
        <v>24000</v>
      </c>
      <c r="D8" s="1"/>
    </row>
    <row r="9" spans="1:5" ht="18">
      <c r="A9" s="33" t="s">
        <v>76</v>
      </c>
      <c r="B9" s="1">
        <v>15000</v>
      </c>
      <c r="C9" s="1">
        <v>17000</v>
      </c>
      <c r="D9" s="1"/>
    </row>
    <row r="10" spans="1:5" ht="18">
      <c r="A10" s="33" t="s">
        <v>77</v>
      </c>
      <c r="B10" s="1">
        <v>12000</v>
      </c>
      <c r="C10" s="1">
        <v>12000</v>
      </c>
      <c r="D10" s="1"/>
    </row>
    <row r="11" spans="1:5" ht="18">
      <c r="A11" s="33" t="s">
        <v>78</v>
      </c>
      <c r="B11" s="1">
        <v>30000</v>
      </c>
      <c r="C11" s="1">
        <v>0</v>
      </c>
      <c r="D11" s="1">
        <v>12000</v>
      </c>
      <c r="E11" t="s">
        <v>94</v>
      </c>
    </row>
    <row r="12" spans="1:5" ht="18">
      <c r="A12" s="33" t="s">
        <v>79</v>
      </c>
      <c r="B12" s="1">
        <v>10000</v>
      </c>
      <c r="C12" s="1">
        <v>20000</v>
      </c>
      <c r="D12" s="1">
        <v>10000</v>
      </c>
      <c r="E12" t="s">
        <v>95</v>
      </c>
    </row>
    <row r="13" spans="1:5" ht="18">
      <c r="A13" s="33" t="s">
        <v>80</v>
      </c>
      <c r="B13" s="1">
        <v>1000</v>
      </c>
      <c r="C13" s="34"/>
      <c r="D13">
        <v>2000</v>
      </c>
      <c r="E13" t="s">
        <v>96</v>
      </c>
    </row>
    <row r="14" spans="1:5" ht="18">
      <c r="A14" s="33" t="s">
        <v>24</v>
      </c>
      <c r="B14" s="1">
        <v>15000</v>
      </c>
      <c r="C14" s="1">
        <v>18000</v>
      </c>
      <c r="D14" s="3"/>
    </row>
    <row r="15" spans="1:5" ht="18">
      <c r="A15" s="33" t="s">
        <v>81</v>
      </c>
      <c r="B15" s="1"/>
      <c r="C15" s="1" t="s">
        <v>72</v>
      </c>
    </row>
    <row r="16" spans="1:5" ht="18">
      <c r="A16" s="33" t="s">
        <v>82</v>
      </c>
      <c r="B16" s="1"/>
      <c r="C16" s="1">
        <v>100000</v>
      </c>
    </row>
    <row r="17" spans="1:4" ht="18">
      <c r="A17" s="33" t="s">
        <v>83</v>
      </c>
      <c r="B17" s="1"/>
      <c r="C17" s="1">
        <v>-15000</v>
      </c>
    </row>
    <row r="18" spans="1:4" ht="18">
      <c r="A18" s="33" t="s">
        <v>84</v>
      </c>
      <c r="B18" s="1"/>
      <c r="C18" s="1">
        <v>-12000</v>
      </c>
    </row>
    <row r="19" spans="1:4" ht="18">
      <c r="A19" s="33" t="s">
        <v>85</v>
      </c>
      <c r="B19" s="1"/>
      <c r="C19" s="1"/>
    </row>
    <row r="20" spans="1:4" ht="18">
      <c r="A20" s="33" t="s">
        <v>86</v>
      </c>
      <c r="B20" s="1"/>
      <c r="C20" s="1">
        <v>-13000</v>
      </c>
    </row>
    <row r="21" spans="1:4" ht="18">
      <c r="A21" s="33" t="s">
        <v>87</v>
      </c>
      <c r="B21" s="1"/>
      <c r="C21" s="1">
        <v>60000</v>
      </c>
    </row>
    <row r="22" spans="1:4" ht="18">
      <c r="A22" s="33" t="s">
        <v>88</v>
      </c>
      <c r="B22" s="1"/>
      <c r="C22" s="1">
        <v>-15000</v>
      </c>
    </row>
    <row r="23" spans="1:4" ht="18">
      <c r="A23" s="33" t="s">
        <v>89</v>
      </c>
      <c r="B23" s="1"/>
      <c r="C23" s="1">
        <v>45000</v>
      </c>
    </row>
    <row r="24" spans="1:4" ht="18">
      <c r="A24" s="33" t="s">
        <v>90</v>
      </c>
      <c r="B24" s="1"/>
      <c r="C24" s="1">
        <v>-18000</v>
      </c>
    </row>
    <row r="25" spans="1:4" ht="18">
      <c r="A25" s="33" t="s">
        <v>91</v>
      </c>
      <c r="B25" s="1"/>
      <c r="C25" s="1">
        <v>-18000</v>
      </c>
    </row>
    <row r="26" spans="1:4" ht="18">
      <c r="A26" s="33" t="s">
        <v>92</v>
      </c>
      <c r="B26" s="1"/>
      <c r="C26" s="1">
        <v>27000</v>
      </c>
    </row>
    <row r="27" spans="1:4">
      <c r="A27" s="28"/>
    </row>
    <row r="29" spans="1:4">
      <c r="A29" s="29" t="s">
        <v>97</v>
      </c>
    </row>
    <row r="30" spans="1:4">
      <c r="B30" s="1">
        <v>12000</v>
      </c>
      <c r="C30" s="24">
        <v>0.5</v>
      </c>
    </row>
    <row r="31" spans="1:4">
      <c r="A31" s="29"/>
      <c r="B31" s="1">
        <f>B30*C31/C30</f>
        <v>240</v>
      </c>
      <c r="C31" s="24">
        <v>0.01</v>
      </c>
      <c r="D31" t="s">
        <v>103</v>
      </c>
    </row>
    <row r="32" spans="1:4">
      <c r="A32" t="s">
        <v>98</v>
      </c>
    </row>
    <row r="33" spans="1:3">
      <c r="A33" s="28" t="s">
        <v>99</v>
      </c>
      <c r="B33">
        <v>10000</v>
      </c>
      <c r="C33">
        <v>12000</v>
      </c>
    </row>
    <row r="34" spans="1:3">
      <c r="A34" t="s">
        <v>67</v>
      </c>
      <c r="B34">
        <f>C33/B33</f>
        <v>1.2</v>
      </c>
    </row>
    <row r="35" spans="1:3">
      <c r="A35" t="s">
        <v>101</v>
      </c>
      <c r="B35">
        <f>B34-1</f>
        <v>0.19999999999999996</v>
      </c>
    </row>
    <row r="36" spans="1:3">
      <c r="A36" s="29" t="s">
        <v>100</v>
      </c>
      <c r="B36">
        <f>B35*B33</f>
        <v>1999.9999999999995</v>
      </c>
      <c r="C36" t="s">
        <v>102</v>
      </c>
    </row>
    <row r="38" spans="1:3">
      <c r="A38" s="29"/>
    </row>
    <row r="39" spans="1:3">
      <c r="A39" t="s">
        <v>104</v>
      </c>
    </row>
    <row r="40" spans="1:3">
      <c r="A40" s="29"/>
    </row>
    <row r="42" spans="1:3">
      <c r="A42" s="31"/>
    </row>
    <row r="44" spans="1:3">
      <c r="A44" s="28"/>
    </row>
    <row r="46" spans="1:3">
      <c r="A46" s="29"/>
    </row>
    <row r="48" spans="1:3">
      <c r="A48" s="31"/>
    </row>
    <row r="50" spans="1:1">
      <c r="A50" s="29"/>
    </row>
    <row r="52" spans="1:1">
      <c r="A52" s="31"/>
    </row>
    <row r="54" spans="1:1">
      <c r="A54" s="32"/>
    </row>
    <row r="56" spans="1:1">
      <c r="A56" s="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348D-7F9F-AB4E-B969-52C9C26FB76E}">
  <sheetPr>
    <tabColor rgb="FFFF0000"/>
  </sheetPr>
  <dimension ref="A2:B16"/>
  <sheetViews>
    <sheetView workbookViewId="0">
      <selection activeCell="C17" sqref="C17"/>
    </sheetView>
  </sheetViews>
  <sheetFormatPr baseColWidth="10" defaultRowHeight="17"/>
  <cols>
    <col min="1" max="1" width="18.5703125" customWidth="1"/>
    <col min="2" max="2" width="11.140625" bestFit="1" customWidth="1"/>
  </cols>
  <sheetData>
    <row r="2" spans="1:2">
      <c r="A2" t="s">
        <v>106</v>
      </c>
    </row>
    <row r="4" spans="1:2">
      <c r="A4" t="s">
        <v>14</v>
      </c>
      <c r="B4">
        <v>120000</v>
      </c>
    </row>
    <row r="5" spans="1:2">
      <c r="A5" t="s">
        <v>107</v>
      </c>
      <c r="B5">
        <v>1</v>
      </c>
    </row>
    <row r="6" spans="1:2">
      <c r="A6" s="5" t="s">
        <v>15</v>
      </c>
      <c r="B6">
        <v>30000</v>
      </c>
    </row>
    <row r="7" spans="1:2">
      <c r="A7" s="5" t="s">
        <v>16</v>
      </c>
      <c r="B7">
        <v>90000</v>
      </c>
    </row>
    <row r="9" spans="1:2">
      <c r="A9" t="s">
        <v>108</v>
      </c>
      <c r="B9" s="6">
        <v>39021</v>
      </c>
    </row>
    <row r="10" spans="1:2">
      <c r="A10" t="s">
        <v>109</v>
      </c>
      <c r="B10" s="30">
        <v>210000000</v>
      </c>
    </row>
    <row r="11" spans="1:2">
      <c r="A11" t="s">
        <v>110</v>
      </c>
      <c r="B11" s="30">
        <v>60000000</v>
      </c>
    </row>
    <row r="12" spans="1:2">
      <c r="A12" t="s">
        <v>5</v>
      </c>
      <c r="B12" s="30">
        <f>B10-B11</f>
        <v>150000000</v>
      </c>
    </row>
    <row r="13" spans="1:2">
      <c r="A13" t="s">
        <v>111</v>
      </c>
      <c r="B13" s="30">
        <f>B11*0.45</f>
        <v>27000000</v>
      </c>
    </row>
    <row r="14" spans="1:2">
      <c r="A14" t="s">
        <v>112</v>
      </c>
      <c r="B14" s="30">
        <f>B11-B13</f>
        <v>33000000</v>
      </c>
    </row>
    <row r="15" spans="1:2">
      <c r="A15" t="s">
        <v>113</v>
      </c>
      <c r="B15" s="30">
        <v>60000000</v>
      </c>
    </row>
    <row r="16" spans="1:2">
      <c r="A16" t="s">
        <v>114</v>
      </c>
      <c r="B16" s="30">
        <v>90000000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A41-818D-914C-99B4-62AE859EF3B6}">
  <dimension ref="A2:C32"/>
  <sheetViews>
    <sheetView tabSelected="1" workbookViewId="0">
      <selection activeCell="B32" sqref="B32"/>
    </sheetView>
  </sheetViews>
  <sheetFormatPr baseColWidth="10" defaultRowHeight="17"/>
  <cols>
    <col min="1" max="1" width="27.28515625" bestFit="1" customWidth="1"/>
    <col min="2" max="2" width="13.5703125" bestFit="1" customWidth="1"/>
  </cols>
  <sheetData>
    <row r="2" spans="1:3">
      <c r="A2" t="s">
        <v>115</v>
      </c>
    </row>
    <row r="4" spans="1:3">
      <c r="A4" s="6">
        <v>39813</v>
      </c>
    </row>
    <row r="5" spans="1:3">
      <c r="A5" s="1">
        <v>6500000</v>
      </c>
    </row>
    <row r="6" spans="1:3">
      <c r="A6" t="s">
        <v>116</v>
      </c>
    </row>
    <row r="7" spans="1:3">
      <c r="A7" t="s">
        <v>0</v>
      </c>
      <c r="B7" s="24">
        <v>0.4</v>
      </c>
    </row>
    <row r="8" spans="1:3">
      <c r="A8" t="s">
        <v>1</v>
      </c>
      <c r="B8" s="24">
        <v>0.4</v>
      </c>
    </row>
    <row r="9" spans="1:3">
      <c r="A9" t="s">
        <v>17</v>
      </c>
      <c r="B9" s="24">
        <v>0.2</v>
      </c>
    </row>
    <row r="10" spans="1:3">
      <c r="A10" t="s">
        <v>119</v>
      </c>
      <c r="B10" s="27">
        <v>320798.43165211187</v>
      </c>
    </row>
    <row r="11" spans="1:3">
      <c r="A11" t="s">
        <v>126</v>
      </c>
      <c r="B11" s="27">
        <f>A5/B10</f>
        <v>20.261944444444449</v>
      </c>
    </row>
    <row r="12" spans="1:3">
      <c r="A12" s="6">
        <v>39833</v>
      </c>
      <c r="B12" t="s">
        <v>117</v>
      </c>
    </row>
    <row r="13" spans="1:3">
      <c r="A13" t="s">
        <v>14</v>
      </c>
      <c r="B13" s="1">
        <v>180000</v>
      </c>
      <c r="C13" s="26">
        <v>0.56110000000000004</v>
      </c>
    </row>
    <row r="14" spans="1:3">
      <c r="A14" t="s">
        <v>118</v>
      </c>
      <c r="B14">
        <v>10</v>
      </c>
    </row>
    <row r="15" spans="1:3">
      <c r="B15" s="3">
        <f>B13*B14</f>
        <v>1800000</v>
      </c>
    </row>
    <row r="16" spans="1:3">
      <c r="A16" t="s">
        <v>120</v>
      </c>
      <c r="B16" s="27">
        <f>B10+B13</f>
        <v>500798.43165211187</v>
      </c>
    </row>
    <row r="17" spans="1:3">
      <c r="A17" t="s">
        <v>121</v>
      </c>
      <c r="B17" s="1">
        <v>1</v>
      </c>
    </row>
    <row r="18" spans="1:3">
      <c r="A18" t="s">
        <v>122</v>
      </c>
      <c r="B18" s="11">
        <f>B17*B10</f>
        <v>320798.43165211187</v>
      </c>
    </row>
    <row r="19" spans="1:3">
      <c r="A19" t="s">
        <v>123</v>
      </c>
      <c r="B19" s="35">
        <f>B13/B18</f>
        <v>0.56110000000000004</v>
      </c>
    </row>
    <row r="21" spans="1:3">
      <c r="A21" t="s">
        <v>124</v>
      </c>
      <c r="B21" s="27">
        <f>B15*C21/C13</f>
        <v>3207984.3165211189</v>
      </c>
      <c r="C21" s="24">
        <v>1</v>
      </c>
    </row>
    <row r="22" spans="1:3">
      <c r="A22" t="s">
        <v>125</v>
      </c>
      <c r="B22" s="27">
        <f>B21+B15</f>
        <v>5007984.3165211193</v>
      </c>
    </row>
    <row r="23" spans="1:3">
      <c r="A23" t="s">
        <v>127</v>
      </c>
      <c r="B23" s="1">
        <v>6500000</v>
      </c>
    </row>
    <row r="24" spans="1:3">
      <c r="A24" t="s">
        <v>128</v>
      </c>
      <c r="B24" s="27">
        <f>B14*(B16)</f>
        <v>5007984.3165211184</v>
      </c>
    </row>
    <row r="26" spans="1:3">
      <c r="A26" t="s">
        <v>129</v>
      </c>
      <c r="B26">
        <v>25</v>
      </c>
    </row>
    <row r="27" spans="1:3">
      <c r="A27" t="s">
        <v>131</v>
      </c>
      <c r="B27" s="3">
        <f>B13*B26</f>
        <v>4500000</v>
      </c>
    </row>
    <row r="28" spans="1:3">
      <c r="A28" t="s">
        <v>130</v>
      </c>
      <c r="B28" s="27">
        <f>B27*C21/C13</f>
        <v>8019960.7913027974</v>
      </c>
    </row>
    <row r="29" spans="1:3">
      <c r="A29" t="s">
        <v>132</v>
      </c>
      <c r="B29" s="27">
        <f>B28+B27</f>
        <v>12519960.791302796</v>
      </c>
    </row>
    <row r="30" spans="1:3">
      <c r="A30" t="s">
        <v>101</v>
      </c>
      <c r="B30" s="27">
        <f>B26-B14</f>
        <v>15</v>
      </c>
    </row>
    <row r="31" spans="1:3">
      <c r="A31" t="s">
        <v>133</v>
      </c>
      <c r="B31" s="4">
        <f>B30*B13</f>
        <v>2700000</v>
      </c>
    </row>
    <row r="32" spans="1:3">
      <c r="A32" s="36" t="s">
        <v>134</v>
      </c>
      <c r="B32" s="25">
        <f>B29/(A5+B15+B31)-1</f>
        <v>0.13817825375479975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308F-A392-9A42-8486-B2F39F0E60C5}">
  <sheetPr>
    <tabColor rgb="FFFF0000"/>
  </sheetPr>
  <dimension ref="A4:D20"/>
  <sheetViews>
    <sheetView topLeftCell="A3" workbookViewId="0">
      <selection activeCell="E35" sqref="E35"/>
    </sheetView>
  </sheetViews>
  <sheetFormatPr baseColWidth="10" defaultRowHeight="17"/>
  <cols>
    <col min="1" max="1" width="20.42578125" bestFit="1" customWidth="1"/>
    <col min="2" max="2" width="10.85546875" bestFit="1" customWidth="1"/>
    <col min="3" max="3" width="11" bestFit="1" customWidth="1"/>
    <col min="5" max="5" width="20.42578125" bestFit="1" customWidth="1"/>
    <col min="6" max="6" width="8.85546875" bestFit="1" customWidth="1"/>
    <col min="7" max="7" width="8.5703125" bestFit="1" customWidth="1"/>
  </cols>
  <sheetData>
    <row r="4" spans="1:4">
      <c r="A4" t="s">
        <v>135</v>
      </c>
      <c r="B4" t="s">
        <v>136</v>
      </c>
      <c r="C4" t="s">
        <v>137</v>
      </c>
      <c r="D4" t="s">
        <v>152</v>
      </c>
    </row>
    <row r="5" spans="1:4">
      <c r="A5" t="s">
        <v>138</v>
      </c>
      <c r="B5" s="30">
        <v>10000</v>
      </c>
      <c r="C5" s="30">
        <v>20000</v>
      </c>
    </row>
    <row r="6" spans="1:4">
      <c r="A6" t="s">
        <v>139</v>
      </c>
      <c r="B6">
        <v>2000</v>
      </c>
      <c r="C6" s="30">
        <v>3658</v>
      </c>
    </row>
    <row r="7" spans="1:4">
      <c r="A7" t="s">
        <v>140</v>
      </c>
      <c r="B7" s="30">
        <v>1000</v>
      </c>
      <c r="C7" s="30">
        <v>2658</v>
      </c>
    </row>
    <row r="8" spans="1:4">
      <c r="A8" t="s">
        <v>150</v>
      </c>
      <c r="B8" s="30"/>
      <c r="C8" s="30"/>
    </row>
    <row r="9" spans="1:4">
      <c r="A9" t="s">
        <v>151</v>
      </c>
    </row>
    <row r="10" spans="1:4">
      <c r="A10" t="s">
        <v>141</v>
      </c>
    </row>
    <row r="11" spans="1:4">
      <c r="A11" t="s">
        <v>142</v>
      </c>
      <c r="B11" s="1">
        <v>49450</v>
      </c>
      <c r="C11" s="1">
        <v>133750</v>
      </c>
      <c r="D11" s="3">
        <f>C11-B11</f>
        <v>84300</v>
      </c>
    </row>
    <row r="12" spans="1:4">
      <c r="B12" s="1"/>
      <c r="C12" s="1"/>
    </row>
    <row r="13" spans="1:4">
      <c r="A13" t="s">
        <v>143</v>
      </c>
      <c r="B13" t="s">
        <v>136</v>
      </c>
      <c r="C13" t="s">
        <v>137</v>
      </c>
    </row>
    <row r="14" spans="1:4">
      <c r="A14" t="s">
        <v>82</v>
      </c>
      <c r="B14" s="30">
        <v>180000</v>
      </c>
      <c r="C14" s="30">
        <v>204000</v>
      </c>
    </row>
    <row r="15" spans="1:4">
      <c r="A15" t="s">
        <v>144</v>
      </c>
      <c r="B15" s="30">
        <v>-54000</v>
      </c>
      <c r="C15" s="30">
        <v>-65000</v>
      </c>
    </row>
    <row r="16" spans="1:4">
      <c r="A16" t="s">
        <v>145</v>
      </c>
      <c r="B16" s="30">
        <v>126000</v>
      </c>
      <c r="C16" s="30">
        <v>139000</v>
      </c>
    </row>
    <row r="17" spans="1:3">
      <c r="A17" t="s">
        <v>146</v>
      </c>
      <c r="B17" s="30">
        <v>-75000</v>
      </c>
      <c r="C17" s="30">
        <v>-17000</v>
      </c>
    </row>
    <row r="18" spans="1:3">
      <c r="A18" t="s">
        <v>147</v>
      </c>
      <c r="B18" s="30">
        <v>51000</v>
      </c>
      <c r="C18" s="30">
        <v>122000</v>
      </c>
    </row>
    <row r="19" spans="1:3">
      <c r="A19" t="s">
        <v>148</v>
      </c>
      <c r="B19" s="30">
        <v>-17850</v>
      </c>
      <c r="C19">
        <v>-42700</v>
      </c>
    </row>
    <row r="20" spans="1:3">
      <c r="A20" t="s">
        <v>149</v>
      </c>
      <c r="B20" s="30">
        <v>33150</v>
      </c>
      <c r="C20" s="30">
        <v>79300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209C-EEFA-C941-8B9F-8B5FE25CBF7A}">
  <dimension ref="A1:H24"/>
  <sheetViews>
    <sheetView workbookViewId="0">
      <selection activeCell="A21" sqref="A21:E24"/>
    </sheetView>
  </sheetViews>
  <sheetFormatPr baseColWidth="10" defaultRowHeight="17"/>
  <cols>
    <col min="1" max="1" width="31.140625" bestFit="1" customWidth="1"/>
    <col min="2" max="2" width="11" bestFit="1" customWidth="1"/>
  </cols>
  <sheetData>
    <row r="1" spans="1:8">
      <c r="A1" t="s">
        <v>153</v>
      </c>
    </row>
    <row r="3" spans="1:8">
      <c r="B3" t="s">
        <v>157</v>
      </c>
      <c r="D3" s="40" t="s">
        <v>116</v>
      </c>
      <c r="E3" s="40"/>
      <c r="F3" s="40"/>
      <c r="G3" s="40"/>
    </row>
    <row r="4" spans="1:8">
      <c r="A4" t="s">
        <v>154</v>
      </c>
      <c r="B4" s="1"/>
      <c r="D4" t="s">
        <v>0</v>
      </c>
      <c r="E4" t="s">
        <v>1</v>
      </c>
      <c r="F4" t="s">
        <v>17</v>
      </c>
      <c r="G4" t="s">
        <v>158</v>
      </c>
    </row>
    <row r="5" spans="1:8">
      <c r="A5" t="s">
        <v>155</v>
      </c>
      <c r="B5" s="1">
        <v>90000</v>
      </c>
      <c r="D5" s="1">
        <v>50000</v>
      </c>
      <c r="E5" s="1">
        <v>30000</v>
      </c>
      <c r="F5" s="1">
        <v>10000</v>
      </c>
      <c r="G5" s="1"/>
    </row>
    <row r="6" spans="1:8" ht="18" thickBot="1">
      <c r="A6" t="s">
        <v>156</v>
      </c>
      <c r="B6" s="38">
        <v>10000</v>
      </c>
      <c r="C6" s="37"/>
      <c r="D6" s="38"/>
      <c r="E6" s="38"/>
      <c r="F6" s="38"/>
      <c r="G6" s="38">
        <v>10000</v>
      </c>
    </row>
    <row r="7" spans="1:8">
      <c r="A7" t="s">
        <v>8</v>
      </c>
      <c r="B7" s="1">
        <f>SUM(D7:G7)</f>
        <v>100000</v>
      </c>
      <c r="D7" s="1">
        <f>D5</f>
        <v>50000</v>
      </c>
      <c r="E7" s="1">
        <f t="shared" ref="E7:F7" si="0">E5</f>
        <v>30000</v>
      </c>
      <c r="F7" s="1">
        <f t="shared" si="0"/>
        <v>10000</v>
      </c>
      <c r="G7" s="1">
        <f>G6</f>
        <v>10000</v>
      </c>
    </row>
    <row r="8" spans="1:8">
      <c r="C8" s="24">
        <f>SUM(D8:F8)</f>
        <v>1</v>
      </c>
      <c r="D8" s="22">
        <f>D7/$B$5</f>
        <v>0.55555555555555558</v>
      </c>
      <c r="E8" s="22">
        <f t="shared" ref="E8:F8" si="1">E7/$B$5</f>
        <v>0.33333333333333331</v>
      </c>
      <c r="F8" s="22">
        <f t="shared" si="1"/>
        <v>0.1111111111111111</v>
      </c>
    </row>
    <row r="9" spans="1:8">
      <c r="A9" s="44" t="s">
        <v>159</v>
      </c>
      <c r="B9" s="44"/>
      <c r="C9" s="44"/>
      <c r="D9" s="44"/>
      <c r="E9" s="44"/>
      <c r="F9" s="44"/>
      <c r="G9" s="44"/>
      <c r="H9" s="44"/>
    </row>
    <row r="10" spans="1:8">
      <c r="A10" s="44"/>
      <c r="B10" s="44"/>
      <c r="C10" s="44"/>
      <c r="D10" s="44"/>
      <c r="E10" s="44"/>
      <c r="F10" s="44"/>
      <c r="G10" s="44"/>
      <c r="H10" s="44"/>
    </row>
    <row r="11" spans="1:8">
      <c r="A11" s="44"/>
      <c r="B11" s="44"/>
      <c r="C11" s="44"/>
      <c r="D11" s="44"/>
      <c r="E11" s="44"/>
      <c r="F11" s="44"/>
      <c r="G11" s="44"/>
      <c r="H11" s="44"/>
    </row>
    <row r="12" spans="1:8">
      <c r="A12" s="44"/>
      <c r="B12" s="44"/>
      <c r="C12" s="44"/>
      <c r="D12" s="44"/>
      <c r="E12" s="44"/>
      <c r="F12" s="44"/>
      <c r="G12" s="44"/>
      <c r="H12" s="44"/>
    </row>
    <row r="13" spans="1:8">
      <c r="A13" s="44"/>
      <c r="B13" s="44"/>
      <c r="C13" s="44"/>
      <c r="D13" s="44"/>
      <c r="E13" s="44"/>
      <c r="F13" s="44"/>
      <c r="G13" s="44"/>
      <c r="H13" s="44"/>
    </row>
    <row r="14" spans="1:8">
      <c r="A14" s="44"/>
      <c r="B14" s="44"/>
      <c r="C14" s="44"/>
      <c r="D14" s="44"/>
      <c r="E14" s="44"/>
      <c r="F14" s="44"/>
      <c r="G14" s="44"/>
      <c r="H14" s="44"/>
    </row>
    <row r="15" spans="1:8">
      <c r="A15" s="44"/>
      <c r="B15" s="44"/>
      <c r="C15" s="44"/>
      <c r="D15" s="44"/>
      <c r="E15" s="44"/>
      <c r="F15" s="44"/>
      <c r="G15" s="44"/>
      <c r="H15" s="44"/>
    </row>
    <row r="16" spans="1:8">
      <c r="A16" s="44"/>
      <c r="B16" s="44"/>
      <c r="C16" s="44"/>
      <c r="D16" s="44"/>
      <c r="E16" s="44"/>
      <c r="F16" s="44"/>
      <c r="G16" s="44"/>
      <c r="H16" s="44"/>
    </row>
    <row r="17" spans="1:8">
      <c r="A17" s="44"/>
      <c r="B17" s="44"/>
      <c r="C17" s="44"/>
      <c r="D17" s="44"/>
      <c r="E17" s="44"/>
      <c r="F17" s="44"/>
      <c r="G17" s="44"/>
      <c r="H17" s="44"/>
    </row>
    <row r="18" spans="1:8">
      <c r="A18" s="44"/>
      <c r="B18" s="44"/>
      <c r="C18" s="44"/>
      <c r="D18" s="44"/>
      <c r="E18" s="44"/>
      <c r="F18" s="44"/>
      <c r="G18" s="44"/>
      <c r="H18" s="44"/>
    </row>
    <row r="19" spans="1:8">
      <c r="A19" s="44"/>
      <c r="B19" s="44"/>
      <c r="C19" s="44"/>
      <c r="D19" s="44"/>
      <c r="E19" s="44"/>
      <c r="F19" s="44"/>
      <c r="G19" s="44"/>
      <c r="H19" s="44"/>
    </row>
    <row r="21" spans="1:8">
      <c r="A21" s="45" t="s">
        <v>160</v>
      </c>
      <c r="B21" s="45"/>
      <c r="C21" s="45"/>
      <c r="D21" s="45"/>
      <c r="E21" s="45"/>
    </row>
    <row r="22" spans="1:8">
      <c r="A22" s="45"/>
      <c r="B22" s="45"/>
      <c r="C22" s="45"/>
      <c r="D22" s="45"/>
      <c r="E22" s="45"/>
    </row>
    <row r="23" spans="1:8">
      <c r="A23" s="45"/>
      <c r="B23" s="45"/>
      <c r="C23" s="45"/>
      <c r="D23" s="45"/>
      <c r="E23" s="45"/>
    </row>
    <row r="24" spans="1:8">
      <c r="A24" s="45"/>
      <c r="B24" s="45"/>
      <c r="C24" s="45"/>
      <c r="D24" s="45"/>
      <c r="E24" s="45"/>
    </row>
  </sheetData>
  <mergeCells count="3">
    <mergeCell ref="D3:G3"/>
    <mergeCell ref="A9:H19"/>
    <mergeCell ref="A21:E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B7EBA-4BB7-C84C-B267-FF60688AC0EF}">
  <dimension ref="A23:D31"/>
  <sheetViews>
    <sheetView workbookViewId="0">
      <selection activeCell="B39" sqref="B39"/>
    </sheetView>
  </sheetViews>
  <sheetFormatPr baseColWidth="10" defaultRowHeight="17"/>
  <cols>
    <col min="1" max="2" width="16.7109375" bestFit="1" customWidth="1"/>
    <col min="3" max="3" width="15.7109375" bestFit="1" customWidth="1"/>
    <col min="4" max="4" width="16.7109375" bestFit="1" customWidth="1"/>
  </cols>
  <sheetData>
    <row r="23" spans="1:4">
      <c r="A23" t="s">
        <v>161</v>
      </c>
      <c r="D23" t="s">
        <v>162</v>
      </c>
    </row>
    <row r="24" spans="1:4">
      <c r="A24" t="s">
        <v>163</v>
      </c>
      <c r="B24" s="24">
        <v>0.2</v>
      </c>
      <c r="C24" t="s">
        <v>166</v>
      </c>
      <c r="D24" s="24">
        <v>0.8</v>
      </c>
    </row>
    <row r="25" spans="1:4">
      <c r="A25" t="s">
        <v>164</v>
      </c>
      <c r="B25" s="24">
        <v>0.8</v>
      </c>
      <c r="C25" t="s">
        <v>167</v>
      </c>
      <c r="D25" s="24">
        <v>0.2</v>
      </c>
    </row>
    <row r="26" spans="1:4">
      <c r="A26" t="s">
        <v>165</v>
      </c>
      <c r="B26" s="24">
        <f>B25*B24</f>
        <v>0.16000000000000003</v>
      </c>
      <c r="C26" t="s">
        <v>168</v>
      </c>
      <c r="D26" s="24">
        <f>D25*D24</f>
        <v>0.16000000000000003</v>
      </c>
    </row>
    <row r="28" spans="1:4">
      <c r="B28" s="45" t="s">
        <v>169</v>
      </c>
      <c r="C28" s="45"/>
    </row>
    <row r="29" spans="1:4">
      <c r="B29" s="45"/>
      <c r="C29" s="45"/>
    </row>
    <row r="30" spans="1:4">
      <c r="B30" s="45"/>
      <c r="C30" s="45"/>
    </row>
    <row r="31" spans="1:4">
      <c r="B31" s="45"/>
      <c r="C31" s="45"/>
    </row>
  </sheetData>
  <mergeCells count="1">
    <mergeCell ref="B28:C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7F633-B80A-124F-A05E-101362F9E2F1}">
  <sheetPr>
    <tabColor rgb="FFFF0000"/>
  </sheetPr>
  <dimension ref="A15:B24"/>
  <sheetViews>
    <sheetView workbookViewId="0">
      <selection activeCell="C17" sqref="C17"/>
    </sheetView>
  </sheetViews>
  <sheetFormatPr baseColWidth="10" defaultRowHeight="17"/>
  <cols>
    <col min="1" max="1" width="26.42578125" bestFit="1" customWidth="1"/>
    <col min="2" max="2" width="11" bestFit="1" customWidth="1"/>
  </cols>
  <sheetData>
    <row r="15" spans="1:2">
      <c r="A15" t="s">
        <v>170</v>
      </c>
    </row>
    <row r="16" spans="1:2">
      <c r="A16" t="s">
        <v>171</v>
      </c>
      <c r="B16" s="1">
        <v>100000</v>
      </c>
    </row>
    <row r="17" spans="1:2">
      <c r="A17" t="s">
        <v>172</v>
      </c>
      <c r="B17" s="1">
        <v>80000</v>
      </c>
    </row>
    <row r="18" spans="1:2">
      <c r="A18" t="s">
        <v>173</v>
      </c>
      <c r="B18" s="30">
        <v>360000</v>
      </c>
    </row>
    <row r="19" spans="1:2">
      <c r="A19" t="s">
        <v>178</v>
      </c>
      <c r="B19" s="30">
        <f>B18/SUM(B16:B17)</f>
        <v>2</v>
      </c>
    </row>
    <row r="20" spans="1:2">
      <c r="A20" t="s">
        <v>174</v>
      </c>
      <c r="B20" s="30">
        <v>100000</v>
      </c>
    </row>
    <row r="21" spans="1:2">
      <c r="A21" t="s">
        <v>119</v>
      </c>
      <c r="B21" s="30">
        <v>100000</v>
      </c>
    </row>
    <row r="22" spans="1:2">
      <c r="A22" t="s">
        <v>177</v>
      </c>
      <c r="B22" s="22">
        <f>(B16+B17)/(B16+B17+B21)</f>
        <v>0.6428571428571429</v>
      </c>
    </row>
    <row r="23" spans="1:2">
      <c r="A23" t="s">
        <v>175</v>
      </c>
      <c r="B23" s="1">
        <f>B18*100%/B22</f>
        <v>560000</v>
      </c>
    </row>
    <row r="24" spans="1:2">
      <c r="A24" t="s">
        <v>176</v>
      </c>
      <c r="B24" s="3">
        <f>B23+B20</f>
        <v>660000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Practico 5</vt:lpstr>
      <vt:lpstr>Practico 6</vt:lpstr>
      <vt:lpstr>Practico 7</vt:lpstr>
      <vt:lpstr>Practico 8</vt:lpstr>
      <vt:lpstr>Practico 9</vt:lpstr>
      <vt:lpstr>Practico 10</vt:lpstr>
      <vt:lpstr>Practico 11</vt:lpstr>
      <vt:lpstr>Practico 12</vt:lpstr>
      <vt:lpstr>Practico 13</vt:lpstr>
      <vt:lpstr>Practico 14</vt:lpstr>
      <vt:lpstr>Practico 15</vt:lpstr>
      <vt:lpstr>Practico 16</vt:lpstr>
      <vt:lpstr>Practico 17</vt:lpstr>
      <vt:lpstr>Practico 18</vt:lpstr>
      <vt:lpstr>Practico 19</vt:lpstr>
      <vt:lpstr>Practico 20</vt:lpstr>
      <vt:lpstr>Practico 21</vt:lpstr>
      <vt:lpstr>Practico 22</vt:lpstr>
      <vt:lpstr>Practico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2022-05-31T02:25:41Z</dcterms:created>
  <dcterms:modified xsi:type="dcterms:W3CDTF">2022-06-02T18:50:26Z</dcterms:modified>
</cp:coreProperties>
</file>