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codeName="ThisWorkbook" defaultThemeVersion="124226"/>
  <mc:AlternateContent xmlns:mc="http://schemas.openxmlformats.org/markup-compatibility/2006">
    <mc:Choice Requires="x15">
      <x15ac:absPath xmlns:x15ac="http://schemas.microsoft.com/office/spreadsheetml/2010/11/ac" url="/Users/juandelich/Documents/Maestria/Finanzas corporativas/Clase 1 - Caso Warren Buffet/CASO Y PREGUNTAS ALUMNOS/"/>
    </mc:Choice>
  </mc:AlternateContent>
  <xr:revisionPtr revIDLastSave="0" documentId="13_ncr:1_{CB8F55A9-C752-1547-871D-C4F7A3B42B87}" xr6:coauthVersionLast="47" xr6:coauthVersionMax="47" xr10:uidLastSave="{00000000-0000-0000-0000-000000000000}"/>
  <bookViews>
    <workbookView xWindow="0" yWindow="0" windowWidth="38400" windowHeight="21600" activeTab="11" xr2:uid="{00000000-000D-0000-FFFF-FFFF00000000}"/>
  </bookViews>
  <sheets>
    <sheet name="__FDSCACHE__" sheetId="6" state="veryHidden" r:id="rId1"/>
    <sheet name="Title Page" sheetId="18" r:id="rId2"/>
    <sheet name="BRKA SP500 1976 to today" sheetId="5" r:id="rId3"/>
    <sheet name="BRK SP500 15 Y" sheetId="14" r:id="rId4"/>
    <sheet name="Exh 1" sheetId="7" r:id="rId5"/>
    <sheet name="Exh 2" sheetId="10" r:id="rId6"/>
    <sheet name="Exh 4" sheetId="8" r:id="rId7"/>
    <sheet name="Exh 5" sheetId="17" r:id="rId8"/>
    <sheet name="Exh 9" sheetId="9" r:id="rId9"/>
    <sheet name="Exh 10" sheetId="13" r:id="rId10"/>
    <sheet name="Exh 11 (revisado)" sheetId="12" r:id="rId11"/>
    <sheet name="Exh 12 (agregado)" sheetId="20" r:id="rId12"/>
  </sheets>
  <externalReferences>
    <externalReference r:id="rId13"/>
  </externalReferences>
  <definedNames>
    <definedName name="_xlnm._FilterDatabase" localSheetId="4" hidden="1">'Exh 1'!$A$1:$R$7</definedName>
    <definedName name="amzn" localSheetId="11">'[1]Comps (Ex12)'!#REF!</definedName>
    <definedName name="amzn">'[1]Comps (Ex12)'!#REF!</definedName>
    <definedName name="_xlnm.Print_Area" localSheetId="9">'Exh 10'!$A$2:$W$18</definedName>
    <definedName name="_xlnm.Print_Area" localSheetId="10">'Exh 11 (revisado)'!$A$1:$U$25</definedName>
    <definedName name="_xlnm.Print_Titles" localSheetId="2">'BRKA SP500 1976 to today'!$F:$F,'BRKA SP500 1976 to today'!$13:$16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25" i="20" l="1"/>
  <c r="C226" i="20" l="1"/>
  <c r="C225" i="20"/>
  <c r="C223" i="20"/>
  <c r="C177" i="20"/>
  <c r="C115" i="20"/>
  <c r="G7" i="20"/>
  <c r="I366" i="5"/>
  <c r="I370" i="5"/>
  <c r="S17" i="12"/>
  <c r="S16" i="12"/>
  <c r="C212" i="20" l="1"/>
  <c r="C209" i="20"/>
  <c r="D209" i="20" s="1"/>
  <c r="E200" i="20"/>
  <c r="D200" i="20"/>
  <c r="C200" i="20"/>
  <c r="E199" i="20"/>
  <c r="D199" i="20"/>
  <c r="C199" i="20"/>
  <c r="F196" i="20"/>
  <c r="E192" i="20"/>
  <c r="D192" i="20"/>
  <c r="C192" i="20"/>
  <c r="F189" i="20"/>
  <c r="O188" i="20"/>
  <c r="N188" i="20"/>
  <c r="M188" i="20"/>
  <c r="L188" i="20"/>
  <c r="F188" i="20"/>
  <c r="F186" i="20"/>
  <c r="G186" i="20" s="1"/>
  <c r="H186" i="20" s="1"/>
  <c r="I186" i="20" s="1"/>
  <c r="J186" i="20" s="1"/>
  <c r="K186" i="20" s="1"/>
  <c r="L186" i="20" s="1"/>
  <c r="M186" i="20" s="1"/>
  <c r="N186" i="20" s="1"/>
  <c r="O186" i="20" s="1"/>
  <c r="G183" i="20"/>
  <c r="H183" i="20" s="1"/>
  <c r="I183" i="20" s="1"/>
  <c r="J183" i="20" s="1"/>
  <c r="K183" i="20" s="1"/>
  <c r="L183" i="20" s="1"/>
  <c r="M183" i="20" s="1"/>
  <c r="N183" i="20" s="1"/>
  <c r="O183" i="20" s="1"/>
  <c r="E182" i="20"/>
  <c r="D182" i="20"/>
  <c r="G178" i="20"/>
  <c r="G196" i="20" s="1"/>
  <c r="E177" i="20"/>
  <c r="D177" i="20"/>
  <c r="E174" i="20"/>
  <c r="D174" i="20"/>
  <c r="C174" i="20"/>
  <c r="E173" i="20"/>
  <c r="C210" i="20" s="1"/>
  <c r="D173" i="20"/>
  <c r="O172" i="20"/>
  <c r="N172" i="20"/>
  <c r="M172" i="20"/>
  <c r="L172" i="20"/>
  <c r="K172" i="20"/>
  <c r="J172" i="20"/>
  <c r="I172" i="20"/>
  <c r="H172" i="20"/>
  <c r="G172" i="20"/>
  <c r="O171" i="20"/>
  <c r="N171" i="20"/>
  <c r="M171" i="20"/>
  <c r="L171" i="20"/>
  <c r="K171" i="20"/>
  <c r="J171" i="20"/>
  <c r="I171" i="20"/>
  <c r="H171" i="20"/>
  <c r="G171" i="20"/>
  <c r="F171" i="20"/>
  <c r="E171" i="20"/>
  <c r="F168" i="20"/>
  <c r="G168" i="20" s="1"/>
  <c r="H168" i="20" s="1"/>
  <c r="I168" i="20" s="1"/>
  <c r="J168" i="20" s="1"/>
  <c r="K168" i="20" s="1"/>
  <c r="L168" i="20" s="1"/>
  <c r="M168" i="20" s="1"/>
  <c r="N168" i="20" s="1"/>
  <c r="O168" i="20" s="1"/>
  <c r="E163" i="20"/>
  <c r="E164" i="20" s="1"/>
  <c r="F164" i="20" s="1"/>
  <c r="G164" i="20" s="1"/>
  <c r="H164" i="20" s="1"/>
  <c r="I164" i="20" s="1"/>
  <c r="J164" i="20" s="1"/>
  <c r="K164" i="20" s="1"/>
  <c r="L164" i="20" s="1"/>
  <c r="M164" i="20" s="1"/>
  <c r="N164" i="20" s="1"/>
  <c r="O164" i="20" s="1"/>
  <c r="D163" i="20"/>
  <c r="D164" i="20" s="1"/>
  <c r="C163" i="20"/>
  <c r="C164" i="20" s="1"/>
  <c r="G143" i="20"/>
  <c r="H143" i="20" s="1"/>
  <c r="K139" i="20"/>
  <c r="L139" i="20" s="1"/>
  <c r="M139" i="20" s="1"/>
  <c r="E139" i="20"/>
  <c r="E112" i="20" s="1"/>
  <c r="F112" i="20" s="1"/>
  <c r="E137" i="20"/>
  <c r="E135" i="20" s="1"/>
  <c r="D137" i="20"/>
  <c r="D135" i="20" s="1"/>
  <c r="F133" i="20"/>
  <c r="G133" i="20" s="1"/>
  <c r="H133" i="20" s="1"/>
  <c r="I133" i="20" s="1"/>
  <c r="J133" i="20" s="1"/>
  <c r="K133" i="20" s="1"/>
  <c r="L133" i="20" s="1"/>
  <c r="M133" i="20" s="1"/>
  <c r="N133" i="20" s="1"/>
  <c r="O133" i="20" s="1"/>
  <c r="G116" i="20"/>
  <c r="E115" i="20"/>
  <c r="E116" i="20" s="1"/>
  <c r="D115" i="20"/>
  <c r="D116" i="20" s="1"/>
  <c r="E110" i="20"/>
  <c r="D110" i="20"/>
  <c r="F106" i="20"/>
  <c r="G106" i="20" s="1"/>
  <c r="H106" i="20" s="1"/>
  <c r="I106" i="20" s="1"/>
  <c r="J106" i="20" s="1"/>
  <c r="K106" i="20" s="1"/>
  <c r="L106" i="20" s="1"/>
  <c r="M106" i="20" s="1"/>
  <c r="N106" i="20" s="1"/>
  <c r="O106" i="20" s="1"/>
  <c r="F103" i="20"/>
  <c r="G102" i="20"/>
  <c r="H102" i="20" s="1"/>
  <c r="I102" i="20" s="1"/>
  <c r="J102" i="20" s="1"/>
  <c r="K102" i="20" s="1"/>
  <c r="L102" i="20" s="1"/>
  <c r="M102" i="20" s="1"/>
  <c r="N102" i="20" s="1"/>
  <c r="O102" i="20" s="1"/>
  <c r="G101" i="20"/>
  <c r="H101" i="20" s="1"/>
  <c r="I101" i="20" s="1"/>
  <c r="J101" i="20" s="1"/>
  <c r="K101" i="20" s="1"/>
  <c r="L101" i="20" s="1"/>
  <c r="M101" i="20" s="1"/>
  <c r="N101" i="20" s="1"/>
  <c r="O101" i="20" s="1"/>
  <c r="G100" i="20"/>
  <c r="H100" i="20" s="1"/>
  <c r="I100" i="20" s="1"/>
  <c r="J100" i="20" s="1"/>
  <c r="E100" i="20"/>
  <c r="C94" i="20"/>
  <c r="E92" i="20"/>
  <c r="D92" i="20"/>
  <c r="E91" i="20"/>
  <c r="E101" i="20" s="1"/>
  <c r="D91" i="20"/>
  <c r="D101" i="20" s="1"/>
  <c r="E90" i="20"/>
  <c r="D90" i="20"/>
  <c r="D100" i="20" s="1"/>
  <c r="F87" i="20"/>
  <c r="G87" i="20" s="1"/>
  <c r="H87" i="20" s="1"/>
  <c r="I87" i="20" s="1"/>
  <c r="J87" i="20" s="1"/>
  <c r="K87" i="20" s="1"/>
  <c r="L87" i="20" s="1"/>
  <c r="M87" i="20" s="1"/>
  <c r="N87" i="20" s="1"/>
  <c r="O87" i="20" s="1"/>
  <c r="G79" i="20"/>
  <c r="H79" i="20" s="1"/>
  <c r="I79" i="20" s="1"/>
  <c r="J79" i="20" s="1"/>
  <c r="K79" i="20" s="1"/>
  <c r="L79" i="20" s="1"/>
  <c r="M79" i="20" s="1"/>
  <c r="N79" i="20" s="1"/>
  <c r="O79" i="20" s="1"/>
  <c r="G78" i="20"/>
  <c r="H78" i="20" s="1"/>
  <c r="I78" i="20" s="1"/>
  <c r="J78" i="20" s="1"/>
  <c r="K78" i="20" s="1"/>
  <c r="L78" i="20" s="1"/>
  <c r="M78" i="20" s="1"/>
  <c r="N78" i="20" s="1"/>
  <c r="O78" i="20" s="1"/>
  <c r="G77" i="20"/>
  <c r="H77" i="20" s="1"/>
  <c r="I77" i="20" s="1"/>
  <c r="J77" i="20" s="1"/>
  <c r="K77" i="20" s="1"/>
  <c r="L77" i="20" s="1"/>
  <c r="M77" i="20" s="1"/>
  <c r="N77" i="20" s="1"/>
  <c r="O77" i="20" s="1"/>
  <c r="G76" i="20"/>
  <c r="H76" i="20" s="1"/>
  <c r="I76" i="20" s="1"/>
  <c r="J76" i="20" s="1"/>
  <c r="K76" i="20" s="1"/>
  <c r="L76" i="20" s="1"/>
  <c r="M76" i="20" s="1"/>
  <c r="N76" i="20" s="1"/>
  <c r="O76" i="20" s="1"/>
  <c r="F72" i="20"/>
  <c r="F172" i="20" s="1"/>
  <c r="E68" i="20"/>
  <c r="E80" i="20" s="1"/>
  <c r="D68" i="20"/>
  <c r="D80" i="20" s="1"/>
  <c r="C68" i="20"/>
  <c r="C80" i="20" s="1"/>
  <c r="E67" i="20"/>
  <c r="D67" i="20"/>
  <c r="C67" i="20"/>
  <c r="E64" i="20"/>
  <c r="D64" i="20"/>
  <c r="C64" i="20"/>
  <c r="F59" i="20"/>
  <c r="G59" i="20" s="1"/>
  <c r="H59" i="20" s="1"/>
  <c r="I59" i="20" s="1"/>
  <c r="J59" i="20" s="1"/>
  <c r="K59" i="20" s="1"/>
  <c r="L59" i="20" s="1"/>
  <c r="M59" i="20" s="1"/>
  <c r="N59" i="20" s="1"/>
  <c r="O59" i="20" s="1"/>
  <c r="E56" i="20"/>
  <c r="D56" i="20"/>
  <c r="C55" i="20"/>
  <c r="C53" i="20" s="1"/>
  <c r="E53" i="20"/>
  <c r="D53" i="20"/>
  <c r="F52" i="20"/>
  <c r="G52" i="20" s="1"/>
  <c r="H52" i="20" s="1"/>
  <c r="I52" i="20" s="1"/>
  <c r="J52" i="20" s="1"/>
  <c r="K52" i="20" s="1"/>
  <c r="L52" i="20" s="1"/>
  <c r="M52" i="20" s="1"/>
  <c r="N52" i="20" s="1"/>
  <c r="O52" i="20" s="1"/>
  <c r="F51" i="20"/>
  <c r="G51" i="20" s="1"/>
  <c r="H51" i="20" s="1"/>
  <c r="I51" i="20" s="1"/>
  <c r="J51" i="20" s="1"/>
  <c r="K51" i="20" s="1"/>
  <c r="L51" i="20" s="1"/>
  <c r="M51" i="20" s="1"/>
  <c r="N51" i="20" s="1"/>
  <c r="O51" i="20" s="1"/>
  <c r="F50" i="20"/>
  <c r="G50" i="20" s="1"/>
  <c r="H50" i="20" s="1"/>
  <c r="I50" i="20" s="1"/>
  <c r="J50" i="20" s="1"/>
  <c r="K50" i="20" s="1"/>
  <c r="L50" i="20" s="1"/>
  <c r="M50" i="20" s="1"/>
  <c r="N50" i="20" s="1"/>
  <c r="O50" i="20" s="1"/>
  <c r="E47" i="20"/>
  <c r="F47" i="20" s="1"/>
  <c r="G47" i="20" s="1"/>
  <c r="H47" i="20" s="1"/>
  <c r="I47" i="20" s="1"/>
  <c r="J47" i="20" s="1"/>
  <c r="K47" i="20" s="1"/>
  <c r="L47" i="20" s="1"/>
  <c r="M47" i="20" s="1"/>
  <c r="N47" i="20" s="1"/>
  <c r="O47" i="20" s="1"/>
  <c r="D47" i="20"/>
  <c r="F45" i="20"/>
  <c r="G45" i="20" s="1"/>
  <c r="H45" i="20" s="1"/>
  <c r="I45" i="20" s="1"/>
  <c r="E41" i="20"/>
  <c r="F41" i="20" s="1"/>
  <c r="G41" i="20" s="1"/>
  <c r="H41" i="20" s="1"/>
  <c r="I41" i="20" s="1"/>
  <c r="J41" i="20" s="1"/>
  <c r="K41" i="20" s="1"/>
  <c r="L41" i="20" s="1"/>
  <c r="M41" i="20" s="1"/>
  <c r="N41" i="20" s="1"/>
  <c r="O41" i="20" s="1"/>
  <c r="D41" i="20"/>
  <c r="F39" i="20"/>
  <c r="G39" i="20" s="1"/>
  <c r="H39" i="20" s="1"/>
  <c r="I39" i="20" s="1"/>
  <c r="J39" i="20" s="1"/>
  <c r="K39" i="20" s="1"/>
  <c r="L39" i="20" s="1"/>
  <c r="M39" i="20" s="1"/>
  <c r="N39" i="20" s="1"/>
  <c r="O39" i="20" s="1"/>
  <c r="E35" i="20"/>
  <c r="F35" i="20" s="1"/>
  <c r="D35" i="20"/>
  <c r="G30" i="20"/>
  <c r="H30" i="20" s="1"/>
  <c r="I30" i="20" s="1"/>
  <c r="J30" i="20" s="1"/>
  <c r="K30" i="20" s="1"/>
  <c r="L30" i="20" s="1"/>
  <c r="M30" i="20" s="1"/>
  <c r="N30" i="20" s="1"/>
  <c r="O30" i="20" s="1"/>
  <c r="F30" i="20"/>
  <c r="G22" i="20"/>
  <c r="H22" i="20" s="1"/>
  <c r="I22" i="20" s="1"/>
  <c r="J22" i="20" s="1"/>
  <c r="K22" i="20" s="1"/>
  <c r="L22" i="20" s="1"/>
  <c r="M22" i="20" s="1"/>
  <c r="N22" i="20" s="1"/>
  <c r="O22" i="20" s="1"/>
  <c r="E19" i="20"/>
  <c r="D19" i="20"/>
  <c r="C18" i="20"/>
  <c r="C182" i="20" s="1"/>
  <c r="C183" i="20" s="1"/>
  <c r="G15" i="20"/>
  <c r="E11" i="20"/>
  <c r="E12" i="20" s="1"/>
  <c r="D11" i="20"/>
  <c r="C11" i="20"/>
  <c r="E10" i="20"/>
  <c r="F10" i="20" s="1"/>
  <c r="G10" i="20" s="1"/>
  <c r="H10" i="20" s="1"/>
  <c r="D10" i="20"/>
  <c r="C10" i="20"/>
  <c r="E7" i="20"/>
  <c r="E188" i="20" s="1"/>
  <c r="D7" i="20"/>
  <c r="D188" i="20" s="1"/>
  <c r="C7" i="20"/>
  <c r="C188" i="20" s="1"/>
  <c r="F6" i="20"/>
  <c r="F5" i="20"/>
  <c r="G5" i="20" s="1"/>
  <c r="H5" i="20" s="1"/>
  <c r="I5" i="20" s="1"/>
  <c r="J5" i="20" s="1"/>
  <c r="K5" i="20" s="1"/>
  <c r="L5" i="20" s="1"/>
  <c r="M5" i="20" s="1"/>
  <c r="N5" i="20" s="1"/>
  <c r="O5" i="20" s="1"/>
  <c r="H178" i="20" l="1"/>
  <c r="I178" i="20" s="1"/>
  <c r="C12" i="20"/>
  <c r="C14" i="20"/>
  <c r="F90" i="20"/>
  <c r="G6" i="20"/>
  <c r="G14" i="20" s="1"/>
  <c r="C19" i="20"/>
  <c r="E178" i="20"/>
  <c r="E196" i="20" s="1"/>
  <c r="C211" i="20" s="1"/>
  <c r="F9" i="20"/>
  <c r="F91" i="20" s="1"/>
  <c r="F34" i="20" s="1"/>
  <c r="E140" i="20"/>
  <c r="E146" i="20" s="1"/>
  <c r="E147" i="20" s="1"/>
  <c r="E148" i="20" s="1"/>
  <c r="E149" i="20" s="1"/>
  <c r="E150" i="20" s="1"/>
  <c r="E151" i="20" s="1"/>
  <c r="E152" i="20" s="1"/>
  <c r="E153" i="20" s="1"/>
  <c r="E154" i="20" s="1"/>
  <c r="E155" i="20" s="1"/>
  <c r="C75" i="20"/>
  <c r="C79" i="20" s="1"/>
  <c r="D93" i="20"/>
  <c r="C70" i="20"/>
  <c r="C193" i="20" s="1"/>
  <c r="F14" i="20"/>
  <c r="G103" i="20"/>
  <c r="F170" i="20"/>
  <c r="F173" i="20" s="1"/>
  <c r="G170" i="20" s="1"/>
  <c r="G173" i="20" s="1"/>
  <c r="H170" i="20" s="1"/>
  <c r="H173" i="20" s="1"/>
  <c r="I170" i="20" s="1"/>
  <c r="I173" i="20" s="1"/>
  <c r="J170" i="20" s="1"/>
  <c r="J173" i="20" s="1"/>
  <c r="K170" i="20" s="1"/>
  <c r="K173" i="20" s="1"/>
  <c r="L170" i="20" s="1"/>
  <c r="L173" i="20" s="1"/>
  <c r="M170" i="20" s="1"/>
  <c r="M173" i="20" s="1"/>
  <c r="N170" i="20" s="1"/>
  <c r="N173" i="20" s="1"/>
  <c r="O170" i="20" s="1"/>
  <c r="O173" i="20" s="1"/>
  <c r="E70" i="20"/>
  <c r="E213" i="20" s="1"/>
  <c r="E75" i="20"/>
  <c r="E79" i="20" s="1"/>
  <c r="E95" i="20"/>
  <c r="E97" i="20"/>
  <c r="D75" i="20"/>
  <c r="D79" i="20" s="1"/>
  <c r="E142" i="20"/>
  <c r="E143" i="20" s="1"/>
  <c r="D143" i="20" s="1"/>
  <c r="D142" i="20" s="1"/>
  <c r="H103" i="20"/>
  <c r="E102" i="20"/>
  <c r="E103" i="20" s="1"/>
  <c r="D12" i="20"/>
  <c r="D14" i="20"/>
  <c r="D165" i="20"/>
  <c r="I10" i="20"/>
  <c r="G35" i="20"/>
  <c r="G188" i="20"/>
  <c r="H7" i="20"/>
  <c r="G142" i="20"/>
  <c r="G163" i="20"/>
  <c r="G90" i="20"/>
  <c r="C201" i="20"/>
  <c r="F66" i="20"/>
  <c r="D70" i="20"/>
  <c r="F213" i="20"/>
  <c r="E203" i="20"/>
  <c r="C203" i="20"/>
  <c r="K100" i="20"/>
  <c r="J103" i="20"/>
  <c r="G112" i="20"/>
  <c r="E14" i="20"/>
  <c r="J45" i="20"/>
  <c r="F11" i="20"/>
  <c r="G189" i="20"/>
  <c r="H15" i="20"/>
  <c r="F95" i="20"/>
  <c r="F33" i="20"/>
  <c r="I103" i="20"/>
  <c r="G115" i="20"/>
  <c r="H116" i="20"/>
  <c r="C92" i="20"/>
  <c r="C102" i="20" s="1"/>
  <c r="D102" i="20"/>
  <c r="D103" i="20" s="1"/>
  <c r="C208" i="20"/>
  <c r="F142" i="20"/>
  <c r="F115" i="20"/>
  <c r="F163" i="20"/>
  <c r="C65" i="20"/>
  <c r="C98" i="20"/>
  <c r="C91" i="20"/>
  <c r="I143" i="20"/>
  <c r="E209" i="20"/>
  <c r="D210" i="20"/>
  <c r="E96" i="20"/>
  <c r="F96" i="20"/>
  <c r="N139" i="20"/>
  <c r="C90" i="20"/>
  <c r="E93" i="20"/>
  <c r="E94" i="20" s="1"/>
  <c r="H196" i="20"/>
  <c r="F135" i="20"/>
  <c r="C165" i="20"/>
  <c r="C173" i="20"/>
  <c r="E170" i="20"/>
  <c r="E172" i="20" s="1"/>
  <c r="E113" i="20"/>
  <c r="E119" i="20" s="1"/>
  <c r="E120" i="20" s="1"/>
  <c r="E121" i="20" s="1"/>
  <c r="E122" i="20" s="1"/>
  <c r="E123" i="20" s="1"/>
  <c r="E124" i="20" s="1"/>
  <c r="E125" i="20" s="1"/>
  <c r="E126" i="20" s="1"/>
  <c r="E127" i="20" s="1"/>
  <c r="E128" i="20" s="1"/>
  <c r="E159" i="20"/>
  <c r="E160" i="20" s="1"/>
  <c r="E165" i="20"/>
  <c r="E42" i="9"/>
  <c r="D42" i="9"/>
  <c r="E30" i="9"/>
  <c r="D30" i="9"/>
  <c r="E11" i="9"/>
  <c r="E13" i="9" s="1"/>
  <c r="D11" i="9"/>
  <c r="D13" i="9" s="1"/>
  <c r="C11" i="9"/>
  <c r="C13" i="9" s="1"/>
  <c r="K24" i="17"/>
  <c r="J24" i="17"/>
  <c r="M14" i="12"/>
  <c r="L14" i="12"/>
  <c r="K14" i="12"/>
  <c r="M13" i="12"/>
  <c r="L13" i="12"/>
  <c r="K13" i="12"/>
  <c r="M12" i="12"/>
  <c r="L12" i="12"/>
  <c r="L16" i="12" s="1"/>
  <c r="L20" i="12" s="1"/>
  <c r="K12" i="12"/>
  <c r="M11" i="12"/>
  <c r="L11" i="12"/>
  <c r="K11" i="12"/>
  <c r="I17" i="12"/>
  <c r="I16" i="12"/>
  <c r="H17" i="12"/>
  <c r="G17" i="12"/>
  <c r="F17" i="12"/>
  <c r="H16" i="12"/>
  <c r="G16" i="12"/>
  <c r="F16" i="12"/>
  <c r="E17" i="12"/>
  <c r="E16" i="12"/>
  <c r="D17" i="12"/>
  <c r="D16" i="12"/>
  <c r="C17" i="12"/>
  <c r="C16" i="12"/>
  <c r="P14" i="12"/>
  <c r="P13" i="12"/>
  <c r="P12" i="12"/>
  <c r="P11" i="12"/>
  <c r="P17" i="12" s="1"/>
  <c r="P21" i="12" s="1"/>
  <c r="P10" i="12"/>
  <c r="O14" i="12"/>
  <c r="O12" i="12"/>
  <c r="O11" i="12"/>
  <c r="O16" i="12" s="1"/>
  <c r="O20" i="12" s="1"/>
  <c r="O10" i="12"/>
  <c r="O17" i="12" s="1"/>
  <c r="O21" i="12" s="1"/>
  <c r="M10" i="12"/>
  <c r="M16" i="12" s="1"/>
  <c r="M20" i="12" s="1"/>
  <c r="L10" i="12"/>
  <c r="K10" i="12"/>
  <c r="K16" i="12" s="1"/>
  <c r="K20" i="12" s="1"/>
  <c r="M17" i="12"/>
  <c r="M21" i="12" s="1"/>
  <c r="Q24" i="5"/>
  <c r="Q23" i="5"/>
  <c r="Q22" i="5"/>
  <c r="C184" i="14"/>
  <c r="B184" i="14"/>
  <c r="P479" i="5"/>
  <c r="P472" i="5"/>
  <c r="P468" i="5"/>
  <c r="P463" i="5"/>
  <c r="P456" i="5"/>
  <c r="P452" i="5"/>
  <c r="P447" i="5"/>
  <c r="P440" i="5"/>
  <c r="P436" i="5"/>
  <c r="P431" i="5"/>
  <c r="P424" i="5"/>
  <c r="N424" i="5" s="1"/>
  <c r="L483" i="5"/>
  <c r="P483" i="5" s="1"/>
  <c r="K483" i="5"/>
  <c r="O483" i="5" s="1"/>
  <c r="L482" i="5"/>
  <c r="P482" i="5" s="1"/>
  <c r="K482" i="5"/>
  <c r="O482" i="5" s="1"/>
  <c r="L481" i="5"/>
  <c r="P481" i="5" s="1"/>
  <c r="K481" i="5"/>
  <c r="O481" i="5" s="1"/>
  <c r="L480" i="5"/>
  <c r="P480" i="5" s="1"/>
  <c r="K480" i="5"/>
  <c r="O480" i="5" s="1"/>
  <c r="L479" i="5"/>
  <c r="K479" i="5"/>
  <c r="O479" i="5" s="1"/>
  <c r="L478" i="5"/>
  <c r="P478" i="5" s="1"/>
  <c r="K478" i="5"/>
  <c r="O478" i="5" s="1"/>
  <c r="L477" i="5"/>
  <c r="P477" i="5" s="1"/>
  <c r="K477" i="5"/>
  <c r="O477" i="5" s="1"/>
  <c r="L476" i="5"/>
  <c r="P476" i="5" s="1"/>
  <c r="K476" i="5"/>
  <c r="O476" i="5" s="1"/>
  <c r="L475" i="5"/>
  <c r="P475" i="5" s="1"/>
  <c r="K475" i="5"/>
  <c r="O475" i="5" s="1"/>
  <c r="L474" i="5"/>
  <c r="P474" i="5" s="1"/>
  <c r="K474" i="5"/>
  <c r="O474" i="5" s="1"/>
  <c r="L473" i="5"/>
  <c r="P473" i="5" s="1"/>
  <c r="K473" i="5"/>
  <c r="O473" i="5" s="1"/>
  <c r="L472" i="5"/>
  <c r="K472" i="5"/>
  <c r="O472" i="5" s="1"/>
  <c r="L471" i="5"/>
  <c r="P471" i="5" s="1"/>
  <c r="K471" i="5"/>
  <c r="O471" i="5" s="1"/>
  <c r="L470" i="5"/>
  <c r="P470" i="5" s="1"/>
  <c r="K470" i="5"/>
  <c r="O470" i="5" s="1"/>
  <c r="L469" i="5"/>
  <c r="P469" i="5" s="1"/>
  <c r="K469" i="5"/>
  <c r="O469" i="5" s="1"/>
  <c r="L468" i="5"/>
  <c r="K468" i="5"/>
  <c r="O468" i="5" s="1"/>
  <c r="L467" i="5"/>
  <c r="P467" i="5" s="1"/>
  <c r="K467" i="5"/>
  <c r="O467" i="5" s="1"/>
  <c r="L466" i="5"/>
  <c r="P466" i="5" s="1"/>
  <c r="K466" i="5"/>
  <c r="O466" i="5" s="1"/>
  <c r="L465" i="5"/>
  <c r="P465" i="5" s="1"/>
  <c r="K465" i="5"/>
  <c r="O465" i="5" s="1"/>
  <c r="L464" i="5"/>
  <c r="P464" i="5" s="1"/>
  <c r="K464" i="5"/>
  <c r="O464" i="5" s="1"/>
  <c r="L463" i="5"/>
  <c r="K463" i="5"/>
  <c r="O463" i="5" s="1"/>
  <c r="L462" i="5"/>
  <c r="P462" i="5" s="1"/>
  <c r="K462" i="5"/>
  <c r="O462" i="5" s="1"/>
  <c r="L461" i="5"/>
  <c r="P461" i="5" s="1"/>
  <c r="K461" i="5"/>
  <c r="O461" i="5" s="1"/>
  <c r="L460" i="5"/>
  <c r="P460" i="5" s="1"/>
  <c r="K460" i="5"/>
  <c r="O460" i="5" s="1"/>
  <c r="L459" i="5"/>
  <c r="P459" i="5" s="1"/>
  <c r="K459" i="5"/>
  <c r="O459" i="5" s="1"/>
  <c r="L458" i="5"/>
  <c r="P458" i="5" s="1"/>
  <c r="K458" i="5"/>
  <c r="O458" i="5" s="1"/>
  <c r="L457" i="5"/>
  <c r="P457" i="5" s="1"/>
  <c r="K457" i="5"/>
  <c r="O457" i="5" s="1"/>
  <c r="L456" i="5"/>
  <c r="K456" i="5"/>
  <c r="O456" i="5" s="1"/>
  <c r="L455" i="5"/>
  <c r="P455" i="5" s="1"/>
  <c r="K455" i="5"/>
  <c r="O455" i="5" s="1"/>
  <c r="L454" i="5"/>
  <c r="P454" i="5" s="1"/>
  <c r="K454" i="5"/>
  <c r="O454" i="5" s="1"/>
  <c r="L453" i="5"/>
  <c r="P453" i="5" s="1"/>
  <c r="K453" i="5"/>
  <c r="O453" i="5" s="1"/>
  <c r="L452" i="5"/>
  <c r="K452" i="5"/>
  <c r="O452" i="5" s="1"/>
  <c r="L451" i="5"/>
  <c r="P451" i="5" s="1"/>
  <c r="K451" i="5"/>
  <c r="O451" i="5" s="1"/>
  <c r="L450" i="5"/>
  <c r="P450" i="5" s="1"/>
  <c r="K450" i="5"/>
  <c r="O450" i="5" s="1"/>
  <c r="L449" i="5"/>
  <c r="P449" i="5" s="1"/>
  <c r="K449" i="5"/>
  <c r="O449" i="5" s="1"/>
  <c r="L448" i="5"/>
  <c r="P448" i="5" s="1"/>
  <c r="K448" i="5"/>
  <c r="O448" i="5" s="1"/>
  <c r="L447" i="5"/>
  <c r="K447" i="5"/>
  <c r="O447" i="5" s="1"/>
  <c r="L446" i="5"/>
  <c r="P446" i="5" s="1"/>
  <c r="K446" i="5"/>
  <c r="O446" i="5" s="1"/>
  <c r="L445" i="5"/>
  <c r="P445" i="5" s="1"/>
  <c r="K445" i="5"/>
  <c r="O445" i="5" s="1"/>
  <c r="L444" i="5"/>
  <c r="P444" i="5" s="1"/>
  <c r="K444" i="5"/>
  <c r="O444" i="5" s="1"/>
  <c r="L443" i="5"/>
  <c r="P443" i="5" s="1"/>
  <c r="K443" i="5"/>
  <c r="O443" i="5" s="1"/>
  <c r="L442" i="5"/>
  <c r="P442" i="5" s="1"/>
  <c r="K442" i="5"/>
  <c r="O442" i="5" s="1"/>
  <c r="L441" i="5"/>
  <c r="P441" i="5" s="1"/>
  <c r="K441" i="5"/>
  <c r="O441" i="5" s="1"/>
  <c r="L440" i="5"/>
  <c r="K440" i="5"/>
  <c r="O440" i="5" s="1"/>
  <c r="L439" i="5"/>
  <c r="P439" i="5" s="1"/>
  <c r="K439" i="5"/>
  <c r="O439" i="5" s="1"/>
  <c r="L438" i="5"/>
  <c r="P438" i="5" s="1"/>
  <c r="K438" i="5"/>
  <c r="O438" i="5" s="1"/>
  <c r="L437" i="5"/>
  <c r="P437" i="5" s="1"/>
  <c r="K437" i="5"/>
  <c r="O437" i="5" s="1"/>
  <c r="L436" i="5"/>
  <c r="K436" i="5"/>
  <c r="O436" i="5" s="1"/>
  <c r="L435" i="5"/>
  <c r="P435" i="5" s="1"/>
  <c r="K435" i="5"/>
  <c r="O435" i="5" s="1"/>
  <c r="L434" i="5"/>
  <c r="P434" i="5" s="1"/>
  <c r="K434" i="5"/>
  <c r="O434" i="5" s="1"/>
  <c r="L433" i="5"/>
  <c r="P433" i="5" s="1"/>
  <c r="K433" i="5"/>
  <c r="O433" i="5" s="1"/>
  <c r="L432" i="5"/>
  <c r="P432" i="5" s="1"/>
  <c r="K432" i="5"/>
  <c r="O432" i="5" s="1"/>
  <c r="L431" i="5"/>
  <c r="K431" i="5"/>
  <c r="O431" i="5" s="1"/>
  <c r="L430" i="5"/>
  <c r="P430" i="5" s="1"/>
  <c r="K430" i="5"/>
  <c r="O430" i="5" s="1"/>
  <c r="L429" i="5"/>
  <c r="P429" i="5" s="1"/>
  <c r="K429" i="5"/>
  <c r="O429" i="5" s="1"/>
  <c r="L428" i="5"/>
  <c r="P428" i="5" s="1"/>
  <c r="K428" i="5"/>
  <c r="O428" i="5" s="1"/>
  <c r="L427" i="5"/>
  <c r="P427" i="5" s="1"/>
  <c r="K427" i="5"/>
  <c r="O427" i="5" s="1"/>
  <c r="L426" i="5"/>
  <c r="P426" i="5" s="1"/>
  <c r="K426" i="5"/>
  <c r="O426" i="5" s="1"/>
  <c r="L425" i="5"/>
  <c r="P425" i="5" s="1"/>
  <c r="K425" i="5"/>
  <c r="O425" i="5" s="1"/>
  <c r="L424" i="5"/>
  <c r="K424" i="5"/>
  <c r="O424" i="5" s="1"/>
  <c r="M424" i="5" s="1"/>
  <c r="L423" i="5"/>
  <c r="K423" i="5"/>
  <c r="L422" i="5"/>
  <c r="K422" i="5"/>
  <c r="L421" i="5"/>
  <c r="K421" i="5"/>
  <c r="L420" i="5"/>
  <c r="K420" i="5"/>
  <c r="L419" i="5"/>
  <c r="K419" i="5"/>
  <c r="L418" i="5"/>
  <c r="K418" i="5"/>
  <c r="L417" i="5"/>
  <c r="K417" i="5"/>
  <c r="L416" i="5"/>
  <c r="K416" i="5"/>
  <c r="L415" i="5"/>
  <c r="K415" i="5"/>
  <c r="L414" i="5"/>
  <c r="K414" i="5"/>
  <c r="L413" i="5"/>
  <c r="K413" i="5"/>
  <c r="L412" i="5"/>
  <c r="K412" i="5"/>
  <c r="L411" i="5"/>
  <c r="K411" i="5"/>
  <c r="L410" i="5"/>
  <c r="K410" i="5"/>
  <c r="L409" i="5"/>
  <c r="K409" i="5"/>
  <c r="L408" i="5"/>
  <c r="K408" i="5"/>
  <c r="L407" i="5"/>
  <c r="K407" i="5"/>
  <c r="L406" i="5"/>
  <c r="K406" i="5"/>
  <c r="L405" i="5"/>
  <c r="K405" i="5"/>
  <c r="L404" i="5"/>
  <c r="K404" i="5"/>
  <c r="L403" i="5"/>
  <c r="K403" i="5"/>
  <c r="L402" i="5"/>
  <c r="K402" i="5"/>
  <c r="L401" i="5"/>
  <c r="K401" i="5"/>
  <c r="L400" i="5"/>
  <c r="K400" i="5"/>
  <c r="L399" i="5"/>
  <c r="K399" i="5"/>
  <c r="L398" i="5"/>
  <c r="K398" i="5"/>
  <c r="L397" i="5"/>
  <c r="K397" i="5"/>
  <c r="L396" i="5"/>
  <c r="K396" i="5"/>
  <c r="L395" i="5"/>
  <c r="K395" i="5"/>
  <c r="L394" i="5"/>
  <c r="K394" i="5"/>
  <c r="L393" i="5"/>
  <c r="K393" i="5"/>
  <c r="L392" i="5"/>
  <c r="K392" i="5"/>
  <c r="L391" i="5"/>
  <c r="K391" i="5"/>
  <c r="L390" i="5"/>
  <c r="K390" i="5"/>
  <c r="L389" i="5"/>
  <c r="K389" i="5"/>
  <c r="L388" i="5"/>
  <c r="K388" i="5"/>
  <c r="L387" i="5"/>
  <c r="K387" i="5"/>
  <c r="L386" i="5"/>
  <c r="K386" i="5"/>
  <c r="L385" i="5"/>
  <c r="K385" i="5"/>
  <c r="L384" i="5"/>
  <c r="K384" i="5"/>
  <c r="L383" i="5"/>
  <c r="K383" i="5"/>
  <c r="L382" i="5"/>
  <c r="K382" i="5"/>
  <c r="L381" i="5"/>
  <c r="K381" i="5"/>
  <c r="L380" i="5"/>
  <c r="K380" i="5"/>
  <c r="L379" i="5"/>
  <c r="K379" i="5"/>
  <c r="L378" i="5"/>
  <c r="K378" i="5"/>
  <c r="L377" i="5"/>
  <c r="K377" i="5"/>
  <c r="L376" i="5"/>
  <c r="K376" i="5"/>
  <c r="L375" i="5"/>
  <c r="K375" i="5"/>
  <c r="L374" i="5"/>
  <c r="K374" i="5"/>
  <c r="L373" i="5"/>
  <c r="K373" i="5"/>
  <c r="L372" i="5"/>
  <c r="K372" i="5"/>
  <c r="L371" i="5"/>
  <c r="K371" i="5"/>
  <c r="L370" i="5"/>
  <c r="K370" i="5"/>
  <c r="L369" i="5"/>
  <c r="K369" i="5"/>
  <c r="L368" i="5"/>
  <c r="K368" i="5"/>
  <c r="L367" i="5"/>
  <c r="K367" i="5"/>
  <c r="L366" i="5"/>
  <c r="K366" i="5"/>
  <c r="L365" i="5"/>
  <c r="K365" i="5"/>
  <c r="L364" i="5"/>
  <c r="K364" i="5"/>
  <c r="L363" i="5"/>
  <c r="K363" i="5"/>
  <c r="L362" i="5"/>
  <c r="K362" i="5"/>
  <c r="L361" i="5"/>
  <c r="K361" i="5"/>
  <c r="L360" i="5"/>
  <c r="K360" i="5"/>
  <c r="L359" i="5"/>
  <c r="K359" i="5"/>
  <c r="L358" i="5"/>
  <c r="K358" i="5"/>
  <c r="L357" i="5"/>
  <c r="K357" i="5"/>
  <c r="L356" i="5"/>
  <c r="K356" i="5"/>
  <c r="L355" i="5"/>
  <c r="K355" i="5"/>
  <c r="L354" i="5"/>
  <c r="K354" i="5"/>
  <c r="L353" i="5"/>
  <c r="K353" i="5"/>
  <c r="L352" i="5"/>
  <c r="K352" i="5"/>
  <c r="L351" i="5"/>
  <c r="K351" i="5"/>
  <c r="L350" i="5"/>
  <c r="K350" i="5"/>
  <c r="L349" i="5"/>
  <c r="K349" i="5"/>
  <c r="L348" i="5"/>
  <c r="K348" i="5"/>
  <c r="L347" i="5"/>
  <c r="K347" i="5"/>
  <c r="L346" i="5"/>
  <c r="K346" i="5"/>
  <c r="L345" i="5"/>
  <c r="K345" i="5"/>
  <c r="L344" i="5"/>
  <c r="K344" i="5"/>
  <c r="L343" i="5"/>
  <c r="K343" i="5"/>
  <c r="L342" i="5"/>
  <c r="K342" i="5"/>
  <c r="L341" i="5"/>
  <c r="K341" i="5"/>
  <c r="L340" i="5"/>
  <c r="K340" i="5"/>
  <c r="L339" i="5"/>
  <c r="K339" i="5"/>
  <c r="L338" i="5"/>
  <c r="K338" i="5"/>
  <c r="L337" i="5"/>
  <c r="K337" i="5"/>
  <c r="L336" i="5"/>
  <c r="K336" i="5"/>
  <c r="L335" i="5"/>
  <c r="K335" i="5"/>
  <c r="L334" i="5"/>
  <c r="K334" i="5"/>
  <c r="L333" i="5"/>
  <c r="K333" i="5"/>
  <c r="L332" i="5"/>
  <c r="K332" i="5"/>
  <c r="L331" i="5"/>
  <c r="K331" i="5"/>
  <c r="L330" i="5"/>
  <c r="K330" i="5"/>
  <c r="L329" i="5"/>
  <c r="K329" i="5"/>
  <c r="L328" i="5"/>
  <c r="K328" i="5"/>
  <c r="L327" i="5"/>
  <c r="K327" i="5"/>
  <c r="L326" i="5"/>
  <c r="K326" i="5"/>
  <c r="L325" i="5"/>
  <c r="K325" i="5"/>
  <c r="L324" i="5"/>
  <c r="K324" i="5"/>
  <c r="L323" i="5"/>
  <c r="K323" i="5"/>
  <c r="L322" i="5"/>
  <c r="K322" i="5"/>
  <c r="L321" i="5"/>
  <c r="K321" i="5"/>
  <c r="L320" i="5"/>
  <c r="K320" i="5"/>
  <c r="L319" i="5"/>
  <c r="K319" i="5"/>
  <c r="L318" i="5"/>
  <c r="K318" i="5"/>
  <c r="L317" i="5"/>
  <c r="K317" i="5"/>
  <c r="L316" i="5"/>
  <c r="K316" i="5"/>
  <c r="L315" i="5"/>
  <c r="K315" i="5"/>
  <c r="L314" i="5"/>
  <c r="K314" i="5"/>
  <c r="L313" i="5"/>
  <c r="K313" i="5"/>
  <c r="L312" i="5"/>
  <c r="K312" i="5"/>
  <c r="L311" i="5"/>
  <c r="K311" i="5"/>
  <c r="L310" i="5"/>
  <c r="K310" i="5"/>
  <c r="L309" i="5"/>
  <c r="K309" i="5"/>
  <c r="L308" i="5"/>
  <c r="K308" i="5"/>
  <c r="L307" i="5"/>
  <c r="K307" i="5"/>
  <c r="L306" i="5"/>
  <c r="K306" i="5"/>
  <c r="L305" i="5"/>
  <c r="K305" i="5"/>
  <c r="L304" i="5"/>
  <c r="J304" i="5" s="1"/>
  <c r="J305" i="5" s="1"/>
  <c r="K304" i="5"/>
  <c r="I304" i="5" s="1"/>
  <c r="I305" i="5" s="1"/>
  <c r="I306" i="5" s="1"/>
  <c r="I307" i="5" s="1"/>
  <c r="I308" i="5" s="1"/>
  <c r="I309" i="5" s="1"/>
  <c r="I310" i="5" s="1"/>
  <c r="I311" i="5" s="1"/>
  <c r="I312" i="5" s="1"/>
  <c r="I313" i="5" s="1"/>
  <c r="I314" i="5" s="1"/>
  <c r="I315" i="5" s="1"/>
  <c r="I316" i="5" s="1"/>
  <c r="I317" i="5" s="1"/>
  <c r="I318" i="5" s="1"/>
  <c r="I319" i="5" s="1"/>
  <c r="I320" i="5" s="1"/>
  <c r="I321" i="5" s="1"/>
  <c r="I322" i="5" s="1"/>
  <c r="I323" i="5" s="1"/>
  <c r="I324" i="5" s="1"/>
  <c r="I325" i="5" s="1"/>
  <c r="I326" i="5" s="1"/>
  <c r="I327" i="5" s="1"/>
  <c r="I328" i="5" s="1"/>
  <c r="I329" i="5" s="1"/>
  <c r="I330" i="5" s="1"/>
  <c r="I331" i="5" s="1"/>
  <c r="I332" i="5" s="1"/>
  <c r="I333" i="5" s="1"/>
  <c r="I334" i="5" s="1"/>
  <c r="I335" i="5" s="1"/>
  <c r="I336" i="5" s="1"/>
  <c r="I337" i="5" s="1"/>
  <c r="I338" i="5" s="1"/>
  <c r="I339" i="5" s="1"/>
  <c r="I340" i="5" s="1"/>
  <c r="I341" i="5" s="1"/>
  <c r="I342" i="5" s="1"/>
  <c r="I343" i="5" s="1"/>
  <c r="I344" i="5" s="1"/>
  <c r="I345" i="5" s="1"/>
  <c r="I346" i="5" s="1"/>
  <c r="I347" i="5" s="1"/>
  <c r="I348" i="5" s="1"/>
  <c r="I349" i="5" s="1"/>
  <c r="I350" i="5" s="1"/>
  <c r="I351" i="5" s="1"/>
  <c r="I352" i="5" s="1"/>
  <c r="I353" i="5" s="1"/>
  <c r="I354" i="5" s="1"/>
  <c r="I355" i="5" s="1"/>
  <c r="I356" i="5" s="1"/>
  <c r="I357" i="5" s="1"/>
  <c r="I358" i="5" s="1"/>
  <c r="I359" i="5" s="1"/>
  <c r="I360" i="5" s="1"/>
  <c r="I361" i="5" s="1"/>
  <c r="I362" i="5" s="1"/>
  <c r="I363" i="5" s="1"/>
  <c r="I364" i="5" s="1"/>
  <c r="I365" i="5" s="1"/>
  <c r="I367" i="5" s="1"/>
  <c r="I368" i="5" s="1"/>
  <c r="I369" i="5" s="1"/>
  <c r="I371" i="5" s="1"/>
  <c r="I372" i="5" s="1"/>
  <c r="I373" i="5" s="1"/>
  <c r="I374" i="5" s="1"/>
  <c r="I375" i="5" s="1"/>
  <c r="I376" i="5" s="1"/>
  <c r="I377" i="5" s="1"/>
  <c r="I378" i="5" s="1"/>
  <c r="I379" i="5" s="1"/>
  <c r="I380" i="5" s="1"/>
  <c r="I381" i="5" s="1"/>
  <c r="I382" i="5" s="1"/>
  <c r="I383" i="5" s="1"/>
  <c r="I384" i="5" s="1"/>
  <c r="I385" i="5" s="1"/>
  <c r="I386" i="5" s="1"/>
  <c r="I387" i="5" s="1"/>
  <c r="I388" i="5" s="1"/>
  <c r="I389" i="5" s="1"/>
  <c r="I390" i="5" s="1"/>
  <c r="I391" i="5" s="1"/>
  <c r="I392" i="5" s="1"/>
  <c r="I393" i="5" s="1"/>
  <c r="I394" i="5" s="1"/>
  <c r="I395" i="5" s="1"/>
  <c r="I396" i="5" s="1"/>
  <c r="I397" i="5" s="1"/>
  <c r="I398" i="5" s="1"/>
  <c r="I399" i="5" s="1"/>
  <c r="I400" i="5" s="1"/>
  <c r="I401" i="5" s="1"/>
  <c r="I402" i="5" s="1"/>
  <c r="I403" i="5" s="1"/>
  <c r="I404" i="5" s="1"/>
  <c r="I405" i="5" s="1"/>
  <c r="I406" i="5" s="1"/>
  <c r="I407" i="5" s="1"/>
  <c r="I408" i="5" s="1"/>
  <c r="I409" i="5" s="1"/>
  <c r="I410" i="5" s="1"/>
  <c r="I411" i="5" s="1"/>
  <c r="I412" i="5" s="1"/>
  <c r="I413" i="5" s="1"/>
  <c r="I414" i="5" s="1"/>
  <c r="I415" i="5" s="1"/>
  <c r="I416" i="5" s="1"/>
  <c r="I417" i="5" s="1"/>
  <c r="I418" i="5" s="1"/>
  <c r="I419" i="5" s="1"/>
  <c r="I420" i="5" s="1"/>
  <c r="I421" i="5" s="1"/>
  <c r="I422" i="5" s="1"/>
  <c r="I423" i="5" s="1"/>
  <c r="I424" i="5" s="1"/>
  <c r="I425" i="5" s="1"/>
  <c r="I426" i="5" s="1"/>
  <c r="I427" i="5" s="1"/>
  <c r="I428" i="5" s="1"/>
  <c r="I429" i="5" s="1"/>
  <c r="I430" i="5" s="1"/>
  <c r="I431" i="5" s="1"/>
  <c r="I432" i="5" s="1"/>
  <c r="I433" i="5" s="1"/>
  <c r="I434" i="5" s="1"/>
  <c r="I435" i="5" s="1"/>
  <c r="I436" i="5" s="1"/>
  <c r="I437" i="5" s="1"/>
  <c r="I438" i="5" s="1"/>
  <c r="I439" i="5" s="1"/>
  <c r="I440" i="5" s="1"/>
  <c r="I441" i="5" s="1"/>
  <c r="I442" i="5" s="1"/>
  <c r="I443" i="5" s="1"/>
  <c r="I444" i="5" s="1"/>
  <c r="I445" i="5" s="1"/>
  <c r="I446" i="5" s="1"/>
  <c r="I447" i="5" s="1"/>
  <c r="I448" i="5" s="1"/>
  <c r="I449" i="5" s="1"/>
  <c r="I450" i="5" s="1"/>
  <c r="I451" i="5" s="1"/>
  <c r="I452" i="5" s="1"/>
  <c r="I453" i="5" s="1"/>
  <c r="I454" i="5" s="1"/>
  <c r="I455" i="5" s="1"/>
  <c r="I456" i="5" s="1"/>
  <c r="I457" i="5" s="1"/>
  <c r="I458" i="5" s="1"/>
  <c r="I459" i="5" s="1"/>
  <c r="I460" i="5" s="1"/>
  <c r="I461" i="5" s="1"/>
  <c r="I462" i="5" s="1"/>
  <c r="I463" i="5" s="1"/>
  <c r="I464" i="5" s="1"/>
  <c r="I465" i="5" s="1"/>
  <c r="I466" i="5" s="1"/>
  <c r="I467" i="5" s="1"/>
  <c r="I468" i="5" s="1"/>
  <c r="I469" i="5" s="1"/>
  <c r="I470" i="5" s="1"/>
  <c r="I471" i="5" s="1"/>
  <c r="I472" i="5" s="1"/>
  <c r="I473" i="5" s="1"/>
  <c r="I474" i="5" s="1"/>
  <c r="I475" i="5" s="1"/>
  <c r="I476" i="5" s="1"/>
  <c r="I477" i="5" s="1"/>
  <c r="I478" i="5" s="1"/>
  <c r="I479" i="5" s="1"/>
  <c r="I480" i="5" s="1"/>
  <c r="I481" i="5" s="1"/>
  <c r="I482" i="5" s="1"/>
  <c r="I483" i="5" s="1"/>
  <c r="N20" i="12"/>
  <c r="N19" i="12"/>
  <c r="J19" i="12"/>
  <c r="J17" i="12"/>
  <c r="J16" i="12"/>
  <c r="N8" i="12"/>
  <c r="J8" i="12"/>
  <c r="K19" i="8"/>
  <c r="J19" i="8"/>
  <c r="I19" i="8"/>
  <c r="H19" i="8"/>
  <c r="G19" i="8"/>
  <c r="F19" i="8"/>
  <c r="E19" i="8"/>
  <c r="D19" i="8"/>
  <c r="C19" i="8"/>
  <c r="B19" i="8"/>
  <c r="K18" i="8"/>
  <c r="J18" i="8"/>
  <c r="I18" i="8"/>
  <c r="H18" i="8"/>
  <c r="G18" i="8"/>
  <c r="F18" i="8"/>
  <c r="E18" i="8"/>
  <c r="D18" i="8"/>
  <c r="C18" i="8"/>
  <c r="B18" i="8"/>
  <c r="K17" i="8"/>
  <c r="J17" i="8"/>
  <c r="I17" i="8"/>
  <c r="H17" i="8"/>
  <c r="G17" i="8"/>
  <c r="F17" i="8"/>
  <c r="E17" i="8"/>
  <c r="D17" i="8"/>
  <c r="C17" i="8"/>
  <c r="B17" i="8"/>
  <c r="K15" i="8"/>
  <c r="J15" i="8"/>
  <c r="J20" i="8" s="1"/>
  <c r="I15" i="8"/>
  <c r="H15" i="8"/>
  <c r="G15" i="8"/>
  <c r="F15" i="8"/>
  <c r="E15" i="8"/>
  <c r="D15" i="8"/>
  <c r="C15" i="8"/>
  <c r="B15" i="8"/>
  <c r="K14" i="8"/>
  <c r="K20" i="8"/>
  <c r="J14" i="8"/>
  <c r="I14" i="8"/>
  <c r="I20" i="8" s="1"/>
  <c r="H14" i="8"/>
  <c r="G14" i="8"/>
  <c r="F14" i="8"/>
  <c r="F20" i="8"/>
  <c r="E14" i="8"/>
  <c r="E20" i="8" s="1"/>
  <c r="D14" i="8"/>
  <c r="C14" i="8"/>
  <c r="C20" i="8"/>
  <c r="B14" i="8"/>
  <c r="R5" i="7"/>
  <c r="R4" i="7"/>
  <c r="R1" i="7"/>
  <c r="H498" i="5"/>
  <c r="H497" i="5"/>
  <c r="G498" i="5"/>
  <c r="G497" i="5"/>
  <c r="C20" i="20" l="1"/>
  <c r="C26" i="20"/>
  <c r="C15" i="20"/>
  <c r="C178" i="20"/>
  <c r="C196" i="20" s="1"/>
  <c r="D178" i="20"/>
  <c r="F177" i="20"/>
  <c r="F17" i="20" s="1"/>
  <c r="F201" i="20" s="1"/>
  <c r="D97" i="20"/>
  <c r="E81" i="20"/>
  <c r="C213" i="20"/>
  <c r="C215" i="20" s="1"/>
  <c r="G213" i="20"/>
  <c r="H6" i="20"/>
  <c r="H142" i="20" s="1"/>
  <c r="H64" i="20" s="1"/>
  <c r="D213" i="20"/>
  <c r="C81" i="20"/>
  <c r="C83" i="20" s="1"/>
  <c r="D82" i="20" s="1"/>
  <c r="G9" i="20"/>
  <c r="G91" i="20" s="1"/>
  <c r="G96" i="20" s="1"/>
  <c r="E193" i="20"/>
  <c r="C189" i="20"/>
  <c r="G20" i="8"/>
  <c r="M425" i="5"/>
  <c r="M426" i="5" s="1"/>
  <c r="M427" i="5" s="1"/>
  <c r="M428" i="5" s="1"/>
  <c r="M429" i="5" s="1"/>
  <c r="M430" i="5" s="1"/>
  <c r="M431" i="5" s="1"/>
  <c r="M432" i="5" s="1"/>
  <c r="M433" i="5" s="1"/>
  <c r="M434" i="5" s="1"/>
  <c r="M435" i="5" s="1"/>
  <c r="M436" i="5" s="1"/>
  <c r="M437" i="5" s="1"/>
  <c r="M438" i="5" s="1"/>
  <c r="M439" i="5" s="1"/>
  <c r="M440" i="5" s="1"/>
  <c r="M441" i="5" s="1"/>
  <c r="M442" i="5" s="1"/>
  <c r="M443" i="5" s="1"/>
  <c r="M444" i="5" s="1"/>
  <c r="M445" i="5" s="1"/>
  <c r="M446" i="5" s="1"/>
  <c r="M447" i="5" s="1"/>
  <c r="M448" i="5" s="1"/>
  <c r="M449" i="5" s="1"/>
  <c r="M450" i="5" s="1"/>
  <c r="M451" i="5" s="1"/>
  <c r="M452" i="5" s="1"/>
  <c r="M453" i="5" s="1"/>
  <c r="M454" i="5" s="1"/>
  <c r="M455" i="5" s="1"/>
  <c r="M456" i="5" s="1"/>
  <c r="M457" i="5" s="1"/>
  <c r="M458" i="5" s="1"/>
  <c r="M459" i="5" s="1"/>
  <c r="M460" i="5" s="1"/>
  <c r="M461" i="5" s="1"/>
  <c r="M462" i="5" s="1"/>
  <c r="M463" i="5" s="1"/>
  <c r="M464" i="5" s="1"/>
  <c r="M465" i="5" s="1"/>
  <c r="M466" i="5" s="1"/>
  <c r="M467" i="5" s="1"/>
  <c r="M468" i="5" s="1"/>
  <c r="M469" i="5" s="1"/>
  <c r="M470" i="5" s="1"/>
  <c r="M471" i="5" s="1"/>
  <c r="M472" i="5" s="1"/>
  <c r="M473" i="5" s="1"/>
  <c r="M474" i="5" s="1"/>
  <c r="M475" i="5" s="1"/>
  <c r="M476" i="5" s="1"/>
  <c r="M477" i="5" s="1"/>
  <c r="M478" i="5" s="1"/>
  <c r="M479" i="5" s="1"/>
  <c r="M480" i="5" s="1"/>
  <c r="M481" i="5" s="1"/>
  <c r="M482" i="5" s="1"/>
  <c r="M483" i="5" s="1"/>
  <c r="H20" i="8"/>
  <c r="J306" i="5"/>
  <c r="J307" i="5" s="1"/>
  <c r="J308" i="5" s="1"/>
  <c r="J309" i="5" s="1"/>
  <c r="J310" i="5" s="1"/>
  <c r="J311" i="5" s="1"/>
  <c r="J312" i="5" s="1"/>
  <c r="J313" i="5" s="1"/>
  <c r="J314" i="5" s="1"/>
  <c r="J315" i="5" s="1"/>
  <c r="J316" i="5" s="1"/>
  <c r="J317" i="5" s="1"/>
  <c r="J318" i="5" s="1"/>
  <c r="J319" i="5" s="1"/>
  <c r="J320" i="5" s="1"/>
  <c r="J321" i="5" s="1"/>
  <c r="J322" i="5" s="1"/>
  <c r="J323" i="5" s="1"/>
  <c r="J324" i="5" s="1"/>
  <c r="J325" i="5" s="1"/>
  <c r="J326" i="5" s="1"/>
  <c r="J327" i="5" s="1"/>
  <c r="J328" i="5" s="1"/>
  <c r="J329" i="5" s="1"/>
  <c r="J330" i="5" s="1"/>
  <c r="J331" i="5" s="1"/>
  <c r="J332" i="5" s="1"/>
  <c r="J333" i="5" s="1"/>
  <c r="J334" i="5" s="1"/>
  <c r="J335" i="5" s="1"/>
  <c r="J336" i="5" s="1"/>
  <c r="J337" i="5" s="1"/>
  <c r="J338" i="5" s="1"/>
  <c r="J339" i="5" s="1"/>
  <c r="J340" i="5" s="1"/>
  <c r="J341" i="5" s="1"/>
  <c r="J342" i="5" s="1"/>
  <c r="J343" i="5" s="1"/>
  <c r="J344" i="5" s="1"/>
  <c r="J345" i="5" s="1"/>
  <c r="J346" i="5" s="1"/>
  <c r="J347" i="5" s="1"/>
  <c r="J348" i="5" s="1"/>
  <c r="J349" i="5" s="1"/>
  <c r="J350" i="5" s="1"/>
  <c r="J351" i="5" s="1"/>
  <c r="J352" i="5" s="1"/>
  <c r="J353" i="5" s="1"/>
  <c r="J354" i="5" s="1"/>
  <c r="J355" i="5" s="1"/>
  <c r="J356" i="5" s="1"/>
  <c r="J357" i="5" s="1"/>
  <c r="J358" i="5" s="1"/>
  <c r="J359" i="5" s="1"/>
  <c r="J360" i="5" s="1"/>
  <c r="J361" i="5" s="1"/>
  <c r="J362" i="5" s="1"/>
  <c r="J363" i="5" s="1"/>
  <c r="J364" i="5" s="1"/>
  <c r="J365" i="5" s="1"/>
  <c r="J366" i="5" s="1"/>
  <c r="J367" i="5" s="1"/>
  <c r="J368" i="5" s="1"/>
  <c r="J369" i="5" s="1"/>
  <c r="J370" i="5" s="1"/>
  <c r="J371" i="5" s="1"/>
  <c r="J372" i="5" s="1"/>
  <c r="J373" i="5" s="1"/>
  <c r="J374" i="5" s="1"/>
  <c r="J375" i="5" s="1"/>
  <c r="J376" i="5" s="1"/>
  <c r="J377" i="5" s="1"/>
  <c r="J378" i="5" s="1"/>
  <c r="J379" i="5" s="1"/>
  <c r="J380" i="5" s="1"/>
  <c r="J381" i="5" s="1"/>
  <c r="J382" i="5" s="1"/>
  <c r="J383" i="5" s="1"/>
  <c r="J384" i="5" s="1"/>
  <c r="J385" i="5" s="1"/>
  <c r="J386" i="5" s="1"/>
  <c r="J387" i="5" s="1"/>
  <c r="J388" i="5" s="1"/>
  <c r="J389" i="5" s="1"/>
  <c r="J390" i="5" s="1"/>
  <c r="J391" i="5" s="1"/>
  <c r="J392" i="5" s="1"/>
  <c r="J393" i="5" s="1"/>
  <c r="J394" i="5" s="1"/>
  <c r="J395" i="5" s="1"/>
  <c r="J396" i="5" s="1"/>
  <c r="J397" i="5" s="1"/>
  <c r="J398" i="5" s="1"/>
  <c r="J399" i="5" s="1"/>
  <c r="J400" i="5" s="1"/>
  <c r="J401" i="5" s="1"/>
  <c r="J402" i="5" s="1"/>
  <c r="J403" i="5" s="1"/>
  <c r="J404" i="5" s="1"/>
  <c r="J405" i="5" s="1"/>
  <c r="J406" i="5" s="1"/>
  <c r="J407" i="5" s="1"/>
  <c r="J408" i="5" s="1"/>
  <c r="J409" i="5" s="1"/>
  <c r="J410" i="5" s="1"/>
  <c r="J411" i="5" s="1"/>
  <c r="J412" i="5" s="1"/>
  <c r="J413" i="5" s="1"/>
  <c r="J414" i="5" s="1"/>
  <c r="J415" i="5" s="1"/>
  <c r="J416" i="5" s="1"/>
  <c r="J417" i="5" s="1"/>
  <c r="J418" i="5" s="1"/>
  <c r="J419" i="5" s="1"/>
  <c r="J420" i="5" s="1"/>
  <c r="J421" i="5" s="1"/>
  <c r="J422" i="5" s="1"/>
  <c r="J423" i="5" s="1"/>
  <c r="J424" i="5" s="1"/>
  <c r="J425" i="5" s="1"/>
  <c r="J426" i="5" s="1"/>
  <c r="J427" i="5" s="1"/>
  <c r="J428" i="5" s="1"/>
  <c r="J429" i="5" s="1"/>
  <c r="J430" i="5" s="1"/>
  <c r="J431" i="5" s="1"/>
  <c r="J432" i="5" s="1"/>
  <c r="J433" i="5" s="1"/>
  <c r="J434" i="5" s="1"/>
  <c r="J435" i="5" s="1"/>
  <c r="J436" i="5" s="1"/>
  <c r="J437" i="5" s="1"/>
  <c r="J438" i="5" s="1"/>
  <c r="J439" i="5" s="1"/>
  <c r="J440" i="5" s="1"/>
  <c r="J441" i="5" s="1"/>
  <c r="J442" i="5" s="1"/>
  <c r="J443" i="5" s="1"/>
  <c r="J444" i="5" s="1"/>
  <c r="J445" i="5" s="1"/>
  <c r="J446" i="5" s="1"/>
  <c r="J447" i="5" s="1"/>
  <c r="J448" i="5" s="1"/>
  <c r="J449" i="5" s="1"/>
  <c r="J450" i="5" s="1"/>
  <c r="J451" i="5" s="1"/>
  <c r="J452" i="5" s="1"/>
  <c r="J453" i="5" s="1"/>
  <c r="J454" i="5" s="1"/>
  <c r="J455" i="5" s="1"/>
  <c r="J456" i="5" s="1"/>
  <c r="J457" i="5" s="1"/>
  <c r="J458" i="5" s="1"/>
  <c r="J459" i="5" s="1"/>
  <c r="J460" i="5" s="1"/>
  <c r="J461" i="5" s="1"/>
  <c r="J462" i="5" s="1"/>
  <c r="J463" i="5" s="1"/>
  <c r="J464" i="5" s="1"/>
  <c r="J465" i="5" s="1"/>
  <c r="J466" i="5" s="1"/>
  <c r="J467" i="5" s="1"/>
  <c r="J468" i="5" s="1"/>
  <c r="J469" i="5" s="1"/>
  <c r="J470" i="5" s="1"/>
  <c r="J471" i="5" s="1"/>
  <c r="J472" i="5" s="1"/>
  <c r="J473" i="5" s="1"/>
  <c r="J474" i="5" s="1"/>
  <c r="J475" i="5" s="1"/>
  <c r="J476" i="5" s="1"/>
  <c r="J477" i="5" s="1"/>
  <c r="J478" i="5" s="1"/>
  <c r="J479" i="5" s="1"/>
  <c r="J480" i="5" s="1"/>
  <c r="J481" i="5" s="1"/>
  <c r="J482" i="5" s="1"/>
  <c r="J483" i="5" s="1"/>
  <c r="C202" i="20"/>
  <c r="B20" i="8"/>
  <c r="L17" i="12"/>
  <c r="L21" i="12" s="1"/>
  <c r="C194" i="20"/>
  <c r="E98" i="20"/>
  <c r="E65" i="20"/>
  <c r="C101" i="20"/>
  <c r="D96" i="20"/>
  <c r="D146" i="20"/>
  <c r="F64" i="20"/>
  <c r="F12" i="20"/>
  <c r="G135" i="20"/>
  <c r="D212" i="20"/>
  <c r="D215" i="20" s="1"/>
  <c r="L100" i="20"/>
  <c r="K103" i="20"/>
  <c r="G33" i="20"/>
  <c r="H35" i="20"/>
  <c r="I196" i="20"/>
  <c r="I177" i="20"/>
  <c r="I17" i="20" s="1"/>
  <c r="J178" i="20"/>
  <c r="F209" i="20"/>
  <c r="E210" i="20"/>
  <c r="G95" i="20"/>
  <c r="D196" i="20"/>
  <c r="G66" i="20"/>
  <c r="H177" i="20"/>
  <c r="H17" i="20" s="1"/>
  <c r="K45" i="20"/>
  <c r="G62" i="20"/>
  <c r="J10" i="20"/>
  <c r="G177" i="20"/>
  <c r="G17" i="20" s="1"/>
  <c r="O139" i="20"/>
  <c r="J143" i="20"/>
  <c r="I116" i="20"/>
  <c r="E201" i="20"/>
  <c r="E194" i="20"/>
  <c r="E26" i="20"/>
  <c r="E20" i="20"/>
  <c r="E15" i="20"/>
  <c r="E189" i="20" s="1"/>
  <c r="D147" i="20"/>
  <c r="G64" i="20"/>
  <c r="H9" i="20"/>
  <c r="H91" i="20" s="1"/>
  <c r="F62" i="20"/>
  <c r="F165" i="20"/>
  <c r="D120" i="20"/>
  <c r="G63" i="20"/>
  <c r="G192" i="20" s="1"/>
  <c r="H189" i="20"/>
  <c r="I15" i="20"/>
  <c r="H188" i="20"/>
  <c r="I7" i="20"/>
  <c r="C100" i="20"/>
  <c r="D95" i="20"/>
  <c r="C93" i="20"/>
  <c r="D94" i="20" s="1"/>
  <c r="D203" i="20"/>
  <c r="D193" i="20"/>
  <c r="D81" i="20"/>
  <c r="F108" i="20"/>
  <c r="D119" i="20"/>
  <c r="F63" i="20"/>
  <c r="F192" i="20" s="1"/>
  <c r="H112" i="20"/>
  <c r="D194" i="20"/>
  <c r="D201" i="20"/>
  <c r="D26" i="20"/>
  <c r="D20" i="20"/>
  <c r="D15" i="20"/>
  <c r="D189" i="20" s="1"/>
  <c r="N425" i="5"/>
  <c r="N426" i="5" s="1"/>
  <c r="N427" i="5" s="1"/>
  <c r="N428" i="5" s="1"/>
  <c r="N429" i="5" s="1"/>
  <c r="N430" i="5" s="1"/>
  <c r="N431" i="5" s="1"/>
  <c r="N432" i="5" s="1"/>
  <c r="N433" i="5" s="1"/>
  <c r="N434" i="5" s="1"/>
  <c r="N435" i="5" s="1"/>
  <c r="N436" i="5" s="1"/>
  <c r="N437" i="5" s="1"/>
  <c r="N438" i="5" s="1"/>
  <c r="N439" i="5" s="1"/>
  <c r="N440" i="5" s="1"/>
  <c r="N441" i="5" s="1"/>
  <c r="N442" i="5" s="1"/>
  <c r="N443" i="5" s="1"/>
  <c r="N444" i="5" s="1"/>
  <c r="N445" i="5" s="1"/>
  <c r="N446" i="5" s="1"/>
  <c r="N447" i="5" s="1"/>
  <c r="N448" i="5" s="1"/>
  <c r="N449" i="5" s="1"/>
  <c r="N450" i="5" s="1"/>
  <c r="N451" i="5" s="1"/>
  <c r="N452" i="5" s="1"/>
  <c r="N453" i="5" s="1"/>
  <c r="N454" i="5" s="1"/>
  <c r="N455" i="5" s="1"/>
  <c r="N456" i="5" s="1"/>
  <c r="N457" i="5" s="1"/>
  <c r="N458" i="5" s="1"/>
  <c r="N459" i="5" s="1"/>
  <c r="N460" i="5" s="1"/>
  <c r="N461" i="5" s="1"/>
  <c r="N462" i="5" s="1"/>
  <c r="N463" i="5" s="1"/>
  <c r="N464" i="5" s="1"/>
  <c r="N465" i="5" s="1"/>
  <c r="N466" i="5" s="1"/>
  <c r="N467" i="5" s="1"/>
  <c r="N468" i="5" s="1"/>
  <c r="N469" i="5" s="1"/>
  <c r="N470" i="5" s="1"/>
  <c r="N471" i="5" s="1"/>
  <c r="N472" i="5" s="1"/>
  <c r="N473" i="5" s="1"/>
  <c r="N474" i="5" s="1"/>
  <c r="N475" i="5" s="1"/>
  <c r="N476" i="5" s="1"/>
  <c r="N477" i="5" s="1"/>
  <c r="N478" i="5" s="1"/>
  <c r="N479" i="5" s="1"/>
  <c r="N480" i="5" s="1"/>
  <c r="N481" i="5" s="1"/>
  <c r="N482" i="5" s="1"/>
  <c r="N483" i="5" s="1"/>
  <c r="D20" i="8"/>
  <c r="K17" i="12"/>
  <c r="K21" i="12" s="1"/>
  <c r="P16" i="12"/>
  <c r="P20" i="12" s="1"/>
  <c r="H96" i="20" l="1"/>
  <c r="F68" i="20"/>
  <c r="F75" i="20" s="1"/>
  <c r="F80" i="20" s="1"/>
  <c r="C84" i="20"/>
  <c r="C24" i="20"/>
  <c r="C22" i="20"/>
  <c r="C218" i="20" s="1"/>
  <c r="C219" i="20" s="1"/>
  <c r="G11" i="20"/>
  <c r="G165" i="20" s="1"/>
  <c r="G34" i="20"/>
  <c r="C27" i="20"/>
  <c r="C190" i="20" s="1"/>
  <c r="C204" i="20"/>
  <c r="G201" i="20"/>
  <c r="C181" i="20"/>
  <c r="D183" i="20" s="1"/>
  <c r="H14" i="20"/>
  <c r="H201" i="20" s="1"/>
  <c r="H115" i="20"/>
  <c r="D121" i="20" s="1"/>
  <c r="D148" i="20"/>
  <c r="J148" i="20" s="1"/>
  <c r="H90" i="20"/>
  <c r="H95" i="20" s="1"/>
  <c r="H163" i="20"/>
  <c r="H62" i="20" s="1"/>
  <c r="G108" i="20"/>
  <c r="N147" i="20"/>
  <c r="M147" i="20"/>
  <c r="L147" i="20"/>
  <c r="K147" i="20"/>
  <c r="J147" i="20"/>
  <c r="H147" i="20"/>
  <c r="G147" i="20"/>
  <c r="O147" i="20"/>
  <c r="I147" i="20"/>
  <c r="I35" i="20"/>
  <c r="L148" i="20"/>
  <c r="K148" i="20"/>
  <c r="H148" i="20"/>
  <c r="N148" i="20"/>
  <c r="I188" i="20"/>
  <c r="J7" i="20"/>
  <c r="O120" i="20"/>
  <c r="G120" i="20"/>
  <c r="N120" i="20"/>
  <c r="M120" i="20"/>
  <c r="L120" i="20"/>
  <c r="K120" i="20"/>
  <c r="I120" i="20"/>
  <c r="H120" i="20"/>
  <c r="J120" i="20"/>
  <c r="K143" i="20"/>
  <c r="H66" i="20"/>
  <c r="I6" i="20"/>
  <c r="I115" i="20" s="1"/>
  <c r="E22" i="20"/>
  <c r="E218" i="20" s="1"/>
  <c r="E219" i="20" s="1"/>
  <c r="E24" i="20"/>
  <c r="I146" i="20"/>
  <c r="H146" i="20"/>
  <c r="O146" i="20"/>
  <c r="G146" i="20"/>
  <c r="N146" i="20"/>
  <c r="F146" i="20"/>
  <c r="F156" i="20" s="1"/>
  <c r="F157" i="20" s="1"/>
  <c r="F136" i="20" s="1"/>
  <c r="M146" i="20"/>
  <c r="K146" i="20"/>
  <c r="L146" i="20"/>
  <c r="J146" i="20"/>
  <c r="D83" i="20"/>
  <c r="I112" i="20"/>
  <c r="H135" i="20"/>
  <c r="C103" i="20"/>
  <c r="H34" i="20"/>
  <c r="K10" i="20"/>
  <c r="J196" i="20"/>
  <c r="J177" i="20"/>
  <c r="J17" i="20" s="1"/>
  <c r="K178" i="20"/>
  <c r="D22" i="20"/>
  <c r="D218" i="20" s="1"/>
  <c r="D219" i="20" s="1"/>
  <c r="D24" i="20"/>
  <c r="H68" i="20"/>
  <c r="H75" i="20" s="1"/>
  <c r="H80" i="20" s="1"/>
  <c r="L103" i="20"/>
  <c r="M100" i="20"/>
  <c r="D204" i="20"/>
  <c r="D202" i="20"/>
  <c r="D27" i="20"/>
  <c r="D190" i="20" s="1"/>
  <c r="D65" i="20"/>
  <c r="D98" i="20"/>
  <c r="E202" i="20"/>
  <c r="G214" i="20"/>
  <c r="F214" i="20"/>
  <c r="E214" i="20"/>
  <c r="E216" i="20" s="1"/>
  <c r="D214" i="20"/>
  <c r="D216" i="20" s="1"/>
  <c r="C214" i="20"/>
  <c r="C216" i="20" s="1"/>
  <c r="E204" i="20"/>
  <c r="E27" i="20"/>
  <c r="E190" i="20" s="1"/>
  <c r="L45" i="20"/>
  <c r="E212" i="20"/>
  <c r="E215" i="20" s="1"/>
  <c r="G68" i="20"/>
  <c r="G75" i="20" s="1"/>
  <c r="G80" i="20" s="1"/>
  <c r="F210" i="20"/>
  <c r="G209" i="20"/>
  <c r="G210" i="20" s="1"/>
  <c r="J119" i="20"/>
  <c r="I119" i="20"/>
  <c r="H119" i="20"/>
  <c r="O119" i="20"/>
  <c r="G119" i="20"/>
  <c r="N119" i="20"/>
  <c r="F119" i="20"/>
  <c r="F129" i="20" s="1"/>
  <c r="F130" i="20" s="1"/>
  <c r="L119" i="20"/>
  <c r="M119" i="20"/>
  <c r="K119" i="20"/>
  <c r="I189" i="20"/>
  <c r="J15" i="20"/>
  <c r="J116" i="20"/>
  <c r="I68" i="20"/>
  <c r="I75" i="20" s="1"/>
  <c r="I80" i="20" s="1"/>
  <c r="G12" i="20" l="1"/>
  <c r="H63" i="20"/>
  <c r="H192" i="20" s="1"/>
  <c r="G129" i="20"/>
  <c r="G130" i="20" s="1"/>
  <c r="H11" i="20"/>
  <c r="H165" i="20" s="1"/>
  <c r="H33" i="20"/>
  <c r="M148" i="20"/>
  <c r="I148" i="20"/>
  <c r="O148" i="20"/>
  <c r="C60" i="20"/>
  <c r="C66" i="20" s="1"/>
  <c r="C191" i="20"/>
  <c r="C195" i="20"/>
  <c r="J112" i="20"/>
  <c r="K116" i="20"/>
  <c r="D122" i="20"/>
  <c r="I63" i="20"/>
  <c r="I192" i="20" s="1"/>
  <c r="J189" i="20"/>
  <c r="K15" i="20"/>
  <c r="J188" i="20"/>
  <c r="K7" i="20"/>
  <c r="K188" i="20" s="1"/>
  <c r="D195" i="20"/>
  <c r="D60" i="20"/>
  <c r="D66" i="20" s="1"/>
  <c r="D191" i="20"/>
  <c r="F159" i="20"/>
  <c r="F61" i="20" s="1"/>
  <c r="F109" i="20"/>
  <c r="J35" i="20"/>
  <c r="J66" i="20" s="1"/>
  <c r="M45" i="20"/>
  <c r="K177" i="20"/>
  <c r="K17" i="20" s="1"/>
  <c r="L178" i="20"/>
  <c r="K196" i="20"/>
  <c r="D181" i="20"/>
  <c r="E183" i="20" s="1"/>
  <c r="D84" i="20"/>
  <c r="E82" i="20"/>
  <c r="E83" i="20" s="1"/>
  <c r="I163" i="20"/>
  <c r="I90" i="20"/>
  <c r="J6" i="20"/>
  <c r="I14" i="20"/>
  <c r="I9" i="20"/>
  <c r="I91" i="20" s="1"/>
  <c r="I142" i="20"/>
  <c r="I135" i="20" s="1"/>
  <c r="I66" i="20"/>
  <c r="L10" i="20"/>
  <c r="E195" i="20"/>
  <c r="E191" i="20"/>
  <c r="E60" i="20"/>
  <c r="E66" i="20" s="1"/>
  <c r="F137" i="20"/>
  <c r="F40" i="20" s="1"/>
  <c r="J68" i="20"/>
  <c r="J75" i="20" s="1"/>
  <c r="J80" i="20" s="1"/>
  <c r="G156" i="20"/>
  <c r="G157" i="20" s="1"/>
  <c r="G159" i="20" s="1"/>
  <c r="G61" i="20" s="1"/>
  <c r="G216" i="20"/>
  <c r="G212" i="20"/>
  <c r="G215" i="20" s="1"/>
  <c r="M103" i="20"/>
  <c r="N100" i="20"/>
  <c r="M121" i="20"/>
  <c r="L121" i="20"/>
  <c r="K121" i="20"/>
  <c r="J121" i="20"/>
  <c r="I121" i="20"/>
  <c r="O121" i="20"/>
  <c r="N121" i="20"/>
  <c r="H121" i="20"/>
  <c r="H129" i="20" s="1"/>
  <c r="H130" i="20" s="1"/>
  <c r="F216" i="20"/>
  <c r="F212" i="20"/>
  <c r="F215" i="20" s="1"/>
  <c r="H156" i="20"/>
  <c r="H157" i="20" s="1"/>
  <c r="L143" i="20"/>
  <c r="H108" i="20"/>
  <c r="H12" i="20" l="1"/>
  <c r="H159" i="20"/>
  <c r="H61" i="20" s="1"/>
  <c r="H92" i="20" s="1"/>
  <c r="G136" i="20"/>
  <c r="G137" i="20" s="1"/>
  <c r="G40" i="20" s="1"/>
  <c r="G26" i="20"/>
  <c r="G92" i="20"/>
  <c r="H26" i="20"/>
  <c r="N103" i="20"/>
  <c r="O100" i="20"/>
  <c r="O103" i="20" s="1"/>
  <c r="N45" i="20"/>
  <c r="L116" i="20"/>
  <c r="M143" i="20"/>
  <c r="I201" i="20"/>
  <c r="I11" i="20"/>
  <c r="I165" i="20" s="1"/>
  <c r="G109" i="20"/>
  <c r="F110" i="20"/>
  <c r="F38" i="20" s="1"/>
  <c r="K112" i="20"/>
  <c r="J163" i="20"/>
  <c r="J90" i="20"/>
  <c r="J95" i="20" s="1"/>
  <c r="K6" i="20"/>
  <c r="K115" i="20" s="1"/>
  <c r="J14" i="20"/>
  <c r="J142" i="20"/>
  <c r="J135" i="20" s="1"/>
  <c r="J9" i="20"/>
  <c r="J91" i="20" s="1"/>
  <c r="J96" i="20" s="1"/>
  <c r="F26" i="20"/>
  <c r="F92" i="20"/>
  <c r="D149" i="20"/>
  <c r="I64" i="20"/>
  <c r="K189" i="20"/>
  <c r="L15" i="20"/>
  <c r="I34" i="20"/>
  <c r="I96" i="20"/>
  <c r="I33" i="20"/>
  <c r="I95" i="20"/>
  <c r="M10" i="20"/>
  <c r="M178" i="20"/>
  <c r="L196" i="20"/>
  <c r="L177" i="20"/>
  <c r="L17" i="20" s="1"/>
  <c r="K68" i="20"/>
  <c r="K75" i="20" s="1"/>
  <c r="K80" i="20" s="1"/>
  <c r="L122" i="20"/>
  <c r="K122" i="20"/>
  <c r="J122" i="20"/>
  <c r="I122" i="20"/>
  <c r="I129" i="20" s="1"/>
  <c r="I130" i="20" s="1"/>
  <c r="N122" i="20"/>
  <c r="O122" i="20"/>
  <c r="M122" i="20"/>
  <c r="H136" i="20"/>
  <c r="I62" i="20"/>
  <c r="I108" i="20"/>
  <c r="E181" i="20"/>
  <c r="F182" i="20" s="1"/>
  <c r="F18" i="20" s="1"/>
  <c r="F19" i="20" s="1"/>
  <c r="F20" i="20" s="1"/>
  <c r="E84" i="20"/>
  <c r="F82" i="20"/>
  <c r="K35" i="20"/>
  <c r="K66" i="20" s="1"/>
  <c r="J115" i="20"/>
  <c r="D124" i="20" l="1"/>
  <c r="K63" i="20"/>
  <c r="K192" i="20" s="1"/>
  <c r="J62" i="20"/>
  <c r="H137" i="20"/>
  <c r="H40" i="20" s="1"/>
  <c r="J33" i="20"/>
  <c r="I12" i="20"/>
  <c r="H97" i="20"/>
  <c r="H46" i="20"/>
  <c r="H48" i="20" s="1"/>
  <c r="H53" i="20" s="1"/>
  <c r="H93" i="20"/>
  <c r="J108" i="20"/>
  <c r="F202" i="20"/>
  <c r="F27" i="20"/>
  <c r="F190" i="20" s="1"/>
  <c r="F204" i="20"/>
  <c r="L112" i="20"/>
  <c r="K149" i="20"/>
  <c r="J149" i="20"/>
  <c r="I149" i="20"/>
  <c r="I156" i="20" s="1"/>
  <c r="I157" i="20" s="1"/>
  <c r="I159" i="20" s="1"/>
  <c r="I61" i="20" s="1"/>
  <c r="O149" i="20"/>
  <c r="M149" i="20"/>
  <c r="N149" i="20"/>
  <c r="L149" i="20"/>
  <c r="H202" i="20"/>
  <c r="H27" i="20"/>
  <c r="H190" i="20" s="1"/>
  <c r="H204" i="20"/>
  <c r="N178" i="20"/>
  <c r="M196" i="20"/>
  <c r="M177" i="20"/>
  <c r="M17" i="20" s="1"/>
  <c r="J34" i="20"/>
  <c r="N143" i="20"/>
  <c r="G97" i="20"/>
  <c r="G46" i="20"/>
  <c r="G48" i="20" s="1"/>
  <c r="G53" i="20" s="1"/>
  <c r="G93" i="20"/>
  <c r="F21" i="20"/>
  <c r="F24" i="20" s="1"/>
  <c r="F97" i="20"/>
  <c r="F46" i="20"/>
  <c r="F48" i="20" s="1"/>
  <c r="F53" i="20" s="1"/>
  <c r="F93" i="20"/>
  <c r="D123" i="20"/>
  <c r="J63" i="20"/>
  <c r="J192" i="20" s="1"/>
  <c r="N10" i="20"/>
  <c r="D150" i="20"/>
  <c r="J64" i="20"/>
  <c r="H109" i="20"/>
  <c r="G110" i="20"/>
  <c r="G38" i="20" s="1"/>
  <c r="G202" i="20"/>
  <c r="G27" i="20"/>
  <c r="G190" i="20" s="1"/>
  <c r="G204" i="20"/>
  <c r="L35" i="20"/>
  <c r="L66" i="20" s="1"/>
  <c r="L189" i="20"/>
  <c r="M15" i="20"/>
  <c r="J201" i="20"/>
  <c r="J11" i="20"/>
  <c r="M116" i="20"/>
  <c r="O45" i="20"/>
  <c r="L68" i="20"/>
  <c r="L75" i="20" s="1"/>
  <c r="L80" i="20" s="1"/>
  <c r="K163" i="20"/>
  <c r="K90" i="20"/>
  <c r="K14" i="20"/>
  <c r="L6" i="20"/>
  <c r="L115" i="20" s="1"/>
  <c r="K142" i="20"/>
  <c r="K9" i="20"/>
  <c r="K91" i="20" s="1"/>
  <c r="I136" i="20" l="1"/>
  <c r="I26" i="20"/>
  <c r="I92" i="20"/>
  <c r="F191" i="20"/>
  <c r="F54" i="20"/>
  <c r="F55" i="20" s="1"/>
  <c r="F60" i="20"/>
  <c r="L63" i="20"/>
  <c r="L192" i="20" s="1"/>
  <c r="D125" i="20"/>
  <c r="K34" i="20"/>
  <c r="D151" i="20"/>
  <c r="K64" i="20"/>
  <c r="J12" i="20"/>
  <c r="O10" i="20"/>
  <c r="H94" i="20"/>
  <c r="K201" i="20"/>
  <c r="K11" i="20"/>
  <c r="O178" i="20"/>
  <c r="N196" i="20"/>
  <c r="N177" i="20"/>
  <c r="N17" i="20" s="1"/>
  <c r="J165" i="20"/>
  <c r="K150" i="20"/>
  <c r="J150" i="20"/>
  <c r="J156" i="20" s="1"/>
  <c r="J157" i="20" s="1"/>
  <c r="J136" i="20" s="1"/>
  <c r="O150" i="20"/>
  <c r="M150" i="20"/>
  <c r="L150" i="20"/>
  <c r="N150" i="20"/>
  <c r="K96" i="20"/>
  <c r="M68" i="20"/>
  <c r="M75" i="20" s="1"/>
  <c r="M80" i="20" s="1"/>
  <c r="I137" i="20"/>
  <c r="I40" i="20" s="1"/>
  <c r="K33" i="20"/>
  <c r="L123" i="20"/>
  <c r="K123" i="20"/>
  <c r="J123" i="20"/>
  <c r="J129" i="20" s="1"/>
  <c r="J130" i="20" s="1"/>
  <c r="N123" i="20"/>
  <c r="M123" i="20"/>
  <c r="O123" i="20"/>
  <c r="K108" i="20"/>
  <c r="M189" i="20"/>
  <c r="N15" i="20"/>
  <c r="G94" i="20"/>
  <c r="F94" i="20"/>
  <c r="F218" i="20" s="1"/>
  <c r="F219" i="20" s="1"/>
  <c r="O143" i="20"/>
  <c r="I109" i="20"/>
  <c r="H110" i="20"/>
  <c r="H38" i="20" s="1"/>
  <c r="K135" i="20"/>
  <c r="M124" i="20"/>
  <c r="L124" i="20"/>
  <c r="K124" i="20"/>
  <c r="O124" i="20"/>
  <c r="N124" i="20"/>
  <c r="M112" i="20"/>
  <c r="M35" i="20"/>
  <c r="L163" i="20"/>
  <c r="L90" i="20"/>
  <c r="M6" i="20"/>
  <c r="M115" i="20" s="1"/>
  <c r="L14" i="20"/>
  <c r="L9" i="20"/>
  <c r="L91" i="20" s="1"/>
  <c r="L96" i="20" s="1"/>
  <c r="L142" i="20"/>
  <c r="K62" i="20"/>
  <c r="N116" i="20"/>
  <c r="K95" i="20"/>
  <c r="K129" i="20" l="1"/>
  <c r="K130" i="20" s="1"/>
  <c r="J137" i="20"/>
  <c r="J40" i="20" s="1"/>
  <c r="I97" i="20"/>
  <c r="I46" i="20"/>
  <c r="I48" i="20" s="1"/>
  <c r="I53" i="20" s="1"/>
  <c r="I93" i="20"/>
  <c r="F98" i="20"/>
  <c r="F65" i="20"/>
  <c r="F67" i="20" s="1"/>
  <c r="F70" i="20" s="1"/>
  <c r="K12" i="20"/>
  <c r="I202" i="20"/>
  <c r="I27" i="20"/>
  <c r="I190" i="20" s="1"/>
  <c r="I204" i="20"/>
  <c r="G98" i="20"/>
  <c r="G65" i="20"/>
  <c r="J159" i="20"/>
  <c r="J61" i="20" s="1"/>
  <c r="O125" i="20"/>
  <c r="N125" i="20"/>
  <c r="M125" i="20"/>
  <c r="L125" i="20"/>
  <c r="L129" i="20" s="1"/>
  <c r="L130" i="20" s="1"/>
  <c r="K165" i="20"/>
  <c r="N112" i="20"/>
  <c r="N189" i="20"/>
  <c r="O15" i="20"/>
  <c r="O189" i="20" s="1"/>
  <c r="M63" i="20"/>
  <c r="M192" i="20" s="1"/>
  <c r="D126" i="20"/>
  <c r="L34" i="20"/>
  <c r="J109" i="20"/>
  <c r="I110" i="20"/>
  <c r="I38" i="20" s="1"/>
  <c r="N68" i="20"/>
  <c r="N75" i="20" s="1"/>
  <c r="N80" i="20" s="1"/>
  <c r="L151" i="20"/>
  <c r="K151" i="20"/>
  <c r="K156" i="20" s="1"/>
  <c r="K157" i="20" s="1"/>
  <c r="K136" i="20" s="1"/>
  <c r="N151" i="20"/>
  <c r="O151" i="20"/>
  <c r="M151" i="20"/>
  <c r="L201" i="20"/>
  <c r="L11" i="20"/>
  <c r="L165" i="20" s="1"/>
  <c r="L108" i="20"/>
  <c r="L33" i="20"/>
  <c r="O116" i="20"/>
  <c r="L62" i="20"/>
  <c r="L135" i="20"/>
  <c r="D152" i="20"/>
  <c r="L64" i="20"/>
  <c r="N35" i="20"/>
  <c r="N66" i="20" s="1"/>
  <c r="M66" i="20"/>
  <c r="F200" i="20"/>
  <c r="F199" i="20"/>
  <c r="M163" i="20"/>
  <c r="M90" i="20"/>
  <c r="N6" i="20"/>
  <c r="N115" i="20" s="1"/>
  <c r="M14" i="20"/>
  <c r="M142" i="20"/>
  <c r="M9" i="20"/>
  <c r="M91" i="20" s="1"/>
  <c r="L95" i="20"/>
  <c r="O196" i="20"/>
  <c r="O177" i="20"/>
  <c r="O17" i="20" s="1"/>
  <c r="H98" i="20"/>
  <c r="H65" i="20"/>
  <c r="F195" i="20"/>
  <c r="K159" i="20" l="1"/>
  <c r="K61" i="20" s="1"/>
  <c r="K26" i="20" s="1"/>
  <c r="K27" i="20" s="1"/>
  <c r="K190" i="20" s="1"/>
  <c r="K137" i="20"/>
  <c r="K40" i="20" s="1"/>
  <c r="M33" i="20"/>
  <c r="M201" i="20"/>
  <c r="M11" i="20"/>
  <c r="N163" i="20"/>
  <c r="N90" i="20"/>
  <c r="O6" i="20"/>
  <c r="O115" i="20" s="1"/>
  <c r="N14" i="20"/>
  <c r="N9" i="20"/>
  <c r="N91" i="20" s="1"/>
  <c r="N96" i="20" s="1"/>
  <c r="N142" i="20"/>
  <c r="O35" i="20"/>
  <c r="O66" i="20" s="1"/>
  <c r="N152" i="20"/>
  <c r="M152" i="20"/>
  <c r="L152" i="20"/>
  <c r="L156" i="20" s="1"/>
  <c r="L157" i="20" s="1"/>
  <c r="L159" i="20" s="1"/>
  <c r="L61" i="20" s="1"/>
  <c r="O152" i="20"/>
  <c r="J26" i="20"/>
  <c r="J92" i="20"/>
  <c r="K92" i="20"/>
  <c r="O68" i="20"/>
  <c r="O75" i="20" s="1"/>
  <c r="O80" i="20" s="1"/>
  <c r="D127" i="20"/>
  <c r="N63" i="20"/>
  <c r="N192" i="20" s="1"/>
  <c r="M135" i="20"/>
  <c r="M95" i="20"/>
  <c r="K109" i="20"/>
  <c r="J110" i="20"/>
  <c r="J38" i="20" s="1"/>
  <c r="K202" i="20"/>
  <c r="K204" i="20"/>
  <c r="M34" i="20"/>
  <c r="O112" i="20"/>
  <c r="D153" i="20"/>
  <c r="M64" i="20"/>
  <c r="M108" i="20"/>
  <c r="M96" i="20"/>
  <c r="I94" i="20"/>
  <c r="M165" i="20"/>
  <c r="M62" i="20"/>
  <c r="F203" i="20"/>
  <c r="F193" i="20"/>
  <c r="F81" i="20"/>
  <c r="F83" i="20" s="1"/>
  <c r="L12" i="20"/>
  <c r="O126" i="20"/>
  <c r="N126" i="20"/>
  <c r="M126" i="20"/>
  <c r="M129" i="20" s="1"/>
  <c r="M130" i="20" s="1"/>
  <c r="L136" i="20" l="1"/>
  <c r="L137" i="20" s="1"/>
  <c r="L40" i="20" s="1"/>
  <c r="L26" i="20"/>
  <c r="L92" i="20"/>
  <c r="D128" i="20"/>
  <c r="O128" i="20" s="1"/>
  <c r="O63" i="20"/>
  <c r="O192" i="20" s="1"/>
  <c r="J202" i="20"/>
  <c r="J27" i="20"/>
  <c r="J190" i="20" s="1"/>
  <c r="J204" i="20"/>
  <c r="D154" i="20"/>
  <c r="N64" i="20"/>
  <c r="F181" i="20"/>
  <c r="G182" i="20" s="1"/>
  <c r="G18" i="20" s="1"/>
  <c r="G19" i="20" s="1"/>
  <c r="G20" i="20" s="1"/>
  <c r="F32" i="20"/>
  <c r="G82" i="20"/>
  <c r="N201" i="20"/>
  <c r="N11" i="20"/>
  <c r="N33" i="20"/>
  <c r="N95" i="20"/>
  <c r="J97" i="20"/>
  <c r="J46" i="20"/>
  <c r="J48" i="20" s="1"/>
  <c r="J53" i="20" s="1"/>
  <c r="J93" i="20"/>
  <c r="N34" i="20"/>
  <c r="N108" i="20"/>
  <c r="O153" i="20"/>
  <c r="N153" i="20"/>
  <c r="M153" i="20"/>
  <c r="M156" i="20" s="1"/>
  <c r="M157" i="20" s="1"/>
  <c r="M159" i="20" s="1"/>
  <c r="M61" i="20" s="1"/>
  <c r="N62" i="20"/>
  <c r="I98" i="20"/>
  <c r="I65" i="20"/>
  <c r="N135" i="20"/>
  <c r="N127" i="20"/>
  <c r="N129" i="20" s="1"/>
  <c r="N130" i="20" s="1"/>
  <c r="O127" i="20"/>
  <c r="O163" i="20"/>
  <c r="O90" i="20"/>
  <c r="O95" i="20" s="1"/>
  <c r="O14" i="20"/>
  <c r="O9" i="20"/>
  <c r="O91" i="20" s="1"/>
  <c r="O34" i="20" s="1"/>
  <c r="O142" i="20"/>
  <c r="L109" i="20"/>
  <c r="K110" i="20"/>
  <c r="K38" i="20" s="1"/>
  <c r="K97" i="20"/>
  <c r="K46" i="20"/>
  <c r="K48" i="20" s="1"/>
  <c r="K53" i="20" s="1"/>
  <c r="K93" i="20"/>
  <c r="M12" i="20"/>
  <c r="G218" i="20" l="1"/>
  <c r="G219" i="20" s="1"/>
  <c r="M136" i="20"/>
  <c r="M137" i="20" s="1"/>
  <c r="M40" i="20" s="1"/>
  <c r="O96" i="20"/>
  <c r="M26" i="20"/>
  <c r="M92" i="20"/>
  <c r="O62" i="20"/>
  <c r="M109" i="20"/>
  <c r="L110" i="20"/>
  <c r="L38" i="20" s="1"/>
  <c r="D155" i="20"/>
  <c r="O155" i="20" s="1"/>
  <c r="O64" i="20"/>
  <c r="O135" i="20"/>
  <c r="N12" i="20"/>
  <c r="O201" i="20"/>
  <c r="O11" i="20"/>
  <c r="O108" i="20"/>
  <c r="G21" i="20"/>
  <c r="G24" i="20" s="1"/>
  <c r="K94" i="20"/>
  <c r="J94" i="20"/>
  <c r="O154" i="20"/>
  <c r="N154" i="20"/>
  <c r="N156" i="20" s="1"/>
  <c r="N157" i="20" s="1"/>
  <c r="N159" i="20" s="1"/>
  <c r="N61" i="20" s="1"/>
  <c r="O33" i="20"/>
  <c r="N165" i="20"/>
  <c r="F84" i="20"/>
  <c r="F36" i="20"/>
  <c r="F42" i="20" s="1"/>
  <c r="O129" i="20"/>
  <c r="O130" i="20" s="1"/>
  <c r="L97" i="20"/>
  <c r="L46" i="20"/>
  <c r="L48" i="20" s="1"/>
  <c r="L53" i="20" s="1"/>
  <c r="L93" i="20"/>
  <c r="L94" i="20" s="1"/>
  <c r="L202" i="20"/>
  <c r="L27" i="20"/>
  <c r="L190" i="20" s="1"/>
  <c r="L204" i="20"/>
  <c r="O156" i="20" l="1"/>
  <c r="O157" i="20" s="1"/>
  <c r="G191" i="20"/>
  <c r="G60" i="20"/>
  <c r="G67" i="20" s="1"/>
  <c r="G70" i="20" s="1"/>
  <c r="G54" i="20"/>
  <c r="G195" i="20" s="1"/>
  <c r="N26" i="20"/>
  <c r="N92" i="20"/>
  <c r="O159" i="20"/>
  <c r="O61" i="20" s="1"/>
  <c r="O26" i="20" s="1"/>
  <c r="O12" i="20"/>
  <c r="N136" i="20"/>
  <c r="O165" i="20"/>
  <c r="J65" i="20"/>
  <c r="J98" i="20"/>
  <c r="N109" i="20"/>
  <c r="M110" i="20"/>
  <c r="M38" i="20" s="1"/>
  <c r="L65" i="20"/>
  <c r="L98" i="20"/>
  <c r="F56" i="20"/>
  <c r="F194" i="20"/>
  <c r="M97" i="20"/>
  <c r="M46" i="20"/>
  <c r="M48" i="20" s="1"/>
  <c r="M53" i="20" s="1"/>
  <c r="M93" i="20"/>
  <c r="M94" i="20" s="1"/>
  <c r="K65" i="20"/>
  <c r="K98" i="20"/>
  <c r="M202" i="20"/>
  <c r="M27" i="20"/>
  <c r="M190" i="20" s="1"/>
  <c r="M204" i="20"/>
  <c r="O92" i="20" l="1"/>
  <c r="O97" i="20" s="1"/>
  <c r="M98" i="20"/>
  <c r="M65" i="20"/>
  <c r="O109" i="20"/>
  <c r="O110" i="20" s="1"/>
  <c r="O38" i="20" s="1"/>
  <c r="N110" i="20"/>
  <c r="N38" i="20" s="1"/>
  <c r="O202" i="20"/>
  <c r="O27" i="20"/>
  <c r="O190" i="20" s="1"/>
  <c r="O204" i="20"/>
  <c r="N46" i="20"/>
  <c r="N48" i="20" s="1"/>
  <c r="N53" i="20" s="1"/>
  <c r="N97" i="20"/>
  <c r="N93" i="20"/>
  <c r="N202" i="20"/>
  <c r="N27" i="20"/>
  <c r="N190" i="20" s="1"/>
  <c r="N204" i="20"/>
  <c r="G203" i="20"/>
  <c r="G193" i="20"/>
  <c r="G81" i="20"/>
  <c r="G83" i="20" s="1"/>
  <c r="G200" i="20"/>
  <c r="G199" i="20"/>
  <c r="G55" i="20"/>
  <c r="O136" i="20"/>
  <c r="O137" i="20" s="1"/>
  <c r="O40" i="20" s="1"/>
  <c r="N137" i="20"/>
  <c r="N40" i="20" s="1"/>
  <c r="O46" i="20" l="1"/>
  <c r="O48" i="20" s="1"/>
  <c r="O53" i="20" s="1"/>
  <c r="O93" i="20"/>
  <c r="O94" i="20"/>
  <c r="G181" i="20"/>
  <c r="H182" i="20" s="1"/>
  <c r="H18" i="20" s="1"/>
  <c r="H19" i="20" s="1"/>
  <c r="H20" i="20" s="1"/>
  <c r="H218" i="20" s="1"/>
  <c r="H219" i="20" s="1"/>
  <c r="H82" i="20"/>
  <c r="G32" i="20"/>
  <c r="N94" i="20"/>
  <c r="O98" i="20" l="1"/>
  <c r="O65" i="20"/>
  <c r="N98" i="20"/>
  <c r="N65" i="20"/>
  <c r="G84" i="20"/>
  <c r="G36" i="20"/>
  <c r="G42" i="20" s="1"/>
  <c r="H21" i="20"/>
  <c r="H24" i="20" s="1"/>
  <c r="H191" i="20" l="1"/>
  <c r="H60" i="20"/>
  <c r="H67" i="20" s="1"/>
  <c r="H70" i="20" s="1"/>
  <c r="H54" i="20"/>
  <c r="G56" i="20"/>
  <c r="G194" i="20"/>
  <c r="H200" i="20" l="1"/>
  <c r="H199" i="20"/>
  <c r="H55" i="20"/>
  <c r="H203" i="20"/>
  <c r="H193" i="20"/>
  <c r="H81" i="20"/>
  <c r="H83" i="20" s="1"/>
  <c r="H195" i="20"/>
  <c r="H181" i="20" l="1"/>
  <c r="I182" i="20" s="1"/>
  <c r="I18" i="20" s="1"/>
  <c r="I19" i="20" s="1"/>
  <c r="I20" i="20" s="1"/>
  <c r="I218" i="20" s="1"/>
  <c r="I219" i="20" s="1"/>
  <c r="I82" i="20"/>
  <c r="H32" i="20"/>
  <c r="H84" i="20" l="1"/>
  <c r="H36" i="20"/>
  <c r="H42" i="20" s="1"/>
  <c r="I21" i="20"/>
  <c r="I24" i="20" s="1"/>
  <c r="I60" i="20" s="1"/>
  <c r="I191" i="20" l="1"/>
  <c r="I67" i="20"/>
  <c r="I70" i="20" s="1"/>
  <c r="I54" i="20"/>
  <c r="H56" i="20"/>
  <c r="H194" i="20"/>
  <c r="I199" i="20" l="1"/>
  <c r="I200" i="20"/>
  <c r="I55" i="20"/>
  <c r="I203" i="20"/>
  <c r="I193" i="20"/>
  <c r="I81" i="20"/>
  <c r="I83" i="20" s="1"/>
  <c r="I195" i="20"/>
  <c r="I181" i="20" l="1"/>
  <c r="J182" i="20" s="1"/>
  <c r="J18" i="20" s="1"/>
  <c r="J19" i="20" s="1"/>
  <c r="J20" i="20" s="1"/>
  <c r="J218" i="20" s="1"/>
  <c r="J219" i="20" s="1"/>
  <c r="J82" i="20"/>
  <c r="I32" i="20"/>
  <c r="I84" i="20" l="1"/>
  <c r="I36" i="20"/>
  <c r="I42" i="20" s="1"/>
  <c r="J21" i="20"/>
  <c r="J24" i="20" s="1"/>
  <c r="J191" i="20" l="1"/>
  <c r="J60" i="20"/>
  <c r="J67" i="20" s="1"/>
  <c r="J70" i="20" s="1"/>
  <c r="J54" i="20"/>
  <c r="I56" i="20"/>
  <c r="I194" i="20"/>
  <c r="J200" i="20" l="1"/>
  <c r="J199" i="20"/>
  <c r="J55" i="20"/>
  <c r="J203" i="20"/>
  <c r="J193" i="20"/>
  <c r="J81" i="20"/>
  <c r="J83" i="20" s="1"/>
  <c r="J195" i="20"/>
  <c r="J181" i="20" l="1"/>
  <c r="K182" i="20" s="1"/>
  <c r="K18" i="20" s="1"/>
  <c r="K19" i="20" s="1"/>
  <c r="K20" i="20" s="1"/>
  <c r="K82" i="20"/>
  <c r="J32" i="20"/>
  <c r="K218" i="20" l="1"/>
  <c r="K219" i="20" s="1"/>
  <c r="K21" i="20"/>
  <c r="K24" i="20" s="1"/>
  <c r="J84" i="20"/>
  <c r="J36" i="20"/>
  <c r="J42" i="20" s="1"/>
  <c r="K191" i="20" l="1"/>
  <c r="K60" i="20"/>
  <c r="K67" i="20" s="1"/>
  <c r="K70" i="20" s="1"/>
  <c r="K54" i="20"/>
  <c r="J56" i="20"/>
  <c r="J194" i="20"/>
  <c r="K199" i="20" l="1"/>
  <c r="K200" i="20"/>
  <c r="K55" i="20"/>
  <c r="K203" i="20"/>
  <c r="K193" i="20"/>
  <c r="K81" i="20"/>
  <c r="K83" i="20" s="1"/>
  <c r="K195" i="20"/>
  <c r="L82" i="20" l="1"/>
  <c r="K181" i="20"/>
  <c r="L182" i="20" s="1"/>
  <c r="L18" i="20" s="1"/>
  <c r="L19" i="20" s="1"/>
  <c r="L20" i="20" s="1"/>
  <c r="L218" i="20" s="1"/>
  <c r="L219" i="20" s="1"/>
  <c r="K32" i="20"/>
  <c r="L21" i="20" l="1"/>
  <c r="L24" i="20" s="1"/>
  <c r="K84" i="20"/>
  <c r="K36" i="20"/>
  <c r="K42" i="20" s="1"/>
  <c r="L60" i="20" l="1"/>
  <c r="L67" i="20" s="1"/>
  <c r="L70" i="20" s="1"/>
  <c r="L191" i="20"/>
  <c r="L54" i="20"/>
  <c r="L195" i="20" s="1"/>
  <c r="K56" i="20"/>
  <c r="K194" i="20"/>
  <c r="L199" i="20" l="1"/>
  <c r="L200" i="20"/>
  <c r="L55" i="20"/>
  <c r="L203" i="20"/>
  <c r="L193" i="20"/>
  <c r="L81" i="20"/>
  <c r="L83" i="20" s="1"/>
  <c r="L181" i="20" l="1"/>
  <c r="M182" i="20" s="1"/>
  <c r="M18" i="20" s="1"/>
  <c r="M19" i="20" s="1"/>
  <c r="M20" i="20" s="1"/>
  <c r="M218" i="20" s="1"/>
  <c r="M219" i="20" s="1"/>
  <c r="M82" i="20"/>
  <c r="L32" i="20"/>
  <c r="L84" i="20" l="1"/>
  <c r="L36" i="20"/>
  <c r="L42" i="20" s="1"/>
  <c r="M21" i="20"/>
  <c r="M24" i="20" s="1"/>
  <c r="M191" i="20" l="1"/>
  <c r="M60" i="20"/>
  <c r="M67" i="20" s="1"/>
  <c r="M70" i="20" s="1"/>
  <c r="M54" i="20"/>
  <c r="L56" i="20"/>
  <c r="L194" i="20"/>
  <c r="M200" i="20" l="1"/>
  <c r="M199" i="20"/>
  <c r="M55" i="20"/>
  <c r="M203" i="20"/>
  <c r="M193" i="20"/>
  <c r="M81" i="20"/>
  <c r="M83" i="20" s="1"/>
  <c r="M195" i="20"/>
  <c r="M181" i="20" l="1"/>
  <c r="N182" i="20" s="1"/>
  <c r="N18" i="20" s="1"/>
  <c r="N19" i="20" s="1"/>
  <c r="N20" i="20" s="1"/>
  <c r="N218" i="20" s="1"/>
  <c r="N219" i="20" s="1"/>
  <c r="N82" i="20"/>
  <c r="M32" i="20"/>
  <c r="M36" i="20" l="1"/>
  <c r="M42" i="20" s="1"/>
  <c r="M84" i="20"/>
  <c r="N21" i="20"/>
  <c r="N24" i="20" s="1"/>
  <c r="N191" i="20" l="1"/>
  <c r="N60" i="20"/>
  <c r="N67" i="20" s="1"/>
  <c r="N70" i="20" s="1"/>
  <c r="N54" i="20"/>
  <c r="M56" i="20"/>
  <c r="M194" i="20"/>
  <c r="N200" i="20" l="1"/>
  <c r="N199" i="20"/>
  <c r="N55" i="20"/>
  <c r="N203" i="20"/>
  <c r="N193" i="20"/>
  <c r="N81" i="20"/>
  <c r="N83" i="20" s="1"/>
  <c r="N195" i="20"/>
  <c r="N181" i="20" l="1"/>
  <c r="O182" i="20" s="1"/>
  <c r="O18" i="20" s="1"/>
  <c r="O19" i="20" s="1"/>
  <c r="O20" i="20" s="1"/>
  <c r="O218" i="20" s="1"/>
  <c r="O219" i="20" s="1"/>
  <c r="O82" i="20"/>
  <c r="N32" i="20"/>
  <c r="N84" i="20" l="1"/>
  <c r="N36" i="20"/>
  <c r="N42" i="20" s="1"/>
  <c r="O21" i="20"/>
  <c r="O24" i="20"/>
  <c r="N56" i="20" l="1"/>
  <c r="N194" i="20"/>
  <c r="O191" i="20"/>
  <c r="O60" i="20"/>
  <c r="O67" i="20" s="1"/>
  <c r="O70" i="20" s="1"/>
  <c r="O54" i="20"/>
  <c r="O195" i="20" s="1"/>
  <c r="O199" i="20" l="1"/>
  <c r="O200" i="20"/>
  <c r="O55" i="20"/>
  <c r="O203" i="20"/>
  <c r="O193" i="20"/>
  <c r="O81" i="20"/>
  <c r="O83" i="20" s="1"/>
  <c r="O181" i="20" l="1"/>
  <c r="O32" i="20"/>
  <c r="O84" i="20" l="1"/>
  <c r="O36" i="20"/>
  <c r="O42" i="20" s="1"/>
  <c r="O56" i="20" l="1"/>
  <c r="O194"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Jake DuBois</author>
  </authors>
  <commentList>
    <comment ref="A1" authorId="0" shapeId="0" xr:uid="{00000000-0006-0000-0000-000001000000}">
      <text>
        <r>
          <rPr>
            <b/>
            <sz val="9"/>
            <color indexed="81"/>
            <rFont val="Tahoma"/>
            <family val="2"/>
          </rPr>
          <t>&lt;?xml version="1.0" encoding="utf-8"?&gt;&lt;Schema xmlns:xsi="http://www.w3.org/2001/XMLSchema-instance" xmlns:xsd="http://www.w3.org/2001/XMLSchema" Version="1"&gt;&lt;FQL&gt;&lt;Q&gt;000DDH-E^FE_ACTUAL(ACTUAL,EPS,ANNUAL,2015,,,,'')&lt;/Q&gt;&lt;R&gt;1&lt;/R&gt;&lt;C&gt;1&lt;/C&gt;&lt;D xsi:type="xsd:double"&gt;1.51&lt;/D&gt;&lt;/FQL&gt;&lt;FQL&gt;&lt;Q&gt;000DDH-E^FE_ACTUAL(ACTUAL,SALES,ANNUAL,2015,,,,'')&lt;/Q&gt;&lt;R&gt;1&lt;/R&gt;&lt;C&gt;1&lt;/C&gt;&lt;D xsi:type="xsd:double"&gt;2226.7000000000003&lt;/D&gt;&lt;/FQL&gt;&lt;FQL&gt;&lt;Q&gt;001963-E^FE_ACTUAL(ACTUAL,EBIT,ANNUAL,2015,,,,'')&lt;/Q&gt;&lt;R&gt;1&lt;/R&gt;&lt;C&gt;1&lt;/C&gt;&lt;D xsi:type="xsd:double"&gt;-152&lt;/D&gt;&lt;/FQL&gt;&lt;FQL&gt;&lt;Q&gt;05HGS3-E^FE_ACTUAL(ACTUAL,EBITDA,ANNUAL,2015,,,,'')&lt;/Q&gt;&lt;R&gt;1&lt;/R&gt;&lt;C&gt;1&lt;/C&gt;&lt;D xsi:type="xsd:double"&gt;2457&lt;/D&gt;&lt;/FQL&gt;&lt;FQL&gt;&lt;Q&gt;000L15-E^FE_ACTUAL(ACTUAL,NET_INC,ANNUAL,2015,,,,'')&lt;/Q&gt;&lt;R&gt;1&lt;/R&gt;&lt;C&gt;1&lt;/C&gt;&lt;D xsi:type="xsd:double"&gt;82&lt;/D&gt;&lt;/FQL&gt;&lt;FQL&gt;&lt;Q&gt;000BTW-E^FE_ACTUAL(ACTUAL,EPS,ANNUAL,2015,,,,'')&lt;/Q&gt;&lt;R&gt;0&lt;/R&gt;&lt;C&gt;0&lt;/C&gt;&lt;/FQL&gt;&lt;FQL&gt;&lt;Q&gt;000BTW-E^FE_ACTUAL(ACTUAL,EBIT,ANNUAL,2015,,,,'')&lt;/Q&gt;&lt;R&gt;0&lt;/R&gt;&lt;C&gt;0&lt;/C&gt;&lt;/FQL&gt;&lt;FQL&gt;&lt;Q&gt;PCP-US^FE_ACTUAL(ACTUAL,EBITDA,ANNUAL,2014,,,,'')&lt;/Q&gt;&lt;R&gt;1&lt;/R&gt;&lt;C&gt;1&lt;/C&gt;&lt;D xsi:type="xsd:double"&gt;2927&lt;/D&gt;&lt;/FQL&gt;&lt;FQL&gt;&lt;Q&gt;000DDH-E^FE_ACTUAL(ACTUAL,NET_INC,ANNUAL,2014,,,,'')&lt;/Q&gt;&lt;R&gt;1&lt;/R&gt;&lt;C&gt;1&lt;/C&gt;&lt;D xsi:type="xsd:double"&gt;132.8&lt;/D&gt;&lt;/FQL&gt;&lt;FQL&gt;&lt;Q&gt;001963-E^FE_ACTUAL(ACTUAL,EPS,ANNUAL,2014,,,,'')&lt;/Q&gt;&lt;R&gt;1&lt;/R&gt;&lt;C&gt;1&lt;/C&gt;&lt;D xsi:type="xsd:double"&gt;-0.143249&lt;/D&gt;&lt;/FQL&gt;&lt;FQL&gt;&lt;Q&gt;001963-E^FE_ACTUAL(ACTUAL,SALES,ANNUAL,2014,,,,'')&lt;/Q&gt;&lt;R&gt;1&lt;/R&gt;&lt;C&gt;1&lt;/C&gt;&lt;D xsi:type="xsd:double"&gt;4223.4000000000005&lt;/D&gt;&lt;/FQL&gt;&lt;FQL&gt;&lt;Q&gt;05HGS3-E^FE_ACTUAL(ACTUAL,EBIT,ANNUAL,2014,,,,'')&lt;/Q&gt;&lt;R&gt;1&lt;/R&gt;&lt;C&gt;1&lt;/C&gt;&lt;D xsi:type="xsd:double"&gt;1314&lt;/D&gt;&lt;/FQL&gt;&lt;FQL&gt;&lt;Q&gt;000L15-E^FE_ACTUAL(ACTUAL,EBITDA,ANNUAL,2014,,,,'')&lt;/Q&gt;&lt;R&gt;1&lt;/R&gt;&lt;C&gt;1&lt;/C&gt;&lt;D xsi:type="xsd:double"&gt;193.10000000000002&lt;/D&gt;&lt;/FQL&gt;&lt;FQL&gt;&lt;Q&gt;000BTW-E^FE_ACTUAL(ACTUAL,NET_INC,ANNUAL,2014,,,,'')&lt;/Q&gt;&lt;R&gt;0&lt;/R&gt;&lt;C&gt;0&lt;/C&gt;&lt;/FQL&gt;&lt;FQL&gt;&lt;Q&gt;PCP-US^FF_SHLDRS_EQ(ANN_R,10/5/2015,10/5/2015)&lt;/Q&gt;&lt;R&gt;1&lt;/R&gt;&lt;C&gt;1&lt;/C&gt;&lt;D xsi:type="xsd:double"&gt;10929&lt;/D&gt;&lt;/FQL&gt;&lt;FQL&gt;&lt;Q&gt;000DDH-E^P_MARKET_VAL_SEC(10/5/2015,10/5/2015)&lt;/Q&gt;&lt;R&gt;1&lt;/R&gt;&lt;C&gt;1&lt;/C&gt;&lt;D xsi:type="xsd:double"&gt;1627.42185&lt;/D&gt;&lt;/FQL&gt;&lt;FQL&gt;&lt;Q&gt;001963-E^P_MARKET_VAL_SEC(10/5/2015,10/5/2015)&lt;/Q&gt;&lt;R&gt;1&lt;/R&gt;&lt;C&gt;1&lt;/C&gt;&lt;D xsi:type="xsd:double"&gt;1804.1491999999998&lt;/D&gt;&lt;/FQL&gt;&lt;FQL&gt;&lt;Q&gt;05HGS3-E^P_MARKET_VAL_SEC(10/5/2015,10/5/2015)&lt;/Q&gt;&lt;R&gt;1&lt;/R&gt;&lt;C&gt;1&lt;/C&gt;&lt;D xsi:type="xsd:double"&gt;9459.6519985&lt;/D&gt;&lt;/FQL&gt;&lt;FQL&gt;&lt;Q&gt;000L15-E^P_MARKET_VAL_SEC(10/5/2015,10/5/2015)&lt;/Q&gt;&lt;R&gt;1&lt;/R&gt;&lt;C&gt;1&lt;/C&gt;&lt;D xsi:type="xsd:double"&gt;1331.6885433999998&lt;/D&gt;&lt;/FQL&gt;&lt;FQL&gt;&lt;Q&gt;000BTW-E^P_MARKET_VAL_SEC(10/5/2015,10/5/2015)&lt;/Q&gt;&lt;R&gt;0&lt;/R&gt;&lt;C&gt;0&lt;/C&gt;&lt;/FQL&gt;&lt;FQL&gt;&lt;Q&gt;000BTW-E^IF(SWP_GET_LANGUAGE_QUICK()!='JP',PROPER_NAME(,,,'SECURITY_SHORT')@CE_NAME,IF(P_EXCOUNTRY('ISO2')@'XX'!='JP',PROPER_NAME(,,,'SECURITY_SHORT')@CE_NAME,CE_NAME));&lt;/Q&gt;&lt;R&gt;1&lt;/R&gt;&lt;C&gt;1&lt;/C&gt;&lt;D xsi:type="xsd:string"&gt;Arconic&lt;/D&gt;&lt;/FQL&gt;&lt;FQL&gt;&lt;Q&gt;000DDH-E^FE_ACTUAL(ACTUAL,SALES,ANNUAL,2014,,,,'')&lt;/Q&gt;&lt;R&gt;1&lt;/R&gt;&lt;C&gt;1&lt;/C&gt;&lt;D xsi:type="xsd:double"&gt;2173&lt;/D&gt;&lt;/FQL&gt;&lt;FQL&gt;&lt;Q&gt;000BTW-E^FE_ACTUAL(ACTUAL,EPS,ANNUAL,2014,,,,'')&lt;/Q&gt;&lt;R&gt;0&lt;/R&gt;&lt;C&gt;0&lt;/C&gt;&lt;/FQL&gt;&lt;FQL&gt;&lt;Q&gt;001963-E^FF_ENTRPR_VAL_DAILY(10/5/2015,10/5/2015,,,,"DIL")&lt;/Q&gt;&lt;R&gt;1&lt;/R&gt;&lt;C&gt;1&lt;/C&gt;&lt;D xsi:type="xsd:double"&gt;3192.596&lt;/D&gt;&lt;/FQL&gt;&lt;FQL&gt;&lt;Q&gt;000BTW-E^FF_ENTRPR_VAL_DAILY(10/5/2015,10/5/2015,,,,"DIL")&lt;/Q&gt;&lt;R&gt;0&lt;/R&gt;&lt;C&gt;0&lt;/C&gt;&lt;/FQL&gt;&lt;FQL&gt;&lt;Q&gt;000DDH-E^FE_ACTUAL(ACTUAL,NET_INC,ANNUAL,2015,,,,'')&lt;/Q&gt;&lt;R&gt;1&lt;/R&gt;&lt;C&gt;1&lt;/C&gt;&lt;D xsi:type="xsd:double"&gt;58.7&lt;/D&gt;&lt;/FQL&gt;&lt;FQL&gt;&lt;Q&gt;001963-E^FE_ACTUAL(ACTUAL,EPS,ANNUAL,2015,,,,'')&lt;/Q&gt;&lt;R&gt;1&lt;/R&gt;&lt;C&gt;1&lt;/C&gt;&lt;D xsi:type="xsd:double"&gt;-0.91&lt;/D&gt;&lt;/FQL&gt;&lt;FQL&gt;&lt;Q&gt;001963-E^FE_ACTUAL(ACTUAL,SALES,ANNUAL,2015,,,,'')&lt;/Q&gt;&lt;R&gt;1&lt;/R&gt;&lt;C&gt;1&lt;/C&gt;&lt;D xsi:type="xsd:double"&gt;3719.6000000000004&lt;/D&gt;&lt;/FQL&gt;&lt;FQL&gt;&lt;Q&gt;05HGS3-E^FE_ACTUAL(ACTUAL,EBIT,ANNUAL,2015,,,,'')&lt;/Q&gt;&lt;R&gt;1&lt;/R&gt;&lt;C&gt;1&lt;/C&gt;&lt;D xsi:type="xsd:double"&gt;1676&lt;/D&gt;&lt;/FQL&gt;&lt;FQL&gt;&lt;Q&gt;000L15-E^FE_ACTUAL(ACTUAL,EBITDA,ANNUAL,2015,,,,'')&lt;/Q&gt;&lt;R&gt;1&lt;/R&gt;&lt;C&gt;1&lt;/C&gt;&lt;D xsi:type="xsd:double"&gt;204&lt;/D&gt;&lt;/FQL&gt;&lt;FQL&gt;&lt;Q&gt;000BTW-E^FE_ACTUAL(ACTUAL,SALES,ANNUAL,2015,,,,'')&lt;/Q&gt;&lt;R&gt;0&lt;/R&gt;&lt;C&gt;0&lt;/C&gt;&lt;/FQL&gt;&lt;FQL&gt;&lt;Q&gt;PCP-US^FE_ACTUAL(ACTUAL,EBIT,ANNUAL,2014,,,,'')&lt;/Q&gt;&lt;R&gt;1&lt;/R&gt;&lt;C&gt;1&lt;/C&gt;&lt;D xsi:type="xsd:double"&gt;2602&lt;/D&gt;&lt;/FQL&gt;&lt;FQL&gt;&lt;Q&gt;000DDH-E^FE_ACTUAL(ACTUAL,EBITDA,ANNUAL,2014,,,,'')&lt;/Q&gt;&lt;R&gt;1&lt;/R&gt;&lt;C&gt;1&lt;/C&gt;&lt;D xsi:type="xsd:double"&gt;382&lt;/D&gt;&lt;/FQL&gt;&lt;FQL&gt;&lt;Q&gt;001963-E^FE_ACTUAL(ACTUAL,NET_INC,ANNUAL,2014,,,,'')&lt;/Q&gt;&lt;R&gt;1&lt;/R&gt;&lt;C&gt;1&lt;/C&gt;&lt;D xsi:type="xsd:double"&gt;-2.6&lt;/D&gt;&lt;/FQL&gt;&lt;FQL&gt;&lt;Q&gt;05HGS3-E^FE_ACTUAL(ACTUAL,EPS,ANNUAL,2014,,,,'')&lt;/Q&gt;&lt;R&gt;1&lt;/R&gt;&lt;C&gt;1&lt;/C&gt;&lt;D xsi:type="xsd:double"&gt;0.04&lt;/D&gt;&lt;/FQL&gt;&lt;FQL&gt;&lt;Q&gt;05HGS3-E^FE_ACTUAL(ACTUAL,SALES,ANNUAL,2014,,,,'')&lt;/Q&gt;&lt;R&gt;1&lt;/R&gt;&lt;C&gt;1&lt;/C&gt;&lt;D xsi:type="xsd:double"&gt;41304&lt;/D&gt;&lt;/FQL&gt;&lt;FQL&gt;&lt;Q&gt;000L15-E^FE_ACTUAL(ACTUAL,EBIT,ANNUAL,2014,,,,'')&lt;/Q&gt;&lt;R&gt;1&lt;/R&gt;&lt;C&gt;1&lt;/C&gt;&lt;D xsi:type="xsd:double"&gt;131.281&lt;/D&gt;&lt;/FQL&gt;&lt;FQL&gt;&lt;Q&gt;000BTW-E^FE_ACTUAL(ACTUAL,EBITDA,ANNUAL,2014,,,,'')&lt;/Q&gt;&lt;R&gt;0&lt;/R&gt;&lt;C&gt;0&lt;/C&gt;&lt;/FQL&gt;&lt;FQL&gt;&lt;Q&gt;PCP-US^IF(SWP_GET_LANGUAGE_QUICK()!='JP',PROPER_NAME(,,,'SECURITY_SHORT')@CE_NAME,IF(P_EXCOUNTRY('ISO2')@'XX'!='JP',PROPER_NAME(,,,'SECURITY_SHORT')@CE_NAME,CE_NAME));&lt;/Q&gt;&lt;R&gt;1&lt;/R&gt;&lt;C&gt;1&lt;/C&gt;&lt;D xsi:type="xsd:string"&gt;Precision Castparts &lt;/D&gt;&lt;/FQL&gt;&lt;FQL&gt;&lt;Q&gt;000DDH-E^IF(SWP_GET_LANGUAGE_QUICK()!='JP',PROPER_NAME(,,,'SECURITY_SHORT')@CE_NAME,IF(P_EXCOUNTRY('ISO2')@'XX'!='JP',PROPER_NAME(,,,'SECURITY_SHORT')@CE_NAME,CE_NAME));&lt;/Q&gt;&lt;R&gt;1&lt;/R&gt;&lt;C&gt;1&lt;/C&gt;&lt;D xsi:type="xsd:string"&gt;Carpenter Technology &lt;/D&gt;&lt;/FQL&gt;&lt;FQL&gt;&lt;Q&gt;001963-E^IF(SWP_GET_LANGUAGE_QUICK()!='JP',PROPER_NAME(,,,'SECURITY_SHORT')@CE_NAME,IF(P_EXCOUNTRY('ISO2')@'XX'!='JP',PROPER_NAME(,,,'SECURITY_SHORT')@CE_NAME,CE_NAME));&lt;/Q&gt;&lt;R&gt;1&lt;/R&gt;&lt;C&gt;1&lt;/C&gt;&lt;D xsi:type="xsd:string"&gt;Allegheny Technologies &lt;/D&gt;&lt;/FQL&gt;&lt;FQL&gt;&lt;Q&gt;05HGS3-E^IF(SWP_GET_LANGUAGE_QUICK()!='JP',PROPER_NAME(,,,'SECURITY_SHORT')@CE_NAME,IF(P_EXCOUNTRY('ISO2')@'XX'!='JP',PROPER_NAME(,,,'SECURITY_SHORT')@CE_NAME,CE_NAME));&lt;/Q&gt;&lt;R&gt;1&lt;/R&gt;&lt;C&gt;1&lt;/C&gt;&lt;D xsi:type="xsd:string"&gt;ThyssenKrupp &lt;/D&gt;&lt;/FQL&gt;&lt;FQL&gt;&lt;Q&gt;000L15-E^IF(SWP_GET_LANGUAGE_QUICK()!='JP',PROPER_NAME(,,,'SECURITY_SHORT')@CE_NAME,IF(P_EXCOUNTRY('ISO2')@'XX'!='JP',PROPER_NAME(,,,'SECURITY_SHORT')@CE_NAME,CE_NAME));&lt;/Q&gt;&lt;R&gt;1&lt;/R&gt;&lt;C&gt;1&lt;/C&gt;&lt;D xsi:type="xsd:string"&gt;LISI &lt;/D&gt;&lt;/FQL&gt;&lt;FQL&gt;&lt;Q&gt;000L15-E^FF_SHLDRS_EQ(ANN_R,10/5/2015,10/5/2015)&lt;/Q&gt;&lt;R&gt;1&lt;/R&gt;&lt;C&gt;1&lt;/C&gt;&lt;D xsi:type="xsd:double"&gt;708.901&lt;/D&gt;&lt;/FQL&gt;&lt;FQL&gt;&lt;Q&gt;000DDH-E^FE_ACTUAL(ACTUAL,EBIT,ANNUAL,2015,,,,'')&lt;/Q&gt;&lt;R&gt;1&lt;/R&gt;&lt;C&gt;1&lt;/C&gt;&lt;D xsi:type="xsd:double"&gt;143.3&lt;/D&gt;&lt;/FQL&gt;&lt;FQL&gt;&lt;Q&gt;05HGS3-E^FE_ACTUAL(ACTUAL,NET_INC,ANNUAL,2015,,,,'')&lt;/Q&gt;&lt;R&gt;1&lt;/R&gt;&lt;C&gt;1&lt;/C&gt;&lt;D xsi:type="xsd:double"&gt;309&lt;/D&gt;&lt;/FQL&gt;&lt;FQL&gt;&lt;Q&gt;000L15-E^FE_ACTUAL(ACTUAL,SALES,ANNUAL,2015,,,,'')&lt;/Q&gt;&lt;R&gt;1&lt;/R&gt;&lt;C&gt;1&lt;/C&gt;&lt;D xsi:type="xsd:double"&gt;1458&lt;/D&gt;&lt;/FQL&gt;&lt;FQL&gt;&lt;Q&gt;000BTW-E^FE_ACTUAL(ACTUAL,EBITDA,ANNUAL,2015,,,,'')&lt;/Q&gt;&lt;R&gt;0&lt;/R&gt;&lt;C&gt;0&lt;/C&gt;&lt;/FQL&gt;&lt;FQL&gt;&lt;Q&gt;000DDH-E^FE_ACTUAL(ACTUAL,EPS,ANNUAL,2014,,,,'')&lt;/Q&gt;&lt;R&gt;1&lt;/R&gt;&lt;C&gt;1&lt;/C&gt;&lt;D xsi:type="xsd:double"&gt;2.47&lt;/D&gt;&lt;/FQL&gt;&lt;FQL&gt;&lt;Q&gt;05HGS3-E^FE_ACTUAL(ACTUAL,EBITDA,ANNUAL,2014,,,,'')&lt;/Q&gt;&lt;R&gt;1&lt;/R&gt;&lt;C&gt;1&lt;/C&gt;&lt;D xsi:type="xsd:double"&gt;2290&lt;/D&gt;&lt;/FQL&gt;&lt;FQL&gt;&lt;Q&gt;000BTW-E^FE_ACTUAL(ACTUAL,SALES,ANNUAL,2014,,,,'')&lt;/Q&gt;&lt;R&gt;0&lt;/R&gt;&lt;C&gt;0&lt;/C&gt;&lt;/FQL&gt;&lt;FQL&gt;&lt;Q&gt;05HGS3-E^FF_ENTRPR_VAL_DAILY(10/5/2015,10/5/2015,,,,"DIL")&lt;/Q&gt;&lt;R&gt;1&lt;/R&gt;&lt;C&gt;1&lt;/C&gt;&lt;D xsi:type="xsd:double"&gt;12923.652784105&lt;/D&gt;&lt;/FQL&gt;&lt;FQL&gt;&lt;Q&gt;000DDH-E^FE_ACTUAL(ACTUAL,EBITDA,ANNUAL,2015,,,,'')&lt;/Q&gt;&lt;R&gt;1&lt;/R&gt;&lt;C&gt;1&lt;/C&gt;&lt;D xsi:type="xsd:double"&gt;273.85&lt;/D&gt;&lt;/FQL&gt;&lt;FQL&gt;&lt;Q&gt;001963-E^FE_ACTUAL(ACTUAL,NET_INC,ANNUAL,2015,,,,'')&lt;/Q&gt;&lt;R&gt;1&lt;/R&gt;&lt;C&gt;1&lt;/C&gt;&lt;D xsi:type="xsd:double"&gt;-377.90000000000003&lt;/D&gt;&lt;/FQL&gt;&lt;FQL&gt;&lt;Q&gt;05HGS3-E^FE_ACTUAL(ACTUAL,EPS,ANNUAL,2015,,,,'')&lt;/Q&gt;&lt;R&gt;1&lt;/R&gt;&lt;C&gt;1&lt;/C&gt;&lt;D xsi:type="xsd:double"&gt;0.57000000000000006&lt;/D&gt;&lt;/FQL&gt;&lt;FQL&gt;&lt;Q&gt;05HGS3-E^FE_ACTUAL(ACTUAL,SALES,ANNUAL,2015,,,,'')&lt;/Q&gt;&lt;R&gt;1&lt;/R&gt;&lt;C&gt;1&lt;/C&gt;&lt;D xsi:type="xsd:double"&gt;42778&lt;/D&gt;&lt;/FQL&gt;&lt;FQL&gt;&lt;Q&gt;000L15-E^FE_ACTUAL(ACTUAL,EBIT,ANNUAL,2015,,,,'')&lt;/Q&gt;&lt;R&gt;1&lt;/R&gt;&lt;C&gt;1&lt;/C&gt;&lt;D xsi:type="xsd:double"&gt;146.4&lt;/D&gt;&lt;/FQL&gt;&lt;FQL&gt;&lt;Q&gt;000BTW-E^FE_ACTUAL(ACTUAL,NET_INC,ANNUAL,2015,,,,'')&lt;/Q&gt;&lt;R&gt;0&lt;/R&gt;&lt;C&gt;0&lt;/C&gt;&lt;/FQL&gt;&lt;FQL&gt;&lt;Q&gt;PCP-US^FE_ACTUAL(ACTUAL,EPS,ANNUAL,2014,,,,'')&lt;/Q&gt;&lt;R&gt;1&lt;/R&gt;&lt;C&gt;1&lt;/C&gt;&lt;D xsi:type="xsd:double"&gt;12.65&lt;/D&gt;&lt;/FQL&gt;&lt;FQL&gt;&lt;Q&gt;PCP-US^FE_ACTUAL(ACTUAL,SALES,ANNUAL,2014,,,,'')&lt;/Q&gt;&lt;R&gt;1&lt;/R&gt;&lt;C&gt;1&lt;/C&gt;&lt;D xsi:type="xsd:double"&gt;10005&lt;/D&gt;&lt;/FQL&gt;&lt;FQL&gt;&lt;Q&gt;000DDH-E^FE_ACTUAL(ACTUAL,EBIT,ANNUAL,2014,,,,'')&lt;/Q&gt;&lt;R&gt;1&lt;/R&gt;&lt;C&gt;1&lt;/C&gt;&lt;D xsi:type="xsd:double"&gt;212&lt;/D&gt;&lt;/FQL&gt;&lt;FQL&gt;&lt;Q&gt;001963-E^FE_ACTUAL(ACTUAL,EBITDA,ANNUAL,2014,,,,'')&lt;/Q&gt;&lt;R&gt;1&lt;/R&gt;&lt;C&gt;1&lt;/C&gt;&lt;D xsi:type="xsd:double"&gt;283&lt;/D&gt;&lt;/FQL&gt;&lt;FQL&gt;&lt;Q&gt;05HGS3-E^FE_ACTUAL(ACTUAL,NET_INC,ANNUAL,2014,,,,'')&lt;/Q&gt;&lt;R&gt;1&lt;/R&gt;&lt;C&gt;1&lt;/C&gt;&lt;D xsi:type="xsd:double"&gt;210&lt;/D&gt;&lt;/FQL&gt;&lt;FQL&gt;&lt;Q&gt;000L15-E^FE_ACTUAL(ACTUAL,EPS,ANNUAL,2014,,,,'')&lt;/Q&gt;&lt;R&gt;1&lt;/R&gt;&lt;C&gt;1&lt;/C&gt;&lt;D xsi:type="xsd:double"&gt;1.55&lt;/D&gt;&lt;/FQL&gt;&lt;FQL&gt;&lt;Q&gt;000L15-E^FE_ACTUAL(ACTUAL,SALES,ANNUAL,2014,,,,'')&lt;/Q&gt;&lt;R&gt;1&lt;/R&gt;&lt;C&gt;1&lt;/C&gt;&lt;D xsi:type="xsd:double"&gt;1306.5&lt;/D&gt;&lt;/FQL&gt;&lt;FQL&gt;&lt;Q&gt;000BTW-E^FE_ACTUAL(ACTUAL,EBIT,ANNUAL,2014,,,,'')&lt;/Q&gt;&lt;R&gt;0&lt;/R&gt;&lt;C&gt;0&lt;/C&gt;&lt;/FQL&gt;&lt;FQL&gt;&lt;Q&gt;000DDH-E^FF_SHLDRS_EQ(ANN_R,10/5/2015,10/5/2015)&lt;/Q&gt;&lt;R&gt;1&lt;/R&gt;&lt;C&gt;1&lt;/C&gt;&lt;D xsi:type="xsd:double"&gt;1325.9&lt;/D&gt;&lt;/FQL&gt;&lt;FQL&gt;&lt;Q&gt;001963-E^FF_SHLDRS_EQ(ANN_R,10/5/2015,10/5/2015)&lt;/Q&gt;&lt;R&gt;1&lt;/R&gt;&lt;C&gt;1&lt;/C&gt;&lt;D xsi:type="xsd:double"&gt;2598.4&lt;/D&gt;&lt;/FQL&gt;&lt;FQL&gt;&lt;Q&gt;05HGS3-E^FF_SHLDRS_EQ(ANN_R,10/5/2015,10/5/2015)&lt;/Q&gt;&lt;R&gt;1&lt;/R&gt;&lt;C&gt;1&lt;/C&gt;&lt;D xsi:type="xsd:double"&gt;3182&lt;/D&gt;&lt;/FQL&gt;&lt;FQL&gt;&lt;Q&gt;000BTW-E^FF_SHLDRS_EQ(ANN_R,10/5/2015,10/5/2015)&lt;/Q&gt;&lt;R&gt;0&lt;/R&gt;&lt;C&gt;0&lt;/C&gt;&lt;/FQL&gt;&lt;FQL&gt;&lt;Q&gt;001963-E^FE_ACTUAL(ACTUAL,EBITDA,ANNUAL,2015,,,,'')&lt;/Q&gt;&lt;R&gt;1&lt;/R&gt;&lt;C&gt;1&lt;/C&gt;&lt;D xsi:type="xsd:double"&gt;37&lt;/D&gt;&lt;/FQL&gt;&lt;FQL&gt;&lt;Q&gt;000L15-E^FE_ACTUAL(ACTUAL,EPS,ANNUAL,2015,,,,'')&lt;/Q&gt;&lt;R&gt;1&lt;/R&gt;&lt;C&gt;1&lt;/C&gt;&lt;D xsi:type="xsd:double"&gt;1.6300000000000001&lt;/D&gt;&lt;/FQL&gt;&lt;FQL&gt;&lt;Q&gt;PCP-US^FE_ACTUAL(ACTUAL,NET_INC,ANNUAL,2014,,,,'')&lt;/Q&gt;&lt;R&gt;1&lt;/R&gt;&lt;C&gt;1&lt;/C&gt;&lt;D xsi:type="xsd:double"&gt;1530&lt;/D&gt;&lt;/FQL&gt;&lt;FQL&gt;&lt;Q&gt;001963-E^FE_ACTUAL(ACTUAL,EBIT,ANNUAL,2014,,,,'')&lt;/Q&gt;&lt;R&gt;1&lt;/R&gt;&lt;C&gt;1&lt;/C&gt;&lt;D xsi:type="xsd:double"&gt;106.10000000000001&lt;/D&gt;&lt;/FQL&gt;&lt;FQL&gt;&lt;Q&gt;000L15-E^FE_ACTUAL(ACTUAL,NET_INC,ANNUAL,2014,,,,'')&lt;/Q&gt;&lt;R&gt;1&lt;/R&gt;&lt;C&gt;1&lt;/C&gt;&lt;D xsi:type="xsd:double"&gt;81.386&lt;/D&gt;&lt;/FQL&gt;&lt;FQL&gt;&lt;Q&gt;000DDH-E^FF_ENTRPR_VAL_DAILY(10/5/2015,10/5/2015,,,,"DIL")&lt;/Q&gt;&lt;R&gt;1&lt;/R&gt;&lt;C&gt;1&lt;/C&gt;&lt;D xsi:type="xsd:double"&gt;2219.615&lt;/D&gt;&lt;/FQL&gt;&lt;FQL&gt;&lt;Q&gt;000L15-E^FF_ENTRPR_VAL_DAILY(10/5/2015,10/5/2015,,,,"DIL")&lt;/Q&gt;&lt;R&gt;1&lt;/R&gt;&lt;C&gt;1&lt;/C&gt;&lt;D xsi:type="xsd:double"&gt;1517.1205433999999&lt;/D&gt;&lt;/FQL&gt;&lt;FQL&gt;&lt;Q&gt;ARNC^IF(SWP_GET_LANGUAGE_QUICK()!='JP',PROPER_NAME(,,,'SECURITY_SHORT')@CE_NAME,IF(P_EXCOUNTRY('ISO2')@'XX'!='JP',PROPER_NAME(,,,'SECURITY_SHORT')@CE_NAME,CE_NAME));&lt;/Q&gt;&lt;R&gt;1&lt;/R&gt;&lt;C&gt;1&lt;/C&gt;&lt;D xsi:type="xsd:string"&gt;Arconic&lt;/D&gt;&lt;/FQL&gt;&lt;FQL&gt;&lt;Q&gt;ARNC^P_MARKET_VAL_SEC(10/5/2015,10/5/2015)&lt;/Q&gt;&lt;R&gt;0&lt;/R&gt;&lt;C&gt;0&lt;/C&gt;&lt;/FQL&gt;&lt;FQL&gt;&lt;Q&gt;ARNC^FF_ENTRPR_VAL_DAILY(10/5/2015,10/5/2015,,,,"DIL")&lt;/Q&gt;&lt;R&gt;0&lt;/R&gt;&lt;C&gt;0&lt;/C&gt;&lt;/FQL&gt;&lt;FQL&gt;&lt;Q&gt;ARNC^FF_SHLDRS_EQ(ANN_R,10/5/2015,10/5/2015)&lt;/Q&gt;&lt;R&gt;0&lt;/R&gt;&lt;C&gt;0&lt;/C&gt;&lt;/FQL&gt;&lt;FQL&gt;&lt;Q&gt;ARNC^FE_ACTUAL(ACTUAL,SALES,ANNUAL,2014,,,,'')&lt;/Q&gt;&lt;R&gt;0&lt;/R&gt;&lt;C&gt;0&lt;/C&gt;&lt;/FQL&gt;&lt;FQL&gt;&lt;Q&gt;ARNC^FE_ACTUAL(ACTUAL,EBIT,ANNUAL,2014,,,,'')&lt;/Q&gt;&lt;R&gt;0&lt;/R&gt;&lt;C&gt;0&lt;/C&gt;&lt;/FQL&gt;&lt;FQL&gt;&lt;Q&gt;ARNC^FE_ACTUAL(ACTUAL,EBITDA,ANNUAL,2014,,,,'')&lt;/Q&gt;&lt;R&gt;0&lt;/R&gt;&lt;C&gt;0&lt;/C&gt;&lt;/FQL&gt;&lt;FQL&gt;&lt;Q&gt;ARNC^FE_ACTUAL(ACTUAL,NET_INC,ANNUAL,2014,,,,'')&lt;/Q&gt;&lt;R&gt;0&lt;/R&gt;&lt;C&gt;0&lt;/C&gt;&lt;/FQL&gt;&lt;FQL&gt;&lt;Q&gt;ARNC^FE_ACTUAL(ACTUAL,EPS,ANNUAL,2014,,,,'')&lt;/Q&gt;&lt;R&gt;0&lt;/R&gt;&lt;C&gt;0&lt;/C&gt;&lt;/FQL&gt;&lt;FQL&gt;&lt;Q&gt;ARNC^FE_ACTUAL(ACTUAL,SALES,ANNUAL,2015,,,,'')&lt;/Q&gt;&lt;R&gt;0&lt;/R&gt;&lt;C&gt;0&lt;/C&gt;&lt;/FQL&gt;&lt;FQL&gt;&lt;Q&gt;ARNC^FE_ACTUAL(ACTUAL,EBIT,ANNUAL,2015,,,,'')&lt;/Q&gt;&lt;R&gt;0&lt;/R&gt;&lt;C&gt;0&lt;/C&gt;&lt;/FQL&gt;&lt;FQL&gt;&lt;Q&gt;ARNC^FE_ACTUAL(ACTUAL,EBITDA,ANNUAL,2015,,,,'')&lt;/Q&gt;&lt;R&gt;0&lt;/R&gt;&lt;C&gt;0&lt;/C&gt;&lt;/FQL&gt;&lt;FQL&gt;&lt;Q&gt;ARNC^FE_ACTUAL(ACTUAL,NET_INC,ANNUAL,2015,,,,'')&lt;/Q&gt;&lt;R&gt;0&lt;/R&gt;&lt;C&gt;0&lt;/C&gt;&lt;/FQL&gt;&lt;FQL&gt;&lt;Q&gt;ARNC^FE_ACTUAL(ACTUAL,EPS,ANNUAL,2015,,,,'')&lt;/Q&gt;&lt;R&gt;0&lt;/R&gt;&lt;C&gt;0&lt;/C&gt;&lt;/FQL&gt;&lt;FQL&gt;&lt;Q&gt;ARNC-US^IF(SWP_GET_LANGUAGE_QUICK()!='JP',PROPER_NAME(,,,'SECURITY_SHORT')@CE_NAME,IF(P_EXCOUNTRY('ISO2')@'XX'!='JP',PROPER_NAME(,,,'SECURITY_SHORT')@CE_NAME,CE_NAME));&lt;/Q&gt;&lt;R&gt;1&lt;/R&gt;&lt;C&gt;1&lt;/C&gt;&lt;D xsi:type="xsd:string"&gt;Arconic&lt;/D&gt;&lt;/FQL&gt;&lt;FQL&gt;&lt;Q&gt;ARNC-US^P_MARKET_VAL_SEC(10/5/2015,10/5/2015)&lt;/Q&gt;&lt;R&gt;0&lt;/R&gt;&lt;C&gt;0&lt;/C&gt;&lt;/FQL&gt;&lt;FQL&gt;&lt;Q&gt;ARNC-US^FF_ENTRPR_VAL_DAILY(10/5/2015,10/5/2015,,,,"DIL")&lt;/Q&gt;&lt;R&gt;0&lt;/R&gt;&lt;C&gt;0&lt;/C&gt;&lt;/FQL&gt;&lt;FQL&gt;&lt;Q&gt;ARNC-US^FF_SHLDRS_EQ(ANN_R,10/5/2015,10/5/2015)&lt;/Q&gt;&lt;R&gt;0&lt;/R&gt;&lt;C&gt;0&lt;/C&gt;&lt;/FQL&gt;&lt;FQL&gt;&lt;Q&gt;ARNC-US^FE_ACTUAL(ACTUAL,SALES,ANNUAL,2014,,,,'')&lt;/Q&gt;&lt;R&gt;0&lt;/R&gt;&lt;C&gt;0&lt;/C&gt;&lt;/FQL&gt;&lt;FQL&gt;&lt;Q&gt;ARNC-US^FE_ACTUAL(ACTUAL,EBIT,ANNUAL,2014,,,,'')&lt;/Q&gt;&lt;R&gt;0&lt;/R&gt;&lt;C&gt;0&lt;/C&gt;&lt;/FQL&gt;&lt;FQL&gt;&lt;Q&gt;ARNC-US^FE_ACTUAL(ACTUAL,EBITDA,ANNUAL,2014,,,,'')&lt;/Q&gt;&lt;R&gt;0&lt;/R&gt;&lt;C&gt;0&lt;/C&gt;&lt;/FQL&gt;&lt;FQL&gt;&lt;Q&gt;ARNC-US^FE_ACTUAL(ACTUAL,NET_INC,ANNUAL,2014,,,,'')&lt;/Q&gt;&lt;R&gt;0&lt;/R&gt;&lt;C&gt;0&lt;/C&gt;&lt;/FQL&gt;&lt;FQL&gt;&lt;Q&gt;ARNC-US^FE_ACTUAL(ACTUAL,EPS,ANNUAL,2014,,,,'')&lt;/Q&gt;&lt;R&gt;0&lt;/R&gt;&lt;C&gt;0&lt;/C&gt;&lt;/FQL&gt;&lt;FQL&gt;&lt;Q&gt;ARNC-US^FE_ACTUAL(ACTUAL,SALES,ANNUAL,2015,,,,'')&lt;/Q&gt;&lt;R&gt;0&lt;/R&gt;&lt;C&gt;0&lt;/C&gt;&lt;/FQL&gt;&lt;FQL&gt;&lt;Q&gt;ARNC-US^FE_ACTUAL(ACTUAL,EBIT,ANNUAL,2015,,,,'')&lt;/Q&gt;&lt;R&gt;0&lt;/R&gt;&lt;C&gt;0&lt;/C&gt;&lt;/FQL&gt;&lt;FQL&gt;&lt;Q&gt;ARNC-US^FE_ACTUAL(ACTUAL,EBITDA,ANNUAL,2015,,,,'')&lt;/Q&gt;&lt;R&gt;0&lt;/R&gt;&lt;C&gt;0&lt;/C&gt;&lt;/FQL&gt;&lt;FQL&gt;&lt;Q&gt;ARNC-US^FE_ACTUAL(ACTUAL,NET_INC,ANNUAL,2015,,,,'')&lt;/Q&gt;&lt;R&gt;0&lt;/R&gt;&lt;C&gt;0&lt;/C&gt;&lt;/FQL&gt;&lt;FQL&gt;&lt;Q&gt;ARNC-US^FE_ACTUAL(ACTUAL,EPS,ANNUAL,2015,,,,'')&lt;/Q&gt;&lt;R&gt;0&lt;/R&gt;&lt;C&gt;0&lt;/C&gt;&lt;/FQL&gt;&lt;FQL&gt;&lt;Q&gt;AA-US^IF(SWP_GET_LANGUAGE_QUICK()!='JP',PROPER_NAME(,,,'SECURITY_SHORT')@CE_NAME,IF(P_EXCOUNTRY('ISO2')@'XX'!='JP',PROPER_NAME(,,,'SECURITY_SHORT')@CE_NAME,CE_NAME));&lt;/Q&gt;&lt;R&gt;1&lt;/R&gt;&lt;C&gt;1&lt;/C&gt;&lt;D xsi:type="xsd:string"&gt;Alcoa&lt;/D&gt;&lt;/FQL&gt;&lt;FQL&gt;&lt;Q&gt;AA-US^P_MARKET_VAL_SEC(10/5/2015,10/5/2015)&lt;/Q&gt;&lt;R&gt;1&lt;/R&gt;&lt;C&gt;1&lt;/C&gt;&lt;D xsi:type="xsd:double"&gt;13637.3505687&lt;/D&gt;&lt;/FQL&gt;&lt;FQL&gt;&lt;Q&gt;AA-US^FF_ENTRPR_VAL_DAILY(10/5/2015,10/5/2015,,,,"DIL")&lt;/Q&gt;&lt;R&gt;1&lt;/R&gt;&lt;C&gt;1&lt;/C&gt;&lt;D xsi:type="xsd:double"&gt;23163.539865294602&lt;/D&gt;&lt;/FQL&gt;&lt;FQL&gt;&lt;Q&gt;AA-US^FF_SHLDRS_EQ(ANN_R,10/5/2015,10/5/2015)&lt;/Q&gt;&lt;R&gt;1&lt;/R&gt;&lt;C&gt;1&lt;/C&gt;&lt;D xsi:type="xsd:double"&gt;10599&lt;/D&gt;&lt;/FQL&gt;&lt;FQL&gt;&lt;Q&gt;AA-US^FE_ACTUAL(ACTUAL,SALES,ANNUAL,2014,,,,'')&lt;/Q&gt;&lt;R&gt;1&lt;/R&gt;&lt;C&gt;1&lt;/C&gt;&lt;D xsi:type="xsd:double"&gt;23906&lt;/D&gt;&lt;/FQL&gt;&lt;FQL&gt;&lt;Q&gt;AA-US^FE_ACTUAL(ACTUAL,EBIT,ANNUAL,2014,,,,'')&lt;/Q&gt;&lt;R&gt;1&lt;/R&gt;&lt;C&gt;1&lt;/C&gt;&lt;D xsi:type="xsd:double"&gt;2185&lt;/D&gt;&lt;/FQL&gt;&lt;FQL&gt;&lt;Q&gt;AA-US^FE_ACTUAL(ACTUAL,EBITDA,ANNUAL,2014,,,,'')&lt;/Q&gt;&lt;R&gt;1&lt;/R&gt;&lt;C&gt;1&lt;/C&gt;&lt;D xsi:type="xsd:double"&gt;3556&lt;/D&gt;&lt;/FQL&gt;&lt;FQL&gt;&lt;Q&gt;AA-US^FE_ACTUAL(ACTUAL,NET_INC,ANNUAL,2014,,,,'')&lt;/Q&gt;&lt;R&gt;1&lt;/R&gt;&lt;C&gt;1&lt;/C&gt;&lt;D xsi:type="xsd:double"&gt;2043&lt;/D&gt;&lt;/FQL&gt;&lt;FQL&gt;&lt;Q&gt;AA-US^FE_ACTUAL(ACTUAL,EPS,ANNUAL,2014,,,,'')&lt;/Q&gt;&lt;R&gt;1&lt;/R&gt;&lt;C&gt;1&lt;/C&gt;&lt;D xsi:type="xsd:double"&gt;8.28&lt;/D&gt;&lt;/FQL&gt;&lt;FQL&gt;&lt;Q&gt;AA-US^FE_ACTUAL(ACTUAL,SALES,ANNUAL,2015,,,,'')&lt;/Q&gt;&lt;R&gt;1&lt;/R&gt;&lt;C&gt;1&lt;/C&gt;&lt;D xsi:type="xsd:double"&gt;22534&lt;/D&gt;&lt;/FQL&gt;&lt;FQL&gt;&lt;Q&gt;AA-US^FE_ACTUAL(ACTUAL,EBIT,ANNUAL,2015,,,,'')&lt;/Q&gt;&lt;R&gt;1&lt;/R&gt;&lt;C&gt;1&lt;/C&gt;&lt;D xsi:type="xsd:double"&gt;1968&lt;/D&gt;&lt;/FQL&gt;&lt;FQL&gt;&lt;Q&gt;AA-US^FE_ACTUAL(ACTUAL,EBITDA,ANNUAL,2015,,,,'')&lt;/Q&gt;&lt;R&gt;1&lt;/R&gt;&lt;C&gt;1&lt;/C&gt;&lt;D xsi:type="xsd:double"&gt;3248&lt;/D&gt;&lt;/FQL&gt;&lt;FQL&gt;&lt;Q&gt;AA-US^FE_ACTUAL(ACTUAL,NET_INC,ANNUAL,2015,,,,'')&lt;/Q&gt;&lt;R&gt;1&lt;/R&gt;&lt;C&gt;1&lt;/C&gt;&lt;D xsi:type="xsd:double"&gt;787&lt;/D&gt;&lt;/FQL&gt;&lt;FQL&gt;&lt;Q&gt;AA-US^FE_ACTUAL(ACTUAL,EPS,ANNUAL,2015,,,,'')&lt;/Q&gt;&lt;R&gt;1&lt;/R&gt;&lt;C&gt;1&lt;/C&gt;&lt;D xsi:type="xsd:double"&gt;5.04&lt;/D&gt;&lt;/FQL&gt;&lt;/Schema&gt;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Mullin, Leslie</author>
  </authors>
  <commentList>
    <comment ref="E6" authorId="0" shapeId="0" xr:uid="{00000000-0006-0000-0700-000001000000}">
      <text>
        <r>
          <rPr>
            <b/>
            <sz val="9"/>
            <color rgb="FF000000"/>
            <rFont val="Tahoma"/>
            <family val="2"/>
          </rPr>
          <t>Mullin, Leslie:</t>
        </r>
        <r>
          <rPr>
            <sz val="9"/>
            <color rgb="FF000000"/>
            <rFont val="Tahoma"/>
            <family val="2"/>
          </rPr>
          <t xml:space="preserve">
</t>
        </r>
        <r>
          <rPr>
            <sz val="9"/>
            <color rgb="FF000000"/>
            <rFont val="Tahoma"/>
            <family val="2"/>
          </rPr>
          <t>Bob, I added this "shares" column so that this table would more closely match what appears in the case. There's also a Percentage of Company Owned column. Please add that where appropriate!</t>
        </r>
      </text>
    </comment>
  </commentList>
</comments>
</file>

<file path=xl/sharedStrings.xml><?xml version="1.0" encoding="utf-8"?>
<sst xmlns="http://schemas.openxmlformats.org/spreadsheetml/2006/main" count="612" uniqueCount="388">
  <si>
    <t>FDSCHART</t>
  </si>
  <si>
    <t>2,,=SP50-USA+|,$TK$,$BMTK$</t>
  </si>
  <si>
    <t>?</t>
  </si>
  <si>
    <t>£currency£,0,0</t>
  </si>
  <si>
    <t>£rel£</t>
  </si>
  <si>
    <t>C:\Users\Jake\AppData\Local\Temp\tmp_fdschart_ics.xml</t>
  </si>
  <si>
    <t>2013.14.266.147</t>
  </si>
  <si>
    <t>0</t>
  </si>
  <si>
    <t>CODE_GB,26/08/2016,29/08/2016  14:30:59</t>
  </si>
  <si>
    <t xml:space="preserve"> </t>
  </si>
  <si>
    <t>'16</t>
  </si>
  <si>
    <t>'15</t>
  </si>
  <si>
    <t>'14</t>
  </si>
  <si>
    <t>'13</t>
  </si>
  <si>
    <t>'12</t>
  </si>
  <si>
    <t>'11</t>
  </si>
  <si>
    <t>'10</t>
  </si>
  <si>
    <t>'09</t>
  </si>
  <si>
    <t>'08</t>
  </si>
  <si>
    <t>'07</t>
  </si>
  <si>
    <t>'06</t>
  </si>
  <si>
    <t>'05</t>
  </si>
  <si>
    <t>'04</t>
  </si>
  <si>
    <t>'03</t>
  </si>
  <si>
    <t>'02</t>
  </si>
  <si>
    <t>'01</t>
  </si>
  <si>
    <t>'00</t>
  </si>
  <si>
    <t>'99</t>
  </si>
  <si>
    <t>'98</t>
  </si>
  <si>
    <t>'97</t>
  </si>
  <si>
    <t>'96</t>
  </si>
  <si>
    <t>'95</t>
  </si>
  <si>
    <t>'94</t>
  </si>
  <si>
    <t>'93</t>
  </si>
  <si>
    <t>'92</t>
  </si>
  <si>
    <t>'91</t>
  </si>
  <si>
    <t>'90</t>
  </si>
  <si>
    <t>'89</t>
  </si>
  <si>
    <t>'88</t>
  </si>
  <si>
    <t>'87</t>
  </si>
  <si>
    <t>'86</t>
  </si>
  <si>
    <t>'85</t>
  </si>
  <si>
    <t>'84</t>
  </si>
  <si>
    <t>'83</t>
  </si>
  <si>
    <t>'82</t>
  </si>
  <si>
    <t>'81</t>
  </si>
  <si>
    <t>'80</t>
  </si>
  <si>
    <t>'79</t>
  </si>
  <si>
    <t>'78</t>
  </si>
  <si>
    <t>'77</t>
  </si>
  <si>
    <t>'76</t>
  </si>
  <si>
    <t/>
  </si>
  <si>
    <t>Date</t>
  </si>
  <si>
    <t>HXX</t>
  </si>
  <si>
    <t>£</t>
  </si>
  <si>
    <t>f#£v£##0.00</t>
  </si>
  <si>
    <t>CT55,PG,pD,fMM/DD/YY</t>
  </si>
  <si>
    <t>L.1,f#£v£##0.00</t>
  </si>
  <si>
    <t>L.1,CT55,PG,pD,f@</t>
  </si>
  <si>
    <t>6,12,480</t>
  </si>
  <si>
    <t>1073809436</t>
  </si>
  <si>
    <t>493</t>
  </si>
  <si>
    <t>DIM,10</t>
  </si>
  <si>
    <t>ID=BRK.A-USA</t>
  </si>
  <si>
    <t>XLCG</t>
  </si>
  <si>
    <t>(INDEX) S&amp;P 500 - Price</t>
  </si>
  <si>
    <t>(INDEX) Berkshire Hathaway Inc. Class A - Price</t>
  </si>
  <si>
    <t>Monthly
High: 322,857.16 Low: 95.71 Chg: 219.00%</t>
  </si>
  <si>
    <t xml:space="preserve">
</t>
  </si>
  <si>
    <t>Berkshire Hathaway Inc. Class A
223920.00 1880.00 0.85% 2:13:57 PM VWAP:223932.37</t>
  </si>
  <si>
    <t>100</t>
  </si>
  <si>
    <t>fdschart_line</t>
  </si>
  <si>
    <t>3</t>
  </si>
  <si>
    <t>1,0073DC70,0,BRK.A-USA</t>
  </si>
  <si>
    <t>BRK.A</t>
  </si>
  <si>
    <t>High</t>
  </si>
  <si>
    <t>Low</t>
  </si>
  <si>
    <t>Berkshire Hathaway Inc. Class B</t>
  </si>
  <si>
    <t xml:space="preserve">BRK.B   084670702   2073390   NYSE    Common stock    </t>
  </si>
  <si>
    <t>Segment</t>
  </si>
  <si>
    <t>Revenues</t>
  </si>
  <si>
    <t>EBIT</t>
  </si>
  <si>
    <t>Capital Expenditures</t>
  </si>
  <si>
    <t>Depreciation</t>
  </si>
  <si>
    <t>Total Assets</t>
  </si>
  <si>
    <t>Insurance Group</t>
  </si>
  <si>
    <t>Manufacturing</t>
  </si>
  <si>
    <t>Service &amp; Retailing</t>
  </si>
  <si>
    <t>Railroad</t>
  </si>
  <si>
    <t>Utility and Energy</t>
  </si>
  <si>
    <t>Finance &amp; Financial Products</t>
  </si>
  <si>
    <t>Other</t>
  </si>
  <si>
    <t>Total</t>
  </si>
  <si>
    <t>Sales</t>
  </si>
  <si>
    <t>Dec '14</t>
  </si>
  <si>
    <t>Dec '15</t>
  </si>
  <si>
    <t>365 Days</t>
  </si>
  <si>
    <t>McLane Company</t>
  </si>
  <si>
    <t>Burlington Northern Santa Fe</t>
  </si>
  <si>
    <t>Berkshire Hathaway Energy</t>
  </si>
  <si>
    <t>Investment &amp; Derivative Gains/Losses</t>
  </si>
  <si>
    <t>Investments in Kraft Heinz</t>
  </si>
  <si>
    <t>--</t>
  </si>
  <si>
    <t>Operating Income</t>
  </si>
  <si>
    <t>Assets</t>
  </si>
  <si>
    <t>Depreciation Expense</t>
  </si>
  <si>
    <r>
      <t>Shareholders' equity</t>
    </r>
    <r>
      <rPr>
        <vertAlign val="superscript"/>
        <sz val="11"/>
        <color theme="1"/>
        <rFont val="Calibri"/>
        <family val="2"/>
        <scheme val="minor"/>
      </rPr>
      <t>3</t>
    </r>
  </si>
  <si>
    <t>Total liabilities</t>
  </si>
  <si>
    <t>Other long-term liabilities</t>
  </si>
  <si>
    <t>Pension obligation</t>
  </si>
  <si>
    <t>Long-term debt</t>
  </si>
  <si>
    <t>Current liabilities</t>
  </si>
  <si>
    <t>Liabilities &amp; Shareholder Equity:</t>
  </si>
  <si>
    <t>Total assets</t>
  </si>
  <si>
    <t>Other assets</t>
  </si>
  <si>
    <t>Net property, plant and equipment</t>
  </si>
  <si>
    <t>Current assets</t>
  </si>
  <si>
    <t>Assets:</t>
  </si>
  <si>
    <t>Balance Sheet</t>
  </si>
  <si>
    <r>
      <t>Consolidated net income from continuing operations</t>
    </r>
    <r>
      <rPr>
        <vertAlign val="superscript"/>
        <sz val="11"/>
        <color theme="1"/>
        <rFont val="Calibri"/>
        <family val="2"/>
        <scheme val="minor"/>
      </rPr>
      <t>2</t>
    </r>
  </si>
  <si>
    <t>Income tax expense</t>
  </si>
  <si>
    <t>Income before income tax expense</t>
  </si>
  <si>
    <t>Net interest expense</t>
  </si>
  <si>
    <t>Income from operations</t>
  </si>
  <si>
    <r>
      <t>Operating expenses</t>
    </r>
    <r>
      <rPr>
        <vertAlign val="superscript"/>
        <sz val="11"/>
        <color theme="1"/>
        <rFont val="Calibri"/>
        <family val="2"/>
        <scheme val="minor"/>
      </rPr>
      <t>1</t>
    </r>
  </si>
  <si>
    <t>Revenue</t>
  </si>
  <si>
    <t xml:space="preserve">Income Statement </t>
  </si>
  <si>
    <t>Deferred tax liabilities</t>
  </si>
  <si>
    <t>Deferred tax assets</t>
  </si>
  <si>
    <t>Operating expenses</t>
  </si>
  <si>
    <t>Company</t>
  </si>
  <si>
    <t>MV</t>
  </si>
  <si>
    <t>Enterprise</t>
  </si>
  <si>
    <t>Book</t>
  </si>
  <si>
    <t>Enterprise Value as Multiple of:</t>
  </si>
  <si>
    <t>MV of Equity as Multiple of:</t>
  </si>
  <si>
    <t>Name</t>
  </si>
  <si>
    <t>Equity</t>
  </si>
  <si>
    <t>Value</t>
  </si>
  <si>
    <t>Rev</t>
  </si>
  <si>
    <t>EBITDA</t>
  </si>
  <si>
    <t>Net Income</t>
  </si>
  <si>
    <t>Book Value</t>
  </si>
  <si>
    <t>NM</t>
  </si>
  <si>
    <t>Median</t>
  </si>
  <si>
    <t>Mean</t>
  </si>
  <si>
    <r>
      <t>Implied Value - Median</t>
    </r>
    <r>
      <rPr>
        <vertAlign val="superscript"/>
        <sz val="11"/>
        <color theme="1"/>
        <rFont val="Calibri"/>
        <family val="2"/>
        <scheme val="minor"/>
      </rPr>
      <t>1</t>
    </r>
  </si>
  <si>
    <r>
      <t>Implied Value - Mean</t>
    </r>
    <r>
      <rPr>
        <vertAlign val="superscript"/>
        <sz val="11"/>
        <color theme="1"/>
        <rFont val="Calibri"/>
        <family val="2"/>
        <scheme val="minor"/>
      </rPr>
      <t>1</t>
    </r>
  </si>
  <si>
    <t xml:space="preserve">LISI SA engages in the manufacturing of multifunctional fasteners and assembly components for three business sectors: Aerospace, Automotive, and Medical. </t>
  </si>
  <si>
    <t xml:space="preserve">ThyssenKrupp AG engages in the production of steel. The Components Technology business area offers components for the automotive, construction, and engineering sectors. </t>
  </si>
  <si>
    <t>Price Per Share</t>
  </si>
  <si>
    <t>(dollars in millions)</t>
  </si>
  <si>
    <t>Shares O/S</t>
  </si>
  <si>
    <t>Div. Per Share</t>
  </si>
  <si>
    <t>Total Liabilities</t>
  </si>
  <si>
    <t>Cash and Equiv</t>
  </si>
  <si>
    <t>ST Debt</t>
  </si>
  <si>
    <t>LT Debt</t>
  </si>
  <si>
    <t>Net Debt</t>
  </si>
  <si>
    <t>Precision Castparts</t>
  </si>
  <si>
    <t xml:space="preserve">Alcoa </t>
  </si>
  <si>
    <t xml:space="preserve">LISI </t>
  </si>
  <si>
    <t xml:space="preserve">ThyssenKrupp </t>
  </si>
  <si>
    <t xml:space="preserve">Allegheny Technologies </t>
  </si>
  <si>
    <t xml:space="preserve">Carpenter Technology </t>
  </si>
  <si>
    <t>S&amp;P 500 - 7/31/00 to 7/31/2015</t>
  </si>
  <si>
    <t>Berkshire - 7/31/00 to 7/31/2015</t>
  </si>
  <si>
    <t>Annualized</t>
  </si>
  <si>
    <t>5 Years</t>
  </si>
  <si>
    <t>15 Years</t>
  </si>
  <si>
    <t>39 Years</t>
  </si>
  <si>
    <t>S&amp;P 500</t>
  </si>
  <si>
    <t>Diff</t>
  </si>
  <si>
    <t>Exhibit 11</t>
  </si>
  <si>
    <t>This sheet contains FactSet XML data for use with this workbook's =FDS codes.  Modifying the worksheet's contents may damage the workbook's =FDS functionality.</t>
  </si>
  <si>
    <t>Warren E. Buffett, 2015</t>
  </si>
  <si>
    <t>Major Investees of Berkshire Hathaway</t>
  </si>
  <si>
    <t>(dollar values in millions)</t>
  </si>
  <si>
    <t>Market</t>
  </si>
  <si>
    <t>American Express Company</t>
  </si>
  <si>
    <t>The Coca-Cola Company</t>
  </si>
  <si>
    <t>DaVita HealthCare Partners Inc.</t>
  </si>
  <si>
    <t>Deere &amp; Company</t>
  </si>
  <si>
    <t>DIRECTV</t>
  </si>
  <si>
    <t>The Goldman Sachs Group, Inc.</t>
  </si>
  <si>
    <t>International Business Machines Corp.</t>
  </si>
  <si>
    <t>Munich Re</t>
  </si>
  <si>
    <t>The Procter &amp; Gamble Company</t>
  </si>
  <si>
    <t>Sanofi</t>
  </si>
  <si>
    <t>U.S. Bancorp</t>
  </si>
  <si>
    <t>USG Corporation</t>
  </si>
  <si>
    <t>Wal-Mart Stores, Inc.</t>
  </si>
  <si>
    <t>Wells Fargo &amp; Company</t>
  </si>
  <si>
    <t>Others</t>
  </si>
  <si>
    <t>Total Common Stocks</t>
  </si>
  <si>
    <t>Percent Gain of Market over Cost</t>
  </si>
  <si>
    <t>Source: Berkshire Hathaway Inc. letter to shareholders, 2014</t>
  </si>
  <si>
    <t>Exhibit 5</t>
  </si>
  <si>
    <t>Exhibit 9</t>
  </si>
  <si>
    <t>PCP Consolidated Financial Statements</t>
  </si>
  <si>
    <t>Supplemental:</t>
  </si>
  <si>
    <t>Exhibit 10</t>
  </si>
  <si>
    <t>Comparable Firms</t>
  </si>
  <si>
    <t>Valuation of PCP Based on Multiples for Comparable Firms</t>
  </si>
  <si>
    <t xml:space="preserve">Precision Castparts </t>
  </si>
  <si>
    <t>Alcoa</t>
  </si>
  <si>
    <t>LISI</t>
  </si>
  <si>
    <t>ThyssenKrupp</t>
  </si>
  <si>
    <t>Allegheny Technologies</t>
  </si>
  <si>
    <t>Carpenter Technology</t>
  </si>
  <si>
    <r>
      <rPr>
        <sz val="10"/>
        <color indexed="8"/>
        <rFont val="Garamond"/>
        <family val="1"/>
      </rPr>
      <t xml:space="preserve">This spreadsheet was prepared by Robert F. Bruner, University Professor, Distinguished Professor of Business Administration, and Dean Emeritus. Copyright © 2017 by the University of Virginia Darden School Foundation, Charlottesville, VA. All rights reserved.  </t>
    </r>
    <r>
      <rPr>
        <i/>
        <sz val="10"/>
        <color indexed="8"/>
        <rFont val="Garamond"/>
        <family val="1"/>
      </rPr>
      <t>For customer service inquiries, send an e-mail to</t>
    </r>
    <r>
      <rPr>
        <sz val="10"/>
        <color indexed="8"/>
        <rFont val="Garamond"/>
        <family val="1"/>
      </rPr>
      <t>sales@dardenbusinesspublishing.com</t>
    </r>
    <r>
      <rPr>
        <i/>
        <sz val="10"/>
        <color indexed="8"/>
        <rFont val="Garamond"/>
        <family val="1"/>
      </rPr>
      <t xml:space="preserve">. No part of this publication may be reproduced, stored in a retrieval system, posted to the Internet, or transmitted in any form or by any means—electronic, mechanical, photocopying, recording, or otherwise—without the permission of the Darden School Foundation. </t>
    </r>
    <r>
      <rPr>
        <sz val="10"/>
        <color indexed="8"/>
        <rFont val="Garamond"/>
        <family val="1"/>
      </rPr>
      <t xml:space="preserve">Our goal is to publish materials of the highest quality, so please submit any errata to editorial@dardenbusinesspublishing.com.  </t>
    </r>
  </si>
  <si>
    <t>This spreadsheet supports STUDENT analysis of the case “Warren E. Buffett, 2015” (UVA-F-1769).</t>
  </si>
  <si>
    <t>Exhibit 1</t>
  </si>
  <si>
    <t>Relative Share Price Performance of Berkshire Hathaway Class A Share, PCP, and the S&amp;P 500</t>
  </si>
  <si>
    <t>January 1, 2015, to August 13, 2015</t>
  </si>
  <si>
    <t>Note: PCP = Precision Castparts; BRK.A = Berkshire Hathaway Class A shares; S&amp;P500 = Standard &amp; Poor’s 500 Index.</t>
  </si>
  <si>
    <t>Data source: Google Finance.</t>
  </si>
  <si>
    <t>Exhibit 2</t>
  </si>
  <si>
    <t>Berkshire Hathaway Condensed Consolidated Financial Statements</t>
  </si>
  <si>
    <t>(In millions, except per share data, unless otherwise specified)</t>
  </si>
  <si>
    <t>Consolidated net income</t>
  </si>
  <si>
    <t>Net property, plant, and equipment</t>
  </si>
  <si>
    <t>Shareholders’ equity</t>
  </si>
  <si>
    <t>Total liabilities and stockholders’ equity</t>
  </si>
  <si>
    <t>Data source: Factset.</t>
  </si>
  <si>
    <t>Source: SEC documents.</t>
  </si>
  <si>
    <t>Exhibit 4</t>
  </si>
  <si>
    <t>Business-Segment Information for Berkshire Hathaway Inc.</t>
  </si>
  <si>
    <t>(dollars in millions)</t>
  </si>
  <si>
    <t>Moody’s Corporation</t>
  </si>
  <si>
    <t>Cost*</t>
  </si>
  <si>
    <t>***</t>
  </si>
  <si>
    <t>Shares**</t>
  </si>
  <si>
    <t>*Actual purchase price and tax basis; GAAP “cost” differs in a few cases because of write-ups or write-downs that have been required under GAAP rules.</t>
  </si>
  <si>
    <t>**Excludes shares held by pension funds of Berkshire subsidiaries.</t>
  </si>
  <si>
    <t>***Held under contract of sale for this amount.</t>
  </si>
  <si>
    <t>12 months ending March 31</t>
  </si>
  <si>
    <t>*Note: Fiscal year ends March 31. Period listed as 2015 represents March 31, 2014, to March 31, 2015.</t>
  </si>
  <si>
    <t>Depreciation &amp; amortization</t>
  </si>
  <si>
    <r>
      <t>Capital expenditures</t>
    </r>
    <r>
      <rPr>
        <vertAlign val="superscript"/>
        <sz val="11"/>
        <color theme="1"/>
        <rFont val="Calibri"/>
        <family val="2"/>
        <scheme val="minor"/>
      </rPr>
      <t>1</t>
    </r>
  </si>
  <si>
    <r>
      <t>Net working capital</t>
    </r>
    <r>
      <rPr>
        <vertAlign val="superscript"/>
        <sz val="11"/>
        <color theme="1"/>
        <rFont val="Calibri"/>
        <family val="2"/>
        <scheme val="minor"/>
      </rPr>
      <t>2</t>
    </r>
  </si>
  <si>
    <t>Increase in net working capital (decrease)</t>
  </si>
  <si>
    <t>Data source: SEC filings by Precision Castparts.</t>
  </si>
  <si>
    <t>Note: Dollar values are in millions except for share prices and dividends per share, which are in dollar units. Shares outstanding (O/S) are stated in millions.</t>
  </si>
  <si>
    <t>Alcoa, Inc., engages in lightweight metals engineering and manufacturing. Its products are used worldwide in aircraft, automobiles, commercial transportation, packaging, oil and gas, defense, and industrial applications.</t>
  </si>
  <si>
    <t xml:space="preserve">Allegheny Technologies, Inc., engages in the manufacture of specialty materials and components for different industries, which include aerospace and defense, oil and gas, and chemical processing, as well as electrical energy. </t>
  </si>
  <si>
    <t xml:space="preserve">Carpenter Technology Corp. engages in developing, manufacturing, and distributing cast/wrought and powder-metal stainless steels. It operates through Specialty Alloys Operations and Performance Engineered Products segments. </t>
  </si>
  <si>
    <t>Data sources: Company reports; Factset.</t>
  </si>
  <si>
    <t>CY ’14</t>
  </si>
  <si>
    <t xml:space="preserve">The calculation of the implied values for PCP based on the median of the peer firms’ multiples takes the product of the median value of the multiples of comparable firms (line 8) and multiplies it times the relevant base (revenue, EBITDA, EBIT, net income, or book value) for PCP. The same method is used for the calculation of the implied value based on the average or mean of the peer firms’ multiples (line 9). For instance, the implied value based on the median multiple of EBIT ($37,755 million) is derived by multiplying 14.51 (the mean EBIT multiple for the comparable firms) times $2,602 million (the EBIT of PCP). </t>
  </si>
  <si>
    <t>Nov. 3, 2017</t>
  </si>
  <si>
    <t>PCP Financial Projections</t>
  </si>
  <si>
    <t>Historical</t>
  </si>
  <si>
    <t>Projected</t>
  </si>
  <si>
    <t>Revenue growth %</t>
  </si>
  <si>
    <t>Cost of good sold</t>
  </si>
  <si>
    <t>COGS % of Revenue</t>
  </si>
  <si>
    <t>OpEx % of Revenue</t>
  </si>
  <si>
    <t>Income from operations (EBIT)</t>
  </si>
  <si>
    <t>EBIT margin %</t>
  </si>
  <si>
    <t>Interest expense</t>
  </si>
  <si>
    <t>Interest income</t>
  </si>
  <si>
    <t>Effective income tax rate %</t>
  </si>
  <si>
    <t>Net income</t>
  </si>
  <si>
    <r>
      <rPr>
        <b/>
        <u/>
        <sz val="11"/>
        <color theme="1"/>
        <rFont val="Calibri"/>
        <family val="2"/>
        <scheme val="minor"/>
      </rPr>
      <t>Note</t>
    </r>
    <r>
      <rPr>
        <b/>
        <sz val="11"/>
        <color theme="1"/>
        <rFont val="Calibri"/>
        <family val="2"/>
        <scheme val="minor"/>
      </rPr>
      <t>: EBITDA</t>
    </r>
  </si>
  <si>
    <t>EBITDA margin %</t>
  </si>
  <si>
    <t>Cash and cash equivalents</t>
  </si>
  <si>
    <t>Accounts receivable</t>
  </si>
  <si>
    <t>Inventories</t>
  </si>
  <si>
    <t>Other current assets</t>
  </si>
  <si>
    <t>Goodwill</t>
  </si>
  <si>
    <t>Intangible assets</t>
  </si>
  <si>
    <t>Short-term borrowings</t>
  </si>
  <si>
    <t>Accounts payable</t>
  </si>
  <si>
    <t>Other current liabilities</t>
  </si>
  <si>
    <t>Shareholders' equity</t>
  </si>
  <si>
    <t>Control</t>
  </si>
  <si>
    <t>Cash Flow</t>
  </si>
  <si>
    <t>Stock-based compensation</t>
  </si>
  <si>
    <t>Capital expenditures</t>
  </si>
  <si>
    <t>Acquisitions</t>
  </si>
  <si>
    <t>Change in working capital</t>
  </si>
  <si>
    <t>Change in other assets/liabilities &amp; other adjustments</t>
  </si>
  <si>
    <t>Cash flow from operations</t>
  </si>
  <si>
    <t>F/X losses on cash balances</t>
  </si>
  <si>
    <t>Change in short-term borrowings</t>
  </si>
  <si>
    <t>Increase in long-term debt</t>
  </si>
  <si>
    <t>Repayments of long-term debt</t>
  </si>
  <si>
    <t>Issuance of common stock</t>
  </si>
  <si>
    <t>Repurchase of common stock</t>
  </si>
  <si>
    <t>Dividend payments</t>
  </si>
  <si>
    <t>Other financings</t>
  </si>
  <si>
    <t>Cash flow from financings</t>
  </si>
  <si>
    <t>Change in cash</t>
  </si>
  <si>
    <t>Beginning cash balance</t>
  </si>
  <si>
    <t>Ending cash balance</t>
  </si>
  <si>
    <t>Supporting Calculations</t>
  </si>
  <si>
    <t>Working Capital</t>
  </si>
  <si>
    <t>Net working capital</t>
  </si>
  <si>
    <t>Change in accounts receivable</t>
  </si>
  <si>
    <t>Change in inventories</t>
  </si>
  <si>
    <t>Change in accounts payable</t>
  </si>
  <si>
    <t>DSO</t>
  </si>
  <si>
    <t>DIO</t>
  </si>
  <si>
    <t>DPO</t>
  </si>
  <si>
    <t>Cash conversion cycle</t>
  </si>
  <si>
    <t>PP&amp;E and Capex</t>
  </si>
  <si>
    <t>Gross PP&amp;E</t>
  </si>
  <si>
    <t>Accumulated Depreciation</t>
  </si>
  <si>
    <t>Net PP&amp;E</t>
  </si>
  <si>
    <t>Depreciation expense of existing PP&amp;E</t>
  </si>
  <si>
    <t>Depreciation period (Years)</t>
  </si>
  <si>
    <t>Capex</t>
  </si>
  <si>
    <t>% of Revenues</t>
  </si>
  <si>
    <t>Dep. Life (Yrs)</t>
  </si>
  <si>
    <t>Capex 2016</t>
  </si>
  <si>
    <t>Capex 2017</t>
  </si>
  <si>
    <t>Capex 2018</t>
  </si>
  <si>
    <t>Capex 2019</t>
  </si>
  <si>
    <t>Capex 2020</t>
  </si>
  <si>
    <t>Capex 2021</t>
  </si>
  <si>
    <t>Capex 2022</t>
  </si>
  <si>
    <t>Capex 2023</t>
  </si>
  <si>
    <t>Capex 2024</t>
  </si>
  <si>
    <t>Capex 2025</t>
  </si>
  <si>
    <t>Depreciation of Capex</t>
  </si>
  <si>
    <t>Total Depreciation of PP&amp;E</t>
  </si>
  <si>
    <t>Intangibles</t>
  </si>
  <si>
    <t>Gross Intangibles</t>
  </si>
  <si>
    <t>Accumulated Amortization</t>
  </si>
  <si>
    <t>Net Intangibles</t>
  </si>
  <si>
    <t>Amortization expense of existing Intangibles</t>
  </si>
  <si>
    <t>Investments in Intangibles</t>
  </si>
  <si>
    <t>Amortization of Investments in Intangibles</t>
  </si>
  <si>
    <t>Total Amortization of Intangibles</t>
  </si>
  <si>
    <t>Total Depreciation and Amortization</t>
  </si>
  <si>
    <t>Share-based compensation</t>
  </si>
  <si>
    <t>% of Operating Costs</t>
  </si>
  <si>
    <t>Financial Debt</t>
  </si>
  <si>
    <t>Beginning Financial Debt</t>
  </si>
  <si>
    <t>Ending Financial Debt</t>
  </si>
  <si>
    <t>Change in Financial Debt</t>
  </si>
  <si>
    <t>Interest Expense</t>
  </si>
  <si>
    <t>Average Interest Rate %</t>
  </si>
  <si>
    <t>Interest Income</t>
  </si>
  <si>
    <t>Cash Balances</t>
  </si>
  <si>
    <t>Operational Ratios</t>
  </si>
  <si>
    <t>Revenue growth</t>
  </si>
  <si>
    <t>EBIT margin</t>
  </si>
  <si>
    <t>EBITDA margin</t>
  </si>
  <si>
    <t>Net margin</t>
  </si>
  <si>
    <t>Capex % of revenues</t>
  </si>
  <si>
    <t>FCF margin</t>
  </si>
  <si>
    <t>ROA</t>
  </si>
  <si>
    <t>ROE</t>
  </si>
  <si>
    <t>Avg. Interest Rate</t>
  </si>
  <si>
    <t>Leverage</t>
  </si>
  <si>
    <t>Debt to equity</t>
  </si>
  <si>
    <t>Debt to capitalization</t>
  </si>
  <si>
    <t>EBIT / Interest</t>
  </si>
  <si>
    <t>EBITDA / Interest</t>
  </si>
  <si>
    <t>Cash Flow / Interest</t>
  </si>
  <si>
    <t>Debt / EBITDA</t>
  </si>
  <si>
    <t>Hypotethical Debt Scenarios</t>
  </si>
  <si>
    <t>Act 2015A</t>
  </si>
  <si>
    <t>Higher Debt Scenarios</t>
  </si>
  <si>
    <t>Total capitalization</t>
  </si>
  <si>
    <t>Total debt</t>
  </si>
  <si>
    <t>Interest rate</t>
  </si>
  <si>
    <t>Interest Expense (Kd = 2%)</t>
  </si>
  <si>
    <t>Cash Flow 2015A</t>
  </si>
  <si>
    <t>EBITDA 2015A</t>
  </si>
  <si>
    <t>Dato 
Adicional</t>
  </si>
  <si>
    <t>Beta</t>
  </si>
  <si>
    <t xml:space="preserve">Financial performance </t>
  </si>
  <si>
    <t xml:space="preserve">ROA. </t>
  </si>
  <si>
    <t>NET Income</t>
  </si>
  <si>
    <t>FCFF</t>
  </si>
  <si>
    <t>FCFE</t>
  </si>
  <si>
    <t>Risk-free</t>
  </si>
  <si>
    <t>Beta PCP</t>
  </si>
  <si>
    <t>Peso capital</t>
  </si>
  <si>
    <t>Peso Deuda</t>
  </si>
  <si>
    <t>Market Rate</t>
  </si>
  <si>
    <t>WAAC</t>
  </si>
  <si>
    <t>Ke</t>
  </si>
  <si>
    <t>Kd</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</si>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</sst>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_(* \(#,##0.00\);_(* &quot;-&quot;??_);_(@_)"/>
    <numFmt numFmtId="164" formatCode="&quot;$&quot;#,##0_);\(&quot;$&quot;#,##0\)"/>
    <numFmt numFmtId="165" formatCode="&quot;$&quot;#,##0_);[Red]\(&quot;$&quot;#,##0\)"/>
    <numFmt numFmtId="166" formatCode="&quot;$&quot;#,##0.00_);\(&quot;$&quot;#,##0.00\)"/>
    <numFmt numFmtId="167" formatCode="_(&quot;$&quot;* #,##0.00_);_(&quot;$&quot;* \(#,##0.00\);_(&quot;$&quot;* &quot;-&quot;??_);_(@_)"/>
    <numFmt numFmtId="168" formatCode="mm/dd/yy"/>
    <numFmt numFmtId="169" formatCode="&quot;$&quot;#,##0_);\(&quot;$&quot;#,##0\);&quot;$&quot;#,##0_);@_)"/>
    <numFmt numFmtId="170" formatCode="0.0%_);\(0.0%\);0.0%_);@_)"/>
    <numFmt numFmtId="171" formatCode="_(&quot;$&quot;* #,##0_);_(&quot;$&quot;* \(#,##0\);_(&quot;$&quot;* &quot;-&quot;??_);_(@_)"/>
    <numFmt numFmtId="172" formatCode="#,##0;[Red]\-#,##0"/>
    <numFmt numFmtId="173" formatCode="_(* &quot;$&quot;#,##0_);_(* \(#,##0\);_(* &quot;-&quot;?_);_(@_)"/>
    <numFmt numFmtId="174" formatCode="_(* #,##0_);_(* \(#,##0\);_(* &quot;-&quot;?_);_(@_)"/>
    <numFmt numFmtId="175" formatCode="&quot;$&quot;#,##0.00_);\(&quot;$&quot;#,##0.00\);&quot;$&quot;#,##0.00_);@_)"/>
    <numFmt numFmtId="176" formatCode="0.0\x"/>
    <numFmt numFmtId="177" formatCode="_(* #,##0.0_);_(* \(#,##0.0\);_(* &quot;-&quot;?_);_(@_)"/>
    <numFmt numFmtId="178" formatCode="0.0%"/>
    <numFmt numFmtId="179" formatCode="0.00\x"/>
    <numFmt numFmtId="180" formatCode="_(* #,##0_);_(* \(#,##0\);_(* &quot;-&quot;??_);_(@_)"/>
    <numFmt numFmtId="181" formatCode="&quot;$&quot;#,##0\ ;&quot;$&quot;\(#,##0\)"/>
    <numFmt numFmtId="182" formatCode="_(* #,##0.0_);_(* \(#,##0.0\);_(* &quot;-&quot;??_);_(@_)"/>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color indexed="9"/>
      <name val="Trebuchet MS"/>
      <family val="2"/>
    </font>
    <font>
      <b/>
      <sz val="8"/>
      <color indexed="63"/>
      <name val="Trebuchet MS"/>
      <family val="2"/>
    </font>
    <font>
      <sz val="10"/>
      <name val="Arial"/>
      <family val="2"/>
    </font>
    <font>
      <sz val="8"/>
      <color indexed="8"/>
      <name val="Trebuchet MS"/>
      <family val="2"/>
    </font>
    <font>
      <sz val="10"/>
      <color indexed="8"/>
      <name val="Arial"/>
      <family val="2"/>
    </font>
    <font>
      <b/>
      <sz val="8"/>
      <color indexed="62"/>
      <name val="Trebuchet MS"/>
      <family val="2"/>
    </font>
    <font>
      <b/>
      <sz val="10"/>
      <color rgb="FF0066CC"/>
      <name val="Arial"/>
      <family val="2"/>
    </font>
    <font>
      <b/>
      <sz val="10"/>
      <color indexed="62"/>
      <name val="Arial"/>
      <family val="2"/>
    </font>
    <font>
      <sz val="10"/>
      <color theme="1"/>
      <name val="Arial"/>
      <family val="2"/>
    </font>
    <font>
      <b/>
      <sz val="11"/>
      <color indexed="62"/>
      <name val="Trebuchet MS"/>
      <family val="2"/>
    </font>
    <font>
      <sz val="11"/>
      <color indexed="51"/>
      <name val="Trebuchet MS"/>
      <family val="2"/>
    </font>
    <font>
      <sz val="11"/>
      <color indexed="63"/>
      <name val="Trebuchet MS"/>
      <family val="2"/>
    </font>
    <font>
      <sz val="10"/>
      <name val="Arial"/>
      <family val="2"/>
    </font>
    <font>
      <b/>
      <sz val="11"/>
      <color theme="1"/>
      <name val="Calibri"/>
      <family val="2"/>
      <scheme val="minor"/>
    </font>
    <font>
      <b/>
      <sz val="14"/>
      <name val="Arial"/>
      <family val="2"/>
    </font>
    <font>
      <b/>
      <sz val="11"/>
      <name val="Garamond"/>
      <family val="1"/>
    </font>
    <font>
      <sz val="11"/>
      <name val="Garamond"/>
      <family val="1"/>
    </font>
    <font>
      <i/>
      <sz val="11"/>
      <name val="Garamond"/>
      <family val="1"/>
    </font>
    <font>
      <b/>
      <sz val="10"/>
      <name val="Arial"/>
      <family val="2"/>
    </font>
    <font>
      <sz val="10"/>
      <color theme="1"/>
      <name val="Calibri"/>
      <family val="2"/>
      <scheme val="minor"/>
    </font>
    <font>
      <u val="doubleAccounting"/>
      <sz val="11"/>
      <color theme="1"/>
      <name val="Calibri"/>
      <family val="2"/>
      <scheme val="minor"/>
    </font>
    <font>
      <u/>
      <sz val="11"/>
      <color theme="1"/>
      <name val="Calibri"/>
      <family val="2"/>
      <scheme val="minor"/>
    </font>
    <font>
      <vertAlign val="superscript"/>
      <sz val="11"/>
      <color theme="1"/>
      <name val="Calibri"/>
      <family val="2"/>
      <scheme val="minor"/>
    </font>
    <font>
      <b/>
      <u/>
      <sz val="11"/>
      <color theme="1"/>
      <name val="Calibri"/>
      <family val="2"/>
      <scheme val="minor"/>
    </font>
    <font>
      <sz val="9"/>
      <color theme="1"/>
      <name val="Calibri"/>
      <family val="2"/>
      <scheme val="minor"/>
    </font>
    <font>
      <b/>
      <sz val="9"/>
      <color indexed="81"/>
      <name val="Tahoma"/>
      <family val="2"/>
    </font>
    <font>
      <b/>
      <sz val="9"/>
      <color indexed="8"/>
      <name val="Trebuchet MS"/>
      <family val="2"/>
    </font>
    <font>
      <b/>
      <sz val="9"/>
      <color indexed="8"/>
      <name val="Trebuchet MS"/>
      <family val="2"/>
    </font>
    <font>
      <i/>
      <sz val="11"/>
      <color theme="1"/>
      <name val="Calibri"/>
      <family val="2"/>
      <scheme val="minor"/>
    </font>
    <font>
      <b/>
      <i/>
      <sz val="11"/>
      <color indexed="8"/>
      <name val="Calibri"/>
      <family val="2"/>
      <scheme val="minor"/>
    </font>
    <font>
      <b/>
      <sz val="11"/>
      <color indexed="8"/>
      <name val="Trebuchet MS"/>
      <family val="2"/>
    </font>
    <font>
      <b/>
      <sz val="11"/>
      <color indexed="8"/>
      <name val="Calibri"/>
      <family val="2"/>
      <scheme val="minor"/>
    </font>
    <font>
      <sz val="11"/>
      <color indexed="8"/>
      <name val="Calibri"/>
      <family val="2"/>
      <scheme val="minor"/>
    </font>
    <font>
      <b/>
      <sz val="10"/>
      <color indexed="8"/>
      <name val="Arial"/>
      <family val="2"/>
    </font>
    <font>
      <b/>
      <sz val="14"/>
      <color theme="1"/>
      <name val="Calibri"/>
      <family val="2"/>
      <scheme val="minor"/>
    </font>
    <font>
      <b/>
      <sz val="13"/>
      <color theme="1"/>
      <name val="Calibri"/>
      <family val="2"/>
      <scheme val="minor"/>
    </font>
    <font>
      <b/>
      <sz val="12"/>
      <name val="Arial"/>
      <family val="2"/>
    </font>
    <font>
      <i/>
      <sz val="10"/>
      <color indexed="8"/>
      <name val="Garamond"/>
      <family val="1"/>
    </font>
    <font>
      <sz val="10"/>
      <color indexed="8"/>
      <name val="Garamond"/>
      <family val="1"/>
    </font>
    <font>
      <sz val="10"/>
      <color theme="1"/>
      <name val="Garamond"/>
      <family val="1"/>
    </font>
    <font>
      <sz val="8"/>
      <color theme="1"/>
      <name val="Garamond"/>
      <family val="1"/>
    </font>
    <font>
      <sz val="12"/>
      <name val="Verdana"/>
      <family val="2"/>
    </font>
    <font>
      <sz val="8"/>
      <name val="Garamond"/>
      <family val="1"/>
    </font>
    <font>
      <b/>
      <u/>
      <sz val="10"/>
      <name val="Arial"/>
      <family val="2"/>
    </font>
    <font>
      <sz val="11"/>
      <name val="Calibri"/>
      <family val="2"/>
      <scheme val="minor"/>
    </font>
    <font>
      <sz val="14"/>
      <color theme="1"/>
      <name val="Calibri"/>
      <family val="2"/>
      <scheme val="minor"/>
    </font>
    <font>
      <b/>
      <u/>
      <sz val="12"/>
      <color theme="1"/>
      <name val="Calibri"/>
      <family val="2"/>
      <scheme val="minor"/>
    </font>
    <font>
      <b/>
      <sz val="12"/>
      <name val="Calibri"/>
      <family val="2"/>
    </font>
    <font>
      <i/>
      <sz val="12"/>
      <name val="Calibri"/>
      <family val="2"/>
    </font>
    <font>
      <i/>
      <sz val="12"/>
      <color rgb="FF0070C0"/>
      <name val="Calibri"/>
      <family val="2"/>
    </font>
    <font>
      <sz val="12"/>
      <name val="Calibri"/>
      <family val="2"/>
    </font>
    <font>
      <b/>
      <i/>
      <sz val="11"/>
      <color theme="1"/>
      <name val="Calibri"/>
      <family val="2"/>
      <scheme val="minor"/>
    </font>
    <font>
      <b/>
      <i/>
      <sz val="12"/>
      <name val="Calibri"/>
      <family val="2"/>
    </font>
    <font>
      <sz val="12"/>
      <color rgb="FF0070C0"/>
      <name val="Calibri"/>
      <family val="2"/>
    </font>
    <font>
      <sz val="12"/>
      <color theme="1"/>
      <name val="Calibri"/>
      <family val="2"/>
      <scheme val="minor"/>
    </font>
    <font>
      <i/>
      <sz val="9"/>
      <color theme="1"/>
      <name val="Calibri"/>
      <family val="2"/>
      <scheme val="minor"/>
    </font>
    <font>
      <sz val="9"/>
      <name val="Calibri"/>
      <family val="2"/>
    </font>
    <font>
      <sz val="12"/>
      <color rgb="FF0070C0"/>
      <name val="Calibri"/>
      <family val="2"/>
      <scheme val="minor"/>
    </font>
    <font>
      <sz val="11"/>
      <color rgb="FF0070C0"/>
      <name val="Calibri"/>
      <family val="2"/>
      <scheme val="minor"/>
    </font>
    <font>
      <b/>
      <sz val="11"/>
      <color rgb="FF0070C0"/>
      <name val="Calibri"/>
      <family val="2"/>
      <scheme val="minor"/>
    </font>
    <font>
      <b/>
      <i/>
      <sz val="11"/>
      <color rgb="FF0070C0"/>
      <name val="Calibri"/>
      <family val="2"/>
      <scheme val="minor"/>
    </font>
    <font>
      <sz val="10"/>
      <name val="Calibri"/>
      <family val="2"/>
      <scheme val="minor"/>
    </font>
    <font>
      <i/>
      <sz val="10"/>
      <color theme="1"/>
      <name val="Calibri"/>
      <family val="2"/>
      <scheme val="minor"/>
    </font>
    <font>
      <i/>
      <sz val="11"/>
      <color rgb="FF0070C0"/>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0"/>
        <bgColor indexed="64"/>
      </patternFill>
    </fill>
    <fill>
      <patternFill patternType="solid">
        <fgColor indexed="55"/>
      </patternFill>
    </fill>
    <fill>
      <patternFill patternType="solid">
        <fgColor indexed="63"/>
      </patternFill>
    </fill>
    <fill>
      <patternFill patternType="solid">
        <fgColor indexed="9"/>
      </patternFill>
    </fill>
    <fill>
      <gradientFill degree="90">
        <stop position="0">
          <color theme="0" tint="-5.0965910824915313E-2"/>
        </stop>
        <stop position="1">
          <color theme="0" tint="-0.1490218817712943"/>
        </stop>
      </gradientFill>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7903B"/>
        <bgColor indexed="64"/>
      </patternFill>
    </fill>
    <fill>
      <patternFill patternType="solid">
        <fgColor theme="2"/>
        <bgColor indexed="64"/>
      </patternFill>
    </fill>
    <fill>
      <patternFill patternType="solid">
        <fgColor theme="7" tint="0.79998168889431442"/>
        <bgColor indexed="64"/>
      </patternFill>
    </fill>
    <fill>
      <patternFill patternType="solid">
        <fgColor theme="6" tint="0.59999389629810485"/>
        <bgColor indexed="64"/>
      </patternFill>
    </fill>
  </fills>
  <borders count="45">
    <border>
      <left/>
      <right/>
      <top/>
      <bottom/>
      <diagonal/>
    </border>
    <border>
      <left style="hair">
        <color indexed="22"/>
      </left>
      <right style="hair">
        <color indexed="22"/>
      </right>
      <top style="hair">
        <color indexed="22"/>
      </top>
      <bottom style="hair">
        <color indexed="22"/>
      </bottom>
      <diagonal/>
    </border>
    <border>
      <left style="thin">
        <color rgb="FFE1E1E1"/>
      </left>
      <right style="thin">
        <color rgb="FFE1E1E1"/>
      </right>
      <top style="thin">
        <color rgb="FFE1E1E1"/>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style="thin">
        <color rgb="FF000000"/>
      </top>
      <bottom/>
      <diagonal/>
    </border>
    <border>
      <left style="thin">
        <color auto="1"/>
      </left>
      <right/>
      <top style="thin">
        <color auto="1"/>
      </top>
      <bottom/>
      <diagonal/>
    </border>
    <border>
      <left style="hair">
        <color auto="1"/>
      </left>
      <right/>
      <top style="thin">
        <color auto="1"/>
      </top>
      <bottom/>
      <diagonal/>
    </border>
    <border>
      <left/>
      <right/>
      <top style="thin">
        <color auto="1"/>
      </top>
      <bottom/>
      <diagonal/>
    </border>
    <border>
      <left/>
      <right style="hair">
        <color auto="1"/>
      </right>
      <top style="thin">
        <color auto="1"/>
      </top>
      <bottom/>
      <diagonal/>
    </border>
    <border>
      <left/>
      <right/>
      <top style="thin">
        <color auto="1"/>
      </top>
      <bottom style="thin">
        <color auto="1"/>
      </bottom>
      <diagonal/>
    </border>
    <border>
      <left/>
      <right style="hair">
        <color auto="1"/>
      </right>
      <top style="thin">
        <color auto="1"/>
      </top>
      <bottom style="thin">
        <color indexed="64"/>
      </bottom>
      <diagonal/>
    </border>
    <border>
      <left/>
      <right style="thin">
        <color auto="1"/>
      </right>
      <top style="thin">
        <color auto="1"/>
      </top>
      <bottom/>
      <diagonal/>
    </border>
    <border>
      <left style="thin">
        <color auto="1"/>
      </left>
      <right/>
      <top/>
      <bottom style="thin">
        <color indexed="64"/>
      </bottom>
      <diagonal/>
    </border>
    <border>
      <left style="hair">
        <color auto="1"/>
      </left>
      <right/>
      <top/>
      <bottom style="thin">
        <color indexed="64"/>
      </bottom>
      <diagonal/>
    </border>
    <border>
      <left/>
      <right style="hair">
        <color auto="1"/>
      </right>
      <top/>
      <bottom style="thin">
        <color indexed="64"/>
      </bottom>
      <diagonal/>
    </border>
    <border>
      <left/>
      <right style="thin">
        <color auto="1"/>
      </right>
      <top/>
      <bottom style="thin">
        <color indexed="64"/>
      </bottom>
      <diagonal/>
    </border>
    <border>
      <left style="thin">
        <color auto="1"/>
      </left>
      <right/>
      <top/>
      <bottom/>
      <diagonal/>
    </border>
    <border>
      <left style="hair">
        <color auto="1"/>
      </left>
      <right/>
      <top/>
      <bottom/>
      <diagonal/>
    </border>
    <border>
      <left/>
      <right style="hair">
        <color auto="1"/>
      </right>
      <top/>
      <bottom/>
      <diagonal/>
    </border>
    <border>
      <left/>
      <right style="thin">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style="thin">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style="thin">
        <color auto="1"/>
      </right>
      <top/>
      <bottom style="hair">
        <color auto="1"/>
      </bottom>
      <diagonal/>
    </border>
    <border>
      <left style="thin">
        <color auto="1"/>
      </left>
      <right style="hair">
        <color auto="1"/>
      </right>
      <top style="thin">
        <color auto="1"/>
      </top>
      <bottom/>
      <diagonal/>
    </border>
    <border>
      <left/>
      <right style="thin">
        <color auto="1"/>
      </right>
      <top style="thin">
        <color auto="1"/>
      </top>
      <bottom style="thin">
        <color auto="1"/>
      </bottom>
      <diagonal/>
    </border>
    <border>
      <left style="thin">
        <color auto="1"/>
      </left>
      <right style="hair">
        <color auto="1"/>
      </right>
      <top/>
      <bottom style="thin">
        <color indexed="64"/>
      </bottom>
      <diagonal/>
    </border>
    <border>
      <left style="thin">
        <color auto="1"/>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right/>
      <top/>
      <bottom style="medium">
        <color indexed="64"/>
      </bottom>
      <diagonal/>
    </border>
    <border>
      <left/>
      <right/>
      <top/>
      <bottom style="double">
        <color indexed="64"/>
      </bottom>
      <diagonal/>
    </border>
    <border>
      <left/>
      <right/>
      <top style="double">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hair">
        <color auto="1"/>
      </top>
      <bottom/>
      <diagonal/>
    </border>
  </borders>
  <cellStyleXfs count="24">
    <xf numFmtId="0" fontId="0" fillId="0" borderId="0"/>
    <xf numFmtId="14" fontId="8" fillId="3" borderId="0" applyNumberFormat="0" applyBorder="0" applyProtection="0">
      <alignment horizontal="right" vertical="center" wrapText="1"/>
    </xf>
    <xf numFmtId="0" fontId="9" fillId="4" borderId="0" applyNumberFormat="0" applyBorder="0" applyProtection="0">
      <alignment horizontal="left" vertical="center"/>
    </xf>
    <xf numFmtId="0" fontId="11" fillId="5" borderId="1" applyNumberFormat="0" applyBorder="0" applyProtection="0">
      <alignment horizontal="right" vertical="center"/>
    </xf>
    <xf numFmtId="0" fontId="13" fillId="0" borderId="1" applyNumberFormat="0" applyBorder="0" applyProtection="0">
      <alignment vertical="center"/>
    </xf>
    <xf numFmtId="0" fontId="10" fillId="0" borderId="0"/>
    <xf numFmtId="0" fontId="18" fillId="4" borderId="0" applyNumberFormat="0" applyBorder="0" applyProtection="0">
      <alignment horizontal="left"/>
    </xf>
    <xf numFmtId="0" fontId="11" fillId="5" borderId="1" applyNumberFormat="0" applyBorder="0" applyProtection="0">
      <alignment horizontal="left" vertical="center"/>
    </xf>
    <xf numFmtId="0" fontId="7" fillId="0" borderId="0"/>
    <xf numFmtId="167" fontId="7" fillId="0" borderId="0" applyFont="0" applyFill="0" applyBorder="0" applyAlignment="0" applyProtection="0"/>
    <xf numFmtId="43" fontId="20" fillId="0" borderId="0" applyFont="0" applyFill="0" applyBorder="0" applyAlignment="0" applyProtection="0"/>
    <xf numFmtId="167" fontId="20" fillId="0" borderId="0" applyFont="0" applyFill="0" applyBorder="0" applyAlignment="0" applyProtection="0"/>
    <xf numFmtId="0" fontId="4" fillId="0" borderId="0"/>
    <xf numFmtId="0" fontId="10" fillId="0" borderId="0"/>
    <xf numFmtId="0" fontId="16" fillId="0" borderId="0"/>
    <xf numFmtId="0" fontId="3" fillId="0" borderId="0"/>
    <xf numFmtId="0" fontId="3" fillId="0" borderId="0"/>
    <xf numFmtId="9" fontId="3" fillId="0" borderId="0" applyFont="0" applyFill="0" applyBorder="0" applyAlignment="0" applyProtection="0"/>
    <xf numFmtId="43" fontId="3" fillId="0" borderId="0" applyFont="0" applyFill="0" applyBorder="0" applyAlignment="0" applyProtection="0"/>
    <xf numFmtId="9" fontId="10"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cellStyleXfs>
  <cellXfs count="328">
    <xf numFmtId="0" fontId="0" fillId="0" borderId="0" xfId="0"/>
    <xf numFmtId="0" fontId="12" fillId="2" borderId="0" xfId="3" applyFont="1" applyFill="1" applyBorder="1">
      <alignment horizontal="right" vertical="center"/>
    </xf>
    <xf numFmtId="2" fontId="12" fillId="2" borderId="0" xfId="3" applyNumberFormat="1" applyFont="1" applyFill="1" applyBorder="1">
      <alignment horizontal="right" vertical="center"/>
    </xf>
    <xf numFmtId="49" fontId="14" fillId="2" borderId="0" xfId="4" applyNumberFormat="1" applyFont="1" applyFill="1" applyBorder="1">
      <alignment vertical="center"/>
    </xf>
    <xf numFmtId="49" fontId="10" fillId="2" borderId="0" xfId="5" applyNumberFormat="1" applyFont="1" applyFill="1" applyBorder="1"/>
    <xf numFmtId="0" fontId="10" fillId="2" borderId="0" xfId="5" applyFont="1" applyFill="1" applyBorder="1"/>
    <xf numFmtId="4" fontId="12" fillId="2" borderId="0" xfId="3" applyNumberFormat="1" applyFont="1" applyFill="1" applyBorder="1">
      <alignment horizontal="right" vertical="center"/>
    </xf>
    <xf numFmtId="168" fontId="15" fillId="2" borderId="0" xfId="3" applyNumberFormat="1" applyFont="1" applyFill="1" applyBorder="1" applyAlignment="1">
      <alignment horizontal="right" vertical="center"/>
    </xf>
    <xf numFmtId="49" fontId="15" fillId="2" borderId="0" xfId="4" applyNumberFormat="1" applyFont="1" applyFill="1" applyBorder="1" applyAlignment="1">
      <alignment horizontal="right" vertical="center"/>
    </xf>
    <xf numFmtId="49" fontId="15" fillId="2" borderId="0" xfId="4" quotePrefix="1" applyNumberFormat="1" applyFont="1" applyFill="1" applyBorder="1" applyAlignment="1">
      <alignment horizontal="right" vertical="center"/>
    </xf>
    <xf numFmtId="0" fontId="16" fillId="6" borderId="2" xfId="5" applyFont="1" applyFill="1" applyBorder="1" applyAlignment="1">
      <alignment horizontal="center" vertical="center" wrapText="1"/>
    </xf>
    <xf numFmtId="0" fontId="17" fillId="7" borderId="0" xfId="5" applyFont="1" applyFill="1" applyBorder="1"/>
    <xf numFmtId="2" fontId="11" fillId="5" borderId="1" xfId="3" applyNumberFormat="1" applyFont="1" applyBorder="1">
      <alignment horizontal="right" vertical="center"/>
    </xf>
    <xf numFmtId="49" fontId="17" fillId="7" borderId="0" xfId="5" applyNumberFormat="1" applyFont="1" applyFill="1" applyBorder="1"/>
    <xf numFmtId="0" fontId="19" fillId="4" borderId="0" xfId="6" applyFont="1">
      <alignment horizontal="left"/>
    </xf>
    <xf numFmtId="1" fontId="19" fillId="4" borderId="0" xfId="6" applyNumberFormat="1" applyFont="1">
      <alignment horizontal="left"/>
    </xf>
    <xf numFmtId="2" fontId="19" fillId="4" borderId="0" xfId="6" applyNumberFormat="1" applyFont="1">
      <alignment horizontal="left"/>
    </xf>
    <xf numFmtId="49" fontId="19" fillId="4" borderId="0" xfId="6" applyNumberFormat="1" applyFont="1">
      <alignment horizontal="left"/>
    </xf>
    <xf numFmtId="0" fontId="11" fillId="5" borderId="1" xfId="7" applyFont="1" applyBorder="1">
      <alignment horizontal="left" vertical="center"/>
    </xf>
    <xf numFmtId="49" fontId="11" fillId="5" borderId="1" xfId="7" applyNumberFormat="1" applyFont="1" applyBorder="1">
      <alignment horizontal="left" vertical="center"/>
    </xf>
    <xf numFmtId="49" fontId="11" fillId="5" borderId="1" xfId="3" applyNumberFormat="1" applyFont="1" applyBorder="1">
      <alignment horizontal="right" vertical="center"/>
    </xf>
    <xf numFmtId="1" fontId="19" fillId="4" borderId="0" xfId="6" applyNumberFormat="1" applyFont="1" applyAlignment="1">
      <alignment horizontal="left" wrapText="1"/>
    </xf>
    <xf numFmtId="2" fontId="19" fillId="4" borderId="0" xfId="6" applyNumberFormat="1" applyFont="1" applyAlignment="1">
      <alignment horizontal="left" wrapText="1"/>
    </xf>
    <xf numFmtId="3" fontId="12" fillId="2" borderId="0" xfId="3" applyNumberFormat="1" applyFont="1" applyFill="1" applyBorder="1">
      <alignment horizontal="right" vertical="center"/>
    </xf>
    <xf numFmtId="169" fontId="12" fillId="2" borderId="0" xfId="3" applyNumberFormat="1" applyFont="1" applyFill="1" applyBorder="1">
      <alignment horizontal="right" vertical="center"/>
    </xf>
    <xf numFmtId="170" fontId="12" fillId="2" borderId="0" xfId="3" applyNumberFormat="1" applyFont="1" applyFill="1" applyBorder="1">
      <alignment horizontal="right" vertical="center"/>
    </xf>
    <xf numFmtId="0" fontId="7" fillId="0" borderId="0" xfId="8"/>
    <xf numFmtId="2" fontId="22" fillId="0" borderId="0" xfId="8" applyNumberFormat="1" applyFont="1" applyFill="1" applyBorder="1" applyAlignment="1" applyProtection="1"/>
    <xf numFmtId="2" fontId="10" fillId="0" borderId="0" xfId="8" applyNumberFormat="1" applyFont="1" applyFill="1" applyBorder="1" applyAlignment="1" applyProtection="1"/>
    <xf numFmtId="0" fontId="23" fillId="0" borderId="4" xfId="8" applyFont="1" applyBorder="1" applyAlignment="1">
      <alignment horizontal="left" wrapText="1"/>
    </xf>
    <xf numFmtId="0" fontId="24" fillId="0" borderId="4" xfId="8" applyFont="1" applyBorder="1"/>
    <xf numFmtId="0" fontId="25" fillId="0" borderId="4" xfId="8" applyFont="1" applyBorder="1"/>
    <xf numFmtId="171" fontId="24" fillId="0" borderId="4" xfId="9" applyNumberFormat="1" applyFont="1" applyBorder="1"/>
    <xf numFmtId="0" fontId="24" fillId="0" borderId="5" xfId="8" applyFont="1" applyBorder="1"/>
    <xf numFmtId="0" fontId="24" fillId="0" borderId="6" xfId="8" applyFont="1" applyBorder="1"/>
    <xf numFmtId="171" fontId="24" fillId="0" borderId="6" xfId="9" applyNumberFormat="1" applyFont="1" applyBorder="1"/>
    <xf numFmtId="2" fontId="26" fillId="0" borderId="0" xfId="8" applyNumberFormat="1" applyFont="1" applyFill="1" applyBorder="1" applyAlignment="1" applyProtection="1"/>
    <xf numFmtId="172" fontId="26" fillId="0" borderId="0" xfId="8" applyNumberFormat="1" applyFont="1" applyFill="1" applyBorder="1" applyAlignment="1" applyProtection="1">
      <alignment horizontal="right"/>
    </xf>
    <xf numFmtId="172" fontId="10" fillId="0" borderId="0" xfId="8" applyNumberFormat="1" applyFont="1" applyFill="1" applyBorder="1" applyAlignment="1" applyProtection="1"/>
    <xf numFmtId="172" fontId="10" fillId="0" borderId="0" xfId="8" applyNumberFormat="1" applyFont="1" applyFill="1" applyBorder="1" applyAlignment="1" applyProtection="1">
      <alignment horizontal="right"/>
    </xf>
    <xf numFmtId="172" fontId="26" fillId="0" borderId="7" xfId="8" applyNumberFormat="1" applyFont="1" applyFill="1" applyBorder="1" applyAlignment="1" applyProtection="1"/>
    <xf numFmtId="172" fontId="26" fillId="0" borderId="7" xfId="8" applyNumberFormat="1" applyFont="1" applyFill="1" applyBorder="1" applyAlignment="1" applyProtection="1">
      <alignment horizontal="right"/>
    </xf>
    <xf numFmtId="0" fontId="27" fillId="0" borderId="0" xfId="8" applyFont="1"/>
    <xf numFmtId="173" fontId="28" fillId="0" borderId="0" xfId="8" applyNumberFormat="1" applyFont="1" applyAlignment="1">
      <alignment wrapText="1"/>
    </xf>
    <xf numFmtId="0" fontId="7" fillId="0" borderId="0" xfId="8" applyAlignment="1">
      <alignment vertical="top" wrapText="1"/>
    </xf>
    <xf numFmtId="174" fontId="29" fillId="0" borderId="0" xfId="8" applyNumberFormat="1" applyFont="1" applyAlignment="1">
      <alignment wrapText="1"/>
    </xf>
    <xf numFmtId="174" fontId="7" fillId="0" borderId="0" xfId="8" applyNumberFormat="1" applyFont="1" applyAlignment="1">
      <alignment wrapText="1"/>
    </xf>
    <xf numFmtId="173" fontId="7" fillId="0" borderId="0" xfId="8" applyNumberFormat="1" applyFont="1" applyAlignment="1">
      <alignment wrapText="1"/>
    </xf>
    <xf numFmtId="0" fontId="7" fillId="0" borderId="0" xfId="8" applyAlignment="1">
      <alignment wrapText="1"/>
    </xf>
    <xf numFmtId="0" fontId="21" fillId="0" borderId="0" xfId="8" applyFont="1" applyAlignment="1">
      <alignment vertical="top" wrapText="1"/>
    </xf>
    <xf numFmtId="173" fontId="29" fillId="0" borderId="0" xfId="8" applyNumberFormat="1" applyFont="1" applyAlignment="1">
      <alignment wrapText="1"/>
    </xf>
    <xf numFmtId="3" fontId="7" fillId="0" borderId="0" xfId="8" applyNumberFormat="1" applyAlignment="1">
      <alignment wrapText="1"/>
    </xf>
    <xf numFmtId="0" fontId="31" fillId="0" borderId="0" xfId="8" applyFont="1" applyAlignment="1">
      <alignment vertical="center" wrapText="1"/>
    </xf>
    <xf numFmtId="0" fontId="32" fillId="0" borderId="0" xfId="8" applyFont="1" applyAlignment="1">
      <alignment horizontal="left" vertical="center" wrapText="1" indent="1"/>
    </xf>
    <xf numFmtId="0" fontId="21" fillId="0" borderId="0" xfId="8" applyFont="1" applyAlignment="1">
      <alignment vertical="center"/>
    </xf>
    <xf numFmtId="0" fontId="21" fillId="0" borderId="0" xfId="8" applyFont="1" applyAlignment="1">
      <alignment vertical="top"/>
    </xf>
    <xf numFmtId="0" fontId="7" fillId="0" borderId="0" xfId="8" applyAlignment="1">
      <alignment horizontal="left" vertical="top" wrapText="1"/>
    </xf>
    <xf numFmtId="0" fontId="31" fillId="0" borderId="0" xfId="8" applyFont="1" applyAlignment="1">
      <alignment horizontal="right" vertical="center" wrapText="1"/>
    </xf>
    <xf numFmtId="0" fontId="21" fillId="0" borderId="0" xfId="8" applyFont="1" applyAlignment="1">
      <alignment vertical="center" wrapText="1"/>
    </xf>
    <xf numFmtId="166" fontId="7" fillId="0" borderId="0" xfId="8" applyNumberFormat="1"/>
    <xf numFmtId="174" fontId="7" fillId="0" borderId="0" xfId="8" applyNumberFormat="1" applyFont="1"/>
    <xf numFmtId="0" fontId="21" fillId="0" borderId="0" xfId="8" applyFont="1" applyAlignment="1">
      <alignment horizontal="center" vertical="center" wrapText="1"/>
    </xf>
    <xf numFmtId="0" fontId="29" fillId="0" borderId="0" xfId="8" applyFont="1" applyAlignment="1">
      <alignment wrapText="1"/>
    </xf>
    <xf numFmtId="3" fontId="7" fillId="0" borderId="0" xfId="8" applyNumberFormat="1" applyFont="1" applyAlignment="1">
      <alignment wrapText="1"/>
    </xf>
    <xf numFmtId="3" fontId="29" fillId="0" borderId="0" xfId="8" applyNumberFormat="1" applyFont="1" applyAlignment="1">
      <alignment wrapText="1"/>
    </xf>
    <xf numFmtId="165" fontId="7" fillId="0" borderId="0" xfId="8" applyNumberFormat="1" applyAlignment="1">
      <alignment wrapText="1"/>
    </xf>
    <xf numFmtId="0" fontId="32" fillId="0" borderId="0" xfId="8" applyFont="1" applyAlignment="1">
      <alignment horizontal="left" vertical="center" indent="1"/>
    </xf>
    <xf numFmtId="2" fontId="34" fillId="0" borderId="0" xfId="8" applyNumberFormat="1" applyFont="1" applyFill="1" applyBorder="1" applyAlignment="1" applyProtection="1">
      <alignment horizontal="left" wrapText="1"/>
    </xf>
    <xf numFmtId="2" fontId="35" fillId="0" borderId="0" xfId="8" applyNumberFormat="1" applyFont="1" applyFill="1" applyBorder="1" applyAlignment="1" applyProtection="1">
      <alignment horizontal="left" wrapText="1"/>
    </xf>
    <xf numFmtId="176" fontId="7" fillId="0" borderId="0" xfId="8" applyNumberFormat="1" applyFill="1"/>
    <xf numFmtId="0" fontId="7" fillId="0" borderId="0" xfId="8" applyNumberFormat="1" applyFill="1"/>
    <xf numFmtId="2" fontId="7" fillId="0" borderId="0" xfId="8" applyNumberFormat="1"/>
    <xf numFmtId="2" fontId="21" fillId="0" borderId="16" xfId="8" applyNumberFormat="1" applyFont="1" applyBorder="1" applyAlignment="1">
      <alignment horizontal="center"/>
    </xf>
    <xf numFmtId="2" fontId="21" fillId="0" borderId="3" xfId="8" applyNumberFormat="1" applyFont="1" applyBorder="1" applyAlignment="1">
      <alignment horizontal="center"/>
    </xf>
    <xf numFmtId="2" fontId="21" fillId="0" borderId="17" xfId="8" applyNumberFormat="1" applyFont="1" applyBorder="1" applyAlignment="1">
      <alignment horizontal="center"/>
    </xf>
    <xf numFmtId="2" fontId="7" fillId="0" borderId="20" xfId="8" applyNumberFormat="1" applyBorder="1"/>
    <xf numFmtId="2" fontId="7" fillId="0" borderId="0" xfId="8" applyNumberFormat="1" applyBorder="1"/>
    <xf numFmtId="2" fontId="7" fillId="0" borderId="21" xfId="8" applyNumberFormat="1" applyBorder="1"/>
    <xf numFmtId="2" fontId="7" fillId="0" borderId="22" xfId="8" applyNumberFormat="1" applyBorder="1"/>
    <xf numFmtId="169" fontId="7" fillId="0" borderId="20" xfId="8" applyNumberFormat="1" applyBorder="1"/>
    <xf numFmtId="169" fontId="7" fillId="0" borderId="0" xfId="8" applyNumberFormat="1" applyBorder="1"/>
    <xf numFmtId="169" fontId="7" fillId="0" borderId="21" xfId="8" applyNumberFormat="1" applyBorder="1"/>
    <xf numFmtId="176" fontId="7" fillId="0" borderId="0" xfId="8" applyNumberFormat="1" applyBorder="1"/>
    <xf numFmtId="176" fontId="7" fillId="0" borderId="21" xfId="8" applyNumberFormat="1" applyBorder="1"/>
    <xf numFmtId="169" fontId="7" fillId="0" borderId="22" xfId="8" applyNumberFormat="1" applyBorder="1"/>
    <xf numFmtId="169" fontId="7" fillId="0" borderId="0" xfId="8" applyNumberFormat="1"/>
    <xf numFmtId="169" fontId="7" fillId="0" borderId="23" xfId="8" applyNumberFormat="1" applyBorder="1"/>
    <xf numFmtId="169" fontId="7" fillId="0" borderId="24" xfId="8" applyNumberFormat="1" applyBorder="1"/>
    <xf numFmtId="169" fontId="7" fillId="0" borderId="25" xfId="8" applyNumberFormat="1" applyBorder="1"/>
    <xf numFmtId="169" fontId="7" fillId="0" borderId="26" xfId="8" applyNumberFormat="1" applyBorder="1"/>
    <xf numFmtId="169" fontId="7" fillId="0" borderId="27" xfId="8" applyNumberFormat="1" applyBorder="1"/>
    <xf numFmtId="169" fontId="7" fillId="0" borderId="28" xfId="8" applyNumberFormat="1" applyBorder="1"/>
    <xf numFmtId="169" fontId="7" fillId="0" borderId="29" xfId="8" applyNumberFormat="1" applyBorder="1"/>
    <xf numFmtId="169" fontId="7" fillId="0" borderId="30" xfId="8" applyNumberFormat="1" applyBorder="1"/>
    <xf numFmtId="2" fontId="21" fillId="0" borderId="19" xfId="8" applyNumberFormat="1" applyFont="1" applyBorder="1" applyAlignment="1">
      <alignment wrapText="1"/>
    </xf>
    <xf numFmtId="0" fontId="7" fillId="9" borderId="19" xfId="8" applyFill="1" applyBorder="1" applyAlignment="1">
      <alignment horizontal="left" indent="1"/>
    </xf>
    <xf numFmtId="0" fontId="7" fillId="9" borderId="20" xfId="8" applyFill="1" applyBorder="1"/>
    <xf numFmtId="0" fontId="7" fillId="9" borderId="0" xfId="8" applyFill="1" applyBorder="1"/>
    <xf numFmtId="0" fontId="7" fillId="9" borderId="21" xfId="8" applyFill="1" applyBorder="1"/>
    <xf numFmtId="169" fontId="7" fillId="9" borderId="0" xfId="8" applyNumberFormat="1" applyFill="1" applyBorder="1"/>
    <xf numFmtId="169" fontId="7" fillId="9" borderId="21" xfId="8" applyNumberFormat="1" applyFill="1" applyBorder="1"/>
    <xf numFmtId="0" fontId="7" fillId="9" borderId="22" xfId="8" applyFill="1" applyBorder="1"/>
    <xf numFmtId="0" fontId="7" fillId="9" borderId="15" xfId="8" applyFill="1" applyBorder="1" applyAlignment="1">
      <alignment horizontal="left" indent="1"/>
    </xf>
    <xf numFmtId="0" fontId="7" fillId="9" borderId="16" xfId="8" applyFill="1" applyBorder="1"/>
    <xf numFmtId="0" fontId="7" fillId="9" borderId="3" xfId="8" applyFill="1" applyBorder="1"/>
    <xf numFmtId="0" fontId="7" fillId="9" borderId="17" xfId="8" applyFill="1" applyBorder="1"/>
    <xf numFmtId="169" fontId="7" fillId="9" borderId="3" xfId="8" applyNumberFormat="1" applyFill="1" applyBorder="1"/>
    <xf numFmtId="169" fontId="7" fillId="9" borderId="17" xfId="8" applyNumberFormat="1" applyFill="1" applyBorder="1"/>
    <xf numFmtId="0" fontId="7" fillId="9" borderId="18" xfId="8" applyFill="1" applyBorder="1"/>
    <xf numFmtId="2" fontId="38" fillId="0" borderId="0" xfId="8" applyNumberFormat="1" applyFont="1" applyFill="1" applyBorder="1" applyAlignment="1" applyProtection="1">
      <alignment horizontal="left" wrapText="1"/>
    </xf>
    <xf numFmtId="0" fontId="21" fillId="0" borderId="0" xfId="8" applyFont="1"/>
    <xf numFmtId="176" fontId="7" fillId="0" borderId="0" xfId="8" applyNumberFormat="1" applyFont="1" applyFill="1"/>
    <xf numFmtId="0" fontId="0" fillId="0" borderId="31" xfId="0" applyFont="1" applyBorder="1"/>
    <xf numFmtId="0" fontId="0" fillId="0" borderId="10" xfId="0" applyFont="1" applyBorder="1"/>
    <xf numFmtId="0" fontId="21" fillId="0" borderId="12" xfId="0" applyNumberFormat="1" applyFont="1" applyFill="1" applyBorder="1" applyAlignment="1">
      <alignment horizontal="centerContinuous"/>
    </xf>
    <xf numFmtId="0" fontId="0" fillId="0" borderId="12" xfId="0" applyFont="1" applyBorder="1" applyAlignment="1">
      <alignment horizontal="centerContinuous"/>
    </xf>
    <xf numFmtId="0" fontId="36" fillId="0" borderId="12" xfId="0" applyFont="1" applyBorder="1" applyAlignment="1">
      <alignment horizontal="centerContinuous"/>
    </xf>
    <xf numFmtId="2" fontId="37" fillId="0" borderId="12" xfId="0" applyNumberFormat="1" applyFont="1" applyFill="1" applyBorder="1" applyAlignment="1" applyProtection="1">
      <alignment horizontal="centerContinuous" wrapText="1"/>
    </xf>
    <xf numFmtId="2" fontId="37" fillId="0" borderId="32" xfId="0" applyNumberFormat="1" applyFont="1" applyFill="1" applyBorder="1" applyAlignment="1" applyProtection="1">
      <alignment horizontal="centerContinuous" wrapText="1"/>
    </xf>
    <xf numFmtId="2" fontId="39" fillId="0" borderId="33" xfId="0" applyNumberFormat="1" applyFont="1" applyFill="1" applyBorder="1" applyAlignment="1" applyProtection="1">
      <alignment horizontal="center" vertical="center" wrapText="1"/>
    </xf>
    <xf numFmtId="0" fontId="21" fillId="0" borderId="3" xfId="0" applyFont="1" applyBorder="1" applyAlignment="1">
      <alignment horizontal="center" vertical="center"/>
    </xf>
    <xf numFmtId="0" fontId="21" fillId="0" borderId="3" xfId="0" applyNumberFormat="1" applyFont="1" applyFill="1" applyBorder="1" applyAlignment="1">
      <alignment horizontal="center" vertical="center"/>
    </xf>
    <xf numFmtId="0" fontId="21" fillId="0" borderId="3" xfId="0" applyFont="1" applyBorder="1" applyAlignment="1">
      <alignment horizontal="center" vertical="center" wrapText="1"/>
    </xf>
    <xf numFmtId="0" fontId="21" fillId="0" borderId="18" xfId="0" applyFont="1" applyBorder="1" applyAlignment="1">
      <alignment horizontal="center" vertical="center" wrapText="1"/>
    </xf>
    <xf numFmtId="2" fontId="40" fillId="0" borderId="34" xfId="0" applyNumberFormat="1" applyFont="1" applyFill="1" applyBorder="1" applyAlignment="1" applyProtection="1">
      <alignment horizontal="left" wrapText="1"/>
    </xf>
    <xf numFmtId="177" fontId="0" fillId="0" borderId="0" xfId="0" applyNumberFormat="1" applyFont="1" applyFill="1" applyBorder="1"/>
    <xf numFmtId="175" fontId="0" fillId="0" borderId="0" xfId="0" applyNumberFormat="1" applyFont="1" applyFill="1" applyBorder="1"/>
    <xf numFmtId="169" fontId="0" fillId="0" borderId="0" xfId="0" applyNumberFormat="1" applyFont="1" applyFill="1" applyBorder="1"/>
    <xf numFmtId="169" fontId="0" fillId="0" borderId="22" xfId="0" applyNumberFormat="1" applyFont="1" applyFill="1" applyBorder="1"/>
    <xf numFmtId="2" fontId="40" fillId="0" borderId="35" xfId="0" applyNumberFormat="1" applyFont="1" applyFill="1" applyBorder="1" applyAlignment="1" applyProtection="1">
      <alignment horizontal="left" wrapText="1"/>
    </xf>
    <xf numFmtId="177" fontId="0" fillId="0" borderId="28" xfId="0" applyNumberFormat="1" applyFont="1" applyFill="1" applyBorder="1"/>
    <xf numFmtId="175" fontId="0" fillId="0" borderId="28" xfId="0" applyNumberFormat="1" applyFont="1" applyFill="1" applyBorder="1"/>
    <xf numFmtId="169" fontId="0" fillId="0" borderId="28" xfId="0" applyNumberFormat="1" applyFont="1" applyFill="1" applyBorder="1"/>
    <xf numFmtId="169" fontId="0" fillId="0" borderId="30" xfId="0" applyNumberFormat="1" applyFont="1" applyFill="1" applyBorder="1"/>
    <xf numFmtId="0" fontId="0" fillId="0" borderId="36" xfId="0" applyBorder="1"/>
    <xf numFmtId="177" fontId="0" fillId="0" borderId="37" xfId="0" applyNumberFormat="1" applyFont="1" applyFill="1" applyBorder="1"/>
    <xf numFmtId="175" fontId="0" fillId="0" borderId="37" xfId="0" applyNumberFormat="1" applyFont="1" applyFill="1" applyBorder="1"/>
    <xf numFmtId="169" fontId="0" fillId="0" borderId="37" xfId="0" applyNumberFormat="1" applyFont="1" applyFill="1" applyBorder="1"/>
    <xf numFmtId="169" fontId="0" fillId="0" borderId="38" xfId="0" applyNumberFormat="1" applyFont="1" applyFill="1" applyBorder="1"/>
    <xf numFmtId="9" fontId="12" fillId="2" borderId="0" xfId="3" applyNumberFormat="1" applyFont="1" applyFill="1" applyBorder="1">
      <alignment horizontal="right" vertical="center"/>
    </xf>
    <xf numFmtId="178" fontId="0" fillId="0" borderId="0" xfId="0" applyNumberFormat="1"/>
    <xf numFmtId="178" fontId="12" fillId="2" borderId="0" xfId="3" applyNumberFormat="1" applyFont="1" applyFill="1" applyBorder="1">
      <alignment horizontal="right" vertical="center"/>
    </xf>
    <xf numFmtId="2" fontId="41" fillId="2" borderId="0" xfId="3" applyNumberFormat="1" applyFont="1" applyFill="1" applyBorder="1">
      <alignment horizontal="right" vertical="center"/>
    </xf>
    <xf numFmtId="179" fontId="7" fillId="0" borderId="0" xfId="8" applyNumberFormat="1" applyBorder="1"/>
    <xf numFmtId="179" fontId="7" fillId="0" borderId="21" xfId="8" applyNumberFormat="1" applyBorder="1"/>
    <xf numFmtId="179" fontId="7" fillId="0" borderId="24" xfId="8" applyNumberFormat="1" applyBorder="1"/>
    <xf numFmtId="179" fontId="7" fillId="0" borderId="25" xfId="8" applyNumberFormat="1" applyBorder="1"/>
    <xf numFmtId="179" fontId="7" fillId="0" borderId="28" xfId="8" applyNumberFormat="1" applyBorder="1"/>
    <xf numFmtId="179" fontId="7" fillId="0" borderId="29" xfId="8" applyNumberFormat="1" applyBorder="1"/>
    <xf numFmtId="2" fontId="21" fillId="0" borderId="8" xfId="8" applyNumberFormat="1" applyFont="1" applyBorder="1" applyAlignment="1">
      <alignment wrapText="1"/>
    </xf>
    <xf numFmtId="2" fontId="21" fillId="0" borderId="9" xfId="8" applyNumberFormat="1" applyFont="1" applyBorder="1" applyAlignment="1">
      <alignment horizontal="center" wrapText="1"/>
    </xf>
    <xf numFmtId="2" fontId="21" fillId="0" borderId="10" xfId="8" applyNumberFormat="1" applyFont="1" applyBorder="1" applyAlignment="1">
      <alignment horizontal="center" wrapText="1"/>
    </xf>
    <xf numFmtId="2" fontId="21" fillId="0" borderId="11" xfId="8" applyNumberFormat="1" applyFont="1" applyBorder="1" applyAlignment="1">
      <alignment horizontal="center" wrapText="1"/>
    </xf>
    <xf numFmtId="2" fontId="21" fillId="0" borderId="12" xfId="8" applyNumberFormat="1" applyFont="1" applyBorder="1" applyAlignment="1">
      <alignment horizontal="centerContinuous" wrapText="1"/>
    </xf>
    <xf numFmtId="2" fontId="21" fillId="0" borderId="13" xfId="8" applyNumberFormat="1" applyFont="1" applyBorder="1" applyAlignment="1">
      <alignment horizontal="centerContinuous" wrapText="1"/>
    </xf>
    <xf numFmtId="179" fontId="6" fillId="0" borderId="0" xfId="8" applyNumberFormat="1" applyFont="1" applyBorder="1" applyAlignment="1">
      <alignment horizontal="right"/>
    </xf>
    <xf numFmtId="2" fontId="21" fillId="0" borderId="12" xfId="8" applyNumberFormat="1" applyFont="1" applyBorder="1" applyAlignment="1">
      <alignment horizontal="center" wrapText="1"/>
    </xf>
    <xf numFmtId="0" fontId="42" fillId="0" borderId="0" xfId="8" applyFont="1"/>
    <xf numFmtId="14" fontId="7" fillId="0" borderId="0" xfId="8" applyNumberFormat="1"/>
    <xf numFmtId="0" fontId="0" fillId="0" borderId="0" xfId="0" applyAlignment="1">
      <alignment horizontal="center"/>
    </xf>
    <xf numFmtId="0" fontId="31" fillId="0" borderId="0" xfId="0" applyFont="1" applyAlignment="1">
      <alignment horizontal="center"/>
    </xf>
    <xf numFmtId="171" fontId="0" fillId="0" borderId="0" xfId="11" applyNumberFormat="1" applyFont="1"/>
    <xf numFmtId="180" fontId="0" fillId="0" borderId="0" xfId="10" applyNumberFormat="1" applyFont="1"/>
    <xf numFmtId="180" fontId="29" fillId="0" borderId="0" xfId="10" applyNumberFormat="1" applyFont="1"/>
    <xf numFmtId="0" fontId="31" fillId="0" borderId="22" xfId="8" applyFont="1" applyBorder="1" applyAlignment="1">
      <alignment horizontal="right" vertical="center" wrapText="1"/>
    </xf>
    <xf numFmtId="174" fontId="29" fillId="0" borderId="22" xfId="8" applyNumberFormat="1" applyFont="1" applyBorder="1" applyAlignment="1">
      <alignment wrapText="1"/>
    </xf>
    <xf numFmtId="173" fontId="28" fillId="0" borderId="22" xfId="8" applyNumberFormat="1" applyFont="1" applyBorder="1" applyAlignment="1">
      <alignment wrapText="1"/>
    </xf>
    <xf numFmtId="170" fontId="7" fillId="0" borderId="0" xfId="8" applyNumberFormat="1" applyAlignment="1">
      <alignment wrapText="1"/>
    </xf>
    <xf numFmtId="170" fontId="7" fillId="0" borderId="22" xfId="8" applyNumberFormat="1" applyBorder="1" applyAlignment="1">
      <alignment wrapText="1"/>
    </xf>
    <xf numFmtId="3" fontId="7" fillId="0" borderId="22" xfId="8" applyNumberFormat="1" applyBorder="1" applyAlignment="1">
      <alignment wrapText="1"/>
    </xf>
    <xf numFmtId="0" fontId="31" fillId="0" borderId="22" xfId="8" applyFont="1" applyBorder="1" applyAlignment="1">
      <alignment vertical="center" wrapText="1"/>
    </xf>
    <xf numFmtId="0" fontId="7" fillId="0" borderId="22" xfId="8" applyBorder="1" applyAlignment="1">
      <alignment wrapText="1"/>
    </xf>
    <xf numFmtId="173" fontId="29" fillId="0" borderId="22" xfId="8" applyNumberFormat="1" applyFont="1" applyBorder="1" applyAlignment="1">
      <alignment wrapText="1"/>
    </xf>
    <xf numFmtId="0" fontId="7" fillId="0" borderId="22" xfId="8" applyBorder="1"/>
    <xf numFmtId="0" fontId="7" fillId="8" borderId="0" xfId="8" applyFill="1"/>
    <xf numFmtId="0" fontId="31" fillId="8" borderId="0" xfId="8" applyFont="1" applyFill="1"/>
    <xf numFmtId="0" fontId="31" fillId="8" borderId="0" xfId="8" applyFont="1" applyFill="1" applyAlignment="1">
      <alignment vertical="center" wrapText="1"/>
    </xf>
    <xf numFmtId="0" fontId="31" fillId="8" borderId="22" xfId="8" applyFont="1" applyFill="1" applyBorder="1" applyAlignment="1">
      <alignment vertical="center" wrapText="1"/>
    </xf>
    <xf numFmtId="0" fontId="21" fillId="8" borderId="0" xfId="8" applyFont="1" applyFill="1"/>
    <xf numFmtId="0" fontId="7" fillId="8" borderId="22" xfId="8" applyFill="1" applyBorder="1"/>
    <xf numFmtId="0" fontId="0" fillId="8" borderId="0" xfId="8" applyFont="1" applyFill="1"/>
    <xf numFmtId="165" fontId="7" fillId="8" borderId="0" xfId="8" applyNumberFormat="1" applyFill="1"/>
    <xf numFmtId="165" fontId="7" fillId="8" borderId="22" xfId="8" applyNumberFormat="1" applyFill="1" applyBorder="1"/>
    <xf numFmtId="0" fontId="5" fillId="0" borderId="0" xfId="8" applyFont="1"/>
    <xf numFmtId="2" fontId="21" fillId="0" borderId="34" xfId="8" applyNumberFormat="1" applyFont="1" applyBorder="1"/>
    <xf numFmtId="2" fontId="7" fillId="0" borderId="34" xfId="8" applyNumberFormat="1" applyBorder="1"/>
    <xf numFmtId="2" fontId="5" fillId="0" borderId="34" xfId="8" applyNumberFormat="1" applyFont="1" applyBorder="1"/>
    <xf numFmtId="2" fontId="21" fillId="0" borderId="33" xfId="8" applyNumberFormat="1" applyFont="1" applyBorder="1" applyAlignment="1">
      <alignment wrapText="1"/>
    </xf>
    <xf numFmtId="2" fontId="5" fillId="0" borderId="31" xfId="8" applyNumberFormat="1" applyFont="1" applyBorder="1"/>
    <xf numFmtId="2" fontId="5" fillId="0" borderId="33" xfId="8" applyNumberFormat="1" applyFont="1" applyBorder="1"/>
    <xf numFmtId="2" fontId="21" fillId="0" borderId="12" xfId="8" applyNumberFormat="1" applyFont="1" applyBorder="1" applyAlignment="1">
      <alignment horizontal="center"/>
    </xf>
    <xf numFmtId="2" fontId="21" fillId="0" borderId="13" xfId="8" applyNumberFormat="1" applyFont="1" applyBorder="1" applyAlignment="1">
      <alignment horizontal="center"/>
    </xf>
    <xf numFmtId="2" fontId="21" fillId="0" borderId="32" xfId="8" applyNumberFormat="1" applyFont="1" applyBorder="1" applyAlignment="1">
      <alignment horizontal="center"/>
    </xf>
    <xf numFmtId="0" fontId="4" fillId="0" borderId="0" xfId="12"/>
    <xf numFmtId="0" fontId="24" fillId="10" borderId="0" xfId="13" applyFont="1" applyFill="1" applyAlignment="1">
      <alignment horizontal="center" vertical="center" wrapText="1"/>
    </xf>
    <xf numFmtId="0" fontId="44" fillId="0" borderId="0" xfId="13" applyFont="1" applyFill="1" applyAlignment="1">
      <alignment horizontal="center" vertical="center" wrapText="1"/>
    </xf>
    <xf numFmtId="0" fontId="4" fillId="0" borderId="0" xfId="12" applyBorder="1"/>
    <xf numFmtId="0" fontId="10" fillId="0" borderId="0" xfId="0" applyFont="1"/>
    <xf numFmtId="0" fontId="49" fillId="0" borderId="0" xfId="0" applyFont="1"/>
    <xf numFmtId="0" fontId="4" fillId="0" borderId="0" xfId="8" applyFont="1" applyAlignment="1">
      <alignment vertical="top" wrapText="1"/>
    </xf>
    <xf numFmtId="0" fontId="4" fillId="0" borderId="0" xfId="8" applyFont="1"/>
    <xf numFmtId="0" fontId="51" fillId="0" borderId="0" xfId="0" applyFont="1"/>
    <xf numFmtId="3" fontId="0" fillId="0" borderId="0" xfId="0" applyNumberFormat="1"/>
    <xf numFmtId="173" fontId="4" fillId="0" borderId="0" xfId="8" applyNumberFormat="1" applyFont="1" applyAlignment="1">
      <alignment wrapText="1"/>
    </xf>
    <xf numFmtId="173" fontId="4" fillId="0" borderId="22" xfId="8" applyNumberFormat="1" applyFont="1" applyBorder="1" applyAlignment="1">
      <alignment wrapText="1"/>
    </xf>
    <xf numFmtId="174" fontId="4" fillId="0" borderId="0" xfId="8" applyNumberFormat="1" applyFont="1" applyAlignment="1">
      <alignment wrapText="1"/>
    </xf>
    <xf numFmtId="174" fontId="4" fillId="0" borderId="22" xfId="8" applyNumberFormat="1" applyFont="1" applyBorder="1" applyAlignment="1">
      <alignment wrapText="1"/>
    </xf>
    <xf numFmtId="173" fontId="4" fillId="8" borderId="0" xfId="8" applyNumberFormat="1" applyFont="1" applyFill="1" applyAlignment="1">
      <alignment wrapText="1"/>
    </xf>
    <xf numFmtId="173" fontId="4" fillId="8" borderId="22" xfId="8" applyNumberFormat="1" applyFont="1" applyFill="1" applyBorder="1" applyAlignment="1">
      <alignment wrapText="1"/>
    </xf>
    <xf numFmtId="165" fontId="4" fillId="8" borderId="0" xfId="8" applyNumberFormat="1" applyFont="1" applyFill="1" applyAlignment="1">
      <alignment wrapText="1"/>
    </xf>
    <xf numFmtId="165" fontId="4" fillId="8" borderId="22" xfId="8" applyNumberFormat="1" applyFont="1" applyFill="1" applyBorder="1" applyAlignment="1">
      <alignment wrapText="1"/>
    </xf>
    <xf numFmtId="0" fontId="52" fillId="0" borderId="0" xfId="8" applyFont="1" applyAlignment="1">
      <alignment vertical="top" wrapText="1"/>
    </xf>
    <xf numFmtId="0" fontId="48" fillId="0" borderId="0" xfId="0" applyFont="1"/>
    <xf numFmtId="2" fontId="52" fillId="0" borderId="0" xfId="8" applyNumberFormat="1" applyFont="1" applyFill="1" applyBorder="1" applyAlignment="1" applyProtection="1"/>
    <xf numFmtId="49" fontId="48" fillId="0" borderId="0" xfId="5" applyNumberFormat="1" applyFont="1"/>
    <xf numFmtId="9" fontId="52" fillId="0" borderId="0" xfId="19" applyFont="1"/>
    <xf numFmtId="9" fontId="66" fillId="0" borderId="0" xfId="19" applyFont="1"/>
    <xf numFmtId="0" fontId="42" fillId="0" borderId="39" xfId="20" applyFont="1" applyBorder="1"/>
    <xf numFmtId="0" fontId="53" fillId="0" borderId="39" xfId="20" applyFont="1" applyBorder="1"/>
    <xf numFmtId="0" fontId="53" fillId="0" borderId="0" xfId="20" applyFont="1"/>
    <xf numFmtId="0" fontId="2" fillId="0" borderId="0" xfId="20"/>
    <xf numFmtId="0" fontId="32" fillId="0" borderId="0" xfId="20" applyFont="1" applyAlignment="1">
      <alignment horizontal="left" vertical="center" wrapText="1" indent="1"/>
    </xf>
    <xf numFmtId="0" fontId="21" fillId="0" borderId="40" xfId="20" applyFont="1" applyBorder="1" applyAlignment="1">
      <alignment horizontal="centerContinuous" vertical="center"/>
    </xf>
    <xf numFmtId="0" fontId="2" fillId="0" borderId="40" xfId="20" applyBorder="1" applyAlignment="1">
      <alignment horizontal="centerContinuous"/>
    </xf>
    <xf numFmtId="0" fontId="21" fillId="11" borderId="40" xfId="20" applyFont="1" applyFill="1" applyBorder="1" applyAlignment="1">
      <alignment horizontal="centerContinuous" vertical="center"/>
    </xf>
    <xf numFmtId="0" fontId="2" fillId="11" borderId="40" xfId="20" applyFill="1" applyBorder="1" applyAlignment="1">
      <alignment horizontal="centerContinuous"/>
    </xf>
    <xf numFmtId="0" fontId="54" fillId="0" borderId="0" xfId="20" applyFont="1" applyAlignment="1">
      <alignment vertical="top"/>
    </xf>
    <xf numFmtId="0" fontId="21" fillId="0" borderId="3" xfId="20" applyFont="1" applyBorder="1" applyAlignment="1">
      <alignment horizontal="right" vertical="center" wrapText="1"/>
    </xf>
    <xf numFmtId="0" fontId="21" fillId="0" borderId="3" xfId="20" applyFont="1" applyBorder="1"/>
    <xf numFmtId="0" fontId="21" fillId="0" borderId="0" xfId="20" applyFont="1"/>
    <xf numFmtId="181" fontId="55" fillId="0" borderId="0" xfId="21" applyNumberFormat="1" applyFont="1"/>
    <xf numFmtId="0" fontId="36" fillId="0" borderId="0" xfId="20" applyFont="1" applyAlignment="1">
      <alignment horizontal="left" indent="2"/>
    </xf>
    <xf numFmtId="9" fontId="56" fillId="0" borderId="0" xfId="22" applyFont="1" applyAlignment="1"/>
    <xf numFmtId="9" fontId="57" fillId="0" borderId="0" xfId="22" applyFont="1" applyAlignment="1"/>
    <xf numFmtId="181" fontId="58" fillId="0" borderId="0" xfId="21" applyNumberFormat="1" applyFont="1"/>
    <xf numFmtId="0" fontId="2" fillId="0" borderId="0" xfId="20" applyAlignment="1">
      <alignment horizontal="left"/>
    </xf>
    <xf numFmtId="9" fontId="56" fillId="0" borderId="0" xfId="22" applyFont="1" applyBorder="1" applyAlignment="1"/>
    <xf numFmtId="9" fontId="56" fillId="0" borderId="3" xfId="22" applyFont="1" applyBorder="1" applyAlignment="1"/>
    <xf numFmtId="181" fontId="58" fillId="0" borderId="3" xfId="21" applyNumberFormat="1" applyFont="1" applyBorder="1"/>
    <xf numFmtId="0" fontId="2" fillId="0" borderId="0" xfId="20" applyAlignment="1">
      <alignment horizontal="left" indent="2"/>
    </xf>
    <xf numFmtId="0" fontId="2" fillId="0" borderId="3" xfId="20" applyBorder="1"/>
    <xf numFmtId="0" fontId="2" fillId="0" borderId="0" xfId="20" applyAlignment="1">
      <alignment vertical="top" wrapText="1"/>
    </xf>
    <xf numFmtId="170" fontId="2" fillId="0" borderId="0" xfId="20" applyNumberFormat="1" applyAlignment="1">
      <alignment wrapText="1"/>
    </xf>
    <xf numFmtId="0" fontId="21" fillId="0" borderId="0" xfId="20" applyFont="1" applyAlignment="1">
      <alignment vertical="top" wrapText="1"/>
    </xf>
    <xf numFmtId="0" fontId="59" fillId="0" borderId="0" xfId="20" applyFont="1" applyAlignment="1">
      <alignment horizontal="left" indent="2"/>
    </xf>
    <xf numFmtId="9" fontId="60" fillId="0" borderId="0" xfId="22" applyFont="1" applyAlignment="1"/>
    <xf numFmtId="0" fontId="31" fillId="0" borderId="0" xfId="20" applyFont="1"/>
    <xf numFmtId="0" fontId="2" fillId="0" borderId="0" xfId="20" applyAlignment="1">
      <alignment wrapText="1"/>
    </xf>
    <xf numFmtId="181" fontId="58" fillId="0" borderId="40" xfId="21" applyNumberFormat="1" applyFont="1" applyBorder="1"/>
    <xf numFmtId="181" fontId="61" fillId="0" borderId="40" xfId="21" applyNumberFormat="1" applyFont="1" applyBorder="1"/>
    <xf numFmtId="181" fontId="61" fillId="0" borderId="0" xfId="21" applyNumberFormat="1" applyFont="1"/>
    <xf numFmtId="0" fontId="21" fillId="0" borderId="0" xfId="20" applyFont="1" applyAlignment="1">
      <alignment horizontal="left"/>
    </xf>
    <xf numFmtId="0" fontId="31" fillId="0" borderId="0" xfId="20" applyFont="1" applyAlignment="1">
      <alignment horizontal="left"/>
    </xf>
    <xf numFmtId="181" fontId="62" fillId="12" borderId="0" xfId="20" applyNumberFormat="1" applyFont="1" applyFill="1"/>
    <xf numFmtId="181" fontId="62" fillId="0" borderId="0" xfId="20" applyNumberFormat="1" applyFont="1"/>
    <xf numFmtId="181" fontId="55" fillId="0" borderId="41" xfId="21" applyNumberFormat="1" applyFont="1" applyBorder="1"/>
    <xf numFmtId="0" fontId="63" fillId="0" borderId="0" xfId="20" applyFont="1" applyAlignment="1">
      <alignment horizontal="left"/>
    </xf>
    <xf numFmtId="43" fontId="64" fillId="0" borderId="0" xfId="23" applyFont="1" applyAlignment="1"/>
    <xf numFmtId="181" fontId="2" fillId="0" borderId="40" xfId="20" applyNumberFormat="1" applyBorder="1"/>
    <xf numFmtId="181" fontId="62" fillId="0" borderId="40" xfId="20" applyNumberFormat="1" applyFont="1" applyBorder="1"/>
    <xf numFmtId="0" fontId="62" fillId="0" borderId="0" xfId="20" applyFont="1"/>
    <xf numFmtId="181" fontId="65" fillId="12" borderId="0" xfId="20" applyNumberFormat="1" applyFont="1" applyFill="1"/>
    <xf numFmtId="181" fontId="61" fillId="12" borderId="0" xfId="21" applyNumberFormat="1" applyFont="1" applyFill="1"/>
    <xf numFmtId="0" fontId="63" fillId="0" borderId="0" xfId="20" applyFont="1"/>
    <xf numFmtId="43" fontId="55" fillId="0" borderId="0" xfId="23" applyFont="1" applyAlignment="1"/>
    <xf numFmtId="181" fontId="2" fillId="0" borderId="0" xfId="20" applyNumberFormat="1"/>
    <xf numFmtId="181" fontId="21" fillId="0" borderId="0" xfId="20" applyNumberFormat="1" applyFont="1"/>
    <xf numFmtId="0" fontId="70" fillId="0" borderId="0" xfId="20" applyFont="1"/>
    <xf numFmtId="43" fontId="70" fillId="0" borderId="0" xfId="23" applyFont="1"/>
    <xf numFmtId="180" fontId="2" fillId="0" borderId="0" xfId="23" applyNumberFormat="1" applyFont="1"/>
    <xf numFmtId="180" fontId="66" fillId="0" borderId="0" xfId="23" applyNumberFormat="1" applyFont="1"/>
    <xf numFmtId="180" fontId="2" fillId="0" borderId="3" xfId="23" applyNumberFormat="1" applyFont="1" applyBorder="1"/>
    <xf numFmtId="180" fontId="66" fillId="0" borderId="3" xfId="23" applyNumberFormat="1" applyFont="1" applyBorder="1"/>
    <xf numFmtId="181" fontId="2" fillId="0" borderId="3" xfId="20" applyNumberFormat="1" applyBorder="1"/>
    <xf numFmtId="181" fontId="67" fillId="0" borderId="0" xfId="20" applyNumberFormat="1" applyFont="1"/>
    <xf numFmtId="9" fontId="2" fillId="0" borderId="0" xfId="22" applyFont="1"/>
    <xf numFmtId="178" fontId="2" fillId="0" borderId="0" xfId="22" applyNumberFormat="1" applyFont="1"/>
    <xf numFmtId="178" fontId="66" fillId="0" borderId="0" xfId="22" applyNumberFormat="1" applyFont="1"/>
    <xf numFmtId="9" fontId="66" fillId="0" borderId="0" xfId="22" applyFont="1"/>
    <xf numFmtId="181" fontId="29" fillId="0" borderId="0" xfId="20" applyNumberFormat="1" applyFont="1" applyAlignment="1">
      <alignment horizontal="center"/>
    </xf>
    <xf numFmtId="181" fontId="2" fillId="0" borderId="0" xfId="20" applyNumberFormat="1" applyAlignment="1">
      <alignment horizontal="center"/>
    </xf>
    <xf numFmtId="180" fontId="66" fillId="0" borderId="0" xfId="20" applyNumberFormat="1" applyFont="1"/>
    <xf numFmtId="181" fontId="21" fillId="0" borderId="12" xfId="20" applyNumberFormat="1" applyFont="1" applyBorder="1"/>
    <xf numFmtId="181" fontId="68" fillId="0" borderId="0" xfId="20" applyNumberFormat="1" applyFont="1"/>
    <xf numFmtId="0" fontId="36" fillId="0" borderId="0" xfId="20" applyFont="1"/>
    <xf numFmtId="43" fontId="2" fillId="0" borderId="0" xfId="23" applyFont="1"/>
    <xf numFmtId="164" fontId="2" fillId="0" borderId="0" xfId="20" applyNumberFormat="1"/>
    <xf numFmtId="181" fontId="2" fillId="0" borderId="0" xfId="20" applyNumberFormat="1" applyAlignment="1">
      <alignment horizontal="right"/>
    </xf>
    <xf numFmtId="181" fontId="2" fillId="0" borderId="3" xfId="20" applyNumberFormat="1" applyBorder="1" applyAlignment="1">
      <alignment horizontal="right"/>
    </xf>
    <xf numFmtId="0" fontId="52" fillId="0" borderId="0" xfId="21" applyFont="1"/>
    <xf numFmtId="0" fontId="69" fillId="0" borderId="0" xfId="21" applyFont="1"/>
    <xf numFmtId="0" fontId="31" fillId="0" borderId="0" xfId="21" applyFont="1" applyAlignment="1">
      <alignment horizontal="left" vertical="center"/>
    </xf>
    <xf numFmtId="0" fontId="2" fillId="0" borderId="0" xfId="21" applyAlignment="1">
      <alignment horizontal="left" vertical="center"/>
    </xf>
    <xf numFmtId="9" fontId="52" fillId="0" borderId="0" xfId="21" applyNumberFormat="1" applyFont="1"/>
    <xf numFmtId="182" fontId="52" fillId="0" borderId="0" xfId="23" applyNumberFormat="1" applyFont="1"/>
    <xf numFmtId="0" fontId="2" fillId="0" borderId="3" xfId="20" applyBorder="1" applyAlignment="1">
      <alignment horizontal="center"/>
    </xf>
    <xf numFmtId="0" fontId="21" fillId="13" borderId="3" xfId="20" applyFont="1" applyFill="1" applyBorder="1" applyAlignment="1">
      <alignment horizontal="centerContinuous"/>
    </xf>
    <xf numFmtId="9" fontId="2" fillId="0" borderId="0" xfId="20" applyNumberFormat="1"/>
    <xf numFmtId="164" fontId="2" fillId="0" borderId="3" xfId="20" applyNumberFormat="1" applyBorder="1"/>
    <xf numFmtId="0" fontId="71" fillId="0" borderId="5" xfId="8" applyFont="1" applyBorder="1" applyAlignment="1">
      <alignment horizontal="center" wrapText="1"/>
    </xf>
    <xf numFmtId="0" fontId="67" fillId="0" borderId="42" xfId="13" applyFont="1" applyBorder="1" applyAlignment="1">
      <alignment horizontal="center" vertical="center" wrapText="1"/>
    </xf>
    <xf numFmtId="0" fontId="7" fillId="0" borderId="43" xfId="8" applyBorder="1"/>
    <xf numFmtId="43" fontId="20" fillId="0" borderId="43" xfId="10" applyBorder="1"/>
    <xf numFmtId="43" fontId="1" fillId="12" borderId="44" xfId="10" applyFont="1" applyFill="1" applyBorder="1"/>
    <xf numFmtId="43" fontId="1" fillId="12" borderId="42" xfId="10" applyFont="1" applyFill="1" applyBorder="1"/>
    <xf numFmtId="0" fontId="45" fillId="0" borderId="0" xfId="14" applyFont="1" applyBorder="1" applyAlignment="1">
      <alignment horizontal="justify" vertical="top" wrapText="1"/>
    </xf>
    <xf numFmtId="0" fontId="47" fillId="0" borderId="0" xfId="14" applyFont="1" applyAlignment="1">
      <alignment wrapText="1"/>
    </xf>
    <xf numFmtId="0" fontId="50" fillId="0" borderId="0" xfId="0" applyFont="1" applyAlignment="1">
      <alignment horizontal="left" vertical="center"/>
    </xf>
    <xf numFmtId="0" fontId="24" fillId="0" borderId="0" xfId="0" applyFont="1" applyAlignment="1">
      <alignment horizontal="center" vertical="center"/>
    </xf>
    <xf numFmtId="0" fontId="24" fillId="0" borderId="0" xfId="0" applyFont="1" applyAlignment="1">
      <alignment horizontal="center"/>
    </xf>
    <xf numFmtId="0" fontId="7" fillId="0" borderId="0" xfId="8" applyAlignment="1">
      <alignment horizontal="center"/>
    </xf>
    <xf numFmtId="0" fontId="23" fillId="0" borderId="4" xfId="8" applyFont="1" applyBorder="1" applyAlignment="1">
      <alignment horizontal="center" wrapText="1"/>
    </xf>
    <xf numFmtId="0" fontId="21" fillId="0" borderId="0" xfId="0" applyFont="1" applyAlignment="1">
      <alignment horizontal="center"/>
    </xf>
    <xf numFmtId="0" fontId="0" fillId="0" borderId="0" xfId="0" applyAlignment="1">
      <alignment horizontal="center"/>
    </xf>
    <xf numFmtId="0" fontId="21" fillId="0" borderId="0" xfId="8" applyFont="1" applyAlignment="1">
      <alignment horizontal="center"/>
    </xf>
    <xf numFmtId="0" fontId="43" fillId="0" borderId="0" xfId="8" applyFont="1" applyAlignment="1">
      <alignment horizontal="center"/>
    </xf>
    <xf numFmtId="0" fontId="4" fillId="0" borderId="0" xfId="8" applyFont="1" applyAlignment="1">
      <alignment horizontal="left" wrapText="1"/>
    </xf>
    <xf numFmtId="2" fontId="21" fillId="0" borderId="12" xfId="8" applyNumberFormat="1" applyFont="1" applyBorder="1" applyAlignment="1">
      <alignment horizontal="center" wrapText="1"/>
    </xf>
    <xf numFmtId="2" fontId="21" fillId="0" borderId="9" xfId="8" applyNumberFormat="1" applyFont="1" applyBorder="1" applyAlignment="1">
      <alignment horizontal="center" wrapText="1"/>
    </xf>
    <xf numFmtId="2" fontId="21" fillId="0" borderId="10" xfId="8" applyNumberFormat="1" applyFont="1" applyBorder="1" applyAlignment="1">
      <alignment horizontal="center" wrapText="1"/>
    </xf>
    <xf numFmtId="2" fontId="21" fillId="0" borderId="11" xfId="8" applyNumberFormat="1" applyFont="1" applyBorder="1" applyAlignment="1">
      <alignment horizontal="center" wrapText="1"/>
    </xf>
    <xf numFmtId="2" fontId="21" fillId="0" borderId="14" xfId="8" applyNumberFormat="1" applyFont="1" applyBorder="1" applyAlignment="1">
      <alignment horizontal="center" wrapText="1"/>
    </xf>
    <xf numFmtId="0" fontId="1" fillId="0" borderId="0" xfId="8" applyFont="1"/>
    <xf numFmtId="0" fontId="1" fillId="0" borderId="0" xfId="20" applyFont="1"/>
    <xf numFmtId="181" fontId="53" fillId="0" borderId="39" xfId="20" applyNumberFormat="1" applyFont="1" applyBorder="1"/>
    <xf numFmtId="9" fontId="56" fillId="0" borderId="0" xfId="22" applyNumberFormat="1" applyFont="1" applyAlignment="1"/>
    <xf numFmtId="10" fontId="2" fillId="0" borderId="0" xfId="20" applyNumberFormat="1"/>
    <xf numFmtId="10" fontId="1" fillId="0" borderId="0" xfId="20" applyNumberFormat="1" applyFont="1"/>
  </cellXfs>
  <cellStyles count="24">
    <cellStyle name="Comma" xfId="10" builtinId="3"/>
    <cellStyle name="Currency" xfId="11" builtinId="4"/>
    <cellStyle name="Currency 2" xfId="9" xr:uid="{00000000-0005-0000-0000-000002000000}"/>
    <cellStyle name="Gen_Black_pD" xfId="3" xr:uid="{00000000-0005-0000-0000-000003000000}"/>
    <cellStyle name="Gen_Black_pG" xfId="7" xr:uid="{00000000-0005-0000-0000-000004000000}"/>
    <cellStyle name="Logo" xfId="2" xr:uid="{00000000-0005-0000-0000-000005000000}"/>
    <cellStyle name="Millares 2" xfId="18" xr:uid="{10769331-ACEA-4C4F-9046-AD270BCE1A7B}"/>
    <cellStyle name="Millares 3" xfId="23" xr:uid="{B60FEC1F-9F14-47FC-90EE-DC44D1DB481E}"/>
    <cellStyle name="Normal" xfId="0" builtinId="0"/>
    <cellStyle name="Normal 2" xfId="5" xr:uid="{00000000-0005-0000-0000-000007000000}"/>
    <cellStyle name="Normal 2 2" xfId="12" xr:uid="{00000000-0005-0000-0000-000008000000}"/>
    <cellStyle name="Normal 2 2 2" xfId="13" xr:uid="{00000000-0005-0000-0000-000009000000}"/>
    <cellStyle name="Normal 2 3" xfId="16" xr:uid="{3F9C7072-1BA9-456A-9D2C-A0881E558D1D}"/>
    <cellStyle name="Normal 2 4" xfId="21" xr:uid="{4599FE9E-0F9F-4DE2-9BCB-223CAFE79FD4}"/>
    <cellStyle name="Normal 3" xfId="8" xr:uid="{00000000-0005-0000-0000-00000A000000}"/>
    <cellStyle name="Normal 3 2" xfId="14" xr:uid="{00000000-0005-0000-0000-00000B000000}"/>
    <cellStyle name="Normal 3 3" xfId="15" xr:uid="{698DA2A0-0585-4722-A2C9-8EF062677D07}"/>
    <cellStyle name="Normal 3 4" xfId="20" xr:uid="{F8A4F74B-4D66-4598-BFC4-0CCB1CBE0EDC}"/>
    <cellStyle name="Porcentaje 2" xfId="17" xr:uid="{080B3A53-52DB-4AEC-85DF-771AA2522E65}"/>
    <cellStyle name="Porcentaje 2 2" xfId="19" xr:uid="{7C1F6718-93EF-460A-8B7E-AE5597B724DD}"/>
    <cellStyle name="Porcentaje 3" xfId="22" xr:uid="{C2C3254A-4EF3-422A-9568-B27CB08E320D}"/>
    <cellStyle name="Title 2" xfId="6" xr:uid="{00000000-0005-0000-0000-00000C000000}"/>
    <cellStyle name="TitleCols_Gen_pD" xfId="1" xr:uid="{00000000-0005-0000-0000-00000D000000}"/>
    <cellStyle name="TitleLines_Gen" xfId="4" xr:uid="{00000000-0005-0000-0000-00000E000000}"/>
  </cellStyles>
  <dxfs count="5">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AC1FF"/>
      <rgbColor rgb="00F8C807"/>
      <rgbColor rgb="00FF00FF"/>
      <rgbColor rgb="0099FF33"/>
      <rgbColor rgb="00FF0000"/>
      <rgbColor rgb="0007FFD7"/>
      <rgbColor rgb="00007297"/>
      <rgbColor rgb="004B9700"/>
      <rgbColor rgb="00987A03"/>
      <rgbColor rgb="008C008C"/>
      <rgbColor rgb="00A00000"/>
      <rgbColor rgb="00009D86"/>
      <rgbColor rgb="002851A4"/>
      <rgbColor rgb="00A40029"/>
      <rgbColor rgb="00FF0000"/>
      <rgbColor rgb="0099FF33"/>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0066CC"/>
      <rgbColor rgb="00333333"/>
    </indexedColors>
    <mruColors>
      <color rgb="FFEFF6FB"/>
      <color rgb="FFC8C8C8"/>
      <color rgb="FFE1E1E1"/>
      <color rgb="FFEFF8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Berkshire Hathaway Class A Shares versus S&amp;P 500 Index over 39 Years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lineChart>
        <c:grouping val="standard"/>
        <c:varyColors val="0"/>
        <c:ser>
          <c:idx val="0"/>
          <c:order val="0"/>
          <c:tx>
            <c:strRef>
              <c:f>'BRKA SP500 1976 to today'!$G$16</c:f>
              <c:strCache>
                <c:ptCount val="1"/>
                <c:pt idx="0">
                  <c:v>(INDEX) Berkshire Hathaway Inc. Class A - Price</c:v>
                </c:pt>
              </c:strCache>
            </c:strRef>
          </c:tx>
          <c:spPr>
            <a:ln w="28575" cap="rnd">
              <a:solidFill>
                <a:schemeClr val="accent1"/>
              </a:solidFill>
              <a:round/>
            </a:ln>
            <a:effectLst>
              <a:outerShdw blurRad="50800" dist="63500" dir="5400000" algn="ctr" rotWithShape="0">
                <a:srgbClr val="000000">
                  <a:alpha val="2000"/>
                </a:srgbClr>
              </a:outerShdw>
            </a:effectLst>
          </c:spPr>
          <c:marker>
            <c:symbol val="none"/>
          </c:marker>
          <c:cat>
            <c:numRef>
              <c:f>'BRKA SP500 1976 to today'!$F$17:$F$485</c:f>
              <c:numCache>
                <c:formatCode>mm/dd/yy</c:formatCode>
                <c:ptCount val="469"/>
                <c:pt idx="0">
                  <c:v>28033</c:v>
                </c:pt>
                <c:pt idx="1">
                  <c:v>28064</c:v>
                </c:pt>
                <c:pt idx="2">
                  <c:v>28094</c:v>
                </c:pt>
                <c:pt idx="3">
                  <c:v>28125</c:v>
                </c:pt>
                <c:pt idx="4">
                  <c:v>28156</c:v>
                </c:pt>
                <c:pt idx="5">
                  <c:v>28184</c:v>
                </c:pt>
                <c:pt idx="6">
                  <c:v>28215</c:v>
                </c:pt>
                <c:pt idx="7">
                  <c:v>28245</c:v>
                </c:pt>
                <c:pt idx="8">
                  <c:v>28276</c:v>
                </c:pt>
                <c:pt idx="9">
                  <c:v>28306</c:v>
                </c:pt>
                <c:pt idx="10">
                  <c:v>28337</c:v>
                </c:pt>
                <c:pt idx="11">
                  <c:v>28368</c:v>
                </c:pt>
                <c:pt idx="12">
                  <c:v>28398</c:v>
                </c:pt>
                <c:pt idx="13">
                  <c:v>28429</c:v>
                </c:pt>
                <c:pt idx="14">
                  <c:v>28459</c:v>
                </c:pt>
                <c:pt idx="15">
                  <c:v>28490</c:v>
                </c:pt>
                <c:pt idx="16">
                  <c:v>28521</c:v>
                </c:pt>
                <c:pt idx="17">
                  <c:v>28549</c:v>
                </c:pt>
                <c:pt idx="18">
                  <c:v>28580</c:v>
                </c:pt>
                <c:pt idx="19">
                  <c:v>28610</c:v>
                </c:pt>
                <c:pt idx="20">
                  <c:v>28641</c:v>
                </c:pt>
                <c:pt idx="21">
                  <c:v>28671</c:v>
                </c:pt>
                <c:pt idx="22">
                  <c:v>28702</c:v>
                </c:pt>
                <c:pt idx="23">
                  <c:v>28733</c:v>
                </c:pt>
                <c:pt idx="24">
                  <c:v>28763</c:v>
                </c:pt>
                <c:pt idx="25">
                  <c:v>28794</c:v>
                </c:pt>
                <c:pt idx="26">
                  <c:v>28824</c:v>
                </c:pt>
                <c:pt idx="27">
                  <c:v>28855</c:v>
                </c:pt>
                <c:pt idx="28">
                  <c:v>28886</c:v>
                </c:pt>
                <c:pt idx="29">
                  <c:v>28914</c:v>
                </c:pt>
                <c:pt idx="30">
                  <c:v>28945</c:v>
                </c:pt>
                <c:pt idx="31">
                  <c:v>28975</c:v>
                </c:pt>
                <c:pt idx="32">
                  <c:v>29006</c:v>
                </c:pt>
                <c:pt idx="33">
                  <c:v>29036</c:v>
                </c:pt>
                <c:pt idx="34">
                  <c:v>29067</c:v>
                </c:pt>
                <c:pt idx="35">
                  <c:v>29098</c:v>
                </c:pt>
                <c:pt idx="36">
                  <c:v>29128</c:v>
                </c:pt>
                <c:pt idx="37">
                  <c:v>29159</c:v>
                </c:pt>
                <c:pt idx="38">
                  <c:v>29189</c:v>
                </c:pt>
                <c:pt idx="39">
                  <c:v>29220</c:v>
                </c:pt>
                <c:pt idx="40">
                  <c:v>29251</c:v>
                </c:pt>
                <c:pt idx="41">
                  <c:v>29280</c:v>
                </c:pt>
                <c:pt idx="42">
                  <c:v>29311</c:v>
                </c:pt>
                <c:pt idx="43">
                  <c:v>29341</c:v>
                </c:pt>
                <c:pt idx="44">
                  <c:v>29372</c:v>
                </c:pt>
                <c:pt idx="45">
                  <c:v>29402</c:v>
                </c:pt>
                <c:pt idx="46">
                  <c:v>29433</c:v>
                </c:pt>
                <c:pt idx="47">
                  <c:v>29464</c:v>
                </c:pt>
                <c:pt idx="48">
                  <c:v>29494</c:v>
                </c:pt>
                <c:pt idx="49">
                  <c:v>29525</c:v>
                </c:pt>
                <c:pt idx="50">
                  <c:v>29555</c:v>
                </c:pt>
                <c:pt idx="51">
                  <c:v>29586</c:v>
                </c:pt>
                <c:pt idx="52">
                  <c:v>29617</c:v>
                </c:pt>
                <c:pt idx="53">
                  <c:v>29645</c:v>
                </c:pt>
                <c:pt idx="54">
                  <c:v>29676</c:v>
                </c:pt>
                <c:pt idx="55">
                  <c:v>29706</c:v>
                </c:pt>
                <c:pt idx="56">
                  <c:v>29737</c:v>
                </c:pt>
                <c:pt idx="57">
                  <c:v>29767</c:v>
                </c:pt>
                <c:pt idx="58">
                  <c:v>29798</c:v>
                </c:pt>
                <c:pt idx="59">
                  <c:v>29829</c:v>
                </c:pt>
                <c:pt idx="60">
                  <c:v>29859</c:v>
                </c:pt>
                <c:pt idx="61">
                  <c:v>29890</c:v>
                </c:pt>
                <c:pt idx="62">
                  <c:v>29920</c:v>
                </c:pt>
                <c:pt idx="63">
                  <c:v>29951</c:v>
                </c:pt>
                <c:pt idx="64">
                  <c:v>29982</c:v>
                </c:pt>
                <c:pt idx="65">
                  <c:v>30010</c:v>
                </c:pt>
                <c:pt idx="66">
                  <c:v>30041</c:v>
                </c:pt>
                <c:pt idx="67">
                  <c:v>30071</c:v>
                </c:pt>
                <c:pt idx="68">
                  <c:v>30102</c:v>
                </c:pt>
                <c:pt idx="69">
                  <c:v>30132</c:v>
                </c:pt>
                <c:pt idx="70">
                  <c:v>30163</c:v>
                </c:pt>
                <c:pt idx="71">
                  <c:v>30194</c:v>
                </c:pt>
                <c:pt idx="72">
                  <c:v>30224</c:v>
                </c:pt>
                <c:pt idx="73">
                  <c:v>30255</c:v>
                </c:pt>
                <c:pt idx="74">
                  <c:v>30285</c:v>
                </c:pt>
                <c:pt idx="75">
                  <c:v>30316</c:v>
                </c:pt>
                <c:pt idx="76">
                  <c:v>30347</c:v>
                </c:pt>
                <c:pt idx="77">
                  <c:v>30375</c:v>
                </c:pt>
                <c:pt idx="78">
                  <c:v>30406</c:v>
                </c:pt>
                <c:pt idx="79">
                  <c:v>30436</c:v>
                </c:pt>
                <c:pt idx="80">
                  <c:v>30467</c:v>
                </c:pt>
                <c:pt idx="81">
                  <c:v>30497</c:v>
                </c:pt>
                <c:pt idx="82">
                  <c:v>30528</c:v>
                </c:pt>
                <c:pt idx="83">
                  <c:v>30559</c:v>
                </c:pt>
                <c:pt idx="84">
                  <c:v>30589</c:v>
                </c:pt>
                <c:pt idx="85">
                  <c:v>30620</c:v>
                </c:pt>
                <c:pt idx="86">
                  <c:v>30650</c:v>
                </c:pt>
                <c:pt idx="87">
                  <c:v>30681</c:v>
                </c:pt>
                <c:pt idx="88">
                  <c:v>30712</c:v>
                </c:pt>
                <c:pt idx="89">
                  <c:v>30741</c:v>
                </c:pt>
                <c:pt idx="90">
                  <c:v>30772</c:v>
                </c:pt>
                <c:pt idx="91">
                  <c:v>30802</c:v>
                </c:pt>
                <c:pt idx="92">
                  <c:v>30833</c:v>
                </c:pt>
                <c:pt idx="93">
                  <c:v>30863</c:v>
                </c:pt>
                <c:pt idx="94">
                  <c:v>30894</c:v>
                </c:pt>
                <c:pt idx="95">
                  <c:v>30925</c:v>
                </c:pt>
                <c:pt idx="96">
                  <c:v>30955</c:v>
                </c:pt>
                <c:pt idx="97">
                  <c:v>30986</c:v>
                </c:pt>
                <c:pt idx="98">
                  <c:v>31016</c:v>
                </c:pt>
                <c:pt idx="99">
                  <c:v>31047</c:v>
                </c:pt>
                <c:pt idx="100">
                  <c:v>31078</c:v>
                </c:pt>
                <c:pt idx="101">
                  <c:v>31106</c:v>
                </c:pt>
                <c:pt idx="102">
                  <c:v>31137</c:v>
                </c:pt>
                <c:pt idx="103">
                  <c:v>31167</c:v>
                </c:pt>
                <c:pt idx="104">
                  <c:v>31198</c:v>
                </c:pt>
                <c:pt idx="105">
                  <c:v>31228</c:v>
                </c:pt>
                <c:pt idx="106">
                  <c:v>31259</c:v>
                </c:pt>
                <c:pt idx="107">
                  <c:v>31290</c:v>
                </c:pt>
                <c:pt idx="108">
                  <c:v>31320</c:v>
                </c:pt>
                <c:pt idx="109">
                  <c:v>31351</c:v>
                </c:pt>
                <c:pt idx="110">
                  <c:v>31381</c:v>
                </c:pt>
                <c:pt idx="111">
                  <c:v>31412</c:v>
                </c:pt>
                <c:pt idx="112">
                  <c:v>31443</c:v>
                </c:pt>
                <c:pt idx="113">
                  <c:v>31471</c:v>
                </c:pt>
                <c:pt idx="114">
                  <c:v>31502</c:v>
                </c:pt>
                <c:pt idx="115">
                  <c:v>31532</c:v>
                </c:pt>
                <c:pt idx="116">
                  <c:v>31563</c:v>
                </c:pt>
                <c:pt idx="117">
                  <c:v>31593</c:v>
                </c:pt>
                <c:pt idx="118">
                  <c:v>31624</c:v>
                </c:pt>
                <c:pt idx="119">
                  <c:v>31655</c:v>
                </c:pt>
                <c:pt idx="120">
                  <c:v>31685</c:v>
                </c:pt>
                <c:pt idx="121">
                  <c:v>31716</c:v>
                </c:pt>
                <c:pt idx="122">
                  <c:v>31746</c:v>
                </c:pt>
                <c:pt idx="123">
                  <c:v>31777</c:v>
                </c:pt>
                <c:pt idx="124">
                  <c:v>31808</c:v>
                </c:pt>
                <c:pt idx="125">
                  <c:v>31836</c:v>
                </c:pt>
                <c:pt idx="126">
                  <c:v>31867</c:v>
                </c:pt>
                <c:pt idx="127">
                  <c:v>31897</c:v>
                </c:pt>
                <c:pt idx="128">
                  <c:v>31928</c:v>
                </c:pt>
                <c:pt idx="129">
                  <c:v>31958</c:v>
                </c:pt>
                <c:pt idx="130">
                  <c:v>31989</c:v>
                </c:pt>
                <c:pt idx="131">
                  <c:v>32020</c:v>
                </c:pt>
                <c:pt idx="132">
                  <c:v>32050</c:v>
                </c:pt>
                <c:pt idx="133">
                  <c:v>32081</c:v>
                </c:pt>
                <c:pt idx="134">
                  <c:v>32111</c:v>
                </c:pt>
                <c:pt idx="135">
                  <c:v>32142</c:v>
                </c:pt>
                <c:pt idx="136">
                  <c:v>32173</c:v>
                </c:pt>
                <c:pt idx="137">
                  <c:v>32202</c:v>
                </c:pt>
                <c:pt idx="138">
                  <c:v>32233</c:v>
                </c:pt>
                <c:pt idx="139">
                  <c:v>32263</c:v>
                </c:pt>
                <c:pt idx="140">
                  <c:v>32294</c:v>
                </c:pt>
                <c:pt idx="141">
                  <c:v>32324</c:v>
                </c:pt>
                <c:pt idx="142">
                  <c:v>32355</c:v>
                </c:pt>
                <c:pt idx="143">
                  <c:v>32386</c:v>
                </c:pt>
                <c:pt idx="144">
                  <c:v>32416</c:v>
                </c:pt>
                <c:pt idx="145">
                  <c:v>32447</c:v>
                </c:pt>
                <c:pt idx="146">
                  <c:v>32477</c:v>
                </c:pt>
                <c:pt idx="147">
                  <c:v>32508</c:v>
                </c:pt>
                <c:pt idx="148">
                  <c:v>32539</c:v>
                </c:pt>
                <c:pt idx="149">
                  <c:v>32567</c:v>
                </c:pt>
                <c:pt idx="150">
                  <c:v>32598</c:v>
                </c:pt>
                <c:pt idx="151">
                  <c:v>32628</c:v>
                </c:pt>
                <c:pt idx="152">
                  <c:v>32659</c:v>
                </c:pt>
                <c:pt idx="153">
                  <c:v>32689</c:v>
                </c:pt>
                <c:pt idx="154">
                  <c:v>32720</c:v>
                </c:pt>
                <c:pt idx="155">
                  <c:v>32751</c:v>
                </c:pt>
                <c:pt idx="156">
                  <c:v>32781</c:v>
                </c:pt>
                <c:pt idx="157">
                  <c:v>32812</c:v>
                </c:pt>
                <c:pt idx="158">
                  <c:v>32842</c:v>
                </c:pt>
                <c:pt idx="159">
                  <c:v>32873</c:v>
                </c:pt>
                <c:pt idx="160">
                  <c:v>32904</c:v>
                </c:pt>
                <c:pt idx="161">
                  <c:v>32932</c:v>
                </c:pt>
                <c:pt idx="162">
                  <c:v>32963</c:v>
                </c:pt>
                <c:pt idx="163">
                  <c:v>32993</c:v>
                </c:pt>
                <c:pt idx="164">
                  <c:v>33024</c:v>
                </c:pt>
                <c:pt idx="165">
                  <c:v>33054</c:v>
                </c:pt>
                <c:pt idx="166">
                  <c:v>33085</c:v>
                </c:pt>
                <c:pt idx="167">
                  <c:v>33116</c:v>
                </c:pt>
                <c:pt idx="168">
                  <c:v>33146</c:v>
                </c:pt>
                <c:pt idx="169">
                  <c:v>33177</c:v>
                </c:pt>
                <c:pt idx="170">
                  <c:v>33207</c:v>
                </c:pt>
                <c:pt idx="171">
                  <c:v>33238</c:v>
                </c:pt>
                <c:pt idx="172">
                  <c:v>33269</c:v>
                </c:pt>
                <c:pt idx="173">
                  <c:v>33297</c:v>
                </c:pt>
                <c:pt idx="174">
                  <c:v>33328</c:v>
                </c:pt>
                <c:pt idx="175">
                  <c:v>33358</c:v>
                </c:pt>
                <c:pt idx="176">
                  <c:v>33389</c:v>
                </c:pt>
                <c:pt idx="177">
                  <c:v>33419</c:v>
                </c:pt>
                <c:pt idx="178">
                  <c:v>33450</c:v>
                </c:pt>
                <c:pt idx="179">
                  <c:v>33481</c:v>
                </c:pt>
                <c:pt idx="180">
                  <c:v>33511</c:v>
                </c:pt>
                <c:pt idx="181">
                  <c:v>33542</c:v>
                </c:pt>
                <c:pt idx="182">
                  <c:v>33572</c:v>
                </c:pt>
                <c:pt idx="183">
                  <c:v>33603</c:v>
                </c:pt>
                <c:pt idx="184">
                  <c:v>33634</c:v>
                </c:pt>
                <c:pt idx="185">
                  <c:v>33663</c:v>
                </c:pt>
                <c:pt idx="186">
                  <c:v>33694</c:v>
                </c:pt>
                <c:pt idx="187">
                  <c:v>33724</c:v>
                </c:pt>
                <c:pt idx="188">
                  <c:v>33755</c:v>
                </c:pt>
                <c:pt idx="189">
                  <c:v>33785</c:v>
                </c:pt>
                <c:pt idx="190">
                  <c:v>33816</c:v>
                </c:pt>
                <c:pt idx="191">
                  <c:v>33847</c:v>
                </c:pt>
                <c:pt idx="192">
                  <c:v>33877</c:v>
                </c:pt>
                <c:pt idx="193">
                  <c:v>33908</c:v>
                </c:pt>
                <c:pt idx="194">
                  <c:v>33938</c:v>
                </c:pt>
                <c:pt idx="195">
                  <c:v>33969</c:v>
                </c:pt>
                <c:pt idx="196">
                  <c:v>34000</c:v>
                </c:pt>
                <c:pt idx="197">
                  <c:v>34028</c:v>
                </c:pt>
                <c:pt idx="198">
                  <c:v>34059</c:v>
                </c:pt>
                <c:pt idx="199">
                  <c:v>34089</c:v>
                </c:pt>
                <c:pt idx="200">
                  <c:v>34120</c:v>
                </c:pt>
                <c:pt idx="201">
                  <c:v>34150</c:v>
                </c:pt>
                <c:pt idx="202">
                  <c:v>34181</c:v>
                </c:pt>
                <c:pt idx="203">
                  <c:v>34212</c:v>
                </c:pt>
                <c:pt idx="204">
                  <c:v>34242</c:v>
                </c:pt>
                <c:pt idx="205">
                  <c:v>34273</c:v>
                </c:pt>
                <c:pt idx="206">
                  <c:v>34303</c:v>
                </c:pt>
                <c:pt idx="207">
                  <c:v>34334</c:v>
                </c:pt>
                <c:pt idx="208">
                  <c:v>34365</c:v>
                </c:pt>
                <c:pt idx="209">
                  <c:v>34393</c:v>
                </c:pt>
                <c:pt idx="210">
                  <c:v>34424</c:v>
                </c:pt>
                <c:pt idx="211">
                  <c:v>34454</c:v>
                </c:pt>
                <c:pt idx="212">
                  <c:v>34485</c:v>
                </c:pt>
                <c:pt idx="213">
                  <c:v>34515</c:v>
                </c:pt>
                <c:pt idx="214">
                  <c:v>34546</c:v>
                </c:pt>
                <c:pt idx="215">
                  <c:v>34577</c:v>
                </c:pt>
                <c:pt idx="216">
                  <c:v>34607</c:v>
                </c:pt>
                <c:pt idx="217">
                  <c:v>34638</c:v>
                </c:pt>
                <c:pt idx="218">
                  <c:v>34668</c:v>
                </c:pt>
                <c:pt idx="219">
                  <c:v>34699</c:v>
                </c:pt>
                <c:pt idx="220">
                  <c:v>34730</c:v>
                </c:pt>
                <c:pt idx="221">
                  <c:v>34758</c:v>
                </c:pt>
                <c:pt idx="222">
                  <c:v>34789</c:v>
                </c:pt>
                <c:pt idx="223">
                  <c:v>34819</c:v>
                </c:pt>
                <c:pt idx="224">
                  <c:v>34850</c:v>
                </c:pt>
                <c:pt idx="225">
                  <c:v>34880</c:v>
                </c:pt>
                <c:pt idx="226">
                  <c:v>34911</c:v>
                </c:pt>
                <c:pt idx="227">
                  <c:v>34942</c:v>
                </c:pt>
                <c:pt idx="228">
                  <c:v>34972</c:v>
                </c:pt>
                <c:pt idx="229">
                  <c:v>35003</c:v>
                </c:pt>
                <c:pt idx="230">
                  <c:v>35033</c:v>
                </c:pt>
                <c:pt idx="231">
                  <c:v>35064</c:v>
                </c:pt>
                <c:pt idx="232">
                  <c:v>35095</c:v>
                </c:pt>
                <c:pt idx="233">
                  <c:v>35124</c:v>
                </c:pt>
                <c:pt idx="234">
                  <c:v>35155</c:v>
                </c:pt>
                <c:pt idx="235">
                  <c:v>35185</c:v>
                </c:pt>
                <c:pt idx="236">
                  <c:v>35216</c:v>
                </c:pt>
                <c:pt idx="237">
                  <c:v>35246</c:v>
                </c:pt>
                <c:pt idx="238">
                  <c:v>35277</c:v>
                </c:pt>
                <c:pt idx="239">
                  <c:v>35308</c:v>
                </c:pt>
                <c:pt idx="240">
                  <c:v>35338</c:v>
                </c:pt>
                <c:pt idx="241">
                  <c:v>35369</c:v>
                </c:pt>
                <c:pt idx="242">
                  <c:v>35399</c:v>
                </c:pt>
                <c:pt idx="243">
                  <c:v>35430</c:v>
                </c:pt>
                <c:pt idx="244">
                  <c:v>35461</c:v>
                </c:pt>
                <c:pt idx="245">
                  <c:v>35489</c:v>
                </c:pt>
                <c:pt idx="246">
                  <c:v>35520</c:v>
                </c:pt>
                <c:pt idx="247">
                  <c:v>35550</c:v>
                </c:pt>
                <c:pt idx="248">
                  <c:v>35581</c:v>
                </c:pt>
                <c:pt idx="249">
                  <c:v>35611</c:v>
                </c:pt>
                <c:pt idx="250">
                  <c:v>35642</c:v>
                </c:pt>
                <c:pt idx="251">
                  <c:v>35673</c:v>
                </c:pt>
                <c:pt idx="252">
                  <c:v>35703</c:v>
                </c:pt>
                <c:pt idx="253">
                  <c:v>35734</c:v>
                </c:pt>
                <c:pt idx="254">
                  <c:v>35764</c:v>
                </c:pt>
                <c:pt idx="255">
                  <c:v>35795</c:v>
                </c:pt>
                <c:pt idx="256">
                  <c:v>35826</c:v>
                </c:pt>
                <c:pt idx="257">
                  <c:v>35854</c:v>
                </c:pt>
                <c:pt idx="258">
                  <c:v>35885</c:v>
                </c:pt>
                <c:pt idx="259">
                  <c:v>35915</c:v>
                </c:pt>
                <c:pt idx="260">
                  <c:v>35946</c:v>
                </c:pt>
                <c:pt idx="261">
                  <c:v>35976</c:v>
                </c:pt>
                <c:pt idx="262">
                  <c:v>36007</c:v>
                </c:pt>
                <c:pt idx="263">
                  <c:v>36038</c:v>
                </c:pt>
                <c:pt idx="264">
                  <c:v>36068</c:v>
                </c:pt>
                <c:pt idx="265">
                  <c:v>36099</c:v>
                </c:pt>
                <c:pt idx="266">
                  <c:v>36129</c:v>
                </c:pt>
                <c:pt idx="267">
                  <c:v>36160</c:v>
                </c:pt>
                <c:pt idx="268">
                  <c:v>36191</c:v>
                </c:pt>
                <c:pt idx="269">
                  <c:v>36219</c:v>
                </c:pt>
                <c:pt idx="270">
                  <c:v>36250</c:v>
                </c:pt>
                <c:pt idx="271">
                  <c:v>36280</c:v>
                </c:pt>
                <c:pt idx="272">
                  <c:v>36311</c:v>
                </c:pt>
                <c:pt idx="273">
                  <c:v>36341</c:v>
                </c:pt>
                <c:pt idx="274">
                  <c:v>36372</c:v>
                </c:pt>
                <c:pt idx="275">
                  <c:v>36403</c:v>
                </c:pt>
                <c:pt idx="276">
                  <c:v>36433</c:v>
                </c:pt>
                <c:pt idx="277">
                  <c:v>36464</c:v>
                </c:pt>
                <c:pt idx="278">
                  <c:v>36494</c:v>
                </c:pt>
                <c:pt idx="279">
                  <c:v>36525</c:v>
                </c:pt>
                <c:pt idx="280">
                  <c:v>36556</c:v>
                </c:pt>
                <c:pt idx="281">
                  <c:v>36585</c:v>
                </c:pt>
                <c:pt idx="282">
                  <c:v>36616</c:v>
                </c:pt>
                <c:pt idx="283">
                  <c:v>36646</c:v>
                </c:pt>
                <c:pt idx="284">
                  <c:v>36677</c:v>
                </c:pt>
                <c:pt idx="285">
                  <c:v>36707</c:v>
                </c:pt>
                <c:pt idx="286">
                  <c:v>36738</c:v>
                </c:pt>
                <c:pt idx="287">
                  <c:v>36769</c:v>
                </c:pt>
                <c:pt idx="288">
                  <c:v>36799</c:v>
                </c:pt>
                <c:pt idx="289">
                  <c:v>36830</c:v>
                </c:pt>
                <c:pt idx="290">
                  <c:v>36860</c:v>
                </c:pt>
                <c:pt idx="291">
                  <c:v>36891</c:v>
                </c:pt>
                <c:pt idx="292">
                  <c:v>36922</c:v>
                </c:pt>
                <c:pt idx="293">
                  <c:v>36950</c:v>
                </c:pt>
                <c:pt idx="294">
                  <c:v>36981</c:v>
                </c:pt>
                <c:pt idx="295">
                  <c:v>37011</c:v>
                </c:pt>
                <c:pt idx="296">
                  <c:v>37042</c:v>
                </c:pt>
                <c:pt idx="297">
                  <c:v>37072</c:v>
                </c:pt>
                <c:pt idx="298">
                  <c:v>37103</c:v>
                </c:pt>
                <c:pt idx="299">
                  <c:v>37134</c:v>
                </c:pt>
                <c:pt idx="300">
                  <c:v>37164</c:v>
                </c:pt>
                <c:pt idx="301">
                  <c:v>37195</c:v>
                </c:pt>
                <c:pt idx="302">
                  <c:v>37225</c:v>
                </c:pt>
                <c:pt idx="303">
                  <c:v>37256</c:v>
                </c:pt>
                <c:pt idx="304">
                  <c:v>37287</c:v>
                </c:pt>
                <c:pt idx="305">
                  <c:v>37315</c:v>
                </c:pt>
                <c:pt idx="306">
                  <c:v>37346</c:v>
                </c:pt>
                <c:pt idx="307">
                  <c:v>37376</c:v>
                </c:pt>
                <c:pt idx="308">
                  <c:v>37407</c:v>
                </c:pt>
                <c:pt idx="309">
                  <c:v>37437</c:v>
                </c:pt>
                <c:pt idx="310">
                  <c:v>37468</c:v>
                </c:pt>
                <c:pt idx="311">
                  <c:v>37499</c:v>
                </c:pt>
                <c:pt idx="312">
                  <c:v>37529</c:v>
                </c:pt>
                <c:pt idx="313">
                  <c:v>37560</c:v>
                </c:pt>
                <c:pt idx="314">
                  <c:v>37590</c:v>
                </c:pt>
                <c:pt idx="315">
                  <c:v>37621</c:v>
                </c:pt>
                <c:pt idx="316">
                  <c:v>37652</c:v>
                </c:pt>
                <c:pt idx="317">
                  <c:v>37680</c:v>
                </c:pt>
                <c:pt idx="318">
                  <c:v>37711</c:v>
                </c:pt>
                <c:pt idx="319">
                  <c:v>37741</c:v>
                </c:pt>
                <c:pt idx="320">
                  <c:v>37772</c:v>
                </c:pt>
                <c:pt idx="321">
                  <c:v>37802</c:v>
                </c:pt>
                <c:pt idx="322">
                  <c:v>37833</c:v>
                </c:pt>
                <c:pt idx="323">
                  <c:v>37864</c:v>
                </c:pt>
                <c:pt idx="324">
                  <c:v>37894</c:v>
                </c:pt>
                <c:pt idx="325">
                  <c:v>37925</c:v>
                </c:pt>
                <c:pt idx="326">
                  <c:v>37955</c:v>
                </c:pt>
                <c:pt idx="327">
                  <c:v>37986</c:v>
                </c:pt>
                <c:pt idx="328">
                  <c:v>38017</c:v>
                </c:pt>
                <c:pt idx="329">
                  <c:v>38046</c:v>
                </c:pt>
                <c:pt idx="330">
                  <c:v>38077</c:v>
                </c:pt>
                <c:pt idx="331">
                  <c:v>38107</c:v>
                </c:pt>
                <c:pt idx="332">
                  <c:v>38138</c:v>
                </c:pt>
                <c:pt idx="333">
                  <c:v>38168</c:v>
                </c:pt>
                <c:pt idx="334">
                  <c:v>38199</c:v>
                </c:pt>
                <c:pt idx="335">
                  <c:v>38230</c:v>
                </c:pt>
                <c:pt idx="336">
                  <c:v>38260</c:v>
                </c:pt>
                <c:pt idx="337">
                  <c:v>38291</c:v>
                </c:pt>
                <c:pt idx="338">
                  <c:v>38321</c:v>
                </c:pt>
                <c:pt idx="339">
                  <c:v>38352</c:v>
                </c:pt>
                <c:pt idx="340">
                  <c:v>38383</c:v>
                </c:pt>
                <c:pt idx="341">
                  <c:v>38411</c:v>
                </c:pt>
                <c:pt idx="342">
                  <c:v>38442</c:v>
                </c:pt>
                <c:pt idx="343">
                  <c:v>38472</c:v>
                </c:pt>
                <c:pt idx="344">
                  <c:v>38503</c:v>
                </c:pt>
                <c:pt idx="345">
                  <c:v>38533</c:v>
                </c:pt>
                <c:pt idx="346">
                  <c:v>38564</c:v>
                </c:pt>
                <c:pt idx="347">
                  <c:v>38595</c:v>
                </c:pt>
                <c:pt idx="348">
                  <c:v>38625</c:v>
                </c:pt>
                <c:pt idx="349">
                  <c:v>38656</c:v>
                </c:pt>
                <c:pt idx="350">
                  <c:v>38686</c:v>
                </c:pt>
                <c:pt idx="351">
                  <c:v>38717</c:v>
                </c:pt>
                <c:pt idx="352">
                  <c:v>38748</c:v>
                </c:pt>
                <c:pt idx="353">
                  <c:v>38776</c:v>
                </c:pt>
                <c:pt idx="354">
                  <c:v>38807</c:v>
                </c:pt>
                <c:pt idx="355">
                  <c:v>38837</c:v>
                </c:pt>
                <c:pt idx="356">
                  <c:v>38868</c:v>
                </c:pt>
                <c:pt idx="357">
                  <c:v>38898</c:v>
                </c:pt>
                <c:pt idx="358">
                  <c:v>38929</c:v>
                </c:pt>
                <c:pt idx="359">
                  <c:v>38960</c:v>
                </c:pt>
                <c:pt idx="360">
                  <c:v>38990</c:v>
                </c:pt>
                <c:pt idx="361">
                  <c:v>39021</c:v>
                </c:pt>
                <c:pt idx="362">
                  <c:v>39051</c:v>
                </c:pt>
                <c:pt idx="363">
                  <c:v>39082</c:v>
                </c:pt>
                <c:pt idx="364">
                  <c:v>39113</c:v>
                </c:pt>
                <c:pt idx="365">
                  <c:v>39141</c:v>
                </c:pt>
                <c:pt idx="366">
                  <c:v>39172</c:v>
                </c:pt>
                <c:pt idx="367">
                  <c:v>39202</c:v>
                </c:pt>
                <c:pt idx="368">
                  <c:v>39233</c:v>
                </c:pt>
                <c:pt idx="369">
                  <c:v>39263</c:v>
                </c:pt>
                <c:pt idx="370">
                  <c:v>39294</c:v>
                </c:pt>
                <c:pt idx="371">
                  <c:v>39325</c:v>
                </c:pt>
                <c:pt idx="372">
                  <c:v>39355</c:v>
                </c:pt>
                <c:pt idx="373">
                  <c:v>39386</c:v>
                </c:pt>
                <c:pt idx="374">
                  <c:v>39416</c:v>
                </c:pt>
                <c:pt idx="375">
                  <c:v>39447</c:v>
                </c:pt>
                <c:pt idx="376">
                  <c:v>39478</c:v>
                </c:pt>
                <c:pt idx="377">
                  <c:v>39507</c:v>
                </c:pt>
                <c:pt idx="378">
                  <c:v>39538</c:v>
                </c:pt>
                <c:pt idx="379">
                  <c:v>39568</c:v>
                </c:pt>
                <c:pt idx="380">
                  <c:v>39599</c:v>
                </c:pt>
                <c:pt idx="381">
                  <c:v>39629</c:v>
                </c:pt>
                <c:pt idx="382">
                  <c:v>39660</c:v>
                </c:pt>
                <c:pt idx="383">
                  <c:v>39691</c:v>
                </c:pt>
                <c:pt idx="384">
                  <c:v>39721</c:v>
                </c:pt>
                <c:pt idx="385">
                  <c:v>39752</c:v>
                </c:pt>
                <c:pt idx="386">
                  <c:v>39782</c:v>
                </c:pt>
                <c:pt idx="387">
                  <c:v>39813</c:v>
                </c:pt>
                <c:pt idx="388">
                  <c:v>39844</c:v>
                </c:pt>
                <c:pt idx="389">
                  <c:v>39872</c:v>
                </c:pt>
                <c:pt idx="390">
                  <c:v>39903</c:v>
                </c:pt>
                <c:pt idx="391">
                  <c:v>39933</c:v>
                </c:pt>
                <c:pt idx="392">
                  <c:v>39964</c:v>
                </c:pt>
                <c:pt idx="393">
                  <c:v>39994</c:v>
                </c:pt>
                <c:pt idx="394">
                  <c:v>40025</c:v>
                </c:pt>
                <c:pt idx="395">
                  <c:v>40056</c:v>
                </c:pt>
                <c:pt idx="396">
                  <c:v>40086</c:v>
                </c:pt>
                <c:pt idx="397">
                  <c:v>40117</c:v>
                </c:pt>
                <c:pt idx="398">
                  <c:v>40147</c:v>
                </c:pt>
                <c:pt idx="399">
                  <c:v>40178</c:v>
                </c:pt>
                <c:pt idx="400">
                  <c:v>40209</c:v>
                </c:pt>
                <c:pt idx="401">
                  <c:v>40237</c:v>
                </c:pt>
                <c:pt idx="402">
                  <c:v>40268</c:v>
                </c:pt>
                <c:pt idx="403">
                  <c:v>40298</c:v>
                </c:pt>
                <c:pt idx="404">
                  <c:v>40329</c:v>
                </c:pt>
                <c:pt idx="405">
                  <c:v>40359</c:v>
                </c:pt>
                <c:pt idx="406">
                  <c:v>40390</c:v>
                </c:pt>
                <c:pt idx="407">
                  <c:v>40421</c:v>
                </c:pt>
                <c:pt idx="408">
                  <c:v>40451</c:v>
                </c:pt>
                <c:pt idx="409">
                  <c:v>40482</c:v>
                </c:pt>
                <c:pt idx="410">
                  <c:v>40512</c:v>
                </c:pt>
                <c:pt idx="411">
                  <c:v>40543</c:v>
                </c:pt>
                <c:pt idx="412">
                  <c:v>40574</c:v>
                </c:pt>
                <c:pt idx="413">
                  <c:v>40602</c:v>
                </c:pt>
                <c:pt idx="414">
                  <c:v>40633</c:v>
                </c:pt>
                <c:pt idx="415">
                  <c:v>40663</c:v>
                </c:pt>
                <c:pt idx="416">
                  <c:v>40694</c:v>
                </c:pt>
                <c:pt idx="417">
                  <c:v>40724</c:v>
                </c:pt>
                <c:pt idx="418">
                  <c:v>40755</c:v>
                </c:pt>
                <c:pt idx="419">
                  <c:v>40786</c:v>
                </c:pt>
                <c:pt idx="420">
                  <c:v>40816</c:v>
                </c:pt>
                <c:pt idx="421">
                  <c:v>40847</c:v>
                </c:pt>
                <c:pt idx="422">
                  <c:v>40877</c:v>
                </c:pt>
                <c:pt idx="423">
                  <c:v>40908</c:v>
                </c:pt>
                <c:pt idx="424">
                  <c:v>40939</c:v>
                </c:pt>
                <c:pt idx="425">
                  <c:v>40968</c:v>
                </c:pt>
                <c:pt idx="426">
                  <c:v>40999</c:v>
                </c:pt>
                <c:pt idx="427">
                  <c:v>41029</c:v>
                </c:pt>
                <c:pt idx="428">
                  <c:v>41060</c:v>
                </c:pt>
                <c:pt idx="429">
                  <c:v>41090</c:v>
                </c:pt>
                <c:pt idx="430">
                  <c:v>41121</c:v>
                </c:pt>
                <c:pt idx="431">
                  <c:v>41152</c:v>
                </c:pt>
                <c:pt idx="432">
                  <c:v>41182</c:v>
                </c:pt>
                <c:pt idx="433">
                  <c:v>41213</c:v>
                </c:pt>
                <c:pt idx="434">
                  <c:v>41243</c:v>
                </c:pt>
                <c:pt idx="435">
                  <c:v>41274</c:v>
                </c:pt>
                <c:pt idx="436">
                  <c:v>41305</c:v>
                </c:pt>
                <c:pt idx="437">
                  <c:v>41333</c:v>
                </c:pt>
                <c:pt idx="438">
                  <c:v>41364</c:v>
                </c:pt>
                <c:pt idx="439">
                  <c:v>41394</c:v>
                </c:pt>
                <c:pt idx="440">
                  <c:v>41425</c:v>
                </c:pt>
                <c:pt idx="441">
                  <c:v>41455</c:v>
                </c:pt>
                <c:pt idx="442">
                  <c:v>41486</c:v>
                </c:pt>
                <c:pt idx="443">
                  <c:v>41517</c:v>
                </c:pt>
                <c:pt idx="444">
                  <c:v>41547</c:v>
                </c:pt>
                <c:pt idx="445">
                  <c:v>41578</c:v>
                </c:pt>
                <c:pt idx="446">
                  <c:v>41608</c:v>
                </c:pt>
                <c:pt idx="447">
                  <c:v>41639</c:v>
                </c:pt>
                <c:pt idx="448">
                  <c:v>41670</c:v>
                </c:pt>
                <c:pt idx="449">
                  <c:v>41698</c:v>
                </c:pt>
                <c:pt idx="450">
                  <c:v>41729</c:v>
                </c:pt>
                <c:pt idx="451">
                  <c:v>41759</c:v>
                </c:pt>
                <c:pt idx="452">
                  <c:v>41790</c:v>
                </c:pt>
                <c:pt idx="453">
                  <c:v>41820</c:v>
                </c:pt>
                <c:pt idx="454">
                  <c:v>41851</c:v>
                </c:pt>
                <c:pt idx="455">
                  <c:v>41882</c:v>
                </c:pt>
                <c:pt idx="456">
                  <c:v>41912</c:v>
                </c:pt>
                <c:pt idx="457">
                  <c:v>41943</c:v>
                </c:pt>
                <c:pt idx="458">
                  <c:v>41973</c:v>
                </c:pt>
                <c:pt idx="459">
                  <c:v>42004</c:v>
                </c:pt>
                <c:pt idx="460">
                  <c:v>42035</c:v>
                </c:pt>
                <c:pt idx="461">
                  <c:v>42063</c:v>
                </c:pt>
                <c:pt idx="462">
                  <c:v>42094</c:v>
                </c:pt>
                <c:pt idx="463">
                  <c:v>42124</c:v>
                </c:pt>
                <c:pt idx="464">
                  <c:v>42155</c:v>
                </c:pt>
                <c:pt idx="465">
                  <c:v>42185</c:v>
                </c:pt>
                <c:pt idx="466">
                  <c:v>42216</c:v>
                </c:pt>
              </c:numCache>
            </c:numRef>
          </c:cat>
          <c:val>
            <c:numRef>
              <c:f>'BRKA SP500 1976 to today'!$G$17:$G$485</c:f>
              <c:numCache>
                <c:formatCode>"$"#,##0_);\("$"#,##0\);"$"#,##0_);@_)</c:formatCode>
                <c:ptCount val="469"/>
                <c:pt idx="0">
                  <c:v>100</c:v>
                </c:pt>
                <c:pt idx="1">
                  <c:v>95.714200000000005</c:v>
                </c:pt>
                <c:pt idx="2">
                  <c:v>95.714200000000005</c:v>
                </c:pt>
                <c:pt idx="3">
                  <c:v>127.142</c:v>
                </c:pt>
                <c:pt idx="4">
                  <c:v>131.428</c:v>
                </c:pt>
                <c:pt idx="5">
                  <c:v>124.285</c:v>
                </c:pt>
                <c:pt idx="6">
                  <c:v>135.714</c:v>
                </c:pt>
                <c:pt idx="7">
                  <c:v>134.285</c:v>
                </c:pt>
                <c:pt idx="8">
                  <c:v>142.857</c:v>
                </c:pt>
                <c:pt idx="9">
                  <c:v>142.857</c:v>
                </c:pt>
                <c:pt idx="10">
                  <c:v>142.857</c:v>
                </c:pt>
                <c:pt idx="11">
                  <c:v>145.714</c:v>
                </c:pt>
                <c:pt idx="12">
                  <c:v>151.428</c:v>
                </c:pt>
                <c:pt idx="13">
                  <c:v>158.571</c:v>
                </c:pt>
                <c:pt idx="14">
                  <c:v>192.857</c:v>
                </c:pt>
                <c:pt idx="15">
                  <c:v>197.14200000000002</c:v>
                </c:pt>
                <c:pt idx="16">
                  <c:v>192.857</c:v>
                </c:pt>
                <c:pt idx="17">
                  <c:v>192.857</c:v>
                </c:pt>
                <c:pt idx="18">
                  <c:v>201.428</c:v>
                </c:pt>
                <c:pt idx="19">
                  <c:v>212.857</c:v>
                </c:pt>
                <c:pt idx="20">
                  <c:v>242.857</c:v>
                </c:pt>
                <c:pt idx="21">
                  <c:v>235.71400000000003</c:v>
                </c:pt>
                <c:pt idx="22">
                  <c:v>235.71400000000003</c:v>
                </c:pt>
                <c:pt idx="23">
                  <c:v>250</c:v>
                </c:pt>
                <c:pt idx="24">
                  <c:v>250</c:v>
                </c:pt>
                <c:pt idx="25">
                  <c:v>265.714</c:v>
                </c:pt>
                <c:pt idx="26">
                  <c:v>238.571</c:v>
                </c:pt>
                <c:pt idx="27">
                  <c:v>217.14200000000002</c:v>
                </c:pt>
                <c:pt idx="28">
                  <c:v>222.857</c:v>
                </c:pt>
                <c:pt idx="29">
                  <c:v>228.571</c:v>
                </c:pt>
                <c:pt idx="30">
                  <c:v>260</c:v>
                </c:pt>
                <c:pt idx="31">
                  <c:v>271.428</c:v>
                </c:pt>
                <c:pt idx="32">
                  <c:v>271.428</c:v>
                </c:pt>
                <c:pt idx="33">
                  <c:v>321.428</c:v>
                </c:pt>
                <c:pt idx="34">
                  <c:v>435.714</c:v>
                </c:pt>
                <c:pt idx="35">
                  <c:v>492.85700000000003</c:v>
                </c:pt>
                <c:pt idx="36">
                  <c:v>478.57100000000008</c:v>
                </c:pt>
                <c:pt idx="37">
                  <c:v>392.85700000000003</c:v>
                </c:pt>
                <c:pt idx="38">
                  <c:v>442.85700000000003</c:v>
                </c:pt>
                <c:pt idx="39">
                  <c:v>457.142</c:v>
                </c:pt>
                <c:pt idx="40">
                  <c:v>478.57100000000008</c:v>
                </c:pt>
                <c:pt idx="41">
                  <c:v>478.57100000000008</c:v>
                </c:pt>
                <c:pt idx="42">
                  <c:v>371.42800000000005</c:v>
                </c:pt>
                <c:pt idx="43">
                  <c:v>400</c:v>
                </c:pt>
                <c:pt idx="44">
                  <c:v>457.142</c:v>
                </c:pt>
                <c:pt idx="45">
                  <c:v>435.714</c:v>
                </c:pt>
                <c:pt idx="46">
                  <c:v>485.714</c:v>
                </c:pt>
                <c:pt idx="47">
                  <c:v>535.71400000000006</c:v>
                </c:pt>
                <c:pt idx="48">
                  <c:v>550</c:v>
                </c:pt>
                <c:pt idx="49">
                  <c:v>592.85699999999997</c:v>
                </c:pt>
                <c:pt idx="50">
                  <c:v>621.428</c:v>
                </c:pt>
                <c:pt idx="51">
                  <c:v>607.14200000000005</c:v>
                </c:pt>
                <c:pt idx="52">
                  <c:v>614.28499999999997</c:v>
                </c:pt>
                <c:pt idx="53">
                  <c:v>692.85699999999997</c:v>
                </c:pt>
                <c:pt idx="54">
                  <c:v>685.71400000000006</c:v>
                </c:pt>
                <c:pt idx="55">
                  <c:v>735.71400000000006</c:v>
                </c:pt>
                <c:pt idx="56">
                  <c:v>742.85699999999997</c:v>
                </c:pt>
                <c:pt idx="57">
                  <c:v>728.57100000000003</c:v>
                </c:pt>
                <c:pt idx="58">
                  <c:v>692.85699999999997</c:v>
                </c:pt>
                <c:pt idx="59">
                  <c:v>692.85699999999997</c:v>
                </c:pt>
                <c:pt idx="60">
                  <c:v>657.14200000000017</c:v>
                </c:pt>
                <c:pt idx="61">
                  <c:v>721.428</c:v>
                </c:pt>
                <c:pt idx="62">
                  <c:v>828.57100000000003</c:v>
                </c:pt>
                <c:pt idx="63">
                  <c:v>800</c:v>
                </c:pt>
                <c:pt idx="64">
                  <c:v>728.57100000000003</c:v>
                </c:pt>
                <c:pt idx="65">
                  <c:v>735.71400000000006</c:v>
                </c:pt>
                <c:pt idx="66">
                  <c:v>685.71400000000006</c:v>
                </c:pt>
                <c:pt idx="67">
                  <c:v>728.57100000000003</c:v>
                </c:pt>
                <c:pt idx="68">
                  <c:v>721.428</c:v>
                </c:pt>
                <c:pt idx="69">
                  <c:v>707.14200000000017</c:v>
                </c:pt>
                <c:pt idx="70">
                  <c:v>678.57100000000003</c:v>
                </c:pt>
                <c:pt idx="71">
                  <c:v>692.85699999999997</c:v>
                </c:pt>
                <c:pt idx="72">
                  <c:v>785.71400000000006</c:v>
                </c:pt>
                <c:pt idx="73">
                  <c:v>878.57100000000003</c:v>
                </c:pt>
                <c:pt idx="74">
                  <c:v>985.71400000000006</c:v>
                </c:pt>
                <c:pt idx="75">
                  <c:v>1107.1400000000001</c:v>
                </c:pt>
                <c:pt idx="76">
                  <c:v>1092.8499999999999</c:v>
                </c:pt>
                <c:pt idx="77">
                  <c:v>1185.71</c:v>
                </c:pt>
                <c:pt idx="78">
                  <c:v>1378.57</c:v>
                </c:pt>
                <c:pt idx="79">
                  <c:v>1392.8500000000001</c:v>
                </c:pt>
                <c:pt idx="80">
                  <c:v>1400</c:v>
                </c:pt>
                <c:pt idx="81">
                  <c:v>1300</c:v>
                </c:pt>
                <c:pt idx="82">
                  <c:v>1357.14</c:v>
                </c:pt>
                <c:pt idx="83">
                  <c:v>1457.14</c:v>
                </c:pt>
                <c:pt idx="84">
                  <c:v>1778.57</c:v>
                </c:pt>
                <c:pt idx="85">
                  <c:v>1871.42</c:v>
                </c:pt>
                <c:pt idx="86">
                  <c:v>1928.57</c:v>
                </c:pt>
                <c:pt idx="87">
                  <c:v>1871.42</c:v>
                </c:pt>
                <c:pt idx="88">
                  <c:v>1892.8500000000001</c:v>
                </c:pt>
                <c:pt idx="89">
                  <c:v>1828.57</c:v>
                </c:pt>
                <c:pt idx="90">
                  <c:v>1771.42</c:v>
                </c:pt>
                <c:pt idx="91">
                  <c:v>1785.71</c:v>
                </c:pt>
                <c:pt idx="92">
                  <c:v>1842.8500000000001</c:v>
                </c:pt>
                <c:pt idx="93">
                  <c:v>1800</c:v>
                </c:pt>
                <c:pt idx="94">
                  <c:v>1771.42</c:v>
                </c:pt>
                <c:pt idx="95">
                  <c:v>1842.8500000000001</c:v>
                </c:pt>
                <c:pt idx="96">
                  <c:v>1864.28</c:v>
                </c:pt>
                <c:pt idx="97">
                  <c:v>1857.14</c:v>
                </c:pt>
                <c:pt idx="98">
                  <c:v>1846.42</c:v>
                </c:pt>
                <c:pt idx="99">
                  <c:v>1839.28</c:v>
                </c:pt>
                <c:pt idx="100">
                  <c:v>2014.28</c:v>
                </c:pt>
                <c:pt idx="101">
                  <c:v>2150</c:v>
                </c:pt>
                <c:pt idx="102">
                  <c:v>2617.85</c:v>
                </c:pt>
                <c:pt idx="103">
                  <c:v>2642.85</c:v>
                </c:pt>
                <c:pt idx="104">
                  <c:v>2657.14</c:v>
                </c:pt>
                <c:pt idx="105">
                  <c:v>3071.42</c:v>
                </c:pt>
                <c:pt idx="106">
                  <c:v>3014.28</c:v>
                </c:pt>
                <c:pt idx="107">
                  <c:v>2914.28</c:v>
                </c:pt>
                <c:pt idx="108">
                  <c:v>2957.14</c:v>
                </c:pt>
                <c:pt idx="109">
                  <c:v>3742.85</c:v>
                </c:pt>
                <c:pt idx="110">
                  <c:v>3750</c:v>
                </c:pt>
                <c:pt idx="111">
                  <c:v>3528.57</c:v>
                </c:pt>
                <c:pt idx="112">
                  <c:v>3221.42</c:v>
                </c:pt>
                <c:pt idx="113">
                  <c:v>3942.85</c:v>
                </c:pt>
                <c:pt idx="114">
                  <c:v>4457.1400000000003</c:v>
                </c:pt>
                <c:pt idx="115">
                  <c:v>4157.1400000000003</c:v>
                </c:pt>
                <c:pt idx="116">
                  <c:v>4085.71</c:v>
                </c:pt>
                <c:pt idx="117">
                  <c:v>4250</c:v>
                </c:pt>
                <c:pt idx="118">
                  <c:v>4035.71</c:v>
                </c:pt>
                <c:pt idx="119">
                  <c:v>4142.8500000000004</c:v>
                </c:pt>
                <c:pt idx="120">
                  <c:v>3750</c:v>
                </c:pt>
                <c:pt idx="121">
                  <c:v>4107.1400000000003</c:v>
                </c:pt>
                <c:pt idx="122">
                  <c:v>3914.28</c:v>
                </c:pt>
                <c:pt idx="123">
                  <c:v>4028.57</c:v>
                </c:pt>
                <c:pt idx="124">
                  <c:v>4428.57</c:v>
                </c:pt>
                <c:pt idx="125">
                  <c:v>4800</c:v>
                </c:pt>
                <c:pt idx="126">
                  <c:v>5028.57</c:v>
                </c:pt>
                <c:pt idx="127">
                  <c:v>4828.57</c:v>
                </c:pt>
                <c:pt idx="128">
                  <c:v>4871.42</c:v>
                </c:pt>
                <c:pt idx="129">
                  <c:v>5000</c:v>
                </c:pt>
                <c:pt idx="130">
                  <c:v>5657.14</c:v>
                </c:pt>
                <c:pt idx="131">
                  <c:v>5700</c:v>
                </c:pt>
                <c:pt idx="132">
                  <c:v>5885.71</c:v>
                </c:pt>
                <c:pt idx="133">
                  <c:v>4750</c:v>
                </c:pt>
                <c:pt idx="134">
                  <c:v>4142.8500000000004</c:v>
                </c:pt>
                <c:pt idx="135">
                  <c:v>4214.28</c:v>
                </c:pt>
                <c:pt idx="136">
                  <c:v>4328.57</c:v>
                </c:pt>
                <c:pt idx="137">
                  <c:v>4500</c:v>
                </c:pt>
                <c:pt idx="138">
                  <c:v>4892.8500000000004</c:v>
                </c:pt>
                <c:pt idx="139">
                  <c:v>5392.85</c:v>
                </c:pt>
                <c:pt idx="140">
                  <c:v>5607.14</c:v>
                </c:pt>
                <c:pt idx="141">
                  <c:v>5928.57</c:v>
                </c:pt>
                <c:pt idx="142">
                  <c:v>6250</c:v>
                </c:pt>
                <c:pt idx="143">
                  <c:v>6142.85</c:v>
                </c:pt>
                <c:pt idx="144">
                  <c:v>6857.14</c:v>
                </c:pt>
                <c:pt idx="145">
                  <c:v>6750</c:v>
                </c:pt>
                <c:pt idx="146">
                  <c:v>6714.28</c:v>
                </c:pt>
                <c:pt idx="147">
                  <c:v>6714.28</c:v>
                </c:pt>
                <c:pt idx="148">
                  <c:v>7035.71</c:v>
                </c:pt>
                <c:pt idx="149">
                  <c:v>6750</c:v>
                </c:pt>
                <c:pt idx="150">
                  <c:v>7071.42</c:v>
                </c:pt>
                <c:pt idx="151">
                  <c:v>8964.2800000000007</c:v>
                </c:pt>
                <c:pt idx="152">
                  <c:v>9178.57</c:v>
                </c:pt>
                <c:pt idx="153">
                  <c:v>9392.85</c:v>
                </c:pt>
                <c:pt idx="154">
                  <c:v>10714.2</c:v>
                </c:pt>
                <c:pt idx="155">
                  <c:v>11392.800000000001</c:v>
                </c:pt>
                <c:pt idx="156">
                  <c:v>12321.4</c:v>
                </c:pt>
                <c:pt idx="157">
                  <c:v>12157.1</c:v>
                </c:pt>
                <c:pt idx="158">
                  <c:v>11785.7</c:v>
                </c:pt>
                <c:pt idx="159">
                  <c:v>12392.800000000001</c:v>
                </c:pt>
                <c:pt idx="160">
                  <c:v>10650</c:v>
                </c:pt>
                <c:pt idx="161">
                  <c:v>10321.4</c:v>
                </c:pt>
                <c:pt idx="162">
                  <c:v>9607.14</c:v>
                </c:pt>
                <c:pt idx="163">
                  <c:v>9571.42</c:v>
                </c:pt>
                <c:pt idx="164">
                  <c:v>10214.200000000001</c:v>
                </c:pt>
                <c:pt idx="165">
                  <c:v>10285.700000000001</c:v>
                </c:pt>
                <c:pt idx="166">
                  <c:v>10000</c:v>
                </c:pt>
                <c:pt idx="167">
                  <c:v>9142.85</c:v>
                </c:pt>
                <c:pt idx="168">
                  <c:v>8392.85</c:v>
                </c:pt>
                <c:pt idx="169">
                  <c:v>8500</c:v>
                </c:pt>
                <c:pt idx="170">
                  <c:v>9064.2800000000007</c:v>
                </c:pt>
                <c:pt idx="171">
                  <c:v>9535.7099999999991</c:v>
                </c:pt>
                <c:pt idx="172">
                  <c:v>10571.4</c:v>
                </c:pt>
                <c:pt idx="173">
                  <c:v>11535.7</c:v>
                </c:pt>
                <c:pt idx="174">
                  <c:v>11464.2</c:v>
                </c:pt>
                <c:pt idx="175">
                  <c:v>11607.1</c:v>
                </c:pt>
                <c:pt idx="176">
                  <c:v>12500</c:v>
                </c:pt>
                <c:pt idx="177">
                  <c:v>12000</c:v>
                </c:pt>
                <c:pt idx="178">
                  <c:v>12178.5</c:v>
                </c:pt>
                <c:pt idx="179">
                  <c:v>12535.7</c:v>
                </c:pt>
                <c:pt idx="180">
                  <c:v>12678.5</c:v>
                </c:pt>
                <c:pt idx="181">
                  <c:v>12242.800000000001</c:v>
                </c:pt>
                <c:pt idx="182">
                  <c:v>11928.5</c:v>
                </c:pt>
                <c:pt idx="183">
                  <c:v>12928.5</c:v>
                </c:pt>
                <c:pt idx="184">
                  <c:v>12642.800000000001</c:v>
                </c:pt>
                <c:pt idx="185">
                  <c:v>12464.2</c:v>
                </c:pt>
                <c:pt idx="186">
                  <c:v>12785.7</c:v>
                </c:pt>
                <c:pt idx="187">
                  <c:v>13035.7</c:v>
                </c:pt>
                <c:pt idx="188">
                  <c:v>13000</c:v>
                </c:pt>
                <c:pt idx="189">
                  <c:v>13178.5</c:v>
                </c:pt>
                <c:pt idx="190">
                  <c:v>13607.1</c:v>
                </c:pt>
                <c:pt idx="191">
                  <c:v>13035.7</c:v>
                </c:pt>
                <c:pt idx="192">
                  <c:v>13428.5</c:v>
                </c:pt>
                <c:pt idx="193">
                  <c:v>13535.7</c:v>
                </c:pt>
                <c:pt idx="194">
                  <c:v>15817.800000000001</c:v>
                </c:pt>
                <c:pt idx="195">
                  <c:v>16785.7</c:v>
                </c:pt>
                <c:pt idx="196">
                  <c:v>17285.7</c:v>
                </c:pt>
                <c:pt idx="197">
                  <c:v>17821.400000000001</c:v>
                </c:pt>
                <c:pt idx="198">
                  <c:v>18214.2</c:v>
                </c:pt>
                <c:pt idx="199">
                  <c:v>18071.400000000001</c:v>
                </c:pt>
                <c:pt idx="200">
                  <c:v>21428.5</c:v>
                </c:pt>
                <c:pt idx="201">
                  <c:v>22000</c:v>
                </c:pt>
                <c:pt idx="202">
                  <c:v>22857.100000000002</c:v>
                </c:pt>
                <c:pt idx="203">
                  <c:v>25035.7</c:v>
                </c:pt>
                <c:pt idx="204">
                  <c:v>23821.4</c:v>
                </c:pt>
                <c:pt idx="205">
                  <c:v>24642.799999999999</c:v>
                </c:pt>
                <c:pt idx="206">
                  <c:v>24642.799999999999</c:v>
                </c:pt>
                <c:pt idx="207">
                  <c:v>23321.4</c:v>
                </c:pt>
                <c:pt idx="208">
                  <c:v>23142.799999999999</c:v>
                </c:pt>
                <c:pt idx="209">
                  <c:v>22071.4</c:v>
                </c:pt>
                <c:pt idx="210">
                  <c:v>22750</c:v>
                </c:pt>
                <c:pt idx="211">
                  <c:v>23000</c:v>
                </c:pt>
                <c:pt idx="212">
                  <c:v>23000</c:v>
                </c:pt>
                <c:pt idx="213">
                  <c:v>23000</c:v>
                </c:pt>
                <c:pt idx="214">
                  <c:v>28000</c:v>
                </c:pt>
                <c:pt idx="215">
                  <c:v>27285.7</c:v>
                </c:pt>
                <c:pt idx="216">
                  <c:v>27071.4</c:v>
                </c:pt>
                <c:pt idx="217">
                  <c:v>28928.5</c:v>
                </c:pt>
                <c:pt idx="218">
                  <c:v>29321.4</c:v>
                </c:pt>
                <c:pt idx="219">
                  <c:v>29142.799999999999</c:v>
                </c:pt>
                <c:pt idx="220">
                  <c:v>35142.800000000003</c:v>
                </c:pt>
                <c:pt idx="221">
                  <c:v>31821.4</c:v>
                </c:pt>
                <c:pt idx="222">
                  <c:v>32357.100000000002</c:v>
                </c:pt>
                <c:pt idx="223">
                  <c:v>30857.100000000002</c:v>
                </c:pt>
                <c:pt idx="224">
                  <c:v>32428.5</c:v>
                </c:pt>
                <c:pt idx="225">
                  <c:v>33500</c:v>
                </c:pt>
                <c:pt idx="226">
                  <c:v>35357.1</c:v>
                </c:pt>
                <c:pt idx="227">
                  <c:v>36428.5</c:v>
                </c:pt>
                <c:pt idx="228">
                  <c:v>42000</c:v>
                </c:pt>
                <c:pt idx="229">
                  <c:v>42142.8</c:v>
                </c:pt>
                <c:pt idx="230">
                  <c:v>44714.200000000004</c:v>
                </c:pt>
                <c:pt idx="231">
                  <c:v>45857.1</c:v>
                </c:pt>
                <c:pt idx="232">
                  <c:v>45571.4</c:v>
                </c:pt>
                <c:pt idx="233">
                  <c:v>50714.200000000004</c:v>
                </c:pt>
                <c:pt idx="234">
                  <c:v>48357.1</c:v>
                </c:pt>
                <c:pt idx="235">
                  <c:v>47857.1</c:v>
                </c:pt>
                <c:pt idx="236">
                  <c:v>43571.4</c:v>
                </c:pt>
                <c:pt idx="237">
                  <c:v>43857.1</c:v>
                </c:pt>
                <c:pt idx="238">
                  <c:v>44142.8</c:v>
                </c:pt>
                <c:pt idx="239">
                  <c:v>44714.200000000004</c:v>
                </c:pt>
                <c:pt idx="240">
                  <c:v>45928.5</c:v>
                </c:pt>
                <c:pt idx="241">
                  <c:v>46285.700000000004</c:v>
                </c:pt>
                <c:pt idx="242">
                  <c:v>47428.5</c:v>
                </c:pt>
                <c:pt idx="243">
                  <c:v>48714.200000000004</c:v>
                </c:pt>
                <c:pt idx="244">
                  <c:v>49714.200000000004</c:v>
                </c:pt>
                <c:pt idx="245">
                  <c:v>50714.200000000004</c:v>
                </c:pt>
                <c:pt idx="246">
                  <c:v>51714.200000000004</c:v>
                </c:pt>
                <c:pt idx="247">
                  <c:v>54285.700000000004</c:v>
                </c:pt>
                <c:pt idx="248">
                  <c:v>61428.5</c:v>
                </c:pt>
                <c:pt idx="249">
                  <c:v>67428.5</c:v>
                </c:pt>
                <c:pt idx="250">
                  <c:v>67428.5</c:v>
                </c:pt>
                <c:pt idx="251">
                  <c:v>59285.700000000004</c:v>
                </c:pt>
                <c:pt idx="252">
                  <c:v>64000</c:v>
                </c:pt>
                <c:pt idx="253">
                  <c:v>62428.5</c:v>
                </c:pt>
                <c:pt idx="254">
                  <c:v>64714.200000000004</c:v>
                </c:pt>
                <c:pt idx="255">
                  <c:v>65714.2</c:v>
                </c:pt>
                <c:pt idx="256">
                  <c:v>71857.100000000006</c:v>
                </c:pt>
                <c:pt idx="257">
                  <c:v>79714.2</c:v>
                </c:pt>
                <c:pt idx="258">
                  <c:v>96000</c:v>
                </c:pt>
                <c:pt idx="259">
                  <c:v>98000</c:v>
                </c:pt>
                <c:pt idx="260">
                  <c:v>101000</c:v>
                </c:pt>
                <c:pt idx="261">
                  <c:v>111864</c:v>
                </c:pt>
                <c:pt idx="262">
                  <c:v>100150</c:v>
                </c:pt>
                <c:pt idx="263">
                  <c:v>86428.5</c:v>
                </c:pt>
                <c:pt idx="264">
                  <c:v>85142.8</c:v>
                </c:pt>
                <c:pt idx="265">
                  <c:v>92142.8</c:v>
                </c:pt>
                <c:pt idx="266">
                  <c:v>97000</c:v>
                </c:pt>
                <c:pt idx="267">
                  <c:v>100000</c:v>
                </c:pt>
                <c:pt idx="268">
                  <c:v>92857.1</c:v>
                </c:pt>
                <c:pt idx="269">
                  <c:v>101571</c:v>
                </c:pt>
                <c:pt idx="270">
                  <c:v>102000</c:v>
                </c:pt>
                <c:pt idx="271">
                  <c:v>109142</c:v>
                </c:pt>
                <c:pt idx="272">
                  <c:v>102857</c:v>
                </c:pt>
                <c:pt idx="273">
                  <c:v>98428.5</c:v>
                </c:pt>
                <c:pt idx="274">
                  <c:v>96864.2</c:v>
                </c:pt>
                <c:pt idx="275">
                  <c:v>91714.2</c:v>
                </c:pt>
                <c:pt idx="276">
                  <c:v>78571.399999999994</c:v>
                </c:pt>
                <c:pt idx="277">
                  <c:v>91285.7</c:v>
                </c:pt>
                <c:pt idx="278">
                  <c:v>81857.100000000006</c:v>
                </c:pt>
                <c:pt idx="279">
                  <c:v>80142.8</c:v>
                </c:pt>
                <c:pt idx="280">
                  <c:v>73142.8</c:v>
                </c:pt>
                <c:pt idx="281">
                  <c:v>62857.1</c:v>
                </c:pt>
                <c:pt idx="282">
                  <c:v>81714.2</c:v>
                </c:pt>
                <c:pt idx="283">
                  <c:v>84714.2</c:v>
                </c:pt>
                <c:pt idx="284">
                  <c:v>83714.2</c:v>
                </c:pt>
                <c:pt idx="285">
                  <c:v>76857.100000000006</c:v>
                </c:pt>
                <c:pt idx="286">
                  <c:v>78714.2</c:v>
                </c:pt>
                <c:pt idx="287">
                  <c:v>82428.5</c:v>
                </c:pt>
                <c:pt idx="288">
                  <c:v>92000</c:v>
                </c:pt>
                <c:pt idx="289">
                  <c:v>91000</c:v>
                </c:pt>
                <c:pt idx="290">
                  <c:v>94142.8</c:v>
                </c:pt>
                <c:pt idx="291">
                  <c:v>101428</c:v>
                </c:pt>
                <c:pt idx="292">
                  <c:v>97714.2</c:v>
                </c:pt>
                <c:pt idx="293">
                  <c:v>100428</c:v>
                </c:pt>
                <c:pt idx="294">
                  <c:v>93500</c:v>
                </c:pt>
                <c:pt idx="295">
                  <c:v>97142.8</c:v>
                </c:pt>
                <c:pt idx="296">
                  <c:v>98142.8</c:v>
                </c:pt>
                <c:pt idx="297">
                  <c:v>99142.8</c:v>
                </c:pt>
                <c:pt idx="298">
                  <c:v>98857.1</c:v>
                </c:pt>
                <c:pt idx="299">
                  <c:v>99142.8</c:v>
                </c:pt>
                <c:pt idx="300">
                  <c:v>100000</c:v>
                </c:pt>
                <c:pt idx="301">
                  <c:v>101714</c:v>
                </c:pt>
                <c:pt idx="302">
                  <c:v>100000</c:v>
                </c:pt>
                <c:pt idx="303">
                  <c:v>108000</c:v>
                </c:pt>
                <c:pt idx="304">
                  <c:v>105571</c:v>
                </c:pt>
                <c:pt idx="305">
                  <c:v>104285</c:v>
                </c:pt>
                <c:pt idx="306">
                  <c:v>101571</c:v>
                </c:pt>
                <c:pt idx="307">
                  <c:v>104928</c:v>
                </c:pt>
                <c:pt idx="308">
                  <c:v>106571</c:v>
                </c:pt>
                <c:pt idx="309">
                  <c:v>95428.5</c:v>
                </c:pt>
                <c:pt idx="310">
                  <c:v>97571.400000000009</c:v>
                </c:pt>
                <c:pt idx="311">
                  <c:v>104285</c:v>
                </c:pt>
                <c:pt idx="312">
                  <c:v>105571</c:v>
                </c:pt>
                <c:pt idx="313">
                  <c:v>105985</c:v>
                </c:pt>
                <c:pt idx="314">
                  <c:v>103285</c:v>
                </c:pt>
                <c:pt idx="315">
                  <c:v>103928</c:v>
                </c:pt>
                <c:pt idx="316">
                  <c:v>96571.400000000009</c:v>
                </c:pt>
                <c:pt idx="317">
                  <c:v>88142.8</c:v>
                </c:pt>
                <c:pt idx="318">
                  <c:v>91142.8</c:v>
                </c:pt>
                <c:pt idx="319">
                  <c:v>99735.7</c:v>
                </c:pt>
                <c:pt idx="320">
                  <c:v>101428</c:v>
                </c:pt>
                <c:pt idx="321">
                  <c:v>103571</c:v>
                </c:pt>
                <c:pt idx="322">
                  <c:v>102871</c:v>
                </c:pt>
                <c:pt idx="323">
                  <c:v>108250</c:v>
                </c:pt>
                <c:pt idx="324">
                  <c:v>107142</c:v>
                </c:pt>
                <c:pt idx="325">
                  <c:v>111157</c:v>
                </c:pt>
                <c:pt idx="326">
                  <c:v>119642</c:v>
                </c:pt>
                <c:pt idx="327">
                  <c:v>120357</c:v>
                </c:pt>
                <c:pt idx="328">
                  <c:v>127842</c:v>
                </c:pt>
                <c:pt idx="329">
                  <c:v>135000</c:v>
                </c:pt>
                <c:pt idx="330">
                  <c:v>133285</c:v>
                </c:pt>
                <c:pt idx="331">
                  <c:v>133414</c:v>
                </c:pt>
                <c:pt idx="332">
                  <c:v>127142</c:v>
                </c:pt>
                <c:pt idx="333">
                  <c:v>127071</c:v>
                </c:pt>
                <c:pt idx="334">
                  <c:v>124642</c:v>
                </c:pt>
                <c:pt idx="335">
                  <c:v>124285</c:v>
                </c:pt>
                <c:pt idx="336">
                  <c:v>123785</c:v>
                </c:pt>
                <c:pt idx="337">
                  <c:v>120357</c:v>
                </c:pt>
                <c:pt idx="338">
                  <c:v>119571</c:v>
                </c:pt>
                <c:pt idx="339">
                  <c:v>125571</c:v>
                </c:pt>
                <c:pt idx="340">
                  <c:v>128428</c:v>
                </c:pt>
                <c:pt idx="341">
                  <c:v>128857</c:v>
                </c:pt>
                <c:pt idx="342">
                  <c:v>124285</c:v>
                </c:pt>
                <c:pt idx="343">
                  <c:v>120500</c:v>
                </c:pt>
                <c:pt idx="344">
                  <c:v>120142</c:v>
                </c:pt>
                <c:pt idx="345">
                  <c:v>119285</c:v>
                </c:pt>
                <c:pt idx="346">
                  <c:v>119285</c:v>
                </c:pt>
                <c:pt idx="347">
                  <c:v>118785</c:v>
                </c:pt>
                <c:pt idx="348">
                  <c:v>117142</c:v>
                </c:pt>
                <c:pt idx="349">
                  <c:v>122714</c:v>
                </c:pt>
                <c:pt idx="350">
                  <c:v>127700</c:v>
                </c:pt>
                <c:pt idx="351">
                  <c:v>126600</c:v>
                </c:pt>
                <c:pt idx="352">
                  <c:v>127842</c:v>
                </c:pt>
                <c:pt idx="353">
                  <c:v>124000</c:v>
                </c:pt>
                <c:pt idx="354">
                  <c:v>129071</c:v>
                </c:pt>
                <c:pt idx="355">
                  <c:v>127142</c:v>
                </c:pt>
                <c:pt idx="356">
                  <c:v>131842</c:v>
                </c:pt>
                <c:pt idx="357">
                  <c:v>130941</c:v>
                </c:pt>
                <c:pt idx="358">
                  <c:v>130857</c:v>
                </c:pt>
                <c:pt idx="359">
                  <c:v>137281</c:v>
                </c:pt>
                <c:pt idx="360">
                  <c:v>136857</c:v>
                </c:pt>
                <c:pt idx="361">
                  <c:v>150678</c:v>
                </c:pt>
                <c:pt idx="362">
                  <c:v>153000</c:v>
                </c:pt>
                <c:pt idx="363">
                  <c:v>157128</c:v>
                </c:pt>
                <c:pt idx="364">
                  <c:v>157214</c:v>
                </c:pt>
                <c:pt idx="365">
                  <c:v>151700</c:v>
                </c:pt>
                <c:pt idx="366">
                  <c:v>155700</c:v>
                </c:pt>
                <c:pt idx="367">
                  <c:v>156000</c:v>
                </c:pt>
                <c:pt idx="368">
                  <c:v>156414</c:v>
                </c:pt>
                <c:pt idx="369">
                  <c:v>156392</c:v>
                </c:pt>
                <c:pt idx="370">
                  <c:v>157142</c:v>
                </c:pt>
                <c:pt idx="371">
                  <c:v>169128</c:v>
                </c:pt>
                <c:pt idx="372">
                  <c:v>169300</c:v>
                </c:pt>
                <c:pt idx="373">
                  <c:v>189285</c:v>
                </c:pt>
                <c:pt idx="374">
                  <c:v>200142</c:v>
                </c:pt>
                <c:pt idx="375">
                  <c:v>202285</c:v>
                </c:pt>
                <c:pt idx="376">
                  <c:v>194285</c:v>
                </c:pt>
                <c:pt idx="377">
                  <c:v>200000</c:v>
                </c:pt>
                <c:pt idx="378">
                  <c:v>190571</c:v>
                </c:pt>
                <c:pt idx="379">
                  <c:v>191214</c:v>
                </c:pt>
                <c:pt idx="380">
                  <c:v>192357</c:v>
                </c:pt>
                <c:pt idx="381">
                  <c:v>172500</c:v>
                </c:pt>
                <c:pt idx="382">
                  <c:v>163500</c:v>
                </c:pt>
                <c:pt idx="383">
                  <c:v>166571</c:v>
                </c:pt>
                <c:pt idx="384">
                  <c:v>186571</c:v>
                </c:pt>
                <c:pt idx="385">
                  <c:v>164985</c:v>
                </c:pt>
                <c:pt idx="386">
                  <c:v>148571</c:v>
                </c:pt>
                <c:pt idx="387">
                  <c:v>138000</c:v>
                </c:pt>
                <c:pt idx="388">
                  <c:v>127860</c:v>
                </c:pt>
                <c:pt idx="389">
                  <c:v>112285</c:v>
                </c:pt>
                <c:pt idx="390">
                  <c:v>123857</c:v>
                </c:pt>
                <c:pt idx="391">
                  <c:v>134285</c:v>
                </c:pt>
                <c:pt idx="392">
                  <c:v>130857</c:v>
                </c:pt>
                <c:pt idx="393">
                  <c:v>128571</c:v>
                </c:pt>
                <c:pt idx="394">
                  <c:v>138571</c:v>
                </c:pt>
                <c:pt idx="395">
                  <c:v>144071</c:v>
                </c:pt>
                <c:pt idx="396">
                  <c:v>144285</c:v>
                </c:pt>
                <c:pt idx="397">
                  <c:v>141428</c:v>
                </c:pt>
                <c:pt idx="398">
                  <c:v>143714</c:v>
                </c:pt>
                <c:pt idx="399">
                  <c:v>141714</c:v>
                </c:pt>
                <c:pt idx="400">
                  <c:v>163714</c:v>
                </c:pt>
                <c:pt idx="401">
                  <c:v>171142</c:v>
                </c:pt>
                <c:pt idx="402">
                  <c:v>174000</c:v>
                </c:pt>
                <c:pt idx="403">
                  <c:v>164750</c:v>
                </c:pt>
                <c:pt idx="404">
                  <c:v>151300</c:v>
                </c:pt>
                <c:pt idx="405">
                  <c:v>171428</c:v>
                </c:pt>
                <c:pt idx="406">
                  <c:v>167142</c:v>
                </c:pt>
                <c:pt idx="407">
                  <c:v>169535</c:v>
                </c:pt>
                <c:pt idx="408">
                  <c:v>177857</c:v>
                </c:pt>
                <c:pt idx="409">
                  <c:v>170428</c:v>
                </c:pt>
                <c:pt idx="410">
                  <c:v>171714</c:v>
                </c:pt>
                <c:pt idx="411">
                  <c:v>172071</c:v>
                </c:pt>
                <c:pt idx="412">
                  <c:v>174892</c:v>
                </c:pt>
                <c:pt idx="413">
                  <c:v>187571</c:v>
                </c:pt>
                <c:pt idx="414">
                  <c:v>179000</c:v>
                </c:pt>
                <c:pt idx="415">
                  <c:v>178214</c:v>
                </c:pt>
                <c:pt idx="416">
                  <c:v>169678</c:v>
                </c:pt>
                <c:pt idx="417">
                  <c:v>165864</c:v>
                </c:pt>
                <c:pt idx="418">
                  <c:v>159285</c:v>
                </c:pt>
                <c:pt idx="419">
                  <c:v>156812</c:v>
                </c:pt>
                <c:pt idx="420">
                  <c:v>152571</c:v>
                </c:pt>
                <c:pt idx="421">
                  <c:v>167071</c:v>
                </c:pt>
                <c:pt idx="422">
                  <c:v>169285</c:v>
                </c:pt>
                <c:pt idx="423">
                  <c:v>163935</c:v>
                </c:pt>
                <c:pt idx="424">
                  <c:v>168464</c:v>
                </c:pt>
                <c:pt idx="425">
                  <c:v>168477</c:v>
                </c:pt>
                <c:pt idx="426">
                  <c:v>174142</c:v>
                </c:pt>
                <c:pt idx="427">
                  <c:v>172571</c:v>
                </c:pt>
                <c:pt idx="428">
                  <c:v>169785</c:v>
                </c:pt>
                <c:pt idx="429">
                  <c:v>178492</c:v>
                </c:pt>
                <c:pt idx="430">
                  <c:v>182064</c:v>
                </c:pt>
                <c:pt idx="431">
                  <c:v>180799</c:v>
                </c:pt>
                <c:pt idx="432">
                  <c:v>189571</c:v>
                </c:pt>
                <c:pt idx="433">
                  <c:v>185007</c:v>
                </c:pt>
                <c:pt idx="434">
                  <c:v>188451</c:v>
                </c:pt>
                <c:pt idx="435">
                  <c:v>191514</c:v>
                </c:pt>
                <c:pt idx="436">
                  <c:v>208392</c:v>
                </c:pt>
                <c:pt idx="437">
                  <c:v>218000</c:v>
                </c:pt>
                <c:pt idx="438">
                  <c:v>223257</c:v>
                </c:pt>
                <c:pt idx="439">
                  <c:v>227142</c:v>
                </c:pt>
                <c:pt idx="440">
                  <c:v>244714</c:v>
                </c:pt>
                <c:pt idx="441">
                  <c:v>240857</c:v>
                </c:pt>
                <c:pt idx="442">
                  <c:v>248428</c:v>
                </c:pt>
                <c:pt idx="443">
                  <c:v>238642</c:v>
                </c:pt>
                <c:pt idx="444">
                  <c:v>243442</c:v>
                </c:pt>
                <c:pt idx="445">
                  <c:v>247135</c:v>
                </c:pt>
                <c:pt idx="446">
                  <c:v>249642</c:v>
                </c:pt>
                <c:pt idx="447">
                  <c:v>254142</c:v>
                </c:pt>
                <c:pt idx="448">
                  <c:v>242159</c:v>
                </c:pt>
                <c:pt idx="449">
                  <c:v>248154</c:v>
                </c:pt>
                <c:pt idx="450">
                  <c:v>267642</c:v>
                </c:pt>
                <c:pt idx="451">
                  <c:v>276107</c:v>
                </c:pt>
                <c:pt idx="452">
                  <c:v>274285</c:v>
                </c:pt>
                <c:pt idx="453">
                  <c:v>271286</c:v>
                </c:pt>
                <c:pt idx="454">
                  <c:v>268748</c:v>
                </c:pt>
                <c:pt idx="455">
                  <c:v>294114</c:v>
                </c:pt>
                <c:pt idx="456">
                  <c:v>295571</c:v>
                </c:pt>
                <c:pt idx="457">
                  <c:v>300000</c:v>
                </c:pt>
                <c:pt idx="458">
                  <c:v>318664</c:v>
                </c:pt>
                <c:pt idx="459">
                  <c:v>322857</c:v>
                </c:pt>
                <c:pt idx="460">
                  <c:v>308378</c:v>
                </c:pt>
                <c:pt idx="461">
                  <c:v>315971</c:v>
                </c:pt>
                <c:pt idx="462">
                  <c:v>310714</c:v>
                </c:pt>
                <c:pt idx="463">
                  <c:v>304857</c:v>
                </c:pt>
                <c:pt idx="464">
                  <c:v>306857</c:v>
                </c:pt>
                <c:pt idx="465">
                  <c:v>292642</c:v>
                </c:pt>
                <c:pt idx="466">
                  <c:v>305714</c:v>
                </c:pt>
              </c:numCache>
            </c:numRef>
          </c:val>
          <c:smooth val="0"/>
          <c:extLst>
            <c:ext xmlns:c16="http://schemas.microsoft.com/office/drawing/2014/chart" uri="{C3380CC4-5D6E-409C-BE32-E72D297353CC}">
              <c16:uniqueId val="{00000000-F074-41AF-A99D-0F3A789DAEC3}"/>
            </c:ext>
          </c:extLst>
        </c:ser>
        <c:ser>
          <c:idx val="1"/>
          <c:order val="1"/>
          <c:tx>
            <c:strRef>
              <c:f>'BRKA SP500 1976 to today'!$H$16</c:f>
              <c:strCache>
                <c:ptCount val="1"/>
                <c:pt idx="0">
                  <c:v>(INDEX) S&amp;P 500 - Price</c:v>
                </c:pt>
              </c:strCache>
            </c:strRef>
          </c:tx>
          <c:spPr>
            <a:ln w="28575" cap="rnd">
              <a:solidFill>
                <a:schemeClr val="accent2"/>
              </a:solidFill>
              <a:prstDash val="dash"/>
              <a:round/>
            </a:ln>
            <a:effectLst/>
          </c:spPr>
          <c:marker>
            <c:symbol val="none"/>
          </c:marker>
          <c:cat>
            <c:numRef>
              <c:f>'BRKA SP500 1976 to today'!$F$17:$F$485</c:f>
              <c:numCache>
                <c:formatCode>mm/dd/yy</c:formatCode>
                <c:ptCount val="469"/>
                <c:pt idx="0">
                  <c:v>28033</c:v>
                </c:pt>
                <c:pt idx="1">
                  <c:v>28064</c:v>
                </c:pt>
                <c:pt idx="2">
                  <c:v>28094</c:v>
                </c:pt>
                <c:pt idx="3">
                  <c:v>28125</c:v>
                </c:pt>
                <c:pt idx="4">
                  <c:v>28156</c:v>
                </c:pt>
                <c:pt idx="5">
                  <c:v>28184</c:v>
                </c:pt>
                <c:pt idx="6">
                  <c:v>28215</c:v>
                </c:pt>
                <c:pt idx="7">
                  <c:v>28245</c:v>
                </c:pt>
                <c:pt idx="8">
                  <c:v>28276</c:v>
                </c:pt>
                <c:pt idx="9">
                  <c:v>28306</c:v>
                </c:pt>
                <c:pt idx="10">
                  <c:v>28337</c:v>
                </c:pt>
                <c:pt idx="11">
                  <c:v>28368</c:v>
                </c:pt>
                <c:pt idx="12">
                  <c:v>28398</c:v>
                </c:pt>
                <c:pt idx="13">
                  <c:v>28429</c:v>
                </c:pt>
                <c:pt idx="14">
                  <c:v>28459</c:v>
                </c:pt>
                <c:pt idx="15">
                  <c:v>28490</c:v>
                </c:pt>
                <c:pt idx="16">
                  <c:v>28521</c:v>
                </c:pt>
                <c:pt idx="17">
                  <c:v>28549</c:v>
                </c:pt>
                <c:pt idx="18">
                  <c:v>28580</c:v>
                </c:pt>
                <c:pt idx="19">
                  <c:v>28610</c:v>
                </c:pt>
                <c:pt idx="20">
                  <c:v>28641</c:v>
                </c:pt>
                <c:pt idx="21">
                  <c:v>28671</c:v>
                </c:pt>
                <c:pt idx="22">
                  <c:v>28702</c:v>
                </c:pt>
                <c:pt idx="23">
                  <c:v>28733</c:v>
                </c:pt>
                <c:pt idx="24">
                  <c:v>28763</c:v>
                </c:pt>
                <c:pt idx="25">
                  <c:v>28794</c:v>
                </c:pt>
                <c:pt idx="26">
                  <c:v>28824</c:v>
                </c:pt>
                <c:pt idx="27">
                  <c:v>28855</c:v>
                </c:pt>
                <c:pt idx="28">
                  <c:v>28886</c:v>
                </c:pt>
                <c:pt idx="29">
                  <c:v>28914</c:v>
                </c:pt>
                <c:pt idx="30">
                  <c:v>28945</c:v>
                </c:pt>
                <c:pt idx="31">
                  <c:v>28975</c:v>
                </c:pt>
                <c:pt idx="32">
                  <c:v>29006</c:v>
                </c:pt>
                <c:pt idx="33">
                  <c:v>29036</c:v>
                </c:pt>
                <c:pt idx="34">
                  <c:v>29067</c:v>
                </c:pt>
                <c:pt idx="35">
                  <c:v>29098</c:v>
                </c:pt>
                <c:pt idx="36">
                  <c:v>29128</c:v>
                </c:pt>
                <c:pt idx="37">
                  <c:v>29159</c:v>
                </c:pt>
                <c:pt idx="38">
                  <c:v>29189</c:v>
                </c:pt>
                <c:pt idx="39">
                  <c:v>29220</c:v>
                </c:pt>
                <c:pt idx="40">
                  <c:v>29251</c:v>
                </c:pt>
                <c:pt idx="41">
                  <c:v>29280</c:v>
                </c:pt>
                <c:pt idx="42">
                  <c:v>29311</c:v>
                </c:pt>
                <c:pt idx="43">
                  <c:v>29341</c:v>
                </c:pt>
                <c:pt idx="44">
                  <c:v>29372</c:v>
                </c:pt>
                <c:pt idx="45">
                  <c:v>29402</c:v>
                </c:pt>
                <c:pt idx="46">
                  <c:v>29433</c:v>
                </c:pt>
                <c:pt idx="47">
                  <c:v>29464</c:v>
                </c:pt>
                <c:pt idx="48">
                  <c:v>29494</c:v>
                </c:pt>
                <c:pt idx="49">
                  <c:v>29525</c:v>
                </c:pt>
                <c:pt idx="50">
                  <c:v>29555</c:v>
                </c:pt>
                <c:pt idx="51">
                  <c:v>29586</c:v>
                </c:pt>
                <c:pt idx="52">
                  <c:v>29617</c:v>
                </c:pt>
                <c:pt idx="53">
                  <c:v>29645</c:v>
                </c:pt>
                <c:pt idx="54">
                  <c:v>29676</c:v>
                </c:pt>
                <c:pt idx="55">
                  <c:v>29706</c:v>
                </c:pt>
                <c:pt idx="56">
                  <c:v>29737</c:v>
                </c:pt>
                <c:pt idx="57">
                  <c:v>29767</c:v>
                </c:pt>
                <c:pt idx="58">
                  <c:v>29798</c:v>
                </c:pt>
                <c:pt idx="59">
                  <c:v>29829</c:v>
                </c:pt>
                <c:pt idx="60">
                  <c:v>29859</c:v>
                </c:pt>
                <c:pt idx="61">
                  <c:v>29890</c:v>
                </c:pt>
                <c:pt idx="62">
                  <c:v>29920</c:v>
                </c:pt>
                <c:pt idx="63">
                  <c:v>29951</c:v>
                </c:pt>
                <c:pt idx="64">
                  <c:v>29982</c:v>
                </c:pt>
                <c:pt idx="65">
                  <c:v>30010</c:v>
                </c:pt>
                <c:pt idx="66">
                  <c:v>30041</c:v>
                </c:pt>
                <c:pt idx="67">
                  <c:v>30071</c:v>
                </c:pt>
                <c:pt idx="68">
                  <c:v>30102</c:v>
                </c:pt>
                <c:pt idx="69">
                  <c:v>30132</c:v>
                </c:pt>
                <c:pt idx="70">
                  <c:v>30163</c:v>
                </c:pt>
                <c:pt idx="71">
                  <c:v>30194</c:v>
                </c:pt>
                <c:pt idx="72">
                  <c:v>30224</c:v>
                </c:pt>
                <c:pt idx="73">
                  <c:v>30255</c:v>
                </c:pt>
                <c:pt idx="74">
                  <c:v>30285</c:v>
                </c:pt>
                <c:pt idx="75">
                  <c:v>30316</c:v>
                </c:pt>
                <c:pt idx="76">
                  <c:v>30347</c:v>
                </c:pt>
                <c:pt idx="77">
                  <c:v>30375</c:v>
                </c:pt>
                <c:pt idx="78">
                  <c:v>30406</c:v>
                </c:pt>
                <c:pt idx="79">
                  <c:v>30436</c:v>
                </c:pt>
                <c:pt idx="80">
                  <c:v>30467</c:v>
                </c:pt>
                <c:pt idx="81">
                  <c:v>30497</c:v>
                </c:pt>
                <c:pt idx="82">
                  <c:v>30528</c:v>
                </c:pt>
                <c:pt idx="83">
                  <c:v>30559</c:v>
                </c:pt>
                <c:pt idx="84">
                  <c:v>30589</c:v>
                </c:pt>
                <c:pt idx="85">
                  <c:v>30620</c:v>
                </c:pt>
                <c:pt idx="86">
                  <c:v>30650</c:v>
                </c:pt>
                <c:pt idx="87">
                  <c:v>30681</c:v>
                </c:pt>
                <c:pt idx="88">
                  <c:v>30712</c:v>
                </c:pt>
                <c:pt idx="89">
                  <c:v>30741</c:v>
                </c:pt>
                <c:pt idx="90">
                  <c:v>30772</c:v>
                </c:pt>
                <c:pt idx="91">
                  <c:v>30802</c:v>
                </c:pt>
                <c:pt idx="92">
                  <c:v>30833</c:v>
                </c:pt>
                <c:pt idx="93">
                  <c:v>30863</c:v>
                </c:pt>
                <c:pt idx="94">
                  <c:v>30894</c:v>
                </c:pt>
                <c:pt idx="95">
                  <c:v>30925</c:v>
                </c:pt>
                <c:pt idx="96">
                  <c:v>30955</c:v>
                </c:pt>
                <c:pt idx="97">
                  <c:v>30986</c:v>
                </c:pt>
                <c:pt idx="98">
                  <c:v>31016</c:v>
                </c:pt>
                <c:pt idx="99">
                  <c:v>31047</c:v>
                </c:pt>
                <c:pt idx="100">
                  <c:v>31078</c:v>
                </c:pt>
                <c:pt idx="101">
                  <c:v>31106</c:v>
                </c:pt>
                <c:pt idx="102">
                  <c:v>31137</c:v>
                </c:pt>
                <c:pt idx="103">
                  <c:v>31167</c:v>
                </c:pt>
                <c:pt idx="104">
                  <c:v>31198</c:v>
                </c:pt>
                <c:pt idx="105">
                  <c:v>31228</c:v>
                </c:pt>
                <c:pt idx="106">
                  <c:v>31259</c:v>
                </c:pt>
                <c:pt idx="107">
                  <c:v>31290</c:v>
                </c:pt>
                <c:pt idx="108">
                  <c:v>31320</c:v>
                </c:pt>
                <c:pt idx="109">
                  <c:v>31351</c:v>
                </c:pt>
                <c:pt idx="110">
                  <c:v>31381</c:v>
                </c:pt>
                <c:pt idx="111">
                  <c:v>31412</c:v>
                </c:pt>
                <c:pt idx="112">
                  <c:v>31443</c:v>
                </c:pt>
                <c:pt idx="113">
                  <c:v>31471</c:v>
                </c:pt>
                <c:pt idx="114">
                  <c:v>31502</c:v>
                </c:pt>
                <c:pt idx="115">
                  <c:v>31532</c:v>
                </c:pt>
                <c:pt idx="116">
                  <c:v>31563</c:v>
                </c:pt>
                <c:pt idx="117">
                  <c:v>31593</c:v>
                </c:pt>
                <c:pt idx="118">
                  <c:v>31624</c:v>
                </c:pt>
                <c:pt idx="119">
                  <c:v>31655</c:v>
                </c:pt>
                <c:pt idx="120">
                  <c:v>31685</c:v>
                </c:pt>
                <c:pt idx="121">
                  <c:v>31716</c:v>
                </c:pt>
                <c:pt idx="122">
                  <c:v>31746</c:v>
                </c:pt>
                <c:pt idx="123">
                  <c:v>31777</c:v>
                </c:pt>
                <c:pt idx="124">
                  <c:v>31808</c:v>
                </c:pt>
                <c:pt idx="125">
                  <c:v>31836</c:v>
                </c:pt>
                <c:pt idx="126">
                  <c:v>31867</c:v>
                </c:pt>
                <c:pt idx="127">
                  <c:v>31897</c:v>
                </c:pt>
                <c:pt idx="128">
                  <c:v>31928</c:v>
                </c:pt>
                <c:pt idx="129">
                  <c:v>31958</c:v>
                </c:pt>
                <c:pt idx="130">
                  <c:v>31989</c:v>
                </c:pt>
                <c:pt idx="131">
                  <c:v>32020</c:v>
                </c:pt>
                <c:pt idx="132">
                  <c:v>32050</c:v>
                </c:pt>
                <c:pt idx="133">
                  <c:v>32081</c:v>
                </c:pt>
                <c:pt idx="134">
                  <c:v>32111</c:v>
                </c:pt>
                <c:pt idx="135">
                  <c:v>32142</c:v>
                </c:pt>
                <c:pt idx="136">
                  <c:v>32173</c:v>
                </c:pt>
                <c:pt idx="137">
                  <c:v>32202</c:v>
                </c:pt>
                <c:pt idx="138">
                  <c:v>32233</c:v>
                </c:pt>
                <c:pt idx="139">
                  <c:v>32263</c:v>
                </c:pt>
                <c:pt idx="140">
                  <c:v>32294</c:v>
                </c:pt>
                <c:pt idx="141">
                  <c:v>32324</c:v>
                </c:pt>
                <c:pt idx="142">
                  <c:v>32355</c:v>
                </c:pt>
                <c:pt idx="143">
                  <c:v>32386</c:v>
                </c:pt>
                <c:pt idx="144">
                  <c:v>32416</c:v>
                </c:pt>
                <c:pt idx="145">
                  <c:v>32447</c:v>
                </c:pt>
                <c:pt idx="146">
                  <c:v>32477</c:v>
                </c:pt>
                <c:pt idx="147">
                  <c:v>32508</c:v>
                </c:pt>
                <c:pt idx="148">
                  <c:v>32539</c:v>
                </c:pt>
                <c:pt idx="149">
                  <c:v>32567</c:v>
                </c:pt>
                <c:pt idx="150">
                  <c:v>32598</c:v>
                </c:pt>
                <c:pt idx="151">
                  <c:v>32628</c:v>
                </c:pt>
                <c:pt idx="152">
                  <c:v>32659</c:v>
                </c:pt>
                <c:pt idx="153">
                  <c:v>32689</c:v>
                </c:pt>
                <c:pt idx="154">
                  <c:v>32720</c:v>
                </c:pt>
                <c:pt idx="155">
                  <c:v>32751</c:v>
                </c:pt>
                <c:pt idx="156">
                  <c:v>32781</c:v>
                </c:pt>
                <c:pt idx="157">
                  <c:v>32812</c:v>
                </c:pt>
                <c:pt idx="158">
                  <c:v>32842</c:v>
                </c:pt>
                <c:pt idx="159">
                  <c:v>32873</c:v>
                </c:pt>
                <c:pt idx="160">
                  <c:v>32904</c:v>
                </c:pt>
                <c:pt idx="161">
                  <c:v>32932</c:v>
                </c:pt>
                <c:pt idx="162">
                  <c:v>32963</c:v>
                </c:pt>
                <c:pt idx="163">
                  <c:v>32993</c:v>
                </c:pt>
                <c:pt idx="164">
                  <c:v>33024</c:v>
                </c:pt>
                <c:pt idx="165">
                  <c:v>33054</c:v>
                </c:pt>
                <c:pt idx="166">
                  <c:v>33085</c:v>
                </c:pt>
                <c:pt idx="167">
                  <c:v>33116</c:v>
                </c:pt>
                <c:pt idx="168">
                  <c:v>33146</c:v>
                </c:pt>
                <c:pt idx="169">
                  <c:v>33177</c:v>
                </c:pt>
                <c:pt idx="170">
                  <c:v>33207</c:v>
                </c:pt>
                <c:pt idx="171">
                  <c:v>33238</c:v>
                </c:pt>
                <c:pt idx="172">
                  <c:v>33269</c:v>
                </c:pt>
                <c:pt idx="173">
                  <c:v>33297</c:v>
                </c:pt>
                <c:pt idx="174">
                  <c:v>33328</c:v>
                </c:pt>
                <c:pt idx="175">
                  <c:v>33358</c:v>
                </c:pt>
                <c:pt idx="176">
                  <c:v>33389</c:v>
                </c:pt>
                <c:pt idx="177">
                  <c:v>33419</c:v>
                </c:pt>
                <c:pt idx="178">
                  <c:v>33450</c:v>
                </c:pt>
                <c:pt idx="179">
                  <c:v>33481</c:v>
                </c:pt>
                <c:pt idx="180">
                  <c:v>33511</c:v>
                </c:pt>
                <c:pt idx="181">
                  <c:v>33542</c:v>
                </c:pt>
                <c:pt idx="182">
                  <c:v>33572</c:v>
                </c:pt>
                <c:pt idx="183">
                  <c:v>33603</c:v>
                </c:pt>
                <c:pt idx="184">
                  <c:v>33634</c:v>
                </c:pt>
                <c:pt idx="185">
                  <c:v>33663</c:v>
                </c:pt>
                <c:pt idx="186">
                  <c:v>33694</c:v>
                </c:pt>
                <c:pt idx="187">
                  <c:v>33724</c:v>
                </c:pt>
                <c:pt idx="188">
                  <c:v>33755</c:v>
                </c:pt>
                <c:pt idx="189">
                  <c:v>33785</c:v>
                </c:pt>
                <c:pt idx="190">
                  <c:v>33816</c:v>
                </c:pt>
                <c:pt idx="191">
                  <c:v>33847</c:v>
                </c:pt>
                <c:pt idx="192">
                  <c:v>33877</c:v>
                </c:pt>
                <c:pt idx="193">
                  <c:v>33908</c:v>
                </c:pt>
                <c:pt idx="194">
                  <c:v>33938</c:v>
                </c:pt>
                <c:pt idx="195">
                  <c:v>33969</c:v>
                </c:pt>
                <c:pt idx="196">
                  <c:v>34000</c:v>
                </c:pt>
                <c:pt idx="197">
                  <c:v>34028</c:v>
                </c:pt>
                <c:pt idx="198">
                  <c:v>34059</c:v>
                </c:pt>
                <c:pt idx="199">
                  <c:v>34089</c:v>
                </c:pt>
                <c:pt idx="200">
                  <c:v>34120</c:v>
                </c:pt>
                <c:pt idx="201">
                  <c:v>34150</c:v>
                </c:pt>
                <c:pt idx="202">
                  <c:v>34181</c:v>
                </c:pt>
                <c:pt idx="203">
                  <c:v>34212</c:v>
                </c:pt>
                <c:pt idx="204">
                  <c:v>34242</c:v>
                </c:pt>
                <c:pt idx="205">
                  <c:v>34273</c:v>
                </c:pt>
                <c:pt idx="206">
                  <c:v>34303</c:v>
                </c:pt>
                <c:pt idx="207">
                  <c:v>34334</c:v>
                </c:pt>
                <c:pt idx="208">
                  <c:v>34365</c:v>
                </c:pt>
                <c:pt idx="209">
                  <c:v>34393</c:v>
                </c:pt>
                <c:pt idx="210">
                  <c:v>34424</c:v>
                </c:pt>
                <c:pt idx="211">
                  <c:v>34454</c:v>
                </c:pt>
                <c:pt idx="212">
                  <c:v>34485</c:v>
                </c:pt>
                <c:pt idx="213">
                  <c:v>34515</c:v>
                </c:pt>
                <c:pt idx="214">
                  <c:v>34546</c:v>
                </c:pt>
                <c:pt idx="215">
                  <c:v>34577</c:v>
                </c:pt>
                <c:pt idx="216">
                  <c:v>34607</c:v>
                </c:pt>
                <c:pt idx="217">
                  <c:v>34638</c:v>
                </c:pt>
                <c:pt idx="218">
                  <c:v>34668</c:v>
                </c:pt>
                <c:pt idx="219">
                  <c:v>34699</c:v>
                </c:pt>
                <c:pt idx="220">
                  <c:v>34730</c:v>
                </c:pt>
                <c:pt idx="221">
                  <c:v>34758</c:v>
                </c:pt>
                <c:pt idx="222">
                  <c:v>34789</c:v>
                </c:pt>
                <c:pt idx="223">
                  <c:v>34819</c:v>
                </c:pt>
                <c:pt idx="224">
                  <c:v>34850</c:v>
                </c:pt>
                <c:pt idx="225">
                  <c:v>34880</c:v>
                </c:pt>
                <c:pt idx="226">
                  <c:v>34911</c:v>
                </c:pt>
                <c:pt idx="227">
                  <c:v>34942</c:v>
                </c:pt>
                <c:pt idx="228">
                  <c:v>34972</c:v>
                </c:pt>
                <c:pt idx="229">
                  <c:v>35003</c:v>
                </c:pt>
                <c:pt idx="230">
                  <c:v>35033</c:v>
                </c:pt>
                <c:pt idx="231">
                  <c:v>35064</c:v>
                </c:pt>
                <c:pt idx="232">
                  <c:v>35095</c:v>
                </c:pt>
                <c:pt idx="233">
                  <c:v>35124</c:v>
                </c:pt>
                <c:pt idx="234">
                  <c:v>35155</c:v>
                </c:pt>
                <c:pt idx="235">
                  <c:v>35185</c:v>
                </c:pt>
                <c:pt idx="236">
                  <c:v>35216</c:v>
                </c:pt>
                <c:pt idx="237">
                  <c:v>35246</c:v>
                </c:pt>
                <c:pt idx="238">
                  <c:v>35277</c:v>
                </c:pt>
                <c:pt idx="239">
                  <c:v>35308</c:v>
                </c:pt>
                <c:pt idx="240">
                  <c:v>35338</c:v>
                </c:pt>
                <c:pt idx="241">
                  <c:v>35369</c:v>
                </c:pt>
                <c:pt idx="242">
                  <c:v>35399</c:v>
                </c:pt>
                <c:pt idx="243">
                  <c:v>35430</c:v>
                </c:pt>
                <c:pt idx="244">
                  <c:v>35461</c:v>
                </c:pt>
                <c:pt idx="245">
                  <c:v>35489</c:v>
                </c:pt>
                <c:pt idx="246">
                  <c:v>35520</c:v>
                </c:pt>
                <c:pt idx="247">
                  <c:v>35550</c:v>
                </c:pt>
                <c:pt idx="248">
                  <c:v>35581</c:v>
                </c:pt>
                <c:pt idx="249">
                  <c:v>35611</c:v>
                </c:pt>
                <c:pt idx="250">
                  <c:v>35642</c:v>
                </c:pt>
                <c:pt idx="251">
                  <c:v>35673</c:v>
                </c:pt>
                <c:pt idx="252">
                  <c:v>35703</c:v>
                </c:pt>
                <c:pt idx="253">
                  <c:v>35734</c:v>
                </c:pt>
                <c:pt idx="254">
                  <c:v>35764</c:v>
                </c:pt>
                <c:pt idx="255">
                  <c:v>35795</c:v>
                </c:pt>
                <c:pt idx="256">
                  <c:v>35826</c:v>
                </c:pt>
                <c:pt idx="257">
                  <c:v>35854</c:v>
                </c:pt>
                <c:pt idx="258">
                  <c:v>35885</c:v>
                </c:pt>
                <c:pt idx="259">
                  <c:v>35915</c:v>
                </c:pt>
                <c:pt idx="260">
                  <c:v>35946</c:v>
                </c:pt>
                <c:pt idx="261">
                  <c:v>35976</c:v>
                </c:pt>
                <c:pt idx="262">
                  <c:v>36007</c:v>
                </c:pt>
                <c:pt idx="263">
                  <c:v>36038</c:v>
                </c:pt>
                <c:pt idx="264">
                  <c:v>36068</c:v>
                </c:pt>
                <c:pt idx="265">
                  <c:v>36099</c:v>
                </c:pt>
                <c:pt idx="266">
                  <c:v>36129</c:v>
                </c:pt>
                <c:pt idx="267">
                  <c:v>36160</c:v>
                </c:pt>
                <c:pt idx="268">
                  <c:v>36191</c:v>
                </c:pt>
                <c:pt idx="269">
                  <c:v>36219</c:v>
                </c:pt>
                <c:pt idx="270">
                  <c:v>36250</c:v>
                </c:pt>
                <c:pt idx="271">
                  <c:v>36280</c:v>
                </c:pt>
                <c:pt idx="272">
                  <c:v>36311</c:v>
                </c:pt>
                <c:pt idx="273">
                  <c:v>36341</c:v>
                </c:pt>
                <c:pt idx="274">
                  <c:v>36372</c:v>
                </c:pt>
                <c:pt idx="275">
                  <c:v>36403</c:v>
                </c:pt>
                <c:pt idx="276">
                  <c:v>36433</c:v>
                </c:pt>
                <c:pt idx="277">
                  <c:v>36464</c:v>
                </c:pt>
                <c:pt idx="278">
                  <c:v>36494</c:v>
                </c:pt>
                <c:pt idx="279">
                  <c:v>36525</c:v>
                </c:pt>
                <c:pt idx="280">
                  <c:v>36556</c:v>
                </c:pt>
                <c:pt idx="281">
                  <c:v>36585</c:v>
                </c:pt>
                <c:pt idx="282">
                  <c:v>36616</c:v>
                </c:pt>
                <c:pt idx="283">
                  <c:v>36646</c:v>
                </c:pt>
                <c:pt idx="284">
                  <c:v>36677</c:v>
                </c:pt>
                <c:pt idx="285">
                  <c:v>36707</c:v>
                </c:pt>
                <c:pt idx="286">
                  <c:v>36738</c:v>
                </c:pt>
                <c:pt idx="287">
                  <c:v>36769</c:v>
                </c:pt>
                <c:pt idx="288">
                  <c:v>36799</c:v>
                </c:pt>
                <c:pt idx="289">
                  <c:v>36830</c:v>
                </c:pt>
                <c:pt idx="290">
                  <c:v>36860</c:v>
                </c:pt>
                <c:pt idx="291">
                  <c:v>36891</c:v>
                </c:pt>
                <c:pt idx="292">
                  <c:v>36922</c:v>
                </c:pt>
                <c:pt idx="293">
                  <c:v>36950</c:v>
                </c:pt>
                <c:pt idx="294">
                  <c:v>36981</c:v>
                </c:pt>
                <c:pt idx="295">
                  <c:v>37011</c:v>
                </c:pt>
                <c:pt idx="296">
                  <c:v>37042</c:v>
                </c:pt>
                <c:pt idx="297">
                  <c:v>37072</c:v>
                </c:pt>
                <c:pt idx="298">
                  <c:v>37103</c:v>
                </c:pt>
                <c:pt idx="299">
                  <c:v>37134</c:v>
                </c:pt>
                <c:pt idx="300">
                  <c:v>37164</c:v>
                </c:pt>
                <c:pt idx="301">
                  <c:v>37195</c:v>
                </c:pt>
                <c:pt idx="302">
                  <c:v>37225</c:v>
                </c:pt>
                <c:pt idx="303">
                  <c:v>37256</c:v>
                </c:pt>
                <c:pt idx="304">
                  <c:v>37287</c:v>
                </c:pt>
                <c:pt idx="305">
                  <c:v>37315</c:v>
                </c:pt>
                <c:pt idx="306">
                  <c:v>37346</c:v>
                </c:pt>
                <c:pt idx="307">
                  <c:v>37376</c:v>
                </c:pt>
                <c:pt idx="308">
                  <c:v>37407</c:v>
                </c:pt>
                <c:pt idx="309">
                  <c:v>37437</c:v>
                </c:pt>
                <c:pt idx="310">
                  <c:v>37468</c:v>
                </c:pt>
                <c:pt idx="311">
                  <c:v>37499</c:v>
                </c:pt>
                <c:pt idx="312">
                  <c:v>37529</c:v>
                </c:pt>
                <c:pt idx="313">
                  <c:v>37560</c:v>
                </c:pt>
                <c:pt idx="314">
                  <c:v>37590</c:v>
                </c:pt>
                <c:pt idx="315">
                  <c:v>37621</c:v>
                </c:pt>
                <c:pt idx="316">
                  <c:v>37652</c:v>
                </c:pt>
                <c:pt idx="317">
                  <c:v>37680</c:v>
                </c:pt>
                <c:pt idx="318">
                  <c:v>37711</c:v>
                </c:pt>
                <c:pt idx="319">
                  <c:v>37741</c:v>
                </c:pt>
                <c:pt idx="320">
                  <c:v>37772</c:v>
                </c:pt>
                <c:pt idx="321">
                  <c:v>37802</c:v>
                </c:pt>
                <c:pt idx="322">
                  <c:v>37833</c:v>
                </c:pt>
                <c:pt idx="323">
                  <c:v>37864</c:v>
                </c:pt>
                <c:pt idx="324">
                  <c:v>37894</c:v>
                </c:pt>
                <c:pt idx="325">
                  <c:v>37925</c:v>
                </c:pt>
                <c:pt idx="326">
                  <c:v>37955</c:v>
                </c:pt>
                <c:pt idx="327">
                  <c:v>37986</c:v>
                </c:pt>
                <c:pt idx="328">
                  <c:v>38017</c:v>
                </c:pt>
                <c:pt idx="329">
                  <c:v>38046</c:v>
                </c:pt>
                <c:pt idx="330">
                  <c:v>38077</c:v>
                </c:pt>
                <c:pt idx="331">
                  <c:v>38107</c:v>
                </c:pt>
                <c:pt idx="332">
                  <c:v>38138</c:v>
                </c:pt>
                <c:pt idx="333">
                  <c:v>38168</c:v>
                </c:pt>
                <c:pt idx="334">
                  <c:v>38199</c:v>
                </c:pt>
                <c:pt idx="335">
                  <c:v>38230</c:v>
                </c:pt>
                <c:pt idx="336">
                  <c:v>38260</c:v>
                </c:pt>
                <c:pt idx="337">
                  <c:v>38291</c:v>
                </c:pt>
                <c:pt idx="338">
                  <c:v>38321</c:v>
                </c:pt>
                <c:pt idx="339">
                  <c:v>38352</c:v>
                </c:pt>
                <c:pt idx="340">
                  <c:v>38383</c:v>
                </c:pt>
                <c:pt idx="341">
                  <c:v>38411</c:v>
                </c:pt>
                <c:pt idx="342">
                  <c:v>38442</c:v>
                </c:pt>
                <c:pt idx="343">
                  <c:v>38472</c:v>
                </c:pt>
                <c:pt idx="344">
                  <c:v>38503</c:v>
                </c:pt>
                <c:pt idx="345">
                  <c:v>38533</c:v>
                </c:pt>
                <c:pt idx="346">
                  <c:v>38564</c:v>
                </c:pt>
                <c:pt idx="347">
                  <c:v>38595</c:v>
                </c:pt>
                <c:pt idx="348">
                  <c:v>38625</c:v>
                </c:pt>
                <c:pt idx="349">
                  <c:v>38656</c:v>
                </c:pt>
                <c:pt idx="350">
                  <c:v>38686</c:v>
                </c:pt>
                <c:pt idx="351">
                  <c:v>38717</c:v>
                </c:pt>
                <c:pt idx="352">
                  <c:v>38748</c:v>
                </c:pt>
                <c:pt idx="353">
                  <c:v>38776</c:v>
                </c:pt>
                <c:pt idx="354">
                  <c:v>38807</c:v>
                </c:pt>
                <c:pt idx="355">
                  <c:v>38837</c:v>
                </c:pt>
                <c:pt idx="356">
                  <c:v>38868</c:v>
                </c:pt>
                <c:pt idx="357">
                  <c:v>38898</c:v>
                </c:pt>
                <c:pt idx="358">
                  <c:v>38929</c:v>
                </c:pt>
                <c:pt idx="359">
                  <c:v>38960</c:v>
                </c:pt>
                <c:pt idx="360">
                  <c:v>38990</c:v>
                </c:pt>
                <c:pt idx="361">
                  <c:v>39021</c:v>
                </c:pt>
                <c:pt idx="362">
                  <c:v>39051</c:v>
                </c:pt>
                <c:pt idx="363">
                  <c:v>39082</c:v>
                </c:pt>
                <c:pt idx="364">
                  <c:v>39113</c:v>
                </c:pt>
                <c:pt idx="365">
                  <c:v>39141</c:v>
                </c:pt>
                <c:pt idx="366">
                  <c:v>39172</c:v>
                </c:pt>
                <c:pt idx="367">
                  <c:v>39202</c:v>
                </c:pt>
                <c:pt idx="368">
                  <c:v>39233</c:v>
                </c:pt>
                <c:pt idx="369">
                  <c:v>39263</c:v>
                </c:pt>
                <c:pt idx="370">
                  <c:v>39294</c:v>
                </c:pt>
                <c:pt idx="371">
                  <c:v>39325</c:v>
                </c:pt>
                <c:pt idx="372">
                  <c:v>39355</c:v>
                </c:pt>
                <c:pt idx="373">
                  <c:v>39386</c:v>
                </c:pt>
                <c:pt idx="374">
                  <c:v>39416</c:v>
                </c:pt>
                <c:pt idx="375">
                  <c:v>39447</c:v>
                </c:pt>
                <c:pt idx="376">
                  <c:v>39478</c:v>
                </c:pt>
                <c:pt idx="377">
                  <c:v>39507</c:v>
                </c:pt>
                <c:pt idx="378">
                  <c:v>39538</c:v>
                </c:pt>
                <c:pt idx="379">
                  <c:v>39568</c:v>
                </c:pt>
                <c:pt idx="380">
                  <c:v>39599</c:v>
                </c:pt>
                <c:pt idx="381">
                  <c:v>39629</c:v>
                </c:pt>
                <c:pt idx="382">
                  <c:v>39660</c:v>
                </c:pt>
                <c:pt idx="383">
                  <c:v>39691</c:v>
                </c:pt>
                <c:pt idx="384">
                  <c:v>39721</c:v>
                </c:pt>
                <c:pt idx="385">
                  <c:v>39752</c:v>
                </c:pt>
                <c:pt idx="386">
                  <c:v>39782</c:v>
                </c:pt>
                <c:pt idx="387">
                  <c:v>39813</c:v>
                </c:pt>
                <c:pt idx="388">
                  <c:v>39844</c:v>
                </c:pt>
                <c:pt idx="389">
                  <c:v>39872</c:v>
                </c:pt>
                <c:pt idx="390">
                  <c:v>39903</c:v>
                </c:pt>
                <c:pt idx="391">
                  <c:v>39933</c:v>
                </c:pt>
                <c:pt idx="392">
                  <c:v>39964</c:v>
                </c:pt>
                <c:pt idx="393">
                  <c:v>39994</c:v>
                </c:pt>
                <c:pt idx="394">
                  <c:v>40025</c:v>
                </c:pt>
                <c:pt idx="395">
                  <c:v>40056</c:v>
                </c:pt>
                <c:pt idx="396">
                  <c:v>40086</c:v>
                </c:pt>
                <c:pt idx="397">
                  <c:v>40117</c:v>
                </c:pt>
                <c:pt idx="398">
                  <c:v>40147</c:v>
                </c:pt>
                <c:pt idx="399">
                  <c:v>40178</c:v>
                </c:pt>
                <c:pt idx="400">
                  <c:v>40209</c:v>
                </c:pt>
                <c:pt idx="401">
                  <c:v>40237</c:v>
                </c:pt>
                <c:pt idx="402">
                  <c:v>40268</c:v>
                </c:pt>
                <c:pt idx="403">
                  <c:v>40298</c:v>
                </c:pt>
                <c:pt idx="404">
                  <c:v>40329</c:v>
                </c:pt>
                <c:pt idx="405">
                  <c:v>40359</c:v>
                </c:pt>
                <c:pt idx="406">
                  <c:v>40390</c:v>
                </c:pt>
                <c:pt idx="407">
                  <c:v>40421</c:v>
                </c:pt>
                <c:pt idx="408">
                  <c:v>40451</c:v>
                </c:pt>
                <c:pt idx="409">
                  <c:v>40482</c:v>
                </c:pt>
                <c:pt idx="410">
                  <c:v>40512</c:v>
                </c:pt>
                <c:pt idx="411">
                  <c:v>40543</c:v>
                </c:pt>
                <c:pt idx="412">
                  <c:v>40574</c:v>
                </c:pt>
                <c:pt idx="413">
                  <c:v>40602</c:v>
                </c:pt>
                <c:pt idx="414">
                  <c:v>40633</c:v>
                </c:pt>
                <c:pt idx="415">
                  <c:v>40663</c:v>
                </c:pt>
                <c:pt idx="416">
                  <c:v>40694</c:v>
                </c:pt>
                <c:pt idx="417">
                  <c:v>40724</c:v>
                </c:pt>
                <c:pt idx="418">
                  <c:v>40755</c:v>
                </c:pt>
                <c:pt idx="419">
                  <c:v>40786</c:v>
                </c:pt>
                <c:pt idx="420">
                  <c:v>40816</c:v>
                </c:pt>
                <c:pt idx="421">
                  <c:v>40847</c:v>
                </c:pt>
                <c:pt idx="422">
                  <c:v>40877</c:v>
                </c:pt>
                <c:pt idx="423">
                  <c:v>40908</c:v>
                </c:pt>
                <c:pt idx="424">
                  <c:v>40939</c:v>
                </c:pt>
                <c:pt idx="425">
                  <c:v>40968</c:v>
                </c:pt>
                <c:pt idx="426">
                  <c:v>40999</c:v>
                </c:pt>
                <c:pt idx="427">
                  <c:v>41029</c:v>
                </c:pt>
                <c:pt idx="428">
                  <c:v>41060</c:v>
                </c:pt>
                <c:pt idx="429">
                  <c:v>41090</c:v>
                </c:pt>
                <c:pt idx="430">
                  <c:v>41121</c:v>
                </c:pt>
                <c:pt idx="431">
                  <c:v>41152</c:v>
                </c:pt>
                <c:pt idx="432">
                  <c:v>41182</c:v>
                </c:pt>
                <c:pt idx="433">
                  <c:v>41213</c:v>
                </c:pt>
                <c:pt idx="434">
                  <c:v>41243</c:v>
                </c:pt>
                <c:pt idx="435">
                  <c:v>41274</c:v>
                </c:pt>
                <c:pt idx="436">
                  <c:v>41305</c:v>
                </c:pt>
                <c:pt idx="437">
                  <c:v>41333</c:v>
                </c:pt>
                <c:pt idx="438">
                  <c:v>41364</c:v>
                </c:pt>
                <c:pt idx="439">
                  <c:v>41394</c:v>
                </c:pt>
                <c:pt idx="440">
                  <c:v>41425</c:v>
                </c:pt>
                <c:pt idx="441">
                  <c:v>41455</c:v>
                </c:pt>
                <c:pt idx="442">
                  <c:v>41486</c:v>
                </c:pt>
                <c:pt idx="443">
                  <c:v>41517</c:v>
                </c:pt>
                <c:pt idx="444">
                  <c:v>41547</c:v>
                </c:pt>
                <c:pt idx="445">
                  <c:v>41578</c:v>
                </c:pt>
                <c:pt idx="446">
                  <c:v>41608</c:v>
                </c:pt>
                <c:pt idx="447">
                  <c:v>41639</c:v>
                </c:pt>
                <c:pt idx="448">
                  <c:v>41670</c:v>
                </c:pt>
                <c:pt idx="449">
                  <c:v>41698</c:v>
                </c:pt>
                <c:pt idx="450">
                  <c:v>41729</c:v>
                </c:pt>
                <c:pt idx="451">
                  <c:v>41759</c:v>
                </c:pt>
                <c:pt idx="452">
                  <c:v>41790</c:v>
                </c:pt>
                <c:pt idx="453">
                  <c:v>41820</c:v>
                </c:pt>
                <c:pt idx="454">
                  <c:v>41851</c:v>
                </c:pt>
                <c:pt idx="455">
                  <c:v>41882</c:v>
                </c:pt>
                <c:pt idx="456">
                  <c:v>41912</c:v>
                </c:pt>
                <c:pt idx="457">
                  <c:v>41943</c:v>
                </c:pt>
                <c:pt idx="458">
                  <c:v>41973</c:v>
                </c:pt>
                <c:pt idx="459">
                  <c:v>42004</c:v>
                </c:pt>
                <c:pt idx="460">
                  <c:v>42035</c:v>
                </c:pt>
                <c:pt idx="461">
                  <c:v>42063</c:v>
                </c:pt>
                <c:pt idx="462">
                  <c:v>42094</c:v>
                </c:pt>
                <c:pt idx="463">
                  <c:v>42124</c:v>
                </c:pt>
                <c:pt idx="464">
                  <c:v>42155</c:v>
                </c:pt>
                <c:pt idx="465">
                  <c:v>42185</c:v>
                </c:pt>
                <c:pt idx="466">
                  <c:v>42216</c:v>
                </c:pt>
              </c:numCache>
            </c:numRef>
          </c:cat>
          <c:val>
            <c:numRef>
              <c:f>'BRKA SP500 1976 to today'!$H$17:$H$485</c:f>
              <c:numCache>
                <c:formatCode>"$"#,##0_);\("$"#,##0\);"$"#,##0_);@_)</c:formatCode>
                <c:ptCount val="469"/>
                <c:pt idx="0">
                  <c:v>100</c:v>
                </c:pt>
                <c:pt idx="1">
                  <c:v>97.776499999999999</c:v>
                </c:pt>
                <c:pt idx="2">
                  <c:v>97.016300000000015</c:v>
                </c:pt>
                <c:pt idx="3">
                  <c:v>102.10899999999999</c:v>
                </c:pt>
                <c:pt idx="4">
                  <c:v>96.949799999999996</c:v>
                </c:pt>
                <c:pt idx="5">
                  <c:v>94.849800000000002</c:v>
                </c:pt>
                <c:pt idx="6">
                  <c:v>93.519499999999994</c:v>
                </c:pt>
                <c:pt idx="7">
                  <c:v>93.538499999999999</c:v>
                </c:pt>
                <c:pt idx="8">
                  <c:v>91.334000000000003</c:v>
                </c:pt>
                <c:pt idx="9">
                  <c:v>95.477000000000004</c:v>
                </c:pt>
                <c:pt idx="10">
                  <c:v>93.928100000000001</c:v>
                </c:pt>
                <c:pt idx="11">
                  <c:v>91.951700000000002</c:v>
                </c:pt>
                <c:pt idx="12">
                  <c:v>91.723600000000005</c:v>
                </c:pt>
                <c:pt idx="13">
                  <c:v>87.7423</c:v>
                </c:pt>
                <c:pt idx="14">
                  <c:v>90.1083</c:v>
                </c:pt>
                <c:pt idx="15">
                  <c:v>90.364800000000002</c:v>
                </c:pt>
                <c:pt idx="16">
                  <c:v>84.806100000000001</c:v>
                </c:pt>
                <c:pt idx="17">
                  <c:v>82.706199999999995</c:v>
                </c:pt>
                <c:pt idx="18">
                  <c:v>84.768100000000018</c:v>
                </c:pt>
                <c:pt idx="19">
                  <c:v>92.008700000000005</c:v>
                </c:pt>
                <c:pt idx="20">
                  <c:v>92.398300000000006</c:v>
                </c:pt>
                <c:pt idx="21">
                  <c:v>90.773400000000009</c:v>
                </c:pt>
                <c:pt idx="22">
                  <c:v>95.667000000000016</c:v>
                </c:pt>
                <c:pt idx="23">
                  <c:v>98.052000000000007</c:v>
                </c:pt>
                <c:pt idx="24">
                  <c:v>97.424899999999994</c:v>
                </c:pt>
                <c:pt idx="25">
                  <c:v>88.511900000000011</c:v>
                </c:pt>
                <c:pt idx="26">
                  <c:v>89.338600000000014</c:v>
                </c:pt>
                <c:pt idx="27">
                  <c:v>91.324600000000018</c:v>
                </c:pt>
                <c:pt idx="28">
                  <c:v>94.954300000000003</c:v>
                </c:pt>
                <c:pt idx="29">
                  <c:v>91.486099999999993</c:v>
                </c:pt>
                <c:pt idx="30">
                  <c:v>96.531700000000001</c:v>
                </c:pt>
                <c:pt idx="31">
                  <c:v>96.693200000000004</c:v>
                </c:pt>
                <c:pt idx="32">
                  <c:v>94.146699999999996</c:v>
                </c:pt>
                <c:pt idx="33">
                  <c:v>97.786000000000001</c:v>
                </c:pt>
                <c:pt idx="34">
                  <c:v>98.641199999999998</c:v>
                </c:pt>
                <c:pt idx="35">
                  <c:v>103.876</c:v>
                </c:pt>
                <c:pt idx="36">
                  <c:v>103.876</c:v>
                </c:pt>
                <c:pt idx="37">
                  <c:v>96.750200000000007</c:v>
                </c:pt>
                <c:pt idx="38">
                  <c:v>100.874</c:v>
                </c:pt>
                <c:pt idx="39">
                  <c:v>102.565</c:v>
                </c:pt>
                <c:pt idx="40">
                  <c:v>108.47500000000001</c:v>
                </c:pt>
                <c:pt idx="41">
                  <c:v>108</c:v>
                </c:pt>
                <c:pt idx="42">
                  <c:v>97.006799999999998</c:v>
                </c:pt>
                <c:pt idx="43">
                  <c:v>100.99700000000001</c:v>
                </c:pt>
                <c:pt idx="44">
                  <c:v>105.70099999999999</c:v>
                </c:pt>
                <c:pt idx="45">
                  <c:v>110.224</c:v>
                </c:pt>
                <c:pt idx="46">
                  <c:v>115.611</c:v>
                </c:pt>
                <c:pt idx="47">
                  <c:v>116.286</c:v>
                </c:pt>
                <c:pt idx="48">
                  <c:v>119.21299999999999</c:v>
                </c:pt>
                <c:pt idx="49">
                  <c:v>121.12300000000002</c:v>
                </c:pt>
                <c:pt idx="50">
                  <c:v>133.523</c:v>
                </c:pt>
                <c:pt idx="51">
                  <c:v>129</c:v>
                </c:pt>
                <c:pt idx="52">
                  <c:v>123.099</c:v>
                </c:pt>
                <c:pt idx="53">
                  <c:v>124.73300000000002</c:v>
                </c:pt>
                <c:pt idx="54">
                  <c:v>129.22800000000001</c:v>
                </c:pt>
                <c:pt idx="55">
                  <c:v>126.19700000000003</c:v>
                </c:pt>
                <c:pt idx="56">
                  <c:v>126.80500000000001</c:v>
                </c:pt>
                <c:pt idx="57">
                  <c:v>124.74299999999999</c:v>
                </c:pt>
                <c:pt idx="58">
                  <c:v>124.40100000000001</c:v>
                </c:pt>
                <c:pt idx="59">
                  <c:v>116.676</c:v>
                </c:pt>
                <c:pt idx="60">
                  <c:v>110.395</c:v>
                </c:pt>
                <c:pt idx="61">
                  <c:v>115.82000000000001</c:v>
                </c:pt>
                <c:pt idx="62">
                  <c:v>120.05800000000001</c:v>
                </c:pt>
                <c:pt idx="63">
                  <c:v>116.44799999999999</c:v>
                </c:pt>
                <c:pt idx="64">
                  <c:v>114.405</c:v>
                </c:pt>
                <c:pt idx="65">
                  <c:v>107.47799999999999</c:v>
                </c:pt>
                <c:pt idx="66">
                  <c:v>106.38500000000001</c:v>
                </c:pt>
                <c:pt idx="67">
                  <c:v>110.642</c:v>
                </c:pt>
                <c:pt idx="68">
                  <c:v>106.309</c:v>
                </c:pt>
                <c:pt idx="69">
                  <c:v>105.425</c:v>
                </c:pt>
                <c:pt idx="70">
                  <c:v>101.75700000000001</c:v>
                </c:pt>
                <c:pt idx="71">
                  <c:v>113.559</c:v>
                </c:pt>
                <c:pt idx="72">
                  <c:v>114.42400000000002</c:v>
                </c:pt>
                <c:pt idx="73">
                  <c:v>127.05200000000001</c:v>
                </c:pt>
                <c:pt idx="74">
                  <c:v>131.64099999999999</c:v>
                </c:pt>
                <c:pt idx="75">
                  <c:v>133.637</c:v>
                </c:pt>
                <c:pt idx="76">
                  <c:v>138.065</c:v>
                </c:pt>
                <c:pt idx="77">
                  <c:v>141.20099999999999</c:v>
                </c:pt>
                <c:pt idx="78">
                  <c:v>145.34299999999999</c:v>
                </c:pt>
                <c:pt idx="79">
                  <c:v>156.233</c:v>
                </c:pt>
                <c:pt idx="80">
                  <c:v>154.304</c:v>
                </c:pt>
                <c:pt idx="81">
                  <c:v>159.739</c:v>
                </c:pt>
                <c:pt idx="82">
                  <c:v>154.46600000000001</c:v>
                </c:pt>
                <c:pt idx="83">
                  <c:v>156.214</c:v>
                </c:pt>
                <c:pt idx="84">
                  <c:v>157.80099999999999</c:v>
                </c:pt>
                <c:pt idx="85">
                  <c:v>155.40600000000001</c:v>
                </c:pt>
                <c:pt idx="86">
                  <c:v>158.114</c:v>
                </c:pt>
                <c:pt idx="87">
                  <c:v>156.71700000000001</c:v>
                </c:pt>
                <c:pt idx="88">
                  <c:v>155.273</c:v>
                </c:pt>
                <c:pt idx="89">
                  <c:v>149.239</c:v>
                </c:pt>
                <c:pt idx="90">
                  <c:v>151.25399999999999</c:v>
                </c:pt>
                <c:pt idx="91">
                  <c:v>152.08000000000001</c:v>
                </c:pt>
                <c:pt idx="92">
                  <c:v>143.053</c:v>
                </c:pt>
                <c:pt idx="93">
                  <c:v>146.07499999999999</c:v>
                </c:pt>
                <c:pt idx="94">
                  <c:v>143.15799999999999</c:v>
                </c:pt>
                <c:pt idx="95">
                  <c:v>158.38</c:v>
                </c:pt>
                <c:pt idx="96">
                  <c:v>157.82900000000001</c:v>
                </c:pt>
                <c:pt idx="97">
                  <c:v>157.82</c:v>
                </c:pt>
                <c:pt idx="98">
                  <c:v>155.435</c:v>
                </c:pt>
                <c:pt idx="99">
                  <c:v>158.91200000000001</c:v>
                </c:pt>
                <c:pt idx="100">
                  <c:v>170.68600000000004</c:v>
                </c:pt>
                <c:pt idx="101">
                  <c:v>172.15799999999999</c:v>
                </c:pt>
                <c:pt idx="102">
                  <c:v>171.66399999999999</c:v>
                </c:pt>
                <c:pt idx="103">
                  <c:v>170.87600000000003</c:v>
                </c:pt>
                <c:pt idx="104">
                  <c:v>180.11200000000002</c:v>
                </c:pt>
                <c:pt idx="105">
                  <c:v>182.297</c:v>
                </c:pt>
                <c:pt idx="106">
                  <c:v>181.41300000000004</c:v>
                </c:pt>
                <c:pt idx="107">
                  <c:v>179.23700000000002</c:v>
                </c:pt>
                <c:pt idx="108">
                  <c:v>173.01400000000001</c:v>
                </c:pt>
                <c:pt idx="109">
                  <c:v>180.36799999999999</c:v>
                </c:pt>
                <c:pt idx="110">
                  <c:v>192.10300000000001</c:v>
                </c:pt>
                <c:pt idx="111">
                  <c:v>200.76</c:v>
                </c:pt>
                <c:pt idx="112">
                  <c:v>201.23500000000001</c:v>
                </c:pt>
                <c:pt idx="113">
                  <c:v>215.62100000000004</c:v>
                </c:pt>
                <c:pt idx="114">
                  <c:v>227.00399999999999</c:v>
                </c:pt>
                <c:pt idx="115">
                  <c:v>223.79300000000001</c:v>
                </c:pt>
                <c:pt idx="116">
                  <c:v>235.03399999999999</c:v>
                </c:pt>
                <c:pt idx="117">
                  <c:v>238.35</c:v>
                </c:pt>
                <c:pt idx="118">
                  <c:v>224.363</c:v>
                </c:pt>
                <c:pt idx="119">
                  <c:v>240.33600000000001</c:v>
                </c:pt>
                <c:pt idx="120">
                  <c:v>219.80200000000002</c:v>
                </c:pt>
                <c:pt idx="121">
                  <c:v>231.83200000000002</c:v>
                </c:pt>
                <c:pt idx="122">
                  <c:v>236.81100000000004</c:v>
                </c:pt>
                <c:pt idx="123">
                  <c:v>230.11200000000002</c:v>
                </c:pt>
                <c:pt idx="124">
                  <c:v>260.43299999999999</c:v>
                </c:pt>
                <c:pt idx="125">
                  <c:v>270.04899999999998</c:v>
                </c:pt>
                <c:pt idx="126">
                  <c:v>277.17500000000001</c:v>
                </c:pt>
                <c:pt idx="127">
                  <c:v>274.00200000000001</c:v>
                </c:pt>
                <c:pt idx="128">
                  <c:v>275.65499999999997</c:v>
                </c:pt>
                <c:pt idx="129">
                  <c:v>288.863</c:v>
                </c:pt>
                <c:pt idx="130">
                  <c:v>302.79300000000001</c:v>
                </c:pt>
                <c:pt idx="131">
                  <c:v>313.36900000000003</c:v>
                </c:pt>
                <c:pt idx="132">
                  <c:v>305.80500000000001</c:v>
                </c:pt>
                <c:pt idx="133">
                  <c:v>239.25299999999999</c:v>
                </c:pt>
                <c:pt idx="134">
                  <c:v>218.833</c:v>
                </c:pt>
                <c:pt idx="135">
                  <c:v>234.77699999999999</c:v>
                </c:pt>
                <c:pt idx="136">
                  <c:v>244.27</c:v>
                </c:pt>
                <c:pt idx="137">
                  <c:v>254.48500000000001</c:v>
                </c:pt>
                <c:pt idx="138">
                  <c:v>245.999</c:v>
                </c:pt>
                <c:pt idx="139">
                  <c:v>248.31800000000004</c:v>
                </c:pt>
                <c:pt idx="140">
                  <c:v>249.10599999999999</c:v>
                </c:pt>
                <c:pt idx="141">
                  <c:v>259.88200000000001</c:v>
                </c:pt>
                <c:pt idx="142">
                  <c:v>258.47500000000002</c:v>
                </c:pt>
                <c:pt idx="143">
                  <c:v>248.49799999999999</c:v>
                </c:pt>
                <c:pt idx="144">
                  <c:v>258.37099999999998</c:v>
                </c:pt>
                <c:pt idx="145">
                  <c:v>265.07900000000001</c:v>
                </c:pt>
                <c:pt idx="146">
                  <c:v>260.072</c:v>
                </c:pt>
                <c:pt idx="147">
                  <c:v>263.892</c:v>
                </c:pt>
                <c:pt idx="148">
                  <c:v>282.65800000000002</c:v>
                </c:pt>
                <c:pt idx="149">
                  <c:v>274.47699999999998</c:v>
                </c:pt>
                <c:pt idx="150">
                  <c:v>280.18799999999999</c:v>
                </c:pt>
                <c:pt idx="151">
                  <c:v>294.22199999999998</c:v>
                </c:pt>
                <c:pt idx="152">
                  <c:v>304.56099999999998</c:v>
                </c:pt>
                <c:pt idx="153">
                  <c:v>302.14699999999999</c:v>
                </c:pt>
                <c:pt idx="154">
                  <c:v>328.84800000000001</c:v>
                </c:pt>
                <c:pt idx="155">
                  <c:v>333.95</c:v>
                </c:pt>
                <c:pt idx="156">
                  <c:v>331.76499999999999</c:v>
                </c:pt>
                <c:pt idx="157">
                  <c:v>323.41300000000001</c:v>
                </c:pt>
                <c:pt idx="158">
                  <c:v>328.762</c:v>
                </c:pt>
                <c:pt idx="159">
                  <c:v>335.80300000000005</c:v>
                </c:pt>
                <c:pt idx="160">
                  <c:v>312.69400000000002</c:v>
                </c:pt>
                <c:pt idx="161">
                  <c:v>315.36399999999998</c:v>
                </c:pt>
                <c:pt idx="162">
                  <c:v>323.01400000000001</c:v>
                </c:pt>
                <c:pt idx="163">
                  <c:v>314.32900000000001</c:v>
                </c:pt>
                <c:pt idx="164">
                  <c:v>343.24400000000003</c:v>
                </c:pt>
                <c:pt idx="165">
                  <c:v>340.19299999999998</c:v>
                </c:pt>
                <c:pt idx="166">
                  <c:v>338.416</c:v>
                </c:pt>
                <c:pt idx="167">
                  <c:v>306.49900000000002</c:v>
                </c:pt>
                <c:pt idx="168">
                  <c:v>290.81099999999998</c:v>
                </c:pt>
                <c:pt idx="169">
                  <c:v>288.863</c:v>
                </c:pt>
                <c:pt idx="170">
                  <c:v>306.17599999999999</c:v>
                </c:pt>
                <c:pt idx="171">
                  <c:v>313.77800000000002</c:v>
                </c:pt>
                <c:pt idx="172">
                  <c:v>326.80500000000001</c:v>
                </c:pt>
                <c:pt idx="173">
                  <c:v>348.79300000000006</c:v>
                </c:pt>
                <c:pt idx="174">
                  <c:v>356.53699999999998</c:v>
                </c:pt>
                <c:pt idx="175">
                  <c:v>356.661</c:v>
                </c:pt>
                <c:pt idx="176">
                  <c:v>370.42</c:v>
                </c:pt>
                <c:pt idx="177">
                  <c:v>352.67899999999997</c:v>
                </c:pt>
                <c:pt idx="178">
                  <c:v>368.5</c:v>
                </c:pt>
                <c:pt idx="179">
                  <c:v>375.74099999999999</c:v>
                </c:pt>
                <c:pt idx="180">
                  <c:v>368.54800000000006</c:v>
                </c:pt>
                <c:pt idx="181">
                  <c:v>372.91900000000004</c:v>
                </c:pt>
                <c:pt idx="182">
                  <c:v>356.53699999999998</c:v>
                </c:pt>
                <c:pt idx="183">
                  <c:v>396.322</c:v>
                </c:pt>
                <c:pt idx="184">
                  <c:v>388.435</c:v>
                </c:pt>
                <c:pt idx="185">
                  <c:v>392.15100000000001</c:v>
                </c:pt>
                <c:pt idx="186">
                  <c:v>383.589</c:v>
                </c:pt>
                <c:pt idx="187">
                  <c:v>394.28900000000004</c:v>
                </c:pt>
                <c:pt idx="188">
                  <c:v>394.66900000000004</c:v>
                </c:pt>
                <c:pt idx="189">
                  <c:v>387.81799999999998</c:v>
                </c:pt>
                <c:pt idx="190">
                  <c:v>403.08800000000002</c:v>
                </c:pt>
                <c:pt idx="191">
                  <c:v>393.41500000000002</c:v>
                </c:pt>
                <c:pt idx="192">
                  <c:v>396.99700000000007</c:v>
                </c:pt>
                <c:pt idx="193">
                  <c:v>397.83300000000003</c:v>
                </c:pt>
                <c:pt idx="194">
                  <c:v>409.87200000000007</c:v>
                </c:pt>
                <c:pt idx="195">
                  <c:v>414.01499999999999</c:v>
                </c:pt>
                <c:pt idx="196">
                  <c:v>416.93200000000007</c:v>
                </c:pt>
                <c:pt idx="197">
                  <c:v>421.30300000000005</c:v>
                </c:pt>
                <c:pt idx="198">
                  <c:v>429.18</c:v>
                </c:pt>
                <c:pt idx="199">
                  <c:v>418.27199999999999</c:v>
                </c:pt>
                <c:pt idx="200">
                  <c:v>427.774</c:v>
                </c:pt>
                <c:pt idx="201">
                  <c:v>428.09699999999998</c:v>
                </c:pt>
                <c:pt idx="202">
                  <c:v>425.81700000000001</c:v>
                </c:pt>
                <c:pt idx="203">
                  <c:v>440.47800000000007</c:v>
                </c:pt>
                <c:pt idx="204">
                  <c:v>436.07900000000001</c:v>
                </c:pt>
                <c:pt idx="205">
                  <c:v>444.536</c:v>
                </c:pt>
                <c:pt idx="206">
                  <c:v>438.79700000000003</c:v>
                </c:pt>
                <c:pt idx="207">
                  <c:v>443.22500000000002</c:v>
                </c:pt>
                <c:pt idx="208">
                  <c:v>457.63</c:v>
                </c:pt>
                <c:pt idx="209">
                  <c:v>443.88</c:v>
                </c:pt>
                <c:pt idx="210">
                  <c:v>423.57400000000001</c:v>
                </c:pt>
                <c:pt idx="211">
                  <c:v>428.45800000000003</c:v>
                </c:pt>
                <c:pt idx="212">
                  <c:v>433.77</c:v>
                </c:pt>
                <c:pt idx="213">
                  <c:v>422.149</c:v>
                </c:pt>
                <c:pt idx="214">
                  <c:v>435.44200000000001</c:v>
                </c:pt>
                <c:pt idx="215">
                  <c:v>451.81400000000002</c:v>
                </c:pt>
                <c:pt idx="216">
                  <c:v>439.65199999999999</c:v>
                </c:pt>
                <c:pt idx="217">
                  <c:v>448.83100000000002</c:v>
                </c:pt>
                <c:pt idx="218">
                  <c:v>431.1</c:v>
                </c:pt>
                <c:pt idx="219">
                  <c:v>436.40199999999999</c:v>
                </c:pt>
                <c:pt idx="220">
                  <c:v>446.99700000000007</c:v>
                </c:pt>
                <c:pt idx="221">
                  <c:v>463.12200000000007</c:v>
                </c:pt>
                <c:pt idx="222">
                  <c:v>475.779</c:v>
                </c:pt>
                <c:pt idx="223">
                  <c:v>489.08199999999999</c:v>
                </c:pt>
                <c:pt idx="224">
                  <c:v>506.84100000000001</c:v>
                </c:pt>
                <c:pt idx="225">
                  <c:v>517.62599999999998</c:v>
                </c:pt>
                <c:pt idx="226">
                  <c:v>534.07399999999996</c:v>
                </c:pt>
                <c:pt idx="227">
                  <c:v>533.90300000000002</c:v>
                </c:pt>
                <c:pt idx="228">
                  <c:v>555.31100000000004</c:v>
                </c:pt>
                <c:pt idx="229">
                  <c:v>552.54600000000005</c:v>
                </c:pt>
                <c:pt idx="230">
                  <c:v>575.22799999999995</c:v>
                </c:pt>
                <c:pt idx="231">
                  <c:v>585.26199999999994</c:v>
                </c:pt>
                <c:pt idx="232">
                  <c:v>604.351</c:v>
                </c:pt>
                <c:pt idx="233">
                  <c:v>608.54200000000003</c:v>
                </c:pt>
                <c:pt idx="234">
                  <c:v>613.35900000000004</c:v>
                </c:pt>
                <c:pt idx="235">
                  <c:v>621.59799999999996</c:v>
                </c:pt>
                <c:pt idx="236">
                  <c:v>635.803</c:v>
                </c:pt>
                <c:pt idx="237">
                  <c:v>637.23800000000006</c:v>
                </c:pt>
                <c:pt idx="238">
                  <c:v>608.08600000000001</c:v>
                </c:pt>
                <c:pt idx="239">
                  <c:v>619.52599999999995</c:v>
                </c:pt>
                <c:pt idx="240">
                  <c:v>653.08799999999997</c:v>
                </c:pt>
                <c:pt idx="241">
                  <c:v>670.15300000000002</c:v>
                </c:pt>
                <c:pt idx="242">
                  <c:v>719.327</c:v>
                </c:pt>
                <c:pt idx="243">
                  <c:v>703.85699999999997</c:v>
                </c:pt>
                <c:pt idx="244">
                  <c:v>747.01599999999996</c:v>
                </c:pt>
                <c:pt idx="245">
                  <c:v>751.44399999999996</c:v>
                </c:pt>
                <c:pt idx="246">
                  <c:v>719.42200000000003</c:v>
                </c:pt>
                <c:pt idx="247">
                  <c:v>761.44</c:v>
                </c:pt>
                <c:pt idx="248">
                  <c:v>806.04300000000001</c:v>
                </c:pt>
                <c:pt idx="249">
                  <c:v>841.0680000000001</c:v>
                </c:pt>
                <c:pt idx="250">
                  <c:v>906.77499999999998</c:v>
                </c:pt>
                <c:pt idx="251">
                  <c:v>854.68399999999997</c:v>
                </c:pt>
                <c:pt idx="252">
                  <c:v>900.11400000000015</c:v>
                </c:pt>
                <c:pt idx="253">
                  <c:v>869.08</c:v>
                </c:pt>
                <c:pt idx="254">
                  <c:v>907.82899999999995</c:v>
                </c:pt>
                <c:pt idx="255">
                  <c:v>922.1110000000001</c:v>
                </c:pt>
                <c:pt idx="256">
                  <c:v>931.47100000000012</c:v>
                </c:pt>
                <c:pt idx="257">
                  <c:v>997.09199999999998</c:v>
                </c:pt>
                <c:pt idx="258">
                  <c:v>1046.8900000000001</c:v>
                </c:pt>
                <c:pt idx="259">
                  <c:v>1056.3900000000001</c:v>
                </c:pt>
                <c:pt idx="260">
                  <c:v>1036.5</c:v>
                </c:pt>
                <c:pt idx="261">
                  <c:v>1077.3800000000001</c:v>
                </c:pt>
                <c:pt idx="262">
                  <c:v>1064.8699999999999</c:v>
                </c:pt>
                <c:pt idx="263">
                  <c:v>909.6160000000001</c:v>
                </c:pt>
                <c:pt idx="264">
                  <c:v>966.37199999999996</c:v>
                </c:pt>
                <c:pt idx="265">
                  <c:v>1043.96</c:v>
                </c:pt>
                <c:pt idx="266">
                  <c:v>1105.69</c:v>
                </c:pt>
                <c:pt idx="267">
                  <c:v>1168.02</c:v>
                </c:pt>
                <c:pt idx="268">
                  <c:v>1215.92</c:v>
                </c:pt>
                <c:pt idx="269">
                  <c:v>1176.67</c:v>
                </c:pt>
                <c:pt idx="270">
                  <c:v>1222.32</c:v>
                </c:pt>
                <c:pt idx="271">
                  <c:v>1268.7</c:v>
                </c:pt>
                <c:pt idx="272">
                  <c:v>1237.02</c:v>
                </c:pt>
                <c:pt idx="273">
                  <c:v>1304.3599999999999</c:v>
                </c:pt>
                <c:pt idx="274">
                  <c:v>1262.56</c:v>
                </c:pt>
                <c:pt idx="275">
                  <c:v>1254.6600000000001</c:v>
                </c:pt>
                <c:pt idx="276">
                  <c:v>1218.8399999999999</c:v>
                </c:pt>
                <c:pt idx="277">
                  <c:v>1295.06</c:v>
                </c:pt>
                <c:pt idx="278">
                  <c:v>1319.75</c:v>
                </c:pt>
                <c:pt idx="279">
                  <c:v>1396.09</c:v>
                </c:pt>
                <c:pt idx="280">
                  <c:v>1325.02</c:v>
                </c:pt>
                <c:pt idx="281">
                  <c:v>1298.3800000000001</c:v>
                </c:pt>
                <c:pt idx="282">
                  <c:v>1423.96</c:v>
                </c:pt>
                <c:pt idx="283">
                  <c:v>1380.1100000000001</c:v>
                </c:pt>
                <c:pt idx="284">
                  <c:v>1349.8600000000001</c:v>
                </c:pt>
                <c:pt idx="285">
                  <c:v>1382.17</c:v>
                </c:pt>
                <c:pt idx="286">
                  <c:v>1359.58</c:v>
                </c:pt>
                <c:pt idx="287">
                  <c:v>1442.1100000000001</c:v>
                </c:pt>
                <c:pt idx="288">
                  <c:v>1364.98</c:v>
                </c:pt>
                <c:pt idx="289">
                  <c:v>1358.22</c:v>
                </c:pt>
                <c:pt idx="290">
                  <c:v>1249.47</c:v>
                </c:pt>
                <c:pt idx="291">
                  <c:v>1254.54</c:v>
                </c:pt>
                <c:pt idx="292">
                  <c:v>1297.99</c:v>
                </c:pt>
                <c:pt idx="293">
                  <c:v>1178.2</c:v>
                </c:pt>
                <c:pt idx="294">
                  <c:v>1102.55</c:v>
                </c:pt>
                <c:pt idx="295">
                  <c:v>1187.24</c:v>
                </c:pt>
                <c:pt idx="296">
                  <c:v>1193.29</c:v>
                </c:pt>
                <c:pt idx="297">
                  <c:v>1163.45</c:v>
                </c:pt>
                <c:pt idx="298">
                  <c:v>1150.92</c:v>
                </c:pt>
                <c:pt idx="299">
                  <c:v>1077.1300000000001</c:v>
                </c:pt>
                <c:pt idx="300">
                  <c:v>989.11</c:v>
                </c:pt>
                <c:pt idx="301">
                  <c:v>1007.01</c:v>
                </c:pt>
                <c:pt idx="302">
                  <c:v>1082.71</c:v>
                </c:pt>
                <c:pt idx="303">
                  <c:v>1090.9100000000001</c:v>
                </c:pt>
                <c:pt idx="304">
                  <c:v>1073.92</c:v>
                </c:pt>
                <c:pt idx="305">
                  <c:v>1051.6199999999999</c:v>
                </c:pt>
                <c:pt idx="306">
                  <c:v>1090.26</c:v>
                </c:pt>
                <c:pt idx="307">
                  <c:v>1023.2900000000002</c:v>
                </c:pt>
                <c:pt idx="308">
                  <c:v>1014</c:v>
                </c:pt>
                <c:pt idx="309">
                  <c:v>940.52599999999995</c:v>
                </c:pt>
                <c:pt idx="310">
                  <c:v>866.22900000000016</c:v>
                </c:pt>
                <c:pt idx="311">
                  <c:v>870.45800000000008</c:v>
                </c:pt>
                <c:pt idx="312">
                  <c:v>774.68600000000004</c:v>
                </c:pt>
                <c:pt idx="313">
                  <c:v>841.65700000000004</c:v>
                </c:pt>
                <c:pt idx="314">
                  <c:v>889.69</c:v>
                </c:pt>
                <c:pt idx="315">
                  <c:v>836.01300000000003</c:v>
                </c:pt>
                <c:pt idx="316">
                  <c:v>813.09300000000007</c:v>
                </c:pt>
                <c:pt idx="317">
                  <c:v>799.26800000000003</c:v>
                </c:pt>
                <c:pt idx="318">
                  <c:v>805.94800000000009</c:v>
                </c:pt>
                <c:pt idx="319">
                  <c:v>871.26499999999999</c:v>
                </c:pt>
                <c:pt idx="320">
                  <c:v>915.61199999999997</c:v>
                </c:pt>
                <c:pt idx="321">
                  <c:v>925.97799999999995</c:v>
                </c:pt>
                <c:pt idx="322">
                  <c:v>941.00099999999998</c:v>
                </c:pt>
                <c:pt idx="323">
                  <c:v>957.82</c:v>
                </c:pt>
                <c:pt idx="324">
                  <c:v>946.37900000000013</c:v>
                </c:pt>
                <c:pt idx="325">
                  <c:v>998.39400000000001</c:v>
                </c:pt>
                <c:pt idx="326">
                  <c:v>1005.51</c:v>
                </c:pt>
                <c:pt idx="327">
                  <c:v>1056.55</c:v>
                </c:pt>
                <c:pt idx="328">
                  <c:v>1074.81</c:v>
                </c:pt>
                <c:pt idx="329">
                  <c:v>1087.93</c:v>
                </c:pt>
                <c:pt idx="330">
                  <c:v>1070.1300000000001</c:v>
                </c:pt>
                <c:pt idx="331">
                  <c:v>1052.1600000000001</c:v>
                </c:pt>
                <c:pt idx="332">
                  <c:v>1064.8800000000001</c:v>
                </c:pt>
                <c:pt idx="333">
                  <c:v>1084.03</c:v>
                </c:pt>
                <c:pt idx="334">
                  <c:v>1046.8599999999999</c:v>
                </c:pt>
                <c:pt idx="335">
                  <c:v>1049.25</c:v>
                </c:pt>
                <c:pt idx="336">
                  <c:v>1059.08</c:v>
                </c:pt>
                <c:pt idx="337">
                  <c:v>1073.92</c:v>
                </c:pt>
                <c:pt idx="338">
                  <c:v>1115.3699999999999</c:v>
                </c:pt>
                <c:pt idx="339">
                  <c:v>1151.57</c:v>
                </c:pt>
                <c:pt idx="340">
                  <c:v>1122.45</c:v>
                </c:pt>
                <c:pt idx="341">
                  <c:v>1143.67</c:v>
                </c:pt>
                <c:pt idx="342">
                  <c:v>1121.8</c:v>
                </c:pt>
                <c:pt idx="343">
                  <c:v>1099.24</c:v>
                </c:pt>
                <c:pt idx="344">
                  <c:v>1132.17</c:v>
                </c:pt>
                <c:pt idx="345">
                  <c:v>1132.01</c:v>
                </c:pt>
                <c:pt idx="346">
                  <c:v>1172.72</c:v>
                </c:pt>
                <c:pt idx="347">
                  <c:v>1159.56</c:v>
                </c:pt>
                <c:pt idx="348">
                  <c:v>1167.6199999999999</c:v>
                </c:pt>
                <c:pt idx="349">
                  <c:v>1146.9100000000001</c:v>
                </c:pt>
                <c:pt idx="350">
                  <c:v>1187.26</c:v>
                </c:pt>
                <c:pt idx="351">
                  <c:v>1186.1300000000001</c:v>
                </c:pt>
                <c:pt idx="352">
                  <c:v>1216.3399999999999</c:v>
                </c:pt>
                <c:pt idx="353">
                  <c:v>1216.8900000000001</c:v>
                </c:pt>
                <c:pt idx="354">
                  <c:v>1230.3499999999999</c:v>
                </c:pt>
                <c:pt idx="355">
                  <c:v>1245.3499999999999</c:v>
                </c:pt>
                <c:pt idx="356">
                  <c:v>1206.8499999999999</c:v>
                </c:pt>
                <c:pt idx="357">
                  <c:v>1206.95</c:v>
                </c:pt>
                <c:pt idx="358">
                  <c:v>1213.0899999999999</c:v>
                </c:pt>
                <c:pt idx="359">
                  <c:v>1238.9000000000001</c:v>
                </c:pt>
                <c:pt idx="360">
                  <c:v>1269.33</c:v>
                </c:pt>
                <c:pt idx="361">
                  <c:v>1309.33</c:v>
                </c:pt>
                <c:pt idx="362">
                  <c:v>1330.89</c:v>
                </c:pt>
                <c:pt idx="363">
                  <c:v>1347.68</c:v>
                </c:pt>
                <c:pt idx="364">
                  <c:v>1366.6200000000001</c:v>
                </c:pt>
                <c:pt idx="365">
                  <c:v>1336.77</c:v>
                </c:pt>
                <c:pt idx="366">
                  <c:v>1350.1100000000001</c:v>
                </c:pt>
                <c:pt idx="367">
                  <c:v>1408.56</c:v>
                </c:pt>
                <c:pt idx="368">
                  <c:v>1454.4</c:v>
                </c:pt>
                <c:pt idx="369">
                  <c:v>1428.49</c:v>
                </c:pt>
                <c:pt idx="370">
                  <c:v>1382.81</c:v>
                </c:pt>
                <c:pt idx="371">
                  <c:v>1400.59</c:v>
                </c:pt>
                <c:pt idx="372">
                  <c:v>1450.73</c:v>
                </c:pt>
                <c:pt idx="373">
                  <c:v>1472.23</c:v>
                </c:pt>
                <c:pt idx="374">
                  <c:v>1407.39</c:v>
                </c:pt>
                <c:pt idx="375">
                  <c:v>1395.24</c:v>
                </c:pt>
                <c:pt idx="376">
                  <c:v>1309.9100000000001</c:v>
                </c:pt>
                <c:pt idx="377">
                  <c:v>1264.3699999999999</c:v>
                </c:pt>
                <c:pt idx="378">
                  <c:v>1256.8399999999999</c:v>
                </c:pt>
                <c:pt idx="379">
                  <c:v>1316.6000000000001</c:v>
                </c:pt>
                <c:pt idx="380">
                  <c:v>1330.65</c:v>
                </c:pt>
                <c:pt idx="381">
                  <c:v>1216.26</c:v>
                </c:pt>
                <c:pt idx="382">
                  <c:v>1204.27</c:v>
                </c:pt>
                <c:pt idx="383">
                  <c:v>1218.95</c:v>
                </c:pt>
                <c:pt idx="384">
                  <c:v>1108.28</c:v>
                </c:pt>
                <c:pt idx="385">
                  <c:v>920.51499999999999</c:v>
                </c:pt>
                <c:pt idx="386">
                  <c:v>851.61500000000001</c:v>
                </c:pt>
                <c:pt idx="387">
                  <c:v>858.27599999999995</c:v>
                </c:pt>
                <c:pt idx="388">
                  <c:v>784.75800000000004</c:v>
                </c:pt>
                <c:pt idx="389">
                  <c:v>698.48900000000015</c:v>
                </c:pt>
                <c:pt idx="390">
                  <c:v>758.14300000000003</c:v>
                </c:pt>
                <c:pt idx="391">
                  <c:v>829.35100000000011</c:v>
                </c:pt>
                <c:pt idx="392">
                  <c:v>873.375</c:v>
                </c:pt>
                <c:pt idx="393">
                  <c:v>873.54600000000005</c:v>
                </c:pt>
                <c:pt idx="394">
                  <c:v>938.31200000000001</c:v>
                </c:pt>
                <c:pt idx="395">
                  <c:v>969.80200000000002</c:v>
                </c:pt>
                <c:pt idx="396">
                  <c:v>1004.44</c:v>
                </c:pt>
                <c:pt idx="397">
                  <c:v>984.60100000000011</c:v>
                </c:pt>
                <c:pt idx="398">
                  <c:v>1041.07</c:v>
                </c:pt>
                <c:pt idx="399">
                  <c:v>1059.57</c:v>
                </c:pt>
                <c:pt idx="400">
                  <c:v>1020.4</c:v>
                </c:pt>
                <c:pt idx="401">
                  <c:v>1049.49</c:v>
                </c:pt>
                <c:pt idx="402">
                  <c:v>1111.2</c:v>
                </c:pt>
                <c:pt idx="403">
                  <c:v>1127.5999999999999</c:v>
                </c:pt>
                <c:pt idx="404">
                  <c:v>1035.1600000000001</c:v>
                </c:pt>
                <c:pt idx="405">
                  <c:v>979.39</c:v>
                </c:pt>
                <c:pt idx="406">
                  <c:v>1046.75</c:v>
                </c:pt>
                <c:pt idx="407">
                  <c:v>997.08300000000008</c:v>
                </c:pt>
                <c:pt idx="408">
                  <c:v>1084.3699999999999</c:v>
                </c:pt>
                <c:pt idx="409">
                  <c:v>1124.3399999999999</c:v>
                </c:pt>
                <c:pt idx="410">
                  <c:v>1121.76</c:v>
                </c:pt>
                <c:pt idx="411">
                  <c:v>1195.01</c:v>
                </c:pt>
                <c:pt idx="412">
                  <c:v>1222.08</c:v>
                </c:pt>
                <c:pt idx="413">
                  <c:v>1261.1300000000001</c:v>
                </c:pt>
                <c:pt idx="414">
                  <c:v>1259.81</c:v>
                </c:pt>
                <c:pt idx="415">
                  <c:v>1295.71</c:v>
                </c:pt>
                <c:pt idx="416">
                  <c:v>1278.22</c:v>
                </c:pt>
                <c:pt idx="417">
                  <c:v>1254.8800000000001</c:v>
                </c:pt>
                <c:pt idx="418">
                  <c:v>1227.93</c:v>
                </c:pt>
                <c:pt idx="419">
                  <c:v>1158.2</c:v>
                </c:pt>
                <c:pt idx="420">
                  <c:v>1075.08</c:v>
                </c:pt>
                <c:pt idx="421">
                  <c:v>1190.8900000000001</c:v>
                </c:pt>
                <c:pt idx="422">
                  <c:v>1184.8699999999999</c:v>
                </c:pt>
                <c:pt idx="423">
                  <c:v>1194.98</c:v>
                </c:pt>
                <c:pt idx="424">
                  <c:v>1247.06</c:v>
                </c:pt>
                <c:pt idx="425">
                  <c:v>1297.68</c:v>
                </c:pt>
                <c:pt idx="426">
                  <c:v>1338.34</c:v>
                </c:pt>
                <c:pt idx="427">
                  <c:v>1328.3</c:v>
                </c:pt>
                <c:pt idx="428">
                  <c:v>1245.08</c:v>
                </c:pt>
                <c:pt idx="429">
                  <c:v>1294.33</c:v>
                </c:pt>
                <c:pt idx="430">
                  <c:v>1310.6400000000001</c:v>
                </c:pt>
                <c:pt idx="431">
                  <c:v>1336.54</c:v>
                </c:pt>
                <c:pt idx="432">
                  <c:v>1368.93</c:v>
                </c:pt>
                <c:pt idx="433">
                  <c:v>1341.84</c:v>
                </c:pt>
                <c:pt idx="434">
                  <c:v>1345.66</c:v>
                </c:pt>
                <c:pt idx="435">
                  <c:v>1355.17</c:v>
                </c:pt>
                <c:pt idx="436">
                  <c:v>1423.51</c:v>
                </c:pt>
                <c:pt idx="437">
                  <c:v>1439.26</c:v>
                </c:pt>
                <c:pt idx="438">
                  <c:v>1491.05</c:v>
                </c:pt>
                <c:pt idx="439">
                  <c:v>1518.02</c:v>
                </c:pt>
                <c:pt idx="440">
                  <c:v>1549.54</c:v>
                </c:pt>
                <c:pt idx="441">
                  <c:v>1526.3</c:v>
                </c:pt>
                <c:pt idx="442">
                  <c:v>1601.79</c:v>
                </c:pt>
                <c:pt idx="443">
                  <c:v>1551.66</c:v>
                </c:pt>
                <c:pt idx="444">
                  <c:v>1597.82</c:v>
                </c:pt>
                <c:pt idx="445">
                  <c:v>1669.08</c:v>
                </c:pt>
                <c:pt idx="446">
                  <c:v>1715.89</c:v>
                </c:pt>
                <c:pt idx="447">
                  <c:v>1756.32</c:v>
                </c:pt>
                <c:pt idx="448">
                  <c:v>1693.83</c:v>
                </c:pt>
                <c:pt idx="449">
                  <c:v>1766.8600000000001</c:v>
                </c:pt>
                <c:pt idx="450">
                  <c:v>1779.1100000000001</c:v>
                </c:pt>
                <c:pt idx="451">
                  <c:v>1790.14</c:v>
                </c:pt>
                <c:pt idx="452">
                  <c:v>1827.79</c:v>
                </c:pt>
                <c:pt idx="453">
                  <c:v>1862.6200000000001</c:v>
                </c:pt>
                <c:pt idx="454">
                  <c:v>1834.54</c:v>
                </c:pt>
                <c:pt idx="455">
                  <c:v>1903.6200000000001</c:v>
                </c:pt>
                <c:pt idx="456">
                  <c:v>1874.08</c:v>
                </c:pt>
                <c:pt idx="457">
                  <c:v>1917.56</c:v>
                </c:pt>
                <c:pt idx="458">
                  <c:v>1964.6100000000001</c:v>
                </c:pt>
                <c:pt idx="459">
                  <c:v>1956.38</c:v>
                </c:pt>
                <c:pt idx="460">
                  <c:v>1895.65</c:v>
                </c:pt>
                <c:pt idx="461">
                  <c:v>1999.71</c:v>
                </c:pt>
                <c:pt idx="462">
                  <c:v>1964.92</c:v>
                </c:pt>
                <c:pt idx="463">
                  <c:v>1981.67</c:v>
                </c:pt>
                <c:pt idx="464">
                  <c:v>2002.46</c:v>
                </c:pt>
                <c:pt idx="465">
                  <c:v>1960.38</c:v>
                </c:pt>
                <c:pt idx="466">
                  <c:v>1999.0800000000004</c:v>
                </c:pt>
              </c:numCache>
            </c:numRef>
          </c:val>
          <c:smooth val="0"/>
          <c:extLst>
            <c:ext xmlns:c16="http://schemas.microsoft.com/office/drawing/2014/chart" uri="{C3380CC4-5D6E-409C-BE32-E72D297353CC}">
              <c16:uniqueId val="{00000001-F074-41AF-A99D-0F3A789DAEC3}"/>
            </c:ext>
          </c:extLst>
        </c:ser>
        <c:dLbls>
          <c:showLegendKey val="0"/>
          <c:showVal val="0"/>
          <c:showCatName val="0"/>
          <c:showSerName val="0"/>
          <c:showPercent val="0"/>
          <c:showBubbleSize val="0"/>
        </c:dLbls>
        <c:smooth val="0"/>
        <c:axId val="995801232"/>
        <c:axId val="995795656"/>
      </c:lineChart>
      <c:dateAx>
        <c:axId val="995801232"/>
        <c:scaling>
          <c:orientation val="minMax"/>
          <c:max val="42611"/>
          <c:min val="28033"/>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995795656"/>
        <c:crosses val="autoZero"/>
        <c:auto val="1"/>
        <c:lblOffset val="100"/>
        <c:baseTimeUnit val="months"/>
        <c:majorUnit val="3"/>
        <c:majorTimeUnit val="years"/>
        <c:minorUnit val="3"/>
        <c:minorTimeUnit val="months"/>
      </c:dateAx>
      <c:valAx>
        <c:axId val="99579565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quot;$&quot;#,##0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99580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Berkshire Hathaway "Class A" vs. S&amp;P 500</a:t>
            </a:r>
            <a:r>
              <a:rPr lang="en-US" baseline="0"/>
              <a:t> Index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AR"/>
        </a:p>
      </c:txPr>
    </c:title>
    <c:autoTitleDeleted val="0"/>
    <c:plotArea>
      <c:layout/>
      <c:lineChart>
        <c:grouping val="standard"/>
        <c:varyColors val="0"/>
        <c:ser>
          <c:idx val="0"/>
          <c:order val="0"/>
          <c:tx>
            <c:strRef>
              <c:f>'BRK SP500 15 Y'!$B$1</c:f>
              <c:strCache>
                <c:ptCount val="1"/>
                <c:pt idx="0">
                  <c:v>Berkshire - 7/31/00 to 7/31/2015</c:v>
                </c:pt>
              </c:strCache>
            </c:strRef>
          </c:tx>
          <c:spPr>
            <a:ln w="28575" cap="rnd">
              <a:solidFill>
                <a:schemeClr val="accent1"/>
              </a:solidFill>
              <a:round/>
            </a:ln>
            <a:effectLst>
              <a:outerShdw blurRad="50800" dist="63500" dir="5400000" algn="ctr" rotWithShape="0">
                <a:srgbClr val="000000">
                  <a:alpha val="2000"/>
                </a:srgbClr>
              </a:outerShdw>
            </a:effectLst>
          </c:spPr>
          <c:marker>
            <c:symbol val="none"/>
          </c:marker>
          <c:cat>
            <c:numRef>
              <c:f>'BRK SP500 15 Y'!$A$2:$A$182</c:f>
              <c:numCache>
                <c:formatCode>mm/dd/yy</c:formatCode>
                <c:ptCount val="181"/>
                <c:pt idx="0">
                  <c:v>36738</c:v>
                </c:pt>
                <c:pt idx="1">
                  <c:v>36769</c:v>
                </c:pt>
                <c:pt idx="2">
                  <c:v>36799</c:v>
                </c:pt>
                <c:pt idx="3">
                  <c:v>36830</c:v>
                </c:pt>
                <c:pt idx="4">
                  <c:v>36860</c:v>
                </c:pt>
                <c:pt idx="5">
                  <c:v>36891</c:v>
                </c:pt>
                <c:pt idx="6">
                  <c:v>36922</c:v>
                </c:pt>
                <c:pt idx="7">
                  <c:v>36950</c:v>
                </c:pt>
                <c:pt idx="8">
                  <c:v>36981</c:v>
                </c:pt>
                <c:pt idx="9">
                  <c:v>37011</c:v>
                </c:pt>
                <c:pt idx="10">
                  <c:v>37042</c:v>
                </c:pt>
                <c:pt idx="11">
                  <c:v>37072</c:v>
                </c:pt>
                <c:pt idx="12">
                  <c:v>37103</c:v>
                </c:pt>
                <c:pt idx="13">
                  <c:v>37134</c:v>
                </c:pt>
                <c:pt idx="14">
                  <c:v>37164</c:v>
                </c:pt>
                <c:pt idx="15">
                  <c:v>37195</c:v>
                </c:pt>
                <c:pt idx="16">
                  <c:v>37225</c:v>
                </c:pt>
                <c:pt idx="17">
                  <c:v>37256</c:v>
                </c:pt>
                <c:pt idx="18">
                  <c:v>37287</c:v>
                </c:pt>
                <c:pt idx="19">
                  <c:v>37315</c:v>
                </c:pt>
                <c:pt idx="20">
                  <c:v>37346</c:v>
                </c:pt>
                <c:pt idx="21">
                  <c:v>37376</c:v>
                </c:pt>
                <c:pt idx="22">
                  <c:v>37407</c:v>
                </c:pt>
                <c:pt idx="23">
                  <c:v>37437</c:v>
                </c:pt>
                <c:pt idx="24">
                  <c:v>37468</c:v>
                </c:pt>
                <c:pt idx="25">
                  <c:v>37499</c:v>
                </c:pt>
                <c:pt idx="26">
                  <c:v>37529</c:v>
                </c:pt>
                <c:pt idx="27">
                  <c:v>37560</c:v>
                </c:pt>
                <c:pt idx="28">
                  <c:v>37590</c:v>
                </c:pt>
                <c:pt idx="29">
                  <c:v>37621</c:v>
                </c:pt>
                <c:pt idx="30">
                  <c:v>37652</c:v>
                </c:pt>
                <c:pt idx="31">
                  <c:v>37680</c:v>
                </c:pt>
                <c:pt idx="32">
                  <c:v>37711</c:v>
                </c:pt>
                <c:pt idx="33">
                  <c:v>37741</c:v>
                </c:pt>
                <c:pt idx="34">
                  <c:v>37772</c:v>
                </c:pt>
                <c:pt idx="35">
                  <c:v>37802</c:v>
                </c:pt>
                <c:pt idx="36">
                  <c:v>37833</c:v>
                </c:pt>
                <c:pt idx="37">
                  <c:v>37864</c:v>
                </c:pt>
                <c:pt idx="38">
                  <c:v>37894</c:v>
                </c:pt>
                <c:pt idx="39">
                  <c:v>37925</c:v>
                </c:pt>
                <c:pt idx="40">
                  <c:v>37955</c:v>
                </c:pt>
                <c:pt idx="41">
                  <c:v>37986</c:v>
                </c:pt>
                <c:pt idx="42">
                  <c:v>38017</c:v>
                </c:pt>
                <c:pt idx="43">
                  <c:v>38046</c:v>
                </c:pt>
                <c:pt idx="44">
                  <c:v>38077</c:v>
                </c:pt>
                <c:pt idx="45">
                  <c:v>38107</c:v>
                </c:pt>
                <c:pt idx="46">
                  <c:v>38138</c:v>
                </c:pt>
                <c:pt idx="47">
                  <c:v>38168</c:v>
                </c:pt>
                <c:pt idx="48">
                  <c:v>38199</c:v>
                </c:pt>
                <c:pt idx="49">
                  <c:v>38230</c:v>
                </c:pt>
                <c:pt idx="50">
                  <c:v>38260</c:v>
                </c:pt>
                <c:pt idx="51">
                  <c:v>38291</c:v>
                </c:pt>
                <c:pt idx="52">
                  <c:v>38321</c:v>
                </c:pt>
                <c:pt idx="53">
                  <c:v>38352</c:v>
                </c:pt>
                <c:pt idx="54">
                  <c:v>38383</c:v>
                </c:pt>
                <c:pt idx="55">
                  <c:v>38411</c:v>
                </c:pt>
                <c:pt idx="56">
                  <c:v>38442</c:v>
                </c:pt>
                <c:pt idx="57">
                  <c:v>38472</c:v>
                </c:pt>
                <c:pt idx="58">
                  <c:v>38503</c:v>
                </c:pt>
                <c:pt idx="59">
                  <c:v>38533</c:v>
                </c:pt>
                <c:pt idx="60">
                  <c:v>38564</c:v>
                </c:pt>
                <c:pt idx="61">
                  <c:v>38595</c:v>
                </c:pt>
                <c:pt idx="62">
                  <c:v>38625</c:v>
                </c:pt>
                <c:pt idx="63">
                  <c:v>38656</c:v>
                </c:pt>
                <c:pt idx="64">
                  <c:v>38686</c:v>
                </c:pt>
                <c:pt idx="65">
                  <c:v>38717</c:v>
                </c:pt>
                <c:pt idx="66">
                  <c:v>38748</c:v>
                </c:pt>
                <c:pt idx="67">
                  <c:v>38776</c:v>
                </c:pt>
                <c:pt idx="68">
                  <c:v>38807</c:v>
                </c:pt>
                <c:pt idx="69">
                  <c:v>38837</c:v>
                </c:pt>
                <c:pt idx="70">
                  <c:v>38868</c:v>
                </c:pt>
                <c:pt idx="71">
                  <c:v>38898</c:v>
                </c:pt>
                <c:pt idx="72">
                  <c:v>38929</c:v>
                </c:pt>
                <c:pt idx="73">
                  <c:v>38960</c:v>
                </c:pt>
                <c:pt idx="74">
                  <c:v>38990</c:v>
                </c:pt>
                <c:pt idx="75">
                  <c:v>39021</c:v>
                </c:pt>
                <c:pt idx="76">
                  <c:v>39051</c:v>
                </c:pt>
                <c:pt idx="77">
                  <c:v>39082</c:v>
                </c:pt>
                <c:pt idx="78">
                  <c:v>39113</c:v>
                </c:pt>
                <c:pt idx="79">
                  <c:v>39141</c:v>
                </c:pt>
                <c:pt idx="80">
                  <c:v>39172</c:v>
                </c:pt>
                <c:pt idx="81">
                  <c:v>39202</c:v>
                </c:pt>
                <c:pt idx="82">
                  <c:v>39233</c:v>
                </c:pt>
                <c:pt idx="83">
                  <c:v>39263</c:v>
                </c:pt>
                <c:pt idx="84">
                  <c:v>39294</c:v>
                </c:pt>
                <c:pt idx="85">
                  <c:v>39325</c:v>
                </c:pt>
                <c:pt idx="86">
                  <c:v>39355</c:v>
                </c:pt>
                <c:pt idx="87">
                  <c:v>39386</c:v>
                </c:pt>
                <c:pt idx="88">
                  <c:v>39416</c:v>
                </c:pt>
                <c:pt idx="89">
                  <c:v>39447</c:v>
                </c:pt>
                <c:pt idx="90">
                  <c:v>39478</c:v>
                </c:pt>
                <c:pt idx="91">
                  <c:v>39507</c:v>
                </c:pt>
                <c:pt idx="92">
                  <c:v>39538</c:v>
                </c:pt>
                <c:pt idx="93">
                  <c:v>39568</c:v>
                </c:pt>
                <c:pt idx="94">
                  <c:v>39599</c:v>
                </c:pt>
                <c:pt idx="95">
                  <c:v>39629</c:v>
                </c:pt>
                <c:pt idx="96">
                  <c:v>39660</c:v>
                </c:pt>
                <c:pt idx="97">
                  <c:v>39691</c:v>
                </c:pt>
                <c:pt idx="98">
                  <c:v>39721</c:v>
                </c:pt>
                <c:pt idx="99">
                  <c:v>39752</c:v>
                </c:pt>
                <c:pt idx="100">
                  <c:v>39782</c:v>
                </c:pt>
                <c:pt idx="101">
                  <c:v>39813</c:v>
                </c:pt>
                <c:pt idx="102">
                  <c:v>39844</c:v>
                </c:pt>
                <c:pt idx="103">
                  <c:v>39872</c:v>
                </c:pt>
                <c:pt idx="104">
                  <c:v>39903</c:v>
                </c:pt>
                <c:pt idx="105">
                  <c:v>39933</c:v>
                </c:pt>
                <c:pt idx="106">
                  <c:v>39964</c:v>
                </c:pt>
                <c:pt idx="107">
                  <c:v>39994</c:v>
                </c:pt>
                <c:pt idx="108">
                  <c:v>40025</c:v>
                </c:pt>
                <c:pt idx="109">
                  <c:v>40056</c:v>
                </c:pt>
                <c:pt idx="110">
                  <c:v>40086</c:v>
                </c:pt>
                <c:pt idx="111">
                  <c:v>40117</c:v>
                </c:pt>
                <c:pt idx="112">
                  <c:v>40147</c:v>
                </c:pt>
                <c:pt idx="113">
                  <c:v>40178</c:v>
                </c:pt>
                <c:pt idx="114">
                  <c:v>40209</c:v>
                </c:pt>
                <c:pt idx="115">
                  <c:v>40237</c:v>
                </c:pt>
                <c:pt idx="116">
                  <c:v>40268</c:v>
                </c:pt>
                <c:pt idx="117">
                  <c:v>40298</c:v>
                </c:pt>
                <c:pt idx="118">
                  <c:v>40329</c:v>
                </c:pt>
                <c:pt idx="119">
                  <c:v>40359</c:v>
                </c:pt>
                <c:pt idx="120">
                  <c:v>40390</c:v>
                </c:pt>
                <c:pt idx="121">
                  <c:v>40421</c:v>
                </c:pt>
                <c:pt idx="122">
                  <c:v>40451</c:v>
                </c:pt>
                <c:pt idx="123">
                  <c:v>40482</c:v>
                </c:pt>
                <c:pt idx="124">
                  <c:v>40512</c:v>
                </c:pt>
                <c:pt idx="125">
                  <c:v>40543</c:v>
                </c:pt>
                <c:pt idx="126">
                  <c:v>40574</c:v>
                </c:pt>
                <c:pt idx="127">
                  <c:v>40602</c:v>
                </c:pt>
                <c:pt idx="128">
                  <c:v>40633</c:v>
                </c:pt>
                <c:pt idx="129">
                  <c:v>40663</c:v>
                </c:pt>
                <c:pt idx="130">
                  <c:v>40694</c:v>
                </c:pt>
                <c:pt idx="131">
                  <c:v>40724</c:v>
                </c:pt>
                <c:pt idx="132">
                  <c:v>40755</c:v>
                </c:pt>
                <c:pt idx="133">
                  <c:v>40786</c:v>
                </c:pt>
                <c:pt idx="134">
                  <c:v>40816</c:v>
                </c:pt>
                <c:pt idx="135">
                  <c:v>40847</c:v>
                </c:pt>
                <c:pt idx="136">
                  <c:v>40877</c:v>
                </c:pt>
                <c:pt idx="137">
                  <c:v>40908</c:v>
                </c:pt>
                <c:pt idx="138">
                  <c:v>40939</c:v>
                </c:pt>
                <c:pt idx="139">
                  <c:v>40968</c:v>
                </c:pt>
                <c:pt idx="140">
                  <c:v>40999</c:v>
                </c:pt>
                <c:pt idx="141">
                  <c:v>41029</c:v>
                </c:pt>
                <c:pt idx="142">
                  <c:v>41060</c:v>
                </c:pt>
                <c:pt idx="143">
                  <c:v>41090</c:v>
                </c:pt>
                <c:pt idx="144">
                  <c:v>41121</c:v>
                </c:pt>
                <c:pt idx="145">
                  <c:v>41152</c:v>
                </c:pt>
                <c:pt idx="146">
                  <c:v>41182</c:v>
                </c:pt>
                <c:pt idx="147">
                  <c:v>41213</c:v>
                </c:pt>
                <c:pt idx="148">
                  <c:v>41243</c:v>
                </c:pt>
                <c:pt idx="149">
                  <c:v>41274</c:v>
                </c:pt>
                <c:pt idx="150">
                  <c:v>41305</c:v>
                </c:pt>
                <c:pt idx="151">
                  <c:v>41333</c:v>
                </c:pt>
                <c:pt idx="152">
                  <c:v>41364</c:v>
                </c:pt>
                <c:pt idx="153">
                  <c:v>41394</c:v>
                </c:pt>
                <c:pt idx="154">
                  <c:v>41425</c:v>
                </c:pt>
                <c:pt idx="155">
                  <c:v>41455</c:v>
                </c:pt>
                <c:pt idx="156">
                  <c:v>41486</c:v>
                </c:pt>
                <c:pt idx="157">
                  <c:v>41517</c:v>
                </c:pt>
                <c:pt idx="158">
                  <c:v>41547</c:v>
                </c:pt>
                <c:pt idx="159">
                  <c:v>41578</c:v>
                </c:pt>
                <c:pt idx="160">
                  <c:v>41608</c:v>
                </c:pt>
                <c:pt idx="161">
                  <c:v>41639</c:v>
                </c:pt>
                <c:pt idx="162">
                  <c:v>41670</c:v>
                </c:pt>
                <c:pt idx="163">
                  <c:v>41698</c:v>
                </c:pt>
                <c:pt idx="164">
                  <c:v>41729</c:v>
                </c:pt>
                <c:pt idx="165">
                  <c:v>41759</c:v>
                </c:pt>
                <c:pt idx="166">
                  <c:v>41790</c:v>
                </c:pt>
                <c:pt idx="167">
                  <c:v>41820</c:v>
                </c:pt>
                <c:pt idx="168">
                  <c:v>41851</c:v>
                </c:pt>
                <c:pt idx="169">
                  <c:v>41882</c:v>
                </c:pt>
                <c:pt idx="170">
                  <c:v>41912</c:v>
                </c:pt>
                <c:pt idx="171">
                  <c:v>41943</c:v>
                </c:pt>
                <c:pt idx="172">
                  <c:v>41973</c:v>
                </c:pt>
                <c:pt idx="173">
                  <c:v>42004</c:v>
                </c:pt>
                <c:pt idx="174">
                  <c:v>42035</c:v>
                </c:pt>
                <c:pt idx="175">
                  <c:v>42063</c:v>
                </c:pt>
                <c:pt idx="176">
                  <c:v>42094</c:v>
                </c:pt>
                <c:pt idx="177">
                  <c:v>42124</c:v>
                </c:pt>
                <c:pt idx="178">
                  <c:v>42155</c:v>
                </c:pt>
                <c:pt idx="179">
                  <c:v>42185</c:v>
                </c:pt>
                <c:pt idx="180">
                  <c:v>42216</c:v>
                </c:pt>
              </c:numCache>
            </c:numRef>
          </c:cat>
          <c:val>
            <c:numRef>
              <c:f>'BRK SP500 15 Y'!$B$2:$B$182</c:f>
              <c:numCache>
                <c:formatCode>0.00</c:formatCode>
                <c:ptCount val="181"/>
                <c:pt idx="0">
                  <c:v>100</c:v>
                </c:pt>
                <c:pt idx="1">
                  <c:v>104.71871657210517</c:v>
                </c:pt>
                <c:pt idx="2">
                  <c:v>116.87853017625791</c:v>
                </c:pt>
                <c:pt idx="3">
                  <c:v>115.60811136999423</c:v>
                </c:pt>
                <c:pt idx="4">
                  <c:v>119.60078359431972</c:v>
                </c:pt>
                <c:pt idx="5">
                  <c:v>128.85603868171182</c:v>
                </c:pt>
                <c:pt idx="6">
                  <c:v>124.13795731900979</c:v>
                </c:pt>
                <c:pt idx="7">
                  <c:v>127.58561987544816</c:v>
                </c:pt>
                <c:pt idx="8">
                  <c:v>118.78415838565344</c:v>
                </c:pt>
                <c:pt idx="9">
                  <c:v>123.41204001311075</c:v>
                </c:pt>
                <c:pt idx="10">
                  <c:v>124.68245881937442</c:v>
                </c:pt>
                <c:pt idx="11">
                  <c:v>125.9528776256381</c:v>
                </c:pt>
                <c:pt idx="12">
                  <c:v>125.58991897268857</c:v>
                </c:pt>
                <c:pt idx="13">
                  <c:v>125.9528776256381</c:v>
                </c:pt>
                <c:pt idx="14">
                  <c:v>127.04188062636732</c:v>
                </c:pt>
                <c:pt idx="15">
                  <c:v>129.21937846030323</c:v>
                </c:pt>
                <c:pt idx="16">
                  <c:v>127.04188062636729</c:v>
                </c:pt>
                <c:pt idx="17">
                  <c:v>137.20523107647668</c:v>
                </c:pt>
                <c:pt idx="18">
                  <c:v>134.11938379606221</c:v>
                </c:pt>
                <c:pt idx="19">
                  <c:v>132.48562521120712</c:v>
                </c:pt>
                <c:pt idx="20">
                  <c:v>129.03770857100753</c:v>
                </c:pt>
                <c:pt idx="21">
                  <c:v>133.30250450363468</c:v>
                </c:pt>
                <c:pt idx="22">
                  <c:v>135.38980260232591</c:v>
                </c:pt>
                <c:pt idx="23">
                  <c:v>121.23416105353294</c:v>
                </c:pt>
                <c:pt idx="24">
                  <c:v>123.95654151347537</c:v>
                </c:pt>
                <c:pt idx="25">
                  <c:v>132.48562521120718</c:v>
                </c:pt>
                <c:pt idx="26">
                  <c:v>134.11938379606227</c:v>
                </c:pt>
                <c:pt idx="27">
                  <c:v>134.64533718185544</c:v>
                </c:pt>
                <c:pt idx="28">
                  <c:v>131.21520640494353</c:v>
                </c:pt>
                <c:pt idx="29">
                  <c:v>132.03208569737109</c:v>
                </c:pt>
                <c:pt idx="30">
                  <c:v>122.68612270721177</c:v>
                </c:pt>
                <c:pt idx="31">
                  <c:v>111.97827075673776</c:v>
                </c:pt>
                <c:pt idx="32">
                  <c:v>115.78952717552879</c:v>
                </c:pt>
                <c:pt idx="33">
                  <c:v>126.70610893587191</c:v>
                </c:pt>
                <c:pt idx="34">
                  <c:v>128.85603868171194</c:v>
                </c:pt>
                <c:pt idx="35">
                  <c:v>131.578546183535</c:v>
                </c:pt>
                <c:pt idx="36">
                  <c:v>130.68925301915041</c:v>
                </c:pt>
                <c:pt idx="37">
                  <c:v>137.52283577804272</c:v>
                </c:pt>
                <c:pt idx="38">
                  <c:v>136.11521174070256</c:v>
                </c:pt>
                <c:pt idx="39">
                  <c:v>141.21594324785121</c:v>
                </c:pt>
                <c:pt idx="40">
                  <c:v>151.99544681899849</c:v>
                </c:pt>
                <c:pt idx="41">
                  <c:v>152.90379626547701</c:v>
                </c:pt>
                <c:pt idx="42">
                  <c:v>162.41288103036061</c:v>
                </c:pt>
                <c:pt idx="43">
                  <c:v>171.506538845596</c:v>
                </c:pt>
                <c:pt idx="44">
                  <c:v>169.3277705928538</c:v>
                </c:pt>
                <c:pt idx="45">
                  <c:v>169.49165461886182</c:v>
                </c:pt>
                <c:pt idx="46">
                  <c:v>161.52358786597605</c:v>
                </c:pt>
                <c:pt idx="47">
                  <c:v>161.43338813073134</c:v>
                </c:pt>
                <c:pt idx="48">
                  <c:v>158.34754085031688</c:v>
                </c:pt>
                <c:pt idx="49">
                  <c:v>157.89400133648076</c:v>
                </c:pt>
                <c:pt idx="50">
                  <c:v>157.2587919333489</c:v>
                </c:pt>
                <c:pt idx="51">
                  <c:v>152.90379626547704</c:v>
                </c:pt>
                <c:pt idx="52">
                  <c:v>151.90524708375378</c:v>
                </c:pt>
                <c:pt idx="53">
                  <c:v>159.52775992133581</c:v>
                </c:pt>
                <c:pt idx="54">
                  <c:v>163.15734645083114</c:v>
                </c:pt>
                <c:pt idx="55">
                  <c:v>163.70235611871826</c:v>
                </c:pt>
                <c:pt idx="56">
                  <c:v>157.89400133648073</c:v>
                </c:pt>
                <c:pt idx="57">
                  <c:v>153.08546615477272</c:v>
                </c:pt>
                <c:pt idx="58">
                  <c:v>152.63065622213031</c:v>
                </c:pt>
                <c:pt idx="59">
                  <c:v>151.54190730516234</c:v>
                </c:pt>
                <c:pt idx="60">
                  <c:v>151.54190730516234</c:v>
                </c:pt>
                <c:pt idx="61">
                  <c:v>150.90669790203049</c:v>
                </c:pt>
                <c:pt idx="62">
                  <c:v>148.81939980333928</c:v>
                </c:pt>
                <c:pt idx="63">
                  <c:v>155.89817339184046</c:v>
                </c:pt>
                <c:pt idx="64">
                  <c:v>162.23248155987113</c:v>
                </c:pt>
                <c:pt idx="65">
                  <c:v>160.83502087298109</c:v>
                </c:pt>
                <c:pt idx="66">
                  <c:v>162.41288103036055</c:v>
                </c:pt>
                <c:pt idx="67">
                  <c:v>157.53193197669552</c:v>
                </c:pt>
                <c:pt idx="68">
                  <c:v>163.97422574325861</c:v>
                </c:pt>
                <c:pt idx="69">
                  <c:v>161.523587865976</c:v>
                </c:pt>
                <c:pt idx="70">
                  <c:v>167.49455625541526</c:v>
                </c:pt>
                <c:pt idx="71">
                  <c:v>166.34990891097169</c:v>
                </c:pt>
                <c:pt idx="72">
                  <c:v>166.24319373124553</c:v>
                </c:pt>
                <c:pt idx="73">
                  <c:v>174.40436414268339</c:v>
                </c:pt>
                <c:pt idx="74">
                  <c:v>173.86570656882759</c:v>
                </c:pt>
                <c:pt idx="75">
                  <c:v>191.42416489019783</c:v>
                </c:pt>
                <c:pt idx="76">
                  <c:v>194.37407735834208</c:v>
                </c:pt>
                <c:pt idx="77">
                  <c:v>199.61836619059852</c:v>
                </c:pt>
                <c:pt idx="78">
                  <c:v>199.7276222079372</c:v>
                </c:pt>
                <c:pt idx="79">
                  <c:v>192.72253291019931</c:v>
                </c:pt>
                <c:pt idx="80">
                  <c:v>197.80420813525399</c:v>
                </c:pt>
                <c:pt idx="81">
                  <c:v>198.18533377713308</c:v>
                </c:pt>
                <c:pt idx="82">
                  <c:v>198.71128716292623</c:v>
                </c:pt>
                <c:pt idx="83">
                  <c:v>198.68333794918843</c:v>
                </c:pt>
                <c:pt idx="84">
                  <c:v>199.63615205388618</c:v>
                </c:pt>
                <c:pt idx="85">
                  <c:v>214.86339186576257</c:v>
                </c:pt>
                <c:pt idx="86">
                  <c:v>215.0819039004399</c:v>
                </c:pt>
                <c:pt idx="87">
                  <c:v>240.47122374361942</c:v>
                </c:pt>
                <c:pt idx="88">
                  <c:v>254.26416072322414</c:v>
                </c:pt>
                <c:pt idx="89">
                  <c:v>256.98666822504714</c:v>
                </c:pt>
                <c:pt idx="90">
                  <c:v>246.82331777493775</c:v>
                </c:pt>
                <c:pt idx="91">
                  <c:v>254.0837612527346</c:v>
                </c:pt>
                <c:pt idx="92">
                  <c:v>242.10498232847442</c:v>
                </c:pt>
                <c:pt idx="93">
                  <c:v>242.92186162090195</c:v>
                </c:pt>
                <c:pt idx="94">
                  <c:v>244.3739503164613</c:v>
                </c:pt>
                <c:pt idx="95">
                  <c:v>219.14724408048355</c:v>
                </c:pt>
                <c:pt idx="96">
                  <c:v>207.71347482411048</c:v>
                </c:pt>
                <c:pt idx="97">
                  <c:v>211.61493097814622</c:v>
                </c:pt>
                <c:pt idx="98">
                  <c:v>237.02330710341965</c:v>
                </c:pt>
                <c:pt idx="99">
                  <c:v>209.60004675141201</c:v>
                </c:pt>
                <c:pt idx="100">
                  <c:v>188.74739246540008</c:v>
                </c:pt>
                <c:pt idx="101">
                  <c:v>175.3177952643868</c:v>
                </c:pt>
                <c:pt idx="102">
                  <c:v>162.43574856887315</c:v>
                </c:pt>
                <c:pt idx="103">
                  <c:v>142.64897566131646</c:v>
                </c:pt>
                <c:pt idx="104">
                  <c:v>157.35026208739967</c:v>
                </c:pt>
                <c:pt idx="105">
                  <c:v>170.59818939911722</c:v>
                </c:pt>
                <c:pt idx="106">
                  <c:v>166.24319373124533</c:v>
                </c:pt>
                <c:pt idx="107">
                  <c:v>163.33901634012656</c:v>
                </c:pt>
                <c:pt idx="108">
                  <c:v>176.04320440276331</c:v>
                </c:pt>
                <c:pt idx="109">
                  <c:v>183.03050783721352</c:v>
                </c:pt>
                <c:pt idx="110">
                  <c:v>183.30237746175393</c:v>
                </c:pt>
                <c:pt idx="111">
                  <c:v>179.67279093225861</c:v>
                </c:pt>
                <c:pt idx="112">
                  <c:v>182.57696832337737</c:v>
                </c:pt>
                <c:pt idx="113">
                  <c:v>180.03613071085002</c:v>
                </c:pt>
                <c:pt idx="114">
                  <c:v>207.98534444865078</c:v>
                </c:pt>
                <c:pt idx="115">
                  <c:v>217.42201534157735</c:v>
                </c:pt>
                <c:pt idx="116">
                  <c:v>221.05287228987891</c:v>
                </c:pt>
                <c:pt idx="117">
                  <c:v>209.30149833193994</c:v>
                </c:pt>
                <c:pt idx="118">
                  <c:v>192.21436538769356</c:v>
                </c:pt>
                <c:pt idx="119">
                  <c:v>217.78535512016873</c:v>
                </c:pt>
                <c:pt idx="120">
                  <c:v>212.34034011652264</c:v>
                </c:pt>
                <c:pt idx="121">
                  <c:v>215.3804523199116</c:v>
                </c:pt>
                <c:pt idx="122">
                  <c:v>225.95287762563785</c:v>
                </c:pt>
                <c:pt idx="123">
                  <c:v>216.51493631390503</c:v>
                </c:pt>
                <c:pt idx="124">
                  <c:v>218.14869489876008</c:v>
                </c:pt>
                <c:pt idx="125">
                  <c:v>218.60223441259623</c:v>
                </c:pt>
                <c:pt idx="126">
                  <c:v>222.18608586506605</c:v>
                </c:pt>
                <c:pt idx="127">
                  <c:v>238.29372590968313</c:v>
                </c:pt>
                <c:pt idx="128">
                  <c:v>227.40496632119721</c:v>
                </c:pt>
                <c:pt idx="129">
                  <c:v>226.40641713947394</c:v>
                </c:pt>
                <c:pt idx="130">
                  <c:v>215.56212220920725</c:v>
                </c:pt>
                <c:pt idx="131">
                  <c:v>210.71674488211761</c:v>
                </c:pt>
                <c:pt idx="132">
                  <c:v>202.3586595557089</c:v>
                </c:pt>
                <c:pt idx="133">
                  <c:v>199.21691384781883</c:v>
                </c:pt>
                <c:pt idx="134">
                  <c:v>193.82906769045459</c:v>
                </c:pt>
                <c:pt idx="135">
                  <c:v>212.25014038127784</c:v>
                </c:pt>
                <c:pt idx="136">
                  <c:v>215.06284761834561</c:v>
                </c:pt>
                <c:pt idx="137">
                  <c:v>208.26610700483499</c:v>
                </c:pt>
                <c:pt idx="138">
                  <c:v>214.01983377840315</c:v>
                </c:pt>
                <c:pt idx="139">
                  <c:v>214.03634922288458</c:v>
                </c:pt>
                <c:pt idx="140">
                  <c:v>221.23327176036827</c:v>
                </c:pt>
                <c:pt idx="141">
                  <c:v>219.23744381572806</c:v>
                </c:pt>
                <c:pt idx="142">
                  <c:v>215.69805702147747</c:v>
                </c:pt>
                <c:pt idx="143">
                  <c:v>226.75959356761524</c:v>
                </c:pt>
                <c:pt idx="144">
                  <c:v>231.29752954358909</c:v>
                </c:pt>
                <c:pt idx="145">
                  <c:v>229.69044975366555</c:v>
                </c:pt>
                <c:pt idx="146">
                  <c:v>240.83456352221049</c:v>
                </c:pt>
                <c:pt idx="147">
                  <c:v>235.03637209042307</c:v>
                </c:pt>
                <c:pt idx="148">
                  <c:v>239.41169445919516</c:v>
                </c:pt>
                <c:pt idx="149">
                  <c:v>243.30298726278082</c:v>
                </c:pt>
                <c:pt idx="150">
                  <c:v>264.74511587489911</c:v>
                </c:pt>
                <c:pt idx="151">
                  <c:v>276.95129976548043</c:v>
                </c:pt>
                <c:pt idx="152">
                  <c:v>283.62989143000851</c:v>
                </c:pt>
                <c:pt idx="153">
                  <c:v>288.56546849234286</c:v>
                </c:pt>
                <c:pt idx="154">
                  <c:v>310.88926775600811</c:v>
                </c:pt>
                <c:pt idx="155">
                  <c:v>305.98926242024913</c:v>
                </c:pt>
                <c:pt idx="156">
                  <c:v>315.60760320247135</c:v>
                </c:pt>
                <c:pt idx="157">
                  <c:v>303.17528476437508</c:v>
                </c:pt>
                <c:pt idx="158">
                  <c:v>309.27329503444071</c:v>
                </c:pt>
                <c:pt idx="159">
                  <c:v>313.96495168597244</c:v>
                </c:pt>
                <c:pt idx="160">
                  <c:v>317.1498916332755</c:v>
                </c:pt>
                <c:pt idx="161">
                  <c:v>322.86677626146201</c:v>
                </c:pt>
                <c:pt idx="162">
                  <c:v>307.64334770600442</c:v>
                </c:pt>
                <c:pt idx="163">
                  <c:v>315.25950844955514</c:v>
                </c:pt>
                <c:pt idx="164">
                  <c:v>340.01743014602158</c:v>
                </c:pt>
                <c:pt idx="165">
                  <c:v>350.77152534104351</c:v>
                </c:pt>
                <c:pt idx="166">
                  <c:v>348.45682227603112</c:v>
                </c:pt>
                <c:pt idx="167">
                  <c:v>344.64683627604637</c:v>
                </c:pt>
                <c:pt idx="168">
                  <c:v>341.42251334574917</c:v>
                </c:pt>
                <c:pt idx="169">
                  <c:v>373.64795678543345</c:v>
                </c:pt>
                <c:pt idx="170">
                  <c:v>375.49895698615961</c:v>
                </c:pt>
                <c:pt idx="171">
                  <c:v>381.12564187910141</c:v>
                </c:pt>
                <c:pt idx="172">
                  <c:v>404.83673847920653</c:v>
                </c:pt>
                <c:pt idx="173">
                  <c:v>410.16360453387011</c:v>
                </c:pt>
                <c:pt idx="174">
                  <c:v>391.7692106379784</c:v>
                </c:pt>
                <c:pt idx="175">
                  <c:v>401.41550063393845</c:v>
                </c:pt>
                <c:pt idx="176">
                  <c:v>394.73690896941036</c:v>
                </c:pt>
                <c:pt idx="177">
                  <c:v>387.29606602112403</c:v>
                </c:pt>
                <c:pt idx="178">
                  <c:v>389.83690363365133</c:v>
                </c:pt>
                <c:pt idx="179">
                  <c:v>371.77790030261326</c:v>
                </c:pt>
                <c:pt idx="180">
                  <c:v>388.38481493809195</c:v>
                </c:pt>
              </c:numCache>
            </c:numRef>
          </c:val>
          <c:smooth val="0"/>
          <c:extLst>
            <c:ext xmlns:c16="http://schemas.microsoft.com/office/drawing/2014/chart" uri="{C3380CC4-5D6E-409C-BE32-E72D297353CC}">
              <c16:uniqueId val="{00000000-3CAF-44AA-8246-D67D30119B6F}"/>
            </c:ext>
          </c:extLst>
        </c:ser>
        <c:ser>
          <c:idx val="1"/>
          <c:order val="1"/>
          <c:tx>
            <c:strRef>
              <c:f>'BRK SP500 15 Y'!$C$1</c:f>
              <c:strCache>
                <c:ptCount val="1"/>
                <c:pt idx="0">
                  <c:v>S&amp;P 500 - 7/31/00 to 7/31/2015</c:v>
                </c:pt>
              </c:strCache>
            </c:strRef>
          </c:tx>
          <c:spPr>
            <a:ln w="28575" cap="rnd">
              <a:solidFill>
                <a:schemeClr val="accent2"/>
              </a:solidFill>
              <a:prstDash val="dash"/>
              <a:round/>
            </a:ln>
            <a:effectLst/>
          </c:spPr>
          <c:marker>
            <c:symbol val="none"/>
          </c:marker>
          <c:cat>
            <c:numRef>
              <c:f>'BRK SP500 15 Y'!$A$2:$A$182</c:f>
              <c:numCache>
                <c:formatCode>mm/dd/yy</c:formatCode>
                <c:ptCount val="181"/>
                <c:pt idx="0">
                  <c:v>36738</c:v>
                </c:pt>
                <c:pt idx="1">
                  <c:v>36769</c:v>
                </c:pt>
                <c:pt idx="2">
                  <c:v>36799</c:v>
                </c:pt>
                <c:pt idx="3">
                  <c:v>36830</c:v>
                </c:pt>
                <c:pt idx="4">
                  <c:v>36860</c:v>
                </c:pt>
                <c:pt idx="5">
                  <c:v>36891</c:v>
                </c:pt>
                <c:pt idx="6">
                  <c:v>36922</c:v>
                </c:pt>
                <c:pt idx="7">
                  <c:v>36950</c:v>
                </c:pt>
                <c:pt idx="8">
                  <c:v>36981</c:v>
                </c:pt>
                <c:pt idx="9">
                  <c:v>37011</c:v>
                </c:pt>
                <c:pt idx="10">
                  <c:v>37042</c:v>
                </c:pt>
                <c:pt idx="11">
                  <c:v>37072</c:v>
                </c:pt>
                <c:pt idx="12">
                  <c:v>37103</c:v>
                </c:pt>
                <c:pt idx="13">
                  <c:v>37134</c:v>
                </c:pt>
                <c:pt idx="14">
                  <c:v>37164</c:v>
                </c:pt>
                <c:pt idx="15">
                  <c:v>37195</c:v>
                </c:pt>
                <c:pt idx="16">
                  <c:v>37225</c:v>
                </c:pt>
                <c:pt idx="17">
                  <c:v>37256</c:v>
                </c:pt>
                <c:pt idx="18">
                  <c:v>37287</c:v>
                </c:pt>
                <c:pt idx="19">
                  <c:v>37315</c:v>
                </c:pt>
                <c:pt idx="20">
                  <c:v>37346</c:v>
                </c:pt>
                <c:pt idx="21">
                  <c:v>37376</c:v>
                </c:pt>
                <c:pt idx="22">
                  <c:v>37407</c:v>
                </c:pt>
                <c:pt idx="23">
                  <c:v>37437</c:v>
                </c:pt>
                <c:pt idx="24">
                  <c:v>37468</c:v>
                </c:pt>
                <c:pt idx="25">
                  <c:v>37499</c:v>
                </c:pt>
                <c:pt idx="26">
                  <c:v>37529</c:v>
                </c:pt>
                <c:pt idx="27">
                  <c:v>37560</c:v>
                </c:pt>
                <c:pt idx="28">
                  <c:v>37590</c:v>
                </c:pt>
                <c:pt idx="29">
                  <c:v>37621</c:v>
                </c:pt>
                <c:pt idx="30">
                  <c:v>37652</c:v>
                </c:pt>
                <c:pt idx="31">
                  <c:v>37680</c:v>
                </c:pt>
                <c:pt idx="32">
                  <c:v>37711</c:v>
                </c:pt>
                <c:pt idx="33">
                  <c:v>37741</c:v>
                </c:pt>
                <c:pt idx="34">
                  <c:v>37772</c:v>
                </c:pt>
                <c:pt idx="35">
                  <c:v>37802</c:v>
                </c:pt>
                <c:pt idx="36">
                  <c:v>37833</c:v>
                </c:pt>
                <c:pt idx="37">
                  <c:v>37864</c:v>
                </c:pt>
                <c:pt idx="38">
                  <c:v>37894</c:v>
                </c:pt>
                <c:pt idx="39">
                  <c:v>37925</c:v>
                </c:pt>
                <c:pt idx="40">
                  <c:v>37955</c:v>
                </c:pt>
                <c:pt idx="41">
                  <c:v>37986</c:v>
                </c:pt>
                <c:pt idx="42">
                  <c:v>38017</c:v>
                </c:pt>
                <c:pt idx="43">
                  <c:v>38046</c:v>
                </c:pt>
                <c:pt idx="44">
                  <c:v>38077</c:v>
                </c:pt>
                <c:pt idx="45">
                  <c:v>38107</c:v>
                </c:pt>
                <c:pt idx="46">
                  <c:v>38138</c:v>
                </c:pt>
                <c:pt idx="47">
                  <c:v>38168</c:v>
                </c:pt>
                <c:pt idx="48">
                  <c:v>38199</c:v>
                </c:pt>
                <c:pt idx="49">
                  <c:v>38230</c:v>
                </c:pt>
                <c:pt idx="50">
                  <c:v>38260</c:v>
                </c:pt>
                <c:pt idx="51">
                  <c:v>38291</c:v>
                </c:pt>
                <c:pt idx="52">
                  <c:v>38321</c:v>
                </c:pt>
                <c:pt idx="53">
                  <c:v>38352</c:v>
                </c:pt>
                <c:pt idx="54">
                  <c:v>38383</c:v>
                </c:pt>
                <c:pt idx="55">
                  <c:v>38411</c:v>
                </c:pt>
                <c:pt idx="56">
                  <c:v>38442</c:v>
                </c:pt>
                <c:pt idx="57">
                  <c:v>38472</c:v>
                </c:pt>
                <c:pt idx="58">
                  <c:v>38503</c:v>
                </c:pt>
                <c:pt idx="59">
                  <c:v>38533</c:v>
                </c:pt>
                <c:pt idx="60">
                  <c:v>38564</c:v>
                </c:pt>
                <c:pt idx="61">
                  <c:v>38595</c:v>
                </c:pt>
                <c:pt idx="62">
                  <c:v>38625</c:v>
                </c:pt>
                <c:pt idx="63">
                  <c:v>38656</c:v>
                </c:pt>
                <c:pt idx="64">
                  <c:v>38686</c:v>
                </c:pt>
                <c:pt idx="65">
                  <c:v>38717</c:v>
                </c:pt>
                <c:pt idx="66">
                  <c:v>38748</c:v>
                </c:pt>
                <c:pt idx="67">
                  <c:v>38776</c:v>
                </c:pt>
                <c:pt idx="68">
                  <c:v>38807</c:v>
                </c:pt>
                <c:pt idx="69">
                  <c:v>38837</c:v>
                </c:pt>
                <c:pt idx="70">
                  <c:v>38868</c:v>
                </c:pt>
                <c:pt idx="71">
                  <c:v>38898</c:v>
                </c:pt>
                <c:pt idx="72">
                  <c:v>38929</c:v>
                </c:pt>
                <c:pt idx="73">
                  <c:v>38960</c:v>
                </c:pt>
                <c:pt idx="74">
                  <c:v>38990</c:v>
                </c:pt>
                <c:pt idx="75">
                  <c:v>39021</c:v>
                </c:pt>
                <c:pt idx="76">
                  <c:v>39051</c:v>
                </c:pt>
                <c:pt idx="77">
                  <c:v>39082</c:v>
                </c:pt>
                <c:pt idx="78">
                  <c:v>39113</c:v>
                </c:pt>
                <c:pt idx="79">
                  <c:v>39141</c:v>
                </c:pt>
                <c:pt idx="80">
                  <c:v>39172</c:v>
                </c:pt>
                <c:pt idx="81">
                  <c:v>39202</c:v>
                </c:pt>
                <c:pt idx="82">
                  <c:v>39233</c:v>
                </c:pt>
                <c:pt idx="83">
                  <c:v>39263</c:v>
                </c:pt>
                <c:pt idx="84">
                  <c:v>39294</c:v>
                </c:pt>
                <c:pt idx="85">
                  <c:v>39325</c:v>
                </c:pt>
                <c:pt idx="86">
                  <c:v>39355</c:v>
                </c:pt>
                <c:pt idx="87">
                  <c:v>39386</c:v>
                </c:pt>
                <c:pt idx="88">
                  <c:v>39416</c:v>
                </c:pt>
                <c:pt idx="89">
                  <c:v>39447</c:v>
                </c:pt>
                <c:pt idx="90">
                  <c:v>39478</c:v>
                </c:pt>
                <c:pt idx="91">
                  <c:v>39507</c:v>
                </c:pt>
                <c:pt idx="92">
                  <c:v>39538</c:v>
                </c:pt>
                <c:pt idx="93">
                  <c:v>39568</c:v>
                </c:pt>
                <c:pt idx="94">
                  <c:v>39599</c:v>
                </c:pt>
                <c:pt idx="95">
                  <c:v>39629</c:v>
                </c:pt>
                <c:pt idx="96">
                  <c:v>39660</c:v>
                </c:pt>
                <c:pt idx="97">
                  <c:v>39691</c:v>
                </c:pt>
                <c:pt idx="98">
                  <c:v>39721</c:v>
                </c:pt>
                <c:pt idx="99">
                  <c:v>39752</c:v>
                </c:pt>
                <c:pt idx="100">
                  <c:v>39782</c:v>
                </c:pt>
                <c:pt idx="101">
                  <c:v>39813</c:v>
                </c:pt>
                <c:pt idx="102">
                  <c:v>39844</c:v>
                </c:pt>
                <c:pt idx="103">
                  <c:v>39872</c:v>
                </c:pt>
                <c:pt idx="104">
                  <c:v>39903</c:v>
                </c:pt>
                <c:pt idx="105">
                  <c:v>39933</c:v>
                </c:pt>
                <c:pt idx="106">
                  <c:v>39964</c:v>
                </c:pt>
                <c:pt idx="107">
                  <c:v>39994</c:v>
                </c:pt>
                <c:pt idx="108">
                  <c:v>40025</c:v>
                </c:pt>
                <c:pt idx="109">
                  <c:v>40056</c:v>
                </c:pt>
                <c:pt idx="110">
                  <c:v>40086</c:v>
                </c:pt>
                <c:pt idx="111">
                  <c:v>40117</c:v>
                </c:pt>
                <c:pt idx="112">
                  <c:v>40147</c:v>
                </c:pt>
                <c:pt idx="113">
                  <c:v>40178</c:v>
                </c:pt>
                <c:pt idx="114">
                  <c:v>40209</c:v>
                </c:pt>
                <c:pt idx="115">
                  <c:v>40237</c:v>
                </c:pt>
                <c:pt idx="116">
                  <c:v>40268</c:v>
                </c:pt>
                <c:pt idx="117">
                  <c:v>40298</c:v>
                </c:pt>
                <c:pt idx="118">
                  <c:v>40329</c:v>
                </c:pt>
                <c:pt idx="119">
                  <c:v>40359</c:v>
                </c:pt>
                <c:pt idx="120">
                  <c:v>40390</c:v>
                </c:pt>
                <c:pt idx="121">
                  <c:v>40421</c:v>
                </c:pt>
                <c:pt idx="122">
                  <c:v>40451</c:v>
                </c:pt>
                <c:pt idx="123">
                  <c:v>40482</c:v>
                </c:pt>
                <c:pt idx="124">
                  <c:v>40512</c:v>
                </c:pt>
                <c:pt idx="125">
                  <c:v>40543</c:v>
                </c:pt>
                <c:pt idx="126">
                  <c:v>40574</c:v>
                </c:pt>
                <c:pt idx="127">
                  <c:v>40602</c:v>
                </c:pt>
                <c:pt idx="128">
                  <c:v>40633</c:v>
                </c:pt>
                <c:pt idx="129">
                  <c:v>40663</c:v>
                </c:pt>
                <c:pt idx="130">
                  <c:v>40694</c:v>
                </c:pt>
                <c:pt idx="131">
                  <c:v>40724</c:v>
                </c:pt>
                <c:pt idx="132">
                  <c:v>40755</c:v>
                </c:pt>
                <c:pt idx="133">
                  <c:v>40786</c:v>
                </c:pt>
                <c:pt idx="134">
                  <c:v>40816</c:v>
                </c:pt>
                <c:pt idx="135">
                  <c:v>40847</c:v>
                </c:pt>
                <c:pt idx="136">
                  <c:v>40877</c:v>
                </c:pt>
                <c:pt idx="137">
                  <c:v>40908</c:v>
                </c:pt>
                <c:pt idx="138">
                  <c:v>40939</c:v>
                </c:pt>
                <c:pt idx="139">
                  <c:v>40968</c:v>
                </c:pt>
                <c:pt idx="140">
                  <c:v>40999</c:v>
                </c:pt>
                <c:pt idx="141">
                  <c:v>41029</c:v>
                </c:pt>
                <c:pt idx="142">
                  <c:v>41060</c:v>
                </c:pt>
                <c:pt idx="143">
                  <c:v>41090</c:v>
                </c:pt>
                <c:pt idx="144">
                  <c:v>41121</c:v>
                </c:pt>
                <c:pt idx="145">
                  <c:v>41152</c:v>
                </c:pt>
                <c:pt idx="146">
                  <c:v>41182</c:v>
                </c:pt>
                <c:pt idx="147">
                  <c:v>41213</c:v>
                </c:pt>
                <c:pt idx="148">
                  <c:v>41243</c:v>
                </c:pt>
                <c:pt idx="149">
                  <c:v>41274</c:v>
                </c:pt>
                <c:pt idx="150">
                  <c:v>41305</c:v>
                </c:pt>
                <c:pt idx="151">
                  <c:v>41333</c:v>
                </c:pt>
                <c:pt idx="152">
                  <c:v>41364</c:v>
                </c:pt>
                <c:pt idx="153">
                  <c:v>41394</c:v>
                </c:pt>
                <c:pt idx="154">
                  <c:v>41425</c:v>
                </c:pt>
                <c:pt idx="155">
                  <c:v>41455</c:v>
                </c:pt>
                <c:pt idx="156">
                  <c:v>41486</c:v>
                </c:pt>
                <c:pt idx="157">
                  <c:v>41517</c:v>
                </c:pt>
                <c:pt idx="158">
                  <c:v>41547</c:v>
                </c:pt>
                <c:pt idx="159">
                  <c:v>41578</c:v>
                </c:pt>
                <c:pt idx="160">
                  <c:v>41608</c:v>
                </c:pt>
                <c:pt idx="161">
                  <c:v>41639</c:v>
                </c:pt>
                <c:pt idx="162">
                  <c:v>41670</c:v>
                </c:pt>
                <c:pt idx="163">
                  <c:v>41698</c:v>
                </c:pt>
                <c:pt idx="164">
                  <c:v>41729</c:v>
                </c:pt>
                <c:pt idx="165">
                  <c:v>41759</c:v>
                </c:pt>
                <c:pt idx="166">
                  <c:v>41790</c:v>
                </c:pt>
                <c:pt idx="167">
                  <c:v>41820</c:v>
                </c:pt>
                <c:pt idx="168">
                  <c:v>41851</c:v>
                </c:pt>
                <c:pt idx="169">
                  <c:v>41882</c:v>
                </c:pt>
                <c:pt idx="170">
                  <c:v>41912</c:v>
                </c:pt>
                <c:pt idx="171">
                  <c:v>41943</c:v>
                </c:pt>
                <c:pt idx="172">
                  <c:v>41973</c:v>
                </c:pt>
                <c:pt idx="173">
                  <c:v>42004</c:v>
                </c:pt>
                <c:pt idx="174">
                  <c:v>42035</c:v>
                </c:pt>
                <c:pt idx="175">
                  <c:v>42063</c:v>
                </c:pt>
                <c:pt idx="176">
                  <c:v>42094</c:v>
                </c:pt>
                <c:pt idx="177">
                  <c:v>42124</c:v>
                </c:pt>
                <c:pt idx="178">
                  <c:v>42155</c:v>
                </c:pt>
                <c:pt idx="179">
                  <c:v>42185</c:v>
                </c:pt>
                <c:pt idx="180">
                  <c:v>42216</c:v>
                </c:pt>
              </c:numCache>
            </c:numRef>
          </c:cat>
          <c:val>
            <c:numRef>
              <c:f>'BRK SP500 15 Y'!$C$2:$C$182</c:f>
              <c:numCache>
                <c:formatCode>0.00</c:formatCode>
                <c:ptCount val="181"/>
                <c:pt idx="0">
                  <c:v>100</c:v>
                </c:pt>
                <c:pt idx="1">
                  <c:v>106.07025699112963</c:v>
                </c:pt>
                <c:pt idx="2">
                  <c:v>100.39718148251667</c:v>
                </c:pt>
                <c:pt idx="3">
                  <c:v>99.89996910810693</c:v>
                </c:pt>
                <c:pt idx="4">
                  <c:v>91.901175362979757</c:v>
                </c:pt>
                <c:pt idx="5">
                  <c:v>92.274084643787049</c:v>
                </c:pt>
                <c:pt idx="6">
                  <c:v>95.469924535518317</c:v>
                </c:pt>
                <c:pt idx="7">
                  <c:v>86.659115315023755</c:v>
                </c:pt>
                <c:pt idx="8">
                  <c:v>81.094896953470922</c:v>
                </c:pt>
                <c:pt idx="9">
                  <c:v>87.32402653760721</c:v>
                </c:pt>
                <c:pt idx="10">
                  <c:v>87.769016902278651</c:v>
                </c:pt>
                <c:pt idx="11">
                  <c:v>85.574221450742158</c:v>
                </c:pt>
                <c:pt idx="12">
                  <c:v>84.652613307050729</c:v>
                </c:pt>
                <c:pt idx="13">
                  <c:v>79.225201900586967</c:v>
                </c:pt>
                <c:pt idx="14">
                  <c:v>72.751143735565407</c:v>
                </c:pt>
                <c:pt idx="15">
                  <c:v>74.067726797981734</c:v>
                </c:pt>
                <c:pt idx="16">
                  <c:v>79.63562276585418</c:v>
                </c:pt>
                <c:pt idx="17">
                  <c:v>80.238750202268363</c:v>
                </c:pt>
                <c:pt idx="18">
                  <c:v>78.989099574868732</c:v>
                </c:pt>
                <c:pt idx="19">
                  <c:v>77.348887156327706</c:v>
                </c:pt>
                <c:pt idx="20">
                  <c:v>80.190941320113581</c:v>
                </c:pt>
                <c:pt idx="21">
                  <c:v>75.265155415643093</c:v>
                </c:pt>
                <c:pt idx="22">
                  <c:v>74.581856161461644</c:v>
                </c:pt>
                <c:pt idx="23">
                  <c:v>69.177687226937735</c:v>
                </c:pt>
                <c:pt idx="24">
                  <c:v>63.712984892393258</c:v>
                </c:pt>
                <c:pt idx="25">
                  <c:v>64.024036834904919</c:v>
                </c:pt>
                <c:pt idx="26">
                  <c:v>56.979802586092781</c:v>
                </c:pt>
                <c:pt idx="27">
                  <c:v>61.90566204268967</c:v>
                </c:pt>
                <c:pt idx="28">
                  <c:v>65.438591329675361</c:v>
                </c:pt>
                <c:pt idx="29">
                  <c:v>61.490533841333374</c:v>
                </c:pt>
                <c:pt idx="30">
                  <c:v>59.804719104429331</c:v>
                </c:pt>
                <c:pt idx="31">
                  <c:v>58.787860957060289</c:v>
                </c:pt>
                <c:pt idx="32">
                  <c:v>59.27918916135868</c:v>
                </c:pt>
                <c:pt idx="33">
                  <c:v>64.083393400903248</c:v>
                </c:pt>
                <c:pt idx="34">
                  <c:v>67.345209550008107</c:v>
                </c:pt>
                <c:pt idx="35">
                  <c:v>68.107650892187309</c:v>
                </c:pt>
                <c:pt idx="36">
                  <c:v>69.212624486973937</c:v>
                </c:pt>
                <c:pt idx="37">
                  <c:v>70.449697700760552</c:v>
                </c:pt>
                <c:pt idx="38">
                  <c:v>69.608187822709993</c:v>
                </c:pt>
                <c:pt idx="39">
                  <c:v>73.434001676988515</c:v>
                </c:pt>
                <c:pt idx="40">
                  <c:v>73.957398608393802</c:v>
                </c:pt>
                <c:pt idx="41">
                  <c:v>77.71149913944015</c:v>
                </c:pt>
                <c:pt idx="42">
                  <c:v>79.054560967357588</c:v>
                </c:pt>
                <c:pt idx="43">
                  <c:v>80.01956486562031</c:v>
                </c:pt>
                <c:pt idx="44">
                  <c:v>78.71033701584318</c:v>
                </c:pt>
                <c:pt idx="45">
                  <c:v>77.3886053045794</c:v>
                </c:pt>
                <c:pt idx="46">
                  <c:v>78.324188352285319</c:v>
                </c:pt>
                <c:pt idx="47">
                  <c:v>79.732711572691613</c:v>
                </c:pt>
                <c:pt idx="48">
                  <c:v>76.99877903470194</c:v>
                </c:pt>
                <c:pt idx="49">
                  <c:v>77.174568616778771</c:v>
                </c:pt>
                <c:pt idx="50">
                  <c:v>77.897586019211872</c:v>
                </c:pt>
                <c:pt idx="51">
                  <c:v>78.989099574868774</c:v>
                </c:pt>
                <c:pt idx="52">
                  <c:v>82.037835213816081</c:v>
                </c:pt>
                <c:pt idx="53">
                  <c:v>84.700422189205554</c:v>
                </c:pt>
                <c:pt idx="54">
                  <c:v>82.558584268671282</c:v>
                </c:pt>
                <c:pt idx="55">
                  <c:v>84.119360390708977</c:v>
                </c:pt>
                <c:pt idx="56">
                  <c:v>82.510775386516499</c:v>
                </c:pt>
                <c:pt idx="57">
                  <c:v>80.85143941511356</c:v>
                </c:pt>
                <c:pt idx="58">
                  <c:v>83.27351093720128</c:v>
                </c:pt>
                <c:pt idx="59">
                  <c:v>83.261742596978564</c:v>
                </c:pt>
                <c:pt idx="60">
                  <c:v>86.256049662395824</c:v>
                </c:pt>
                <c:pt idx="61">
                  <c:v>85.288103679077437</c:v>
                </c:pt>
                <c:pt idx="62">
                  <c:v>85.880933817796745</c:v>
                </c:pt>
                <c:pt idx="63">
                  <c:v>84.357669280218985</c:v>
                </c:pt>
                <c:pt idx="64">
                  <c:v>87.325497580135135</c:v>
                </c:pt>
                <c:pt idx="65">
                  <c:v>87.242383677312205</c:v>
                </c:pt>
                <c:pt idx="66">
                  <c:v>89.464393415613728</c:v>
                </c:pt>
                <c:pt idx="67">
                  <c:v>89.504847085129327</c:v>
                </c:pt>
                <c:pt idx="68">
                  <c:v>90.494858706365292</c:v>
                </c:pt>
                <c:pt idx="69">
                  <c:v>91.598140602244897</c:v>
                </c:pt>
                <c:pt idx="70">
                  <c:v>88.766383736153898</c:v>
                </c:pt>
                <c:pt idx="71">
                  <c:v>88.77373894879311</c:v>
                </c:pt>
                <c:pt idx="72">
                  <c:v>89.225349004839813</c:v>
                </c:pt>
                <c:pt idx="73">
                  <c:v>91.123729387016681</c:v>
                </c:pt>
                <c:pt idx="74">
                  <c:v>93.361920593124438</c:v>
                </c:pt>
                <c:pt idx="75">
                  <c:v>96.304005648803397</c:v>
                </c:pt>
                <c:pt idx="76">
                  <c:v>97.889789493814376</c:v>
                </c:pt>
                <c:pt idx="77">
                  <c:v>99.124729695935628</c:v>
                </c:pt>
                <c:pt idx="78">
                  <c:v>100.51780696979962</c:v>
                </c:pt>
                <c:pt idx="79">
                  <c:v>98.322275996999181</c:v>
                </c:pt>
                <c:pt idx="80">
                  <c:v>99.303461363068138</c:v>
                </c:pt>
                <c:pt idx="81">
                  <c:v>103.60258315067902</c:v>
                </c:pt>
                <c:pt idx="82">
                  <c:v>106.97421262448712</c:v>
                </c:pt>
                <c:pt idx="83">
                  <c:v>105.06847702967107</c:v>
                </c:pt>
                <c:pt idx="84">
                  <c:v>101.70861589608569</c:v>
                </c:pt>
                <c:pt idx="85">
                  <c:v>103.01637270333499</c:v>
                </c:pt>
                <c:pt idx="86">
                  <c:v>106.70427632062857</c:v>
                </c:pt>
                <c:pt idx="87">
                  <c:v>108.28564703805601</c:v>
                </c:pt>
                <c:pt idx="88">
                  <c:v>103.51652716280041</c:v>
                </c:pt>
                <c:pt idx="89">
                  <c:v>102.62286882713792</c:v>
                </c:pt>
                <c:pt idx="90">
                  <c:v>96.346665882110784</c:v>
                </c:pt>
                <c:pt idx="91">
                  <c:v>92.997102046220277</c:v>
                </c:pt>
                <c:pt idx="92">
                  <c:v>92.443254534488716</c:v>
                </c:pt>
                <c:pt idx="93">
                  <c:v>96.838729607673116</c:v>
                </c:pt>
                <c:pt idx="94">
                  <c:v>97.87213698348036</c:v>
                </c:pt>
                <c:pt idx="95">
                  <c:v>89.458509245502441</c:v>
                </c:pt>
                <c:pt idx="96">
                  <c:v>88.576619250062677</c:v>
                </c:pt>
                <c:pt idx="97">
                  <c:v>89.65636446549685</c:v>
                </c:pt>
                <c:pt idx="98">
                  <c:v>81.516350637697073</c:v>
                </c:pt>
                <c:pt idx="99">
                  <c:v>67.705835625708062</c:v>
                </c:pt>
                <c:pt idx="100">
                  <c:v>62.638094117301044</c:v>
                </c:pt>
                <c:pt idx="101">
                  <c:v>63.128024831197983</c:v>
                </c:pt>
                <c:pt idx="102">
                  <c:v>57.720619603112837</c:v>
                </c:pt>
                <c:pt idx="103">
                  <c:v>51.375351211403625</c:v>
                </c:pt>
                <c:pt idx="104">
                  <c:v>55.763029759190445</c:v>
                </c:pt>
                <c:pt idx="105">
                  <c:v>61.000529575310139</c:v>
                </c:pt>
                <c:pt idx="106">
                  <c:v>64.238588387590397</c:v>
                </c:pt>
                <c:pt idx="107">
                  <c:v>64.251165801203427</c:v>
                </c:pt>
                <c:pt idx="108">
                  <c:v>69.014842819106022</c:v>
                </c:pt>
                <c:pt idx="109">
                  <c:v>71.330999279189285</c:v>
                </c:pt>
                <c:pt idx="110">
                  <c:v>73.878697833154476</c:v>
                </c:pt>
                <c:pt idx="111">
                  <c:v>72.4194971976641</c:v>
                </c:pt>
                <c:pt idx="112">
                  <c:v>76.572912222892469</c:v>
                </c:pt>
                <c:pt idx="113">
                  <c:v>77.933626561143996</c:v>
                </c:pt>
                <c:pt idx="114">
                  <c:v>75.052589770370375</c:v>
                </c:pt>
                <c:pt idx="115">
                  <c:v>77.192221127112902</c:v>
                </c:pt>
                <c:pt idx="116">
                  <c:v>81.731122846761636</c:v>
                </c:pt>
                <c:pt idx="117">
                  <c:v>82.937377719590003</c:v>
                </c:pt>
                <c:pt idx="118">
                  <c:v>76.138219155915934</c:v>
                </c:pt>
                <c:pt idx="119">
                  <c:v>72.036217067035523</c:v>
                </c:pt>
                <c:pt idx="120">
                  <c:v>76.990688300798894</c:v>
                </c:pt>
                <c:pt idx="121">
                  <c:v>73.33757483928872</c:v>
                </c:pt>
                <c:pt idx="122">
                  <c:v>79.757719295664955</c:v>
                </c:pt>
                <c:pt idx="123">
                  <c:v>82.697597787552169</c:v>
                </c:pt>
                <c:pt idx="124">
                  <c:v>82.507833301460877</c:v>
                </c:pt>
                <c:pt idx="125">
                  <c:v>87.895526559672987</c:v>
                </c:pt>
                <c:pt idx="126">
                  <c:v>89.886582621103727</c:v>
                </c:pt>
                <c:pt idx="127">
                  <c:v>92.758793156710325</c:v>
                </c:pt>
                <c:pt idx="128">
                  <c:v>92.661704349872906</c:v>
                </c:pt>
                <c:pt idx="129">
                  <c:v>95.302225687344773</c:v>
                </c:pt>
                <c:pt idx="130">
                  <c:v>94.01579899674914</c:v>
                </c:pt>
                <c:pt idx="131">
                  <c:v>92.299092366760462</c:v>
                </c:pt>
                <c:pt idx="132">
                  <c:v>90.316862560496759</c:v>
                </c:pt>
                <c:pt idx="133">
                  <c:v>85.18807278718441</c:v>
                </c:pt>
                <c:pt idx="134">
                  <c:v>79.074420041483521</c:v>
                </c:pt>
                <c:pt idx="135">
                  <c:v>87.592491798938056</c:v>
                </c:pt>
                <c:pt idx="136">
                  <c:v>87.149707998058361</c:v>
                </c:pt>
                <c:pt idx="137">
                  <c:v>87.893319995881228</c:v>
                </c:pt>
                <c:pt idx="138">
                  <c:v>91.723914738375242</c:v>
                </c:pt>
                <c:pt idx="139">
                  <c:v>95.447123376336975</c:v>
                </c:pt>
                <c:pt idx="140">
                  <c:v>98.437752835434623</c:v>
                </c:pt>
                <c:pt idx="141">
                  <c:v>97.699289486459207</c:v>
                </c:pt>
                <c:pt idx="142">
                  <c:v>91.57828152811912</c:v>
                </c:pt>
                <c:pt idx="143">
                  <c:v>95.200723752923849</c:v>
                </c:pt>
                <c:pt idx="144">
                  <c:v>96.400358934376953</c:v>
                </c:pt>
                <c:pt idx="145">
                  <c:v>98.305359007929084</c:v>
                </c:pt>
                <c:pt idx="146">
                  <c:v>100.68771238176514</c:v>
                </c:pt>
                <c:pt idx="147">
                  <c:v>98.695185277806544</c:v>
                </c:pt>
                <c:pt idx="148">
                  <c:v>98.976154400623884</c:v>
                </c:pt>
                <c:pt idx="149">
                  <c:v>99.675635122611567</c:v>
                </c:pt>
                <c:pt idx="150">
                  <c:v>104.70218744023907</c:v>
                </c:pt>
                <c:pt idx="151">
                  <c:v>105.86063343091266</c:v>
                </c:pt>
                <c:pt idx="152">
                  <c:v>109.66989805675298</c:v>
                </c:pt>
                <c:pt idx="153">
                  <c:v>111.65359890554454</c:v>
                </c:pt>
                <c:pt idx="154">
                  <c:v>113.97196192941956</c:v>
                </c:pt>
                <c:pt idx="155">
                  <c:v>112.26261051207008</c:v>
                </c:pt>
                <c:pt idx="156">
                  <c:v>117.81506053340021</c:v>
                </c:pt>
                <c:pt idx="157">
                  <c:v>114.12789243737056</c:v>
                </c:pt>
                <c:pt idx="158">
                  <c:v>117.52305859162408</c:v>
                </c:pt>
                <c:pt idx="159">
                  <c:v>122.76438311831616</c:v>
                </c:pt>
                <c:pt idx="160">
                  <c:v>126.20735815472447</c:v>
                </c:pt>
                <c:pt idx="161">
                  <c:v>129.18107062475198</c:v>
                </c:pt>
                <c:pt idx="162">
                  <c:v>124.58479824651752</c:v>
                </c:pt>
                <c:pt idx="163">
                  <c:v>129.95631003692338</c:v>
                </c:pt>
                <c:pt idx="164">
                  <c:v>130.85732358522506</c:v>
                </c:pt>
                <c:pt idx="165">
                  <c:v>131.66860353932856</c:v>
                </c:pt>
                <c:pt idx="166">
                  <c:v>134.43784109798639</c:v>
                </c:pt>
                <c:pt idx="167">
                  <c:v>136.99966166021886</c:v>
                </c:pt>
                <c:pt idx="168">
                  <c:v>134.93431795113221</c:v>
                </c:pt>
                <c:pt idx="169">
                  <c:v>140.01529884228981</c:v>
                </c:pt>
                <c:pt idx="170">
                  <c:v>137.84256902867088</c:v>
                </c:pt>
                <c:pt idx="171">
                  <c:v>141.04061548419389</c:v>
                </c:pt>
                <c:pt idx="172">
                  <c:v>144.50124303093628</c:v>
                </c:pt>
                <c:pt idx="173">
                  <c:v>143.89590903073034</c:v>
                </c:pt>
                <c:pt idx="174">
                  <c:v>139.42908839494575</c:v>
                </c:pt>
                <c:pt idx="175">
                  <c:v>147.08292266729458</c:v>
                </c:pt>
                <c:pt idx="176">
                  <c:v>144.52404419011782</c:v>
                </c:pt>
                <c:pt idx="177">
                  <c:v>145.75604230718341</c:v>
                </c:pt>
                <c:pt idx="178">
                  <c:v>147.28519101487257</c:v>
                </c:pt>
                <c:pt idx="179">
                  <c:v>144.19011753629829</c:v>
                </c:pt>
                <c:pt idx="180">
                  <c:v>147.03658482766772</c:v>
                </c:pt>
              </c:numCache>
            </c:numRef>
          </c:val>
          <c:smooth val="0"/>
          <c:extLst>
            <c:ext xmlns:c16="http://schemas.microsoft.com/office/drawing/2014/chart" uri="{C3380CC4-5D6E-409C-BE32-E72D297353CC}">
              <c16:uniqueId val="{00000001-3CAF-44AA-8246-D67D30119B6F}"/>
            </c:ext>
          </c:extLst>
        </c:ser>
        <c:dLbls>
          <c:showLegendKey val="0"/>
          <c:showVal val="0"/>
          <c:showCatName val="0"/>
          <c:showSerName val="0"/>
          <c:showPercent val="0"/>
          <c:showBubbleSize val="0"/>
        </c:dLbls>
        <c:smooth val="0"/>
        <c:axId val="995801232"/>
        <c:axId val="995795656"/>
      </c:lineChart>
      <c:dateAx>
        <c:axId val="995801232"/>
        <c:scaling>
          <c:orientation val="minMax"/>
          <c:max val="42217"/>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995795656"/>
        <c:crosses val="autoZero"/>
        <c:auto val="1"/>
        <c:lblOffset val="100"/>
        <c:baseTimeUnit val="months"/>
        <c:majorUnit val="3"/>
        <c:majorTimeUnit val="years"/>
        <c:minorUnit val="3"/>
        <c:minorTimeUnit val="months"/>
      </c:dateAx>
      <c:valAx>
        <c:axId val="99579565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crossAx val="99580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133351</xdr:rowOff>
    </xdr:from>
    <xdr:to>
      <xdr:col>0</xdr:col>
      <xdr:colOff>2235536</xdr:colOff>
      <xdr:row>1</xdr:row>
      <xdr:rowOff>737203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23851"/>
          <a:ext cx="2235536" cy="6038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482859</xdr:colOff>
      <xdr:row>23</xdr:row>
      <xdr:rowOff>104584</xdr:rowOff>
    </xdr:from>
    <xdr:to>
      <xdr:col>11</xdr:col>
      <xdr:colOff>855260</xdr:colOff>
      <xdr:row>40</xdr:row>
      <xdr:rowOff>9279</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141516</xdr:colOff>
      <xdr:row>0</xdr:row>
      <xdr:rowOff>440872</xdr:rowOff>
    </xdr:from>
    <xdr:to>
      <xdr:col>11</xdr:col>
      <xdr:colOff>252659</xdr:colOff>
      <xdr:row>16</xdr:row>
      <xdr:rowOff>46210</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57149</xdr:colOff>
      <xdr:row>6</xdr:row>
      <xdr:rowOff>10884</xdr:rowOff>
    </xdr:from>
    <xdr:to>
      <xdr:col>15</xdr:col>
      <xdr:colOff>480366</xdr:colOff>
      <xdr:row>36</xdr:row>
      <xdr:rowOff>157841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57149" y="963384"/>
          <a:ext cx="9744110" cy="58619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0-AV/UTDT/MFIN/2020%20MFIN/Curso%20FC/5-IPO/Clase/Facebook%20IPO_anali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1"/>
      <sheetName val="Ex3 "/>
      <sheetName val="Ex4"/>
      <sheetName val="Ex5"/>
      <sheetName val="Ex6"/>
      <sheetName val="Shareholders (Ex8)"/>
      <sheetName val="Ex9"/>
      <sheetName val="Ex10"/>
      <sheetName val="DCF (Ex11)"/>
      <sheetName val="Comps (Ex12)"/>
      <sheetName val="Financials (Ex2)"/>
      <sheetName val="Model"/>
      <sheetName val="DCF"/>
      <sheetName val="WACC"/>
      <sheetName val="AVP"/>
      <sheetName val="Anex I. IPO terms"/>
      <sheetName val="Anex II. Prospectus--&gt;"/>
      <sheetName val="IPO Cash Flow"/>
      <sheetName val="IPO P&amp;L"/>
      <sheetName val="IPO Bce Sheet"/>
      <sheetName val="IPO Equ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ow r="250">
          <cell r="E250">
            <v>0.39880952380952384</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heetViews>
  <sheetFormatPr baseColWidth="10" defaultColWidth="8.83203125" defaultRowHeight="13" x14ac:dyDescent="0.15"/>
  <sheetData>
    <row r="1" spans="1:2" x14ac:dyDescent="0.15">
      <c r="B1" t="s">
        <v>174</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E22"/>
  <sheetViews>
    <sheetView showGridLines="0" zoomScaleNormal="100" zoomScaleSheetLayoutView="85" workbookViewId="0">
      <selection activeCell="E24" sqref="E24"/>
    </sheetView>
  </sheetViews>
  <sheetFormatPr baseColWidth="10" defaultColWidth="9.1640625" defaultRowHeight="15" x14ac:dyDescent="0.2"/>
  <cols>
    <col min="1" max="1" width="21.5" style="26" bestFit="1" customWidth="1"/>
    <col min="2" max="2" width="25" style="26" bestFit="1" customWidth="1"/>
    <col min="3" max="3" width="10.6640625" style="26" customWidth="1"/>
    <col min="4" max="5" width="8.5" style="26" customWidth="1"/>
    <col min="6" max="6" width="10.33203125" style="26" customWidth="1"/>
    <col min="7" max="7" width="10.83203125" style="26" customWidth="1"/>
    <col min="8" max="8" width="11.6640625" style="26" customWidth="1"/>
    <col min="9" max="15" width="8.6640625" style="26" customWidth="1"/>
    <col min="16" max="16384" width="9.1640625" style="26"/>
  </cols>
  <sheetData>
    <row r="2" spans="1:31" x14ac:dyDescent="0.2">
      <c r="B2" s="314" t="s">
        <v>201</v>
      </c>
      <c r="C2" s="314"/>
      <c r="D2" s="314"/>
      <c r="E2" s="314"/>
      <c r="F2" s="314"/>
      <c r="G2" s="314"/>
      <c r="H2" s="314"/>
      <c r="I2" s="314"/>
      <c r="J2" s="314"/>
      <c r="K2" s="314"/>
      <c r="L2" s="314"/>
      <c r="M2" s="314"/>
      <c r="N2" s="314"/>
      <c r="O2" s="314"/>
      <c r="P2" s="314"/>
    </row>
    <row r="3" spans="1:31" x14ac:dyDescent="0.2">
      <c r="B3" s="314" t="s">
        <v>175</v>
      </c>
      <c r="C3" s="314"/>
      <c r="D3" s="314"/>
      <c r="E3" s="314"/>
      <c r="F3" s="314"/>
      <c r="G3" s="314"/>
      <c r="H3" s="314"/>
      <c r="I3" s="314"/>
      <c r="J3" s="314"/>
      <c r="K3" s="314"/>
      <c r="L3" s="314"/>
      <c r="M3" s="314"/>
      <c r="N3" s="314"/>
      <c r="O3" s="314"/>
      <c r="P3" s="314"/>
    </row>
    <row r="4" spans="1:31" ht="17" x14ac:dyDescent="0.2">
      <c r="B4" s="315" t="s">
        <v>202</v>
      </c>
      <c r="C4" s="315"/>
      <c r="D4" s="315"/>
      <c r="E4" s="315"/>
      <c r="F4" s="315"/>
      <c r="G4" s="315"/>
      <c r="H4" s="315"/>
      <c r="I4" s="315"/>
      <c r="J4" s="315"/>
      <c r="K4" s="315"/>
      <c r="L4" s="315"/>
      <c r="M4" s="315"/>
      <c r="N4" s="315"/>
      <c r="O4" s="315"/>
      <c r="P4" s="315"/>
    </row>
    <row r="5" spans="1:31" x14ac:dyDescent="0.2">
      <c r="B5" s="110"/>
      <c r="D5" s="70"/>
    </row>
    <row r="6" spans="1:31" x14ac:dyDescent="0.2">
      <c r="B6" s="112"/>
      <c r="C6" s="113"/>
      <c r="D6" s="114" t="s">
        <v>150</v>
      </c>
      <c r="E6" s="115"/>
      <c r="F6" s="113"/>
      <c r="G6" s="116" t="s">
        <v>151</v>
      </c>
      <c r="H6" s="116"/>
      <c r="I6" s="116"/>
      <c r="J6" s="116"/>
      <c r="K6" s="117"/>
      <c r="L6" s="117"/>
      <c r="M6" s="117"/>
      <c r="N6" s="117"/>
      <c r="O6" s="117"/>
      <c r="P6" s="118"/>
    </row>
    <row r="7" spans="1:31" ht="32" x14ac:dyDescent="0.2">
      <c r="B7" s="119" t="s">
        <v>130</v>
      </c>
      <c r="C7" s="120" t="s">
        <v>152</v>
      </c>
      <c r="D7" s="121" t="s">
        <v>76</v>
      </c>
      <c r="E7" s="120" t="s">
        <v>75</v>
      </c>
      <c r="F7" s="122" t="s">
        <v>153</v>
      </c>
      <c r="G7" s="122" t="s">
        <v>84</v>
      </c>
      <c r="H7" s="122" t="s">
        <v>154</v>
      </c>
      <c r="I7" s="122" t="s">
        <v>155</v>
      </c>
      <c r="J7" s="122" t="s">
        <v>156</v>
      </c>
      <c r="K7" s="122" t="s">
        <v>157</v>
      </c>
      <c r="L7" s="122" t="s">
        <v>158</v>
      </c>
      <c r="M7" s="122" t="s">
        <v>139</v>
      </c>
      <c r="N7" s="122" t="s">
        <v>140</v>
      </c>
      <c r="O7" s="122" t="s">
        <v>81</v>
      </c>
      <c r="P7" s="123" t="s">
        <v>141</v>
      </c>
    </row>
    <row r="8" spans="1:31" ht="16" x14ac:dyDescent="0.2">
      <c r="B8" s="124" t="s">
        <v>160</v>
      </c>
      <c r="C8" s="125">
        <v>1216.6639404296875</v>
      </c>
      <c r="D8" s="126">
        <v>15.77</v>
      </c>
      <c r="E8" s="126">
        <v>16.03</v>
      </c>
      <c r="F8" s="126">
        <v>0.12</v>
      </c>
      <c r="G8" s="127">
        <v>37399</v>
      </c>
      <c r="H8" s="127">
        <v>22605</v>
      </c>
      <c r="I8" s="127">
        <v>1877</v>
      </c>
      <c r="J8" s="127">
        <v>83</v>
      </c>
      <c r="K8" s="127">
        <v>8769</v>
      </c>
      <c r="L8" s="127">
        <v>6975</v>
      </c>
      <c r="M8" s="127">
        <v>23906</v>
      </c>
      <c r="N8" s="127">
        <v>3556</v>
      </c>
      <c r="O8" s="127">
        <v>2185</v>
      </c>
      <c r="P8" s="128">
        <v>2043</v>
      </c>
    </row>
    <row r="9" spans="1:31" ht="16" x14ac:dyDescent="0.2">
      <c r="B9" s="124" t="s">
        <v>161</v>
      </c>
      <c r="C9" s="125">
        <v>54.023874999999997</v>
      </c>
      <c r="D9" s="126">
        <v>21.3</v>
      </c>
      <c r="E9" s="126">
        <v>21.5</v>
      </c>
      <c r="F9" s="126">
        <v>0.37</v>
      </c>
      <c r="G9" s="127">
        <v>1386.9870000000001</v>
      </c>
      <c r="H9" s="127">
        <v>676.96799999999996</v>
      </c>
      <c r="I9" s="127">
        <v>110.818</v>
      </c>
      <c r="J9" s="127">
        <v>46.363</v>
      </c>
      <c r="K9" s="127">
        <v>245.69000000000003</v>
      </c>
      <c r="L9" s="127">
        <v>181.23500000000001</v>
      </c>
      <c r="M9" s="127">
        <v>1306.5</v>
      </c>
      <c r="N9" s="127">
        <v>193.10000000000002</v>
      </c>
      <c r="O9" s="127">
        <v>131.28100000000001</v>
      </c>
      <c r="P9" s="128">
        <v>81.385999999999996</v>
      </c>
    </row>
    <row r="10" spans="1:31" ht="16" x14ac:dyDescent="0.2">
      <c r="B10" s="124" t="s">
        <v>162</v>
      </c>
      <c r="C10" s="125">
        <v>565.93793749999998</v>
      </c>
      <c r="D10" s="126">
        <v>20.635000000000002</v>
      </c>
      <c r="E10" s="126">
        <v>20.85</v>
      </c>
      <c r="F10" s="126">
        <v>0.11</v>
      </c>
      <c r="G10" s="127">
        <v>41547</v>
      </c>
      <c r="H10" s="127">
        <v>38348</v>
      </c>
      <c r="I10" s="127">
        <v>4122</v>
      </c>
      <c r="J10" s="127">
        <v>1071</v>
      </c>
      <c r="K10" s="127">
        <v>6651</v>
      </c>
      <c r="L10" s="127">
        <v>3600</v>
      </c>
      <c r="M10" s="127">
        <v>41304</v>
      </c>
      <c r="N10" s="127">
        <v>2290</v>
      </c>
      <c r="O10" s="127">
        <v>1314</v>
      </c>
      <c r="P10" s="128">
        <v>210</v>
      </c>
    </row>
    <row r="11" spans="1:31" ht="16" x14ac:dyDescent="0.2">
      <c r="B11" s="124" t="s">
        <v>163</v>
      </c>
      <c r="C11" s="125">
        <v>108.7030029296875</v>
      </c>
      <c r="D11" s="126">
        <v>34.590000000000003</v>
      </c>
      <c r="E11" s="126">
        <v>35.409999999999997</v>
      </c>
      <c r="F11" s="126">
        <v>0.72</v>
      </c>
      <c r="G11" s="127">
        <v>6582.6</v>
      </c>
      <c r="H11" s="127">
        <v>3861.2</v>
      </c>
      <c r="I11" s="127">
        <v>269.5</v>
      </c>
      <c r="J11" s="127">
        <v>17.8</v>
      </c>
      <c r="K11" s="127">
        <v>1509.1</v>
      </c>
      <c r="L11" s="127">
        <v>1257.3999999999999</v>
      </c>
      <c r="M11" s="127">
        <v>4223.4000000000005</v>
      </c>
      <c r="N11" s="127">
        <v>283</v>
      </c>
      <c r="O11" s="127">
        <v>106.10000000000001</v>
      </c>
      <c r="P11" s="128">
        <v>-2.6</v>
      </c>
    </row>
    <row r="12" spans="1:31" ht="16" x14ac:dyDescent="0.2">
      <c r="A12" s="67"/>
      <c r="B12" s="129" t="s">
        <v>164</v>
      </c>
      <c r="C12" s="130">
        <v>53.091999053955078</v>
      </c>
      <c r="D12" s="131">
        <v>61.75</v>
      </c>
      <c r="E12" s="131">
        <v>63.35</v>
      </c>
      <c r="F12" s="131">
        <v>0.72</v>
      </c>
      <c r="G12" s="132">
        <v>3057.5</v>
      </c>
      <c r="H12" s="132">
        <v>1553.2</v>
      </c>
      <c r="I12" s="132">
        <v>120</v>
      </c>
      <c r="J12" s="132">
        <v>0</v>
      </c>
      <c r="K12" s="132">
        <v>604.29999999999995</v>
      </c>
      <c r="L12" s="132">
        <v>484.29999999999995</v>
      </c>
      <c r="M12" s="132">
        <v>2173</v>
      </c>
      <c r="N12" s="132">
        <v>382</v>
      </c>
      <c r="O12" s="132">
        <v>212</v>
      </c>
      <c r="P12" s="133">
        <v>132.80000000000001</v>
      </c>
      <c r="Q12" s="68"/>
      <c r="R12" s="68"/>
      <c r="U12"/>
      <c r="V12"/>
      <c r="W12"/>
      <c r="X12"/>
      <c r="Y12"/>
      <c r="Z12"/>
      <c r="AA12"/>
      <c r="AB12"/>
      <c r="AC12"/>
      <c r="AD12"/>
      <c r="AE12"/>
    </row>
    <row r="13" spans="1:31" x14ac:dyDescent="0.2">
      <c r="B13" s="134" t="s">
        <v>159</v>
      </c>
      <c r="C13" s="135">
        <v>141.76800537109375</v>
      </c>
      <c r="D13" s="136">
        <v>209.61</v>
      </c>
      <c r="E13" s="136">
        <v>211.36</v>
      </c>
      <c r="F13" s="136">
        <v>0.12</v>
      </c>
      <c r="G13" s="137">
        <v>19428</v>
      </c>
      <c r="H13" s="137">
        <v>8471</v>
      </c>
      <c r="I13" s="137">
        <v>474</v>
      </c>
      <c r="J13" s="137">
        <v>1093</v>
      </c>
      <c r="K13" s="137">
        <v>3493</v>
      </c>
      <c r="L13" s="137">
        <v>4112</v>
      </c>
      <c r="M13" s="137">
        <v>10005</v>
      </c>
      <c r="N13" s="137">
        <v>2927</v>
      </c>
      <c r="O13" s="137">
        <v>2602</v>
      </c>
      <c r="P13" s="138">
        <v>1530</v>
      </c>
      <c r="Q13" s="109"/>
      <c r="R13" s="68"/>
      <c r="S13" s="68"/>
      <c r="U13"/>
      <c r="V13"/>
      <c r="W13"/>
      <c r="X13"/>
      <c r="Y13"/>
      <c r="Z13"/>
      <c r="AA13"/>
      <c r="AB13"/>
      <c r="AC13"/>
      <c r="AD13"/>
      <c r="AE13"/>
    </row>
    <row r="14" spans="1:31" s="110" customFormat="1" x14ac:dyDescent="0.2">
      <c r="U14"/>
      <c r="V14"/>
      <c r="W14"/>
      <c r="X14"/>
      <c r="Y14"/>
      <c r="Z14"/>
      <c r="AA14"/>
      <c r="AB14"/>
      <c r="AC14"/>
      <c r="AD14"/>
      <c r="AE14"/>
    </row>
    <row r="15" spans="1:31" x14ac:dyDescent="0.2">
      <c r="B15" s="200" t="s">
        <v>243</v>
      </c>
      <c r="Q15" s="111"/>
      <c r="R15" s="69"/>
      <c r="U15"/>
      <c r="V15"/>
      <c r="W15"/>
      <c r="X15"/>
      <c r="Y15"/>
      <c r="Z15"/>
      <c r="AA15"/>
      <c r="AB15"/>
      <c r="AC15"/>
      <c r="AD15"/>
      <c r="AE15"/>
    </row>
    <row r="16" spans="1:31" x14ac:dyDescent="0.2">
      <c r="B16" s="213" t="s">
        <v>244</v>
      </c>
      <c r="Q16" s="111"/>
      <c r="R16" s="69"/>
      <c r="U16"/>
      <c r="V16"/>
      <c r="W16"/>
      <c r="X16"/>
      <c r="Y16"/>
      <c r="Z16"/>
      <c r="AA16"/>
      <c r="AB16"/>
      <c r="AC16"/>
      <c r="AD16"/>
      <c r="AE16"/>
    </row>
    <row r="17" spans="2:31" x14ac:dyDescent="0.2">
      <c r="B17" s="213" t="s">
        <v>148</v>
      </c>
      <c r="Q17" s="111"/>
      <c r="R17" s="69"/>
      <c r="U17"/>
      <c r="V17"/>
      <c r="W17"/>
      <c r="X17"/>
      <c r="Y17"/>
      <c r="Z17"/>
      <c r="AA17"/>
      <c r="AB17"/>
      <c r="AC17"/>
      <c r="AD17"/>
      <c r="AE17"/>
    </row>
    <row r="18" spans="2:31" x14ac:dyDescent="0.2">
      <c r="B18" s="200" t="s">
        <v>149</v>
      </c>
    </row>
    <row r="19" spans="2:31" x14ac:dyDescent="0.2">
      <c r="B19" s="200" t="s">
        <v>245</v>
      </c>
    </row>
    <row r="20" spans="2:31" x14ac:dyDescent="0.2">
      <c r="B20" s="200" t="s">
        <v>246</v>
      </c>
    </row>
    <row r="22" spans="2:31" x14ac:dyDescent="0.2">
      <c r="B22" s="26" t="s">
        <v>247</v>
      </c>
    </row>
  </sheetData>
  <mergeCells count="3">
    <mergeCell ref="B2:P2"/>
    <mergeCell ref="B3:P3"/>
    <mergeCell ref="B4:P4"/>
  </mergeCells>
  <pageMargins left="0.7" right="0.7" top="0.75" bottom="0.75" header="0.3" footer="0.3"/>
  <pageSetup scale="3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U25"/>
  <sheetViews>
    <sheetView showGridLines="0" zoomScaleNormal="100" zoomScaleSheetLayoutView="85" workbookViewId="0">
      <selection activeCell="K11" sqref="K11"/>
    </sheetView>
  </sheetViews>
  <sheetFormatPr baseColWidth="10" defaultColWidth="9.1640625" defaultRowHeight="15" x14ac:dyDescent="0.2"/>
  <cols>
    <col min="1" max="1" width="9.1640625" style="26"/>
    <col min="2" max="2" width="27.6640625" style="26" customWidth="1"/>
    <col min="3" max="3" width="10.5" style="26" bestFit="1" customWidth="1"/>
    <col min="4" max="4" width="11.5" style="26" bestFit="1" customWidth="1"/>
    <col min="5" max="6" width="10.5" style="26" bestFit="1" customWidth="1"/>
    <col min="7" max="8" width="9.5" style="26" bestFit="1" customWidth="1"/>
    <col min="9" max="9" width="12.5" style="26" customWidth="1"/>
    <col min="10" max="10" width="1" style="26" customWidth="1"/>
    <col min="11" max="13" width="8.83203125" style="26" bestFit="1" customWidth="1"/>
    <col min="14" max="14" width="1.5" style="26" customWidth="1"/>
    <col min="15" max="15" width="11.5" style="26" bestFit="1" customWidth="1"/>
    <col min="16" max="16" width="11.33203125" style="26" bestFit="1" customWidth="1"/>
    <col min="17" max="17" width="3.33203125" style="26" customWidth="1"/>
    <col min="18" max="18" width="2" style="26" customWidth="1"/>
    <col min="19" max="20" width="9.1640625" style="26"/>
    <col min="21" max="21" width="10.5" style="26" bestFit="1" customWidth="1"/>
    <col min="22" max="16384" width="9.1640625" style="26"/>
  </cols>
  <sheetData>
    <row r="2" spans="2:21" ht="17" x14ac:dyDescent="0.2">
      <c r="B2" s="315" t="s">
        <v>173</v>
      </c>
      <c r="C2" s="315"/>
      <c r="D2" s="315"/>
      <c r="E2" s="315"/>
      <c r="F2" s="315"/>
      <c r="G2" s="315"/>
      <c r="H2" s="315"/>
      <c r="I2" s="315"/>
      <c r="J2" s="315"/>
      <c r="K2" s="315"/>
      <c r="L2" s="315"/>
      <c r="M2" s="315"/>
      <c r="N2" s="315"/>
      <c r="O2" s="315"/>
      <c r="P2" s="315"/>
    </row>
    <row r="3" spans="2:21" x14ac:dyDescent="0.2">
      <c r="B3" s="314" t="s">
        <v>175</v>
      </c>
      <c r="C3" s="314"/>
      <c r="D3" s="314"/>
      <c r="E3" s="314"/>
      <c r="F3" s="314"/>
      <c r="G3" s="314"/>
      <c r="H3" s="314"/>
      <c r="I3" s="314"/>
      <c r="J3" s="314"/>
      <c r="K3" s="314"/>
      <c r="L3" s="314"/>
      <c r="M3" s="314"/>
      <c r="N3" s="314"/>
      <c r="O3" s="314"/>
      <c r="P3" s="314"/>
    </row>
    <row r="4" spans="2:21" x14ac:dyDescent="0.2">
      <c r="B4" s="314" t="s">
        <v>203</v>
      </c>
      <c r="C4" s="314"/>
      <c r="D4" s="314"/>
      <c r="E4" s="314"/>
      <c r="F4" s="314"/>
      <c r="G4" s="314"/>
      <c r="H4" s="314"/>
      <c r="I4" s="314"/>
      <c r="J4" s="314"/>
      <c r="K4" s="314"/>
      <c r="L4" s="314"/>
      <c r="M4" s="314"/>
      <c r="N4" s="314"/>
      <c r="O4" s="314"/>
      <c r="P4" s="314"/>
    </row>
    <row r="5" spans="2:21" x14ac:dyDescent="0.2">
      <c r="B5" s="183"/>
      <c r="O5" s="158"/>
      <c r="P5" s="158"/>
    </row>
    <row r="7" spans="2:21" ht="31.25" customHeight="1" x14ac:dyDescent="0.2">
      <c r="B7" s="149" t="s">
        <v>130</v>
      </c>
      <c r="C7" s="150" t="s">
        <v>131</v>
      </c>
      <c r="D7" s="151" t="s">
        <v>132</v>
      </c>
      <c r="E7" s="152" t="s">
        <v>133</v>
      </c>
      <c r="F7" s="153"/>
      <c r="G7" s="317" t="s">
        <v>248</v>
      </c>
      <c r="H7" s="317"/>
      <c r="I7" s="154"/>
      <c r="J7" s="318" t="s">
        <v>134</v>
      </c>
      <c r="K7" s="319"/>
      <c r="L7" s="319"/>
      <c r="M7" s="320"/>
      <c r="N7" s="318" t="s">
        <v>135</v>
      </c>
      <c r="O7" s="319"/>
      <c r="P7" s="319"/>
      <c r="Q7" s="321"/>
      <c r="R7" s="71"/>
      <c r="S7" s="299" t="s">
        <v>372</v>
      </c>
      <c r="T7" s="71"/>
      <c r="U7" s="71"/>
    </row>
    <row r="8" spans="2:21" ht="16" x14ac:dyDescent="0.2">
      <c r="B8" s="187" t="s">
        <v>136</v>
      </c>
      <c r="C8" s="72" t="s">
        <v>137</v>
      </c>
      <c r="D8" s="73" t="s">
        <v>138</v>
      </c>
      <c r="E8" s="74" t="s">
        <v>138</v>
      </c>
      <c r="F8" s="73" t="s">
        <v>139</v>
      </c>
      <c r="G8" s="73" t="s">
        <v>140</v>
      </c>
      <c r="H8" s="73" t="s">
        <v>81</v>
      </c>
      <c r="I8" s="74" t="s">
        <v>141</v>
      </c>
      <c r="J8" s="73" t="e">
        <f>IF(#REF!=0,"",#REF!)</f>
        <v>#REF!</v>
      </c>
      <c r="K8" s="190" t="s">
        <v>125</v>
      </c>
      <c r="L8" s="190" t="s">
        <v>140</v>
      </c>
      <c r="M8" s="191" t="s">
        <v>81</v>
      </c>
      <c r="N8" s="73" t="e">
        <f>IF(#REF!=0,"",#REF!)</f>
        <v>#REF!</v>
      </c>
      <c r="O8" s="156" t="s">
        <v>141</v>
      </c>
      <c r="P8" s="156" t="s">
        <v>142</v>
      </c>
      <c r="Q8" s="192"/>
      <c r="R8" s="71"/>
      <c r="S8" s="300" t="s">
        <v>373</v>
      </c>
      <c r="T8" s="71"/>
      <c r="U8" s="71"/>
    </row>
    <row r="9" spans="2:21" ht="15" customHeight="1" x14ac:dyDescent="0.2">
      <c r="B9" s="184"/>
      <c r="C9" s="75"/>
      <c r="D9" s="76"/>
      <c r="E9" s="77"/>
      <c r="F9" s="76"/>
      <c r="G9" s="76"/>
      <c r="H9" s="76"/>
      <c r="I9" s="77"/>
      <c r="J9" s="76"/>
      <c r="K9" s="76"/>
      <c r="L9" s="76"/>
      <c r="M9" s="77"/>
      <c r="N9" s="76"/>
      <c r="O9" s="76"/>
      <c r="P9" s="76"/>
      <c r="Q9" s="78"/>
      <c r="R9" s="71"/>
      <c r="S9" s="301"/>
      <c r="T9" s="71"/>
      <c r="U9" s="71"/>
    </row>
    <row r="10" spans="2:21" x14ac:dyDescent="0.2">
      <c r="B10" s="186" t="s">
        <v>205</v>
      </c>
      <c r="C10" s="79">
        <v>13637.3505687</v>
      </c>
      <c r="D10" s="80">
        <v>23163.539865294602</v>
      </c>
      <c r="E10" s="81">
        <v>10599</v>
      </c>
      <c r="F10" s="80">
        <v>23906</v>
      </c>
      <c r="G10" s="80">
        <v>3556</v>
      </c>
      <c r="H10" s="80">
        <v>2185</v>
      </c>
      <c r="I10" s="81">
        <v>2043</v>
      </c>
      <c r="J10" s="80"/>
      <c r="K10" s="143">
        <f>D10/F10</f>
        <v>0.96894251925435471</v>
      </c>
      <c r="L10" s="143">
        <f>D10/G10</f>
        <v>6.5139313456958945</v>
      </c>
      <c r="M10" s="144">
        <f>D10/H10</f>
        <v>10.601162409745813</v>
      </c>
      <c r="N10" s="80"/>
      <c r="O10" s="143">
        <f>C10/I10</f>
        <v>6.6751593581497799</v>
      </c>
      <c r="P10" s="143">
        <f>C10/E10</f>
        <v>1.2866638898669684</v>
      </c>
      <c r="Q10" s="84"/>
      <c r="R10" s="85"/>
      <c r="S10" s="302">
        <v>1.97</v>
      </c>
      <c r="T10" s="85"/>
      <c r="U10" s="85"/>
    </row>
    <row r="11" spans="2:21" x14ac:dyDescent="0.2">
      <c r="B11" s="186" t="s">
        <v>206</v>
      </c>
      <c r="C11" s="79">
        <v>1331.6885433999998</v>
      </c>
      <c r="D11" s="80">
        <v>1517.1205433999999</v>
      </c>
      <c r="E11" s="81">
        <v>708.90099999999995</v>
      </c>
      <c r="F11" s="80">
        <v>1306.5</v>
      </c>
      <c r="G11" s="80">
        <v>193.10000000000002</v>
      </c>
      <c r="H11" s="80">
        <v>131.28100000000001</v>
      </c>
      <c r="I11" s="81">
        <v>81.385999999999996</v>
      </c>
      <c r="J11" s="80"/>
      <c r="K11" s="143">
        <f t="shared" ref="K11:K14" si="0">D11/F11</f>
        <v>1.1612097538461537</v>
      </c>
      <c r="L11" s="143">
        <f t="shared" ref="L11:L14" si="1">D11/G11</f>
        <v>7.8566573972035201</v>
      </c>
      <c r="M11" s="144">
        <f t="shared" ref="M11:M14" si="2">D11/H11</f>
        <v>11.556284179736593</v>
      </c>
      <c r="N11" s="80"/>
      <c r="O11" s="143">
        <f t="shared" ref="O11:O14" si="3">C11/I11</f>
        <v>16.362624326051161</v>
      </c>
      <c r="P11" s="143">
        <f t="shared" ref="P11:P14" si="4">C11/E11</f>
        <v>1.8785254124341761</v>
      </c>
      <c r="Q11" s="84"/>
      <c r="R11" s="85"/>
      <c r="S11" s="302">
        <v>1.1100000000000001</v>
      </c>
      <c r="T11" s="85"/>
      <c r="U11" s="85"/>
    </row>
    <row r="12" spans="2:21" x14ac:dyDescent="0.2">
      <c r="B12" s="186" t="s">
        <v>207</v>
      </c>
      <c r="C12" s="79">
        <v>9459.6519984999995</v>
      </c>
      <c r="D12" s="80">
        <v>12923.652784104999</v>
      </c>
      <c r="E12" s="81">
        <v>3182</v>
      </c>
      <c r="F12" s="80">
        <v>41304</v>
      </c>
      <c r="G12" s="80">
        <v>2290</v>
      </c>
      <c r="H12" s="80">
        <v>1314</v>
      </c>
      <c r="I12" s="81">
        <v>210</v>
      </c>
      <c r="J12" s="80"/>
      <c r="K12" s="143">
        <f t="shared" si="0"/>
        <v>0.31289107069787425</v>
      </c>
      <c r="L12" s="143">
        <f t="shared" si="1"/>
        <v>5.64351649960917</v>
      </c>
      <c r="M12" s="144">
        <f t="shared" si="2"/>
        <v>9.8353521949048694</v>
      </c>
      <c r="N12" s="80"/>
      <c r="O12" s="143">
        <f t="shared" si="3"/>
        <v>45.045961897619044</v>
      </c>
      <c r="P12" s="143">
        <f t="shared" si="4"/>
        <v>2.9728636073224384</v>
      </c>
      <c r="Q12" s="84"/>
      <c r="R12" s="85"/>
      <c r="S12" s="302">
        <v>2.04</v>
      </c>
      <c r="T12" s="85"/>
      <c r="U12" s="85"/>
    </row>
    <row r="13" spans="2:21" x14ac:dyDescent="0.2">
      <c r="B13" s="186" t="s">
        <v>208</v>
      </c>
      <c r="C13" s="79">
        <v>1804.1491999999998</v>
      </c>
      <c r="D13" s="80">
        <v>3192.596</v>
      </c>
      <c r="E13" s="81">
        <v>2598.4</v>
      </c>
      <c r="F13" s="80">
        <v>4223.4000000000005</v>
      </c>
      <c r="G13" s="80">
        <v>283</v>
      </c>
      <c r="H13" s="80">
        <v>106.10000000000001</v>
      </c>
      <c r="I13" s="81">
        <v>-2.6</v>
      </c>
      <c r="J13" s="80"/>
      <c r="K13" s="143">
        <f t="shared" si="0"/>
        <v>0.7559302931287587</v>
      </c>
      <c r="L13" s="143">
        <f t="shared" si="1"/>
        <v>11.281257950530035</v>
      </c>
      <c r="M13" s="144">
        <f t="shared" si="2"/>
        <v>30.090442978322336</v>
      </c>
      <c r="N13" s="80"/>
      <c r="O13" s="155" t="s">
        <v>143</v>
      </c>
      <c r="P13" s="143">
        <f t="shared" si="4"/>
        <v>0.69433081896551718</v>
      </c>
      <c r="Q13" s="84"/>
      <c r="R13" s="85"/>
      <c r="S13" s="302">
        <v>1.7</v>
      </c>
      <c r="T13" s="85"/>
      <c r="U13" s="85"/>
    </row>
    <row r="14" spans="2:21" x14ac:dyDescent="0.2">
      <c r="B14" s="186" t="s">
        <v>209</v>
      </c>
      <c r="C14" s="79">
        <v>1627.4218499999999</v>
      </c>
      <c r="D14" s="80">
        <v>2219.6149999999998</v>
      </c>
      <c r="E14" s="81">
        <v>1325.9</v>
      </c>
      <c r="F14" s="80">
        <v>2173</v>
      </c>
      <c r="G14" s="80">
        <v>382</v>
      </c>
      <c r="H14" s="80">
        <v>212</v>
      </c>
      <c r="I14" s="81">
        <v>132.80000000000001</v>
      </c>
      <c r="J14" s="80"/>
      <c r="K14" s="143">
        <f t="shared" si="0"/>
        <v>1.0214519098021169</v>
      </c>
      <c r="L14" s="143">
        <f t="shared" si="1"/>
        <v>5.8105104712041875</v>
      </c>
      <c r="M14" s="144">
        <f t="shared" si="2"/>
        <v>10.469882075471697</v>
      </c>
      <c r="N14" s="80"/>
      <c r="O14" s="143">
        <f t="shared" si="3"/>
        <v>12.254682605421685</v>
      </c>
      <c r="P14" s="143">
        <f t="shared" si="4"/>
        <v>1.227409193755185</v>
      </c>
      <c r="Q14" s="84"/>
      <c r="R14" s="85"/>
      <c r="S14" s="302">
        <v>2.0099999999999998</v>
      </c>
      <c r="T14" s="85"/>
      <c r="U14" s="85"/>
    </row>
    <row r="15" spans="2:21" ht="17" customHeight="1" x14ac:dyDescent="0.2">
      <c r="B15" s="185"/>
      <c r="C15" s="79"/>
      <c r="D15" s="80"/>
      <c r="E15" s="81"/>
      <c r="F15" s="80"/>
      <c r="G15" s="80"/>
      <c r="H15" s="80"/>
      <c r="I15" s="81"/>
      <c r="J15" s="80"/>
      <c r="K15" s="82"/>
      <c r="L15" s="82"/>
      <c r="M15" s="83"/>
      <c r="N15" s="80"/>
      <c r="O15" s="82"/>
      <c r="P15" s="82"/>
      <c r="Q15" s="84"/>
      <c r="R15" s="85"/>
      <c r="S15" s="302"/>
      <c r="T15" s="85"/>
      <c r="U15" s="85"/>
    </row>
    <row r="16" spans="2:21" x14ac:dyDescent="0.2">
      <c r="B16" s="188" t="s">
        <v>144</v>
      </c>
      <c r="C16" s="86">
        <f>ROUND(MEDIAN(C10:C14),0)</f>
        <v>1804</v>
      </c>
      <c r="D16" s="87">
        <f>ROUND(MEDIAN(D10:D14),0)</f>
        <v>3193</v>
      </c>
      <c r="E16" s="88">
        <f>ROUND(MEDIAN(E10:E14),0)</f>
        <v>2598</v>
      </c>
      <c r="F16" s="87">
        <f t="shared" ref="F16:H16" si="5">ROUND(MEDIAN(F10:F14),0)</f>
        <v>4223</v>
      </c>
      <c r="G16" s="87">
        <f t="shared" si="5"/>
        <v>382</v>
      </c>
      <c r="H16" s="87">
        <f t="shared" si="5"/>
        <v>212</v>
      </c>
      <c r="I16" s="88">
        <f>ROUND(MEDIAN(I10:I14),0)</f>
        <v>133</v>
      </c>
      <c r="J16" s="87" t="e">
        <f>IF(#REF!=0,"",#REF!)</f>
        <v>#REF!</v>
      </c>
      <c r="K16" s="145">
        <f t="shared" ref="K16:M16" si="6">ROUND(MEDIAN(K10:K14),2)</f>
        <v>0.97</v>
      </c>
      <c r="L16" s="145">
        <f t="shared" si="6"/>
        <v>6.51</v>
      </c>
      <c r="M16" s="146">
        <f t="shared" si="6"/>
        <v>10.6</v>
      </c>
      <c r="N16" s="87"/>
      <c r="O16" s="145">
        <f>ROUND(MEDIAN(O10:O14),2)</f>
        <v>14.31</v>
      </c>
      <c r="P16" s="145">
        <f>ROUND(MEDIAN(P10:P14),2)</f>
        <v>1.29</v>
      </c>
      <c r="Q16" s="89"/>
      <c r="R16" s="85"/>
      <c r="S16" s="303">
        <f>ROUND(MEDIAN(S10:S12,S14),2)</f>
        <v>1.99</v>
      </c>
      <c r="T16" s="85"/>
      <c r="U16" s="85"/>
    </row>
    <row r="17" spans="2:21" x14ac:dyDescent="0.2">
      <c r="B17" s="189" t="s">
        <v>145</v>
      </c>
      <c r="C17" s="90">
        <f>ROUND(AVERAGE(C10:C14),0)</f>
        <v>5572</v>
      </c>
      <c r="D17" s="91">
        <f>ROUND(AVERAGE(D10:D14),0)</f>
        <v>8603</v>
      </c>
      <c r="E17" s="92">
        <f>ROUND(AVERAGE(E10:E14),0)</f>
        <v>3683</v>
      </c>
      <c r="F17" s="91">
        <f t="shared" ref="F17:H17" si="7">ROUND(AVERAGE(F10:F14),0)</f>
        <v>14583</v>
      </c>
      <c r="G17" s="91">
        <f t="shared" si="7"/>
        <v>1341</v>
      </c>
      <c r="H17" s="91">
        <f t="shared" si="7"/>
        <v>790</v>
      </c>
      <c r="I17" s="92">
        <f>ROUND(AVERAGE(I10:I14),0)</f>
        <v>493</v>
      </c>
      <c r="J17" s="91" t="e">
        <f>IF(#REF!=0,"",#REF!)</f>
        <v>#REF!</v>
      </c>
      <c r="K17" s="147">
        <f t="shared" ref="K17:M17" si="8">ROUND(AVERAGE(K10:K14),2)</f>
        <v>0.84</v>
      </c>
      <c r="L17" s="147">
        <f t="shared" si="8"/>
        <v>7.42</v>
      </c>
      <c r="M17" s="148">
        <f t="shared" si="8"/>
        <v>14.51</v>
      </c>
      <c r="N17" s="91"/>
      <c r="O17" s="147">
        <f>ROUND(AVERAGE(O10:O14),2)</f>
        <v>20.079999999999998</v>
      </c>
      <c r="P17" s="147">
        <f>ROUND(AVERAGE(P10:P14),2)</f>
        <v>1.61</v>
      </c>
      <c r="Q17" s="93"/>
      <c r="R17" s="85"/>
      <c r="S17" s="304">
        <f>ROUND(AVERAGE(S10:S12,S14),2)</f>
        <v>1.78</v>
      </c>
      <c r="T17" s="85"/>
      <c r="U17" s="85"/>
    </row>
    <row r="18" spans="2:21" ht="11" customHeight="1" x14ac:dyDescent="0.2">
      <c r="B18" s="185"/>
      <c r="C18" s="79"/>
      <c r="D18" s="80"/>
      <c r="E18" s="81"/>
      <c r="F18" s="80"/>
      <c r="G18" s="80"/>
      <c r="H18" s="80"/>
      <c r="I18" s="81"/>
      <c r="J18" s="80"/>
      <c r="K18" s="80"/>
      <c r="L18" s="80"/>
      <c r="M18" s="81"/>
      <c r="N18" s="80"/>
      <c r="O18" s="80"/>
      <c r="P18" s="80"/>
      <c r="Q18" s="84"/>
      <c r="R18" s="85"/>
      <c r="S18" s="85"/>
      <c r="T18" s="85"/>
      <c r="U18" s="85"/>
    </row>
    <row r="19" spans="2:21" ht="16" x14ac:dyDescent="0.2">
      <c r="B19" s="94" t="s">
        <v>204</v>
      </c>
      <c r="C19" s="79"/>
      <c r="D19" s="80"/>
      <c r="E19" s="81">
        <v>10929</v>
      </c>
      <c r="F19" s="80">
        <v>10005</v>
      </c>
      <c r="G19" s="80">
        <v>2927</v>
      </c>
      <c r="H19" s="80">
        <v>2602</v>
      </c>
      <c r="I19" s="81">
        <v>1530</v>
      </c>
      <c r="J19" s="80" t="e">
        <f>IF(#REF!=0,"",#REF!)</f>
        <v>#REF!</v>
      </c>
      <c r="K19" s="80"/>
      <c r="L19" s="80"/>
      <c r="M19" s="81"/>
      <c r="N19" s="80" t="e">
        <f>IF(#REF!=0,"",#REF!)</f>
        <v>#REF!</v>
      </c>
      <c r="O19" s="80"/>
      <c r="P19" s="80"/>
      <c r="Q19" s="84"/>
    </row>
    <row r="20" spans="2:21" ht="17" x14ac:dyDescent="0.2">
      <c r="B20" s="95" t="s">
        <v>146</v>
      </c>
      <c r="C20" s="96"/>
      <c r="D20" s="97"/>
      <c r="E20" s="98"/>
      <c r="F20" s="97"/>
      <c r="G20" s="97"/>
      <c r="H20" s="97"/>
      <c r="I20" s="98"/>
      <c r="J20" s="97"/>
      <c r="K20" s="99">
        <f>K16*F19</f>
        <v>9704.85</v>
      </c>
      <c r="L20" s="99">
        <f>L16*G19</f>
        <v>19054.77</v>
      </c>
      <c r="M20" s="100">
        <f>M16*H19</f>
        <v>27581.200000000001</v>
      </c>
      <c r="N20" s="99" t="e">
        <f>IF(#REF!=0,"",#REF!)</f>
        <v>#REF!</v>
      </c>
      <c r="O20" s="99">
        <f>O16*I$19</f>
        <v>21894.3</v>
      </c>
      <c r="P20" s="99">
        <f>P16*E19</f>
        <v>14098.41</v>
      </c>
      <c r="Q20" s="101"/>
    </row>
    <row r="21" spans="2:21" ht="17" x14ac:dyDescent="0.2">
      <c r="B21" s="102" t="s">
        <v>147</v>
      </c>
      <c r="C21" s="103"/>
      <c r="D21" s="104"/>
      <c r="E21" s="105"/>
      <c r="F21" s="104"/>
      <c r="G21" s="104"/>
      <c r="H21" s="104"/>
      <c r="I21" s="105"/>
      <c r="J21" s="104"/>
      <c r="K21" s="106">
        <f>K17*F19</f>
        <v>8404.1999999999989</v>
      </c>
      <c r="L21" s="106">
        <f>L17*G19</f>
        <v>21718.34</v>
      </c>
      <c r="M21" s="107">
        <f>M17*H19</f>
        <v>37755.019999999997</v>
      </c>
      <c r="N21" s="106"/>
      <c r="O21" s="106">
        <f>O17*I$19</f>
        <v>30722.399999999998</v>
      </c>
      <c r="P21" s="106">
        <f>P17*E19</f>
        <v>17595.690000000002</v>
      </c>
      <c r="Q21" s="108"/>
    </row>
    <row r="23" spans="2:21" ht="57" customHeight="1" x14ac:dyDescent="0.2">
      <c r="B23" s="316" t="s">
        <v>249</v>
      </c>
      <c r="C23" s="316"/>
      <c r="D23" s="316"/>
      <c r="E23" s="316"/>
      <c r="F23" s="316"/>
      <c r="G23" s="316"/>
      <c r="H23" s="316"/>
      <c r="I23" s="316"/>
      <c r="J23" s="316"/>
      <c r="K23" s="316"/>
      <c r="L23" s="316"/>
      <c r="M23" s="316"/>
      <c r="N23" s="316"/>
      <c r="O23" s="316"/>
      <c r="P23" s="316"/>
      <c r="Q23" s="316"/>
    </row>
    <row r="25" spans="2:21" x14ac:dyDescent="0.2">
      <c r="B25" s="200" t="s">
        <v>224</v>
      </c>
    </row>
  </sheetData>
  <mergeCells count="7">
    <mergeCell ref="B23:Q23"/>
    <mergeCell ref="B2:P2"/>
    <mergeCell ref="B3:P3"/>
    <mergeCell ref="B4:P4"/>
    <mergeCell ref="G7:H7"/>
    <mergeCell ref="J7:M7"/>
    <mergeCell ref="N7:Q7"/>
  </mergeCells>
  <pageMargins left="0.7" right="0.7" top="0.75" bottom="0.75" header="0.3" footer="0.3"/>
  <pageSetup scale="44" orientation="portrait" horizontalDpi="1200" verticalDpi="1200" r:id="rId1"/>
  <ignoredErrors>
    <ignoredError sqref="J16:J17 J19 J8 N19:N20 N8" evalError="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C6E40-0CE4-41DD-B701-9093A1348894}">
  <dimension ref="A1:P228"/>
  <sheetViews>
    <sheetView showGridLines="0" tabSelected="1" topLeftCell="A203" zoomScaleNormal="100" workbookViewId="0">
      <selection activeCell="F225" sqref="F225"/>
    </sheetView>
  </sheetViews>
  <sheetFormatPr baseColWidth="10" defaultColWidth="9.1640625" defaultRowHeight="15" outlineLevelRow="1" x14ac:dyDescent="0.2"/>
  <cols>
    <col min="1" max="1" width="2.1640625" style="220" customWidth="1"/>
    <col min="2" max="2" width="46.6640625" style="220" customWidth="1"/>
    <col min="3" max="3" width="12.5" style="220" customWidth="1"/>
    <col min="4" max="15" width="11" style="220" customWidth="1"/>
    <col min="16" max="16384" width="9.1640625" style="220"/>
  </cols>
  <sheetData>
    <row r="1" spans="1:15" s="219" customFormat="1" ht="20" thickBot="1" x14ac:dyDescent="0.3">
      <c r="A1" s="217" t="s">
        <v>251</v>
      </c>
      <c r="B1" s="218"/>
      <c r="C1" s="324"/>
      <c r="D1" s="218"/>
      <c r="E1" s="218"/>
      <c r="F1" s="218"/>
      <c r="G1" s="218"/>
      <c r="H1" s="218"/>
      <c r="I1" s="218"/>
      <c r="J1" s="218"/>
      <c r="K1" s="218"/>
      <c r="L1" s="218"/>
      <c r="M1" s="218"/>
      <c r="N1" s="218"/>
      <c r="O1" s="218"/>
    </row>
    <row r="2" spans="1:15" x14ac:dyDescent="0.2">
      <c r="A2" s="220" t="s">
        <v>219</v>
      </c>
    </row>
    <row r="4" spans="1:15" ht="16" thickBot="1" x14ac:dyDescent="0.25">
      <c r="B4" s="221"/>
      <c r="C4" s="222" t="s">
        <v>252</v>
      </c>
      <c r="D4" s="223"/>
      <c r="E4" s="223"/>
      <c r="F4" s="224" t="s">
        <v>253</v>
      </c>
      <c r="G4" s="225"/>
      <c r="H4" s="225"/>
      <c r="I4" s="225"/>
      <c r="J4" s="225"/>
      <c r="K4" s="225"/>
      <c r="L4" s="225"/>
      <c r="M4" s="225"/>
      <c r="N4" s="225"/>
      <c r="O4" s="225"/>
    </row>
    <row r="5" spans="1:15" ht="17" thickTop="1" x14ac:dyDescent="0.2">
      <c r="A5" s="226" t="s">
        <v>126</v>
      </c>
      <c r="C5" s="227">
        <v>2013</v>
      </c>
      <c r="D5" s="227">
        <v>2014</v>
      </c>
      <c r="E5" s="228">
        <v>2015</v>
      </c>
      <c r="F5" s="228">
        <f t="shared" ref="F5:O5" si="0">E5+1</f>
        <v>2016</v>
      </c>
      <c r="G5" s="228">
        <f t="shared" si="0"/>
        <v>2017</v>
      </c>
      <c r="H5" s="228">
        <f t="shared" si="0"/>
        <v>2018</v>
      </c>
      <c r="I5" s="228">
        <f t="shared" si="0"/>
        <v>2019</v>
      </c>
      <c r="J5" s="228">
        <f t="shared" si="0"/>
        <v>2020</v>
      </c>
      <c r="K5" s="228">
        <f t="shared" si="0"/>
        <v>2021</v>
      </c>
      <c r="L5" s="228">
        <f t="shared" si="0"/>
        <v>2022</v>
      </c>
      <c r="M5" s="228">
        <f t="shared" si="0"/>
        <v>2023</v>
      </c>
      <c r="N5" s="228">
        <f t="shared" si="0"/>
        <v>2024</v>
      </c>
      <c r="O5" s="228">
        <f t="shared" si="0"/>
        <v>2025</v>
      </c>
    </row>
    <row r="6" spans="1:15" ht="15" customHeight="1" x14ac:dyDescent="0.2">
      <c r="B6" s="229" t="s">
        <v>125</v>
      </c>
      <c r="C6" s="230">
        <v>8347</v>
      </c>
      <c r="D6" s="230">
        <v>9533</v>
      </c>
      <c r="E6" s="230">
        <v>10005</v>
      </c>
      <c r="F6" s="230">
        <f>E6*(1+F7)</f>
        <v>10505.25</v>
      </c>
      <c r="G6" s="230">
        <f>F6*(1+G7)</f>
        <v>11030.512500000001</v>
      </c>
      <c r="H6" s="230">
        <f t="shared" ref="H6:O6" si="1">G6*(1+H7)</f>
        <v>11582.038125000001</v>
      </c>
      <c r="I6" s="230">
        <f t="shared" si="1"/>
        <v>12161.140031250001</v>
      </c>
      <c r="J6" s="230">
        <f t="shared" si="1"/>
        <v>12769.197032812501</v>
      </c>
      <c r="K6" s="230">
        <f t="shared" si="1"/>
        <v>13407.656884453127</v>
      </c>
      <c r="L6" s="230">
        <f t="shared" si="1"/>
        <v>13943.963159831252</v>
      </c>
      <c r="M6" s="230">
        <f t="shared" si="1"/>
        <v>14501.721686224502</v>
      </c>
      <c r="N6" s="230">
        <f t="shared" si="1"/>
        <v>14936.773336811239</v>
      </c>
      <c r="O6" s="230">
        <f t="shared" si="1"/>
        <v>15384.876536915575</v>
      </c>
    </row>
    <row r="7" spans="1:15" ht="15" customHeight="1" x14ac:dyDescent="0.2">
      <c r="B7" s="231" t="s">
        <v>254</v>
      </c>
      <c r="C7" s="232">
        <f>C6/7202-1</f>
        <v>0.15898361566231611</v>
      </c>
      <c r="D7" s="232">
        <f>D6/C6-1</f>
        <v>0.14208697735713427</v>
      </c>
      <c r="E7" s="232">
        <f>E6/D6-1</f>
        <v>4.9512220707017773E-2</v>
      </c>
      <c r="F7" s="233">
        <v>0.05</v>
      </c>
      <c r="G7" s="233">
        <f>F7</f>
        <v>0.05</v>
      </c>
      <c r="H7" s="233">
        <f t="shared" ref="H7:K7" si="2">G7</f>
        <v>0.05</v>
      </c>
      <c r="I7" s="233">
        <f t="shared" si="2"/>
        <v>0.05</v>
      </c>
      <c r="J7" s="233">
        <f t="shared" si="2"/>
        <v>0.05</v>
      </c>
      <c r="K7" s="233">
        <f t="shared" si="2"/>
        <v>0.05</v>
      </c>
      <c r="L7" s="233">
        <v>0.04</v>
      </c>
      <c r="M7" s="233">
        <v>0.04</v>
      </c>
      <c r="N7" s="233">
        <v>0.03</v>
      </c>
      <c r="O7" s="233">
        <v>0.03</v>
      </c>
    </row>
    <row r="8" spans="1:15" ht="4.5" customHeight="1" x14ac:dyDescent="0.2">
      <c r="B8" s="231"/>
      <c r="C8" s="234"/>
      <c r="D8" s="232"/>
      <c r="E8" s="234"/>
    </row>
    <row r="9" spans="1:15" ht="15" customHeight="1" x14ac:dyDescent="0.2">
      <c r="B9" s="235" t="s">
        <v>255</v>
      </c>
      <c r="C9" s="234">
        <v>-5654</v>
      </c>
      <c r="D9" s="234">
        <v>-6253</v>
      </c>
      <c r="E9" s="234">
        <v>-6752</v>
      </c>
      <c r="F9" s="234">
        <f>-F10*F6</f>
        <v>-7089.6</v>
      </c>
      <c r="G9" s="234">
        <f t="shared" ref="G9:O9" si="3">-G10*G6</f>
        <v>-7444.0800000000008</v>
      </c>
      <c r="H9" s="234">
        <f t="shared" si="3"/>
        <v>-7816.2840000000006</v>
      </c>
      <c r="I9" s="234">
        <f t="shared" si="3"/>
        <v>-8207.0982000000004</v>
      </c>
      <c r="J9" s="234">
        <f t="shared" si="3"/>
        <v>-8617.4531100000004</v>
      </c>
      <c r="K9" s="234">
        <f t="shared" si="3"/>
        <v>-9048.3257655000016</v>
      </c>
      <c r="L9" s="234">
        <f t="shared" si="3"/>
        <v>-9410.2587961200024</v>
      </c>
      <c r="M9" s="234">
        <f t="shared" si="3"/>
        <v>-9786.6691479648016</v>
      </c>
      <c r="N9" s="234">
        <f t="shared" si="3"/>
        <v>-10080.269222403747</v>
      </c>
      <c r="O9" s="234">
        <f t="shared" si="3"/>
        <v>-10382.677299075858</v>
      </c>
    </row>
    <row r="10" spans="1:15" ht="15" customHeight="1" x14ac:dyDescent="0.2">
      <c r="B10" s="231" t="s">
        <v>256</v>
      </c>
      <c r="C10" s="232">
        <f>-C9/C$6</f>
        <v>0.67736911465197081</v>
      </c>
      <c r="D10" s="232">
        <f>-D9/D$6</f>
        <v>0.65593202559530051</v>
      </c>
      <c r="E10" s="232">
        <f>-E9/E$6</f>
        <v>0.67486256871564221</v>
      </c>
      <c r="F10" s="233">
        <f>E10</f>
        <v>0.67486256871564221</v>
      </c>
      <c r="G10" s="233">
        <f t="shared" ref="G10:O10" si="4">F10</f>
        <v>0.67486256871564221</v>
      </c>
      <c r="H10" s="233">
        <f t="shared" si="4"/>
        <v>0.67486256871564221</v>
      </c>
      <c r="I10" s="233">
        <f t="shared" si="4"/>
        <v>0.67486256871564221</v>
      </c>
      <c r="J10" s="233">
        <f t="shared" si="4"/>
        <v>0.67486256871564221</v>
      </c>
      <c r="K10" s="233">
        <f t="shared" si="4"/>
        <v>0.67486256871564221</v>
      </c>
      <c r="L10" s="233">
        <f t="shared" si="4"/>
        <v>0.67486256871564221</v>
      </c>
      <c r="M10" s="233">
        <f t="shared" si="4"/>
        <v>0.67486256871564221</v>
      </c>
      <c r="N10" s="233">
        <f t="shared" si="4"/>
        <v>0.67486256871564221</v>
      </c>
      <c r="O10" s="233">
        <f t="shared" si="4"/>
        <v>0.67486256871564221</v>
      </c>
    </row>
    <row r="11" spans="1:15" ht="15" customHeight="1" x14ac:dyDescent="0.2">
      <c r="B11" s="235" t="s">
        <v>129</v>
      </c>
      <c r="C11" s="234">
        <f>-6188-C9</f>
        <v>-534</v>
      </c>
      <c r="D11" s="234">
        <f>-6874-D9</f>
        <v>-621</v>
      </c>
      <c r="E11" s="234">
        <f>-7393-E9</f>
        <v>-641</v>
      </c>
      <c r="F11" s="234">
        <f t="shared" ref="F11:O11" si="5">F14-(F6+F9)</f>
        <v>-684.2849999999994</v>
      </c>
      <c r="G11" s="234">
        <f t="shared" si="5"/>
        <v>-718.49924999999939</v>
      </c>
      <c r="H11" s="234">
        <f t="shared" si="5"/>
        <v>-754.42421250000007</v>
      </c>
      <c r="I11" s="234">
        <f t="shared" si="5"/>
        <v>-792.14542312499998</v>
      </c>
      <c r="J11" s="234">
        <f t="shared" si="5"/>
        <v>-831.75269428125011</v>
      </c>
      <c r="K11" s="234">
        <f t="shared" si="5"/>
        <v>-873.34032899531212</v>
      </c>
      <c r="L11" s="234">
        <f t="shared" si="5"/>
        <v>-908.27394215512368</v>
      </c>
      <c r="M11" s="234">
        <f t="shared" si="5"/>
        <v>-944.60489984132982</v>
      </c>
      <c r="N11" s="234">
        <f t="shared" si="5"/>
        <v>-972.94304683656901</v>
      </c>
      <c r="O11" s="234">
        <f t="shared" si="5"/>
        <v>-1002.1313382416674</v>
      </c>
    </row>
    <row r="12" spans="1:15" ht="15" customHeight="1" outlineLevel="1" x14ac:dyDescent="0.2">
      <c r="B12" s="231" t="s">
        <v>257</v>
      </c>
      <c r="C12" s="236">
        <f>-C11/C6</f>
        <v>6.3975080867377507E-2</v>
      </c>
      <c r="D12" s="236">
        <f t="shared" ref="D12:O12" si="6">-D11/D6</f>
        <v>6.5142137836987302E-2</v>
      </c>
      <c r="E12" s="236">
        <f t="shared" si="6"/>
        <v>6.4067966016991509E-2</v>
      </c>
      <c r="F12" s="236">
        <f t="shared" si="6"/>
        <v>6.5137431284357769E-2</v>
      </c>
      <c r="G12" s="236">
        <f t="shared" si="6"/>
        <v>6.5137431284357755E-2</v>
      </c>
      <c r="H12" s="236">
        <f t="shared" si="6"/>
        <v>6.5137431284357825E-2</v>
      </c>
      <c r="I12" s="236">
        <f t="shared" si="6"/>
        <v>6.5137431284357811E-2</v>
      </c>
      <c r="J12" s="236">
        <f t="shared" si="6"/>
        <v>6.5137431284357825E-2</v>
      </c>
      <c r="K12" s="236">
        <f t="shared" si="6"/>
        <v>6.5137431284357783E-2</v>
      </c>
      <c r="L12" s="236">
        <f t="shared" si="6"/>
        <v>6.5137431284357714E-2</v>
      </c>
      <c r="M12" s="236">
        <f t="shared" si="6"/>
        <v>6.5137431284357797E-2</v>
      </c>
      <c r="N12" s="236">
        <f t="shared" si="6"/>
        <v>6.5137431284357741E-2</v>
      </c>
      <c r="O12" s="236">
        <f t="shared" si="6"/>
        <v>6.5137431284357838E-2</v>
      </c>
    </row>
    <row r="13" spans="1:15" ht="5.5" customHeight="1" x14ac:dyDescent="0.2">
      <c r="B13" s="231"/>
      <c r="C13" s="237"/>
      <c r="D13" s="237"/>
      <c r="E13" s="237"/>
      <c r="F13" s="237"/>
      <c r="G13" s="237"/>
      <c r="H13" s="237"/>
      <c r="I13" s="237"/>
      <c r="J13" s="237"/>
      <c r="K13" s="237"/>
      <c r="L13" s="237"/>
      <c r="M13" s="237"/>
      <c r="N13" s="237"/>
      <c r="O13" s="237"/>
    </row>
    <row r="14" spans="1:15" ht="15" customHeight="1" x14ac:dyDescent="0.2">
      <c r="B14" s="229" t="s">
        <v>258</v>
      </c>
      <c r="C14" s="230">
        <f>C6+C9+C11</f>
        <v>2159</v>
      </c>
      <c r="D14" s="230">
        <f>D6+D9+D11</f>
        <v>2659</v>
      </c>
      <c r="E14" s="230">
        <f>E6+E9+E11</f>
        <v>2612</v>
      </c>
      <c r="F14" s="230">
        <f>F6*F15</f>
        <v>2731.3650000000002</v>
      </c>
      <c r="G14" s="230">
        <f>G6*G15</f>
        <v>2867.9332500000005</v>
      </c>
      <c r="H14" s="230">
        <f t="shared" ref="H14:O14" si="7">H6*H15</f>
        <v>3011.3299125000003</v>
      </c>
      <c r="I14" s="230">
        <f t="shared" si="7"/>
        <v>3161.8964081250006</v>
      </c>
      <c r="J14" s="230">
        <f t="shared" si="7"/>
        <v>3319.9912285312503</v>
      </c>
      <c r="K14" s="230">
        <f t="shared" si="7"/>
        <v>3485.9907899578129</v>
      </c>
      <c r="L14" s="230">
        <f t="shared" si="7"/>
        <v>3625.4304215561256</v>
      </c>
      <c r="M14" s="230">
        <f t="shared" si="7"/>
        <v>3770.4476384183708</v>
      </c>
      <c r="N14" s="230">
        <f t="shared" si="7"/>
        <v>3883.5610675709222</v>
      </c>
      <c r="O14" s="230">
        <f t="shared" si="7"/>
        <v>4000.0678995980497</v>
      </c>
    </row>
    <row r="15" spans="1:15" ht="15" customHeight="1" x14ac:dyDescent="0.2">
      <c r="B15" s="231" t="s">
        <v>259</v>
      </c>
      <c r="C15" s="232">
        <f>C14/C$6</f>
        <v>0.25865580448065173</v>
      </c>
      <c r="D15" s="232">
        <f>D14/D$6</f>
        <v>0.27892583656771214</v>
      </c>
      <c r="E15" s="232">
        <f>E14/E$6</f>
        <v>0.2610694652673663</v>
      </c>
      <c r="F15" s="233">
        <v>0.26</v>
      </c>
      <c r="G15" s="233">
        <f t="shared" ref="G15:O15" si="8">F15</f>
        <v>0.26</v>
      </c>
      <c r="H15" s="233">
        <f t="shared" si="8"/>
        <v>0.26</v>
      </c>
      <c r="I15" s="233">
        <f t="shared" si="8"/>
        <v>0.26</v>
      </c>
      <c r="J15" s="233">
        <f t="shared" si="8"/>
        <v>0.26</v>
      </c>
      <c r="K15" s="233">
        <f t="shared" si="8"/>
        <v>0.26</v>
      </c>
      <c r="L15" s="233">
        <f t="shared" si="8"/>
        <v>0.26</v>
      </c>
      <c r="M15" s="233">
        <f t="shared" si="8"/>
        <v>0.26</v>
      </c>
      <c r="N15" s="233">
        <f t="shared" si="8"/>
        <v>0.26</v>
      </c>
      <c r="O15" s="233">
        <f t="shared" si="8"/>
        <v>0.26</v>
      </c>
    </row>
    <row r="16" spans="1:15" ht="5.75" customHeight="1" x14ac:dyDescent="0.2">
      <c r="C16" s="234"/>
      <c r="D16" s="234"/>
      <c r="E16" s="234"/>
    </row>
    <row r="17" spans="1:15" ht="14" customHeight="1" x14ac:dyDescent="0.2">
      <c r="B17" s="220" t="s">
        <v>260</v>
      </c>
      <c r="C17" s="234">
        <v>-38</v>
      </c>
      <c r="D17" s="234">
        <v>-76</v>
      </c>
      <c r="E17" s="234">
        <v>-69</v>
      </c>
      <c r="F17" s="234">
        <f>-F177</f>
        <v>-80.790000000000006</v>
      </c>
      <c r="G17" s="234">
        <f t="shared" ref="G17:O17" si="9">-G177</f>
        <v>-69.850000000000009</v>
      </c>
      <c r="H17" s="234">
        <f t="shared" si="9"/>
        <v>-59.83</v>
      </c>
      <c r="I17" s="234">
        <f t="shared" si="9"/>
        <v>-39.82</v>
      </c>
      <c r="J17" s="234">
        <f t="shared" si="9"/>
        <v>-29.82</v>
      </c>
      <c r="K17" s="234">
        <f t="shared" si="9"/>
        <v>-29.82</v>
      </c>
      <c r="L17" s="234">
        <f t="shared" si="9"/>
        <v>-29.82</v>
      </c>
      <c r="M17" s="234">
        <f t="shared" si="9"/>
        <v>-19.87</v>
      </c>
      <c r="N17" s="234">
        <f t="shared" si="9"/>
        <v>-9.92</v>
      </c>
      <c r="O17" s="234">
        <f t="shared" si="9"/>
        <v>-9.92</v>
      </c>
    </row>
    <row r="18" spans="1:15" ht="14" customHeight="1" x14ac:dyDescent="0.2">
      <c r="B18" s="220" t="s">
        <v>261</v>
      </c>
      <c r="C18" s="238">
        <f>7</f>
        <v>7</v>
      </c>
      <c r="D18" s="238">
        <v>5</v>
      </c>
      <c r="E18" s="238">
        <v>4</v>
      </c>
      <c r="F18" s="238">
        <f t="shared" ref="F18:O18" si="10">F182</f>
        <v>4.74</v>
      </c>
      <c r="G18" s="238">
        <f t="shared" si="10"/>
        <v>4.2975123904020691</v>
      </c>
      <c r="H18" s="238">
        <f t="shared" si="10"/>
        <v>15.59647298029766</v>
      </c>
      <c r="I18" s="238">
        <f t="shared" si="10"/>
        <v>17.782169983070535</v>
      </c>
      <c r="J18" s="238">
        <f t="shared" si="10"/>
        <v>20.978021816601728</v>
      </c>
      <c r="K18" s="238">
        <f t="shared" si="10"/>
        <v>35.152897591710243</v>
      </c>
      <c r="L18" s="238">
        <f t="shared" si="10"/>
        <v>50.36329146510834</v>
      </c>
      <c r="M18" s="238">
        <f t="shared" si="10"/>
        <v>67.094562032818288</v>
      </c>
      <c r="N18" s="238">
        <f t="shared" si="10"/>
        <v>75.002362582781558</v>
      </c>
      <c r="O18" s="238">
        <f t="shared" si="10"/>
        <v>94.430214610202128</v>
      </c>
    </row>
    <row r="19" spans="1:15" ht="15" customHeight="1" x14ac:dyDescent="0.2">
      <c r="B19" s="239" t="s">
        <v>122</v>
      </c>
      <c r="C19" s="238">
        <f>C17+C18</f>
        <v>-31</v>
      </c>
      <c r="D19" s="238">
        <f>D17+D18</f>
        <v>-71</v>
      </c>
      <c r="E19" s="238">
        <f>E17+E18</f>
        <v>-65</v>
      </c>
      <c r="F19" s="238">
        <f t="shared" ref="F19:O19" si="11">F17+F18</f>
        <v>-76.050000000000011</v>
      </c>
      <c r="G19" s="238">
        <f t="shared" si="11"/>
        <v>-65.552487609597932</v>
      </c>
      <c r="H19" s="238">
        <f t="shared" si="11"/>
        <v>-44.233527019702336</v>
      </c>
      <c r="I19" s="238">
        <f t="shared" si="11"/>
        <v>-22.037830016929465</v>
      </c>
      <c r="J19" s="238">
        <f t="shared" si="11"/>
        <v>-8.8419781833982718</v>
      </c>
      <c r="K19" s="238">
        <f t="shared" si="11"/>
        <v>5.3328975917102426</v>
      </c>
      <c r="L19" s="238">
        <f t="shared" si="11"/>
        <v>20.543291465108339</v>
      </c>
      <c r="M19" s="238">
        <f t="shared" si="11"/>
        <v>47.224562032818284</v>
      </c>
      <c r="N19" s="238">
        <f t="shared" si="11"/>
        <v>65.082362582781556</v>
      </c>
      <c r="O19" s="238">
        <f t="shared" si="11"/>
        <v>84.510214610202127</v>
      </c>
    </row>
    <row r="20" spans="1:15" ht="15" customHeight="1" x14ac:dyDescent="0.2">
      <c r="B20" s="220" t="s">
        <v>121</v>
      </c>
      <c r="C20" s="234">
        <f>C14+C19</f>
        <v>2128</v>
      </c>
      <c r="D20" s="234">
        <f t="shared" ref="D20:O20" si="12">D14+D19</f>
        <v>2588</v>
      </c>
      <c r="E20" s="234">
        <f t="shared" si="12"/>
        <v>2547</v>
      </c>
      <c r="F20" s="234">
        <f>F14+F19</f>
        <v>2655.3150000000001</v>
      </c>
      <c r="G20" s="234">
        <f>G14+G19</f>
        <v>2802.3807623904027</v>
      </c>
      <c r="H20" s="234">
        <f t="shared" si="12"/>
        <v>2967.0963854802981</v>
      </c>
      <c r="I20" s="234">
        <f t="shared" si="12"/>
        <v>3139.858578108071</v>
      </c>
      <c r="J20" s="234">
        <f t="shared" si="12"/>
        <v>3311.1492503478521</v>
      </c>
      <c r="K20" s="234">
        <f t="shared" si="12"/>
        <v>3491.3236875495231</v>
      </c>
      <c r="L20" s="234">
        <f t="shared" si="12"/>
        <v>3645.9737130212338</v>
      </c>
      <c r="M20" s="234">
        <f t="shared" si="12"/>
        <v>3817.6722004511889</v>
      </c>
      <c r="N20" s="234">
        <f t="shared" si="12"/>
        <v>3948.6434301537038</v>
      </c>
      <c r="O20" s="234">
        <f t="shared" si="12"/>
        <v>4084.5781142082519</v>
      </c>
    </row>
    <row r="21" spans="1:15" ht="15" customHeight="1" x14ac:dyDescent="0.2">
      <c r="B21" s="235" t="s">
        <v>120</v>
      </c>
      <c r="C21" s="234">
        <v>-695</v>
      </c>
      <c r="D21" s="234">
        <v>-830</v>
      </c>
      <c r="E21" s="234">
        <v>-816</v>
      </c>
      <c r="F21" s="234">
        <f>-F20*F22</f>
        <v>-876.25395000000003</v>
      </c>
      <c r="G21" s="234">
        <f t="shared" ref="G21:O21" si="13">-G20*G22</f>
        <v>-924.78565158883293</v>
      </c>
      <c r="H21" s="234">
        <f t="shared" si="13"/>
        <v>-979.14180720849845</v>
      </c>
      <c r="I21" s="234">
        <f t="shared" si="13"/>
        <v>-1036.1533307756636</v>
      </c>
      <c r="J21" s="234">
        <f t="shared" si="13"/>
        <v>-1092.6792526147913</v>
      </c>
      <c r="K21" s="234">
        <f>-K20*K22</f>
        <v>-1152.1368168913427</v>
      </c>
      <c r="L21" s="234">
        <f t="shared" si="13"/>
        <v>-1203.1713252970071</v>
      </c>
      <c r="M21" s="234">
        <f t="shared" si="13"/>
        <v>-1259.8318261488923</v>
      </c>
      <c r="N21" s="234">
        <f t="shared" si="13"/>
        <v>-1303.0523319507224</v>
      </c>
      <c r="O21" s="234">
        <f t="shared" si="13"/>
        <v>-1347.9107776887231</v>
      </c>
    </row>
    <row r="22" spans="1:15" ht="16" outlineLevel="1" x14ac:dyDescent="0.2">
      <c r="B22" s="231" t="s">
        <v>262</v>
      </c>
      <c r="C22" s="325">
        <f>-C21/C20</f>
        <v>0.32659774436090228</v>
      </c>
      <c r="D22" s="232">
        <f>-D21/D20</f>
        <v>0.32071097372488411</v>
      </c>
      <c r="E22" s="232">
        <f>-E21/E20</f>
        <v>0.32037691401648999</v>
      </c>
      <c r="F22" s="233">
        <v>0.33</v>
      </c>
      <c r="G22" s="233">
        <f t="shared" ref="G22:O22" si="14">F22</f>
        <v>0.33</v>
      </c>
      <c r="H22" s="233">
        <f t="shared" si="14"/>
        <v>0.33</v>
      </c>
      <c r="I22" s="233">
        <f t="shared" si="14"/>
        <v>0.33</v>
      </c>
      <c r="J22" s="233">
        <f t="shared" si="14"/>
        <v>0.33</v>
      </c>
      <c r="K22" s="233">
        <f t="shared" si="14"/>
        <v>0.33</v>
      </c>
      <c r="L22" s="233">
        <f t="shared" si="14"/>
        <v>0.33</v>
      </c>
      <c r="M22" s="233">
        <f t="shared" si="14"/>
        <v>0.33</v>
      </c>
      <c r="N22" s="233">
        <f t="shared" si="14"/>
        <v>0.33</v>
      </c>
      <c r="O22" s="233">
        <f t="shared" si="14"/>
        <v>0.33</v>
      </c>
    </row>
    <row r="23" spans="1:15" ht="4.5" customHeight="1" x14ac:dyDescent="0.2">
      <c r="B23" s="231"/>
      <c r="C23" s="238"/>
      <c r="D23" s="237"/>
      <c r="E23" s="238"/>
      <c r="F23" s="240"/>
      <c r="G23" s="240"/>
      <c r="H23" s="240"/>
      <c r="I23" s="240"/>
      <c r="J23" s="240"/>
      <c r="K23" s="240"/>
      <c r="L23" s="240"/>
      <c r="M23" s="240"/>
      <c r="N23" s="240"/>
      <c r="O23" s="240"/>
    </row>
    <row r="24" spans="1:15" ht="15" customHeight="1" x14ac:dyDescent="0.2">
      <c r="B24" s="229" t="s">
        <v>263</v>
      </c>
      <c r="C24" s="230">
        <f>C20+C21</f>
        <v>1433</v>
      </c>
      <c r="D24" s="230">
        <f>D20+D21</f>
        <v>1758</v>
      </c>
      <c r="E24" s="230">
        <f>E20+E21</f>
        <v>1731</v>
      </c>
      <c r="F24" s="230">
        <f>F20+F21</f>
        <v>1779.06105</v>
      </c>
      <c r="G24" s="230">
        <f>G20+G21</f>
        <v>1877.5951108015697</v>
      </c>
      <c r="H24" s="230">
        <f t="shared" ref="H24:O24" si="15">H20+H21</f>
        <v>1987.9545782717996</v>
      </c>
      <c r="I24" s="230">
        <f t="shared" si="15"/>
        <v>2103.7052473324075</v>
      </c>
      <c r="J24" s="230">
        <f t="shared" si="15"/>
        <v>2218.4699977330611</v>
      </c>
      <c r="K24" s="230">
        <f t="shared" si="15"/>
        <v>2339.1868706581804</v>
      </c>
      <c r="L24" s="230">
        <f t="shared" si="15"/>
        <v>2442.8023877242267</v>
      </c>
      <c r="M24" s="230">
        <f t="shared" si="15"/>
        <v>2557.8403743022964</v>
      </c>
      <c r="N24" s="230">
        <f t="shared" si="15"/>
        <v>2645.5910982029814</v>
      </c>
      <c r="O24" s="230">
        <f t="shared" si="15"/>
        <v>2736.6673365195288</v>
      </c>
    </row>
    <row r="25" spans="1:15" x14ac:dyDescent="0.2">
      <c r="B25" s="241"/>
      <c r="C25" s="242"/>
      <c r="D25" s="242"/>
      <c r="E25" s="242"/>
    </row>
    <row r="26" spans="1:15" ht="15" customHeight="1" x14ac:dyDescent="0.2">
      <c r="B26" s="243" t="s">
        <v>264</v>
      </c>
      <c r="C26" s="230">
        <f>C14+C61</f>
        <v>2373.9</v>
      </c>
      <c r="D26" s="230">
        <f t="shared" ref="D26:O26" si="16">D14+D61</f>
        <v>2952</v>
      </c>
      <c r="E26" s="230">
        <f t="shared" si="16"/>
        <v>2937</v>
      </c>
      <c r="F26" s="230">
        <f t="shared" si="16"/>
        <v>3103.371660654675</v>
      </c>
      <c r="G26" s="230">
        <f t="shared" si="16"/>
        <v>3273.8969043420839</v>
      </c>
      <c r="H26" s="230">
        <f t="shared" si="16"/>
        <v>3453.298410213863</v>
      </c>
      <c r="I26" s="230">
        <f t="shared" si="16"/>
        <v>3650.0199913792312</v>
      </c>
      <c r="J26" s="230">
        <f t="shared" si="16"/>
        <v>3854.5276516028671</v>
      </c>
      <c r="K26" s="230">
        <f t="shared" si="16"/>
        <v>4070.3106948376853</v>
      </c>
      <c r="L26" s="230">
        <f t="shared" si="16"/>
        <v>4261.5251475165842</v>
      </c>
      <c r="M26" s="230">
        <f t="shared" si="16"/>
        <v>4460.3881783026391</v>
      </c>
      <c r="N26" s="230">
        <f t="shared" si="16"/>
        <v>4628.9627957967141</v>
      </c>
      <c r="O26" s="230">
        <f t="shared" si="16"/>
        <v>4802.5946518156106</v>
      </c>
    </row>
    <row r="27" spans="1:15" ht="15" customHeight="1" x14ac:dyDescent="0.2">
      <c r="B27" s="244" t="s">
        <v>265</v>
      </c>
      <c r="C27" s="245">
        <f t="shared" ref="C27:O27" si="17">C26/C$6</f>
        <v>0.28440158140649335</v>
      </c>
      <c r="D27" s="245">
        <f t="shared" si="17"/>
        <v>0.30966117696422951</v>
      </c>
      <c r="E27" s="245">
        <f t="shared" si="17"/>
        <v>0.29355322338830586</v>
      </c>
      <c r="F27" s="245">
        <f t="shared" si="17"/>
        <v>0.29541150002662242</v>
      </c>
      <c r="G27" s="245">
        <f t="shared" si="17"/>
        <v>0.29680369831792347</v>
      </c>
      <c r="H27" s="245">
        <f t="shared" si="17"/>
        <v>0.29815982065884133</v>
      </c>
      <c r="I27" s="245">
        <f t="shared" si="17"/>
        <v>0.30013797900525108</v>
      </c>
      <c r="J27" s="245">
        <f t="shared" si="17"/>
        <v>0.30186139674233547</v>
      </c>
      <c r="K27" s="245">
        <f t="shared" si="17"/>
        <v>0.303581060428047</v>
      </c>
      <c r="L27" s="245">
        <f t="shared" si="17"/>
        <v>0.30561792932678378</v>
      </c>
      <c r="M27" s="245">
        <f t="shared" si="17"/>
        <v>0.30757645711403064</v>
      </c>
      <c r="N27" s="245">
        <f t="shared" si="17"/>
        <v>0.30990379859275036</v>
      </c>
      <c r="O27" s="245">
        <f t="shared" si="17"/>
        <v>0.31216335342645884</v>
      </c>
    </row>
    <row r="28" spans="1:15" x14ac:dyDescent="0.2">
      <c r="B28" s="241"/>
      <c r="C28" s="242"/>
      <c r="D28" s="242"/>
      <c r="E28" s="242"/>
    </row>
    <row r="29" spans="1:15" ht="16" thickBot="1" x14ac:dyDescent="0.25">
      <c r="C29" s="222" t="s">
        <v>252</v>
      </c>
      <c r="D29" s="223"/>
      <c r="E29" s="223"/>
      <c r="F29" s="224" t="s">
        <v>253</v>
      </c>
      <c r="G29" s="225"/>
      <c r="H29" s="225"/>
      <c r="I29" s="225"/>
      <c r="J29" s="225"/>
      <c r="K29" s="225"/>
      <c r="L29" s="225"/>
      <c r="M29" s="225"/>
      <c r="N29" s="225"/>
      <c r="O29" s="225"/>
    </row>
    <row r="30" spans="1:15" ht="17" thickTop="1" x14ac:dyDescent="0.2">
      <c r="A30" s="226" t="s">
        <v>118</v>
      </c>
      <c r="B30" s="221"/>
      <c r="C30" s="227">
        <v>2013</v>
      </c>
      <c r="D30" s="227">
        <v>2014</v>
      </c>
      <c r="E30" s="228">
        <v>2015</v>
      </c>
      <c r="F30" s="228">
        <f t="shared" ref="F30:O30" si="18">E30+1</f>
        <v>2016</v>
      </c>
      <c r="G30" s="228">
        <f t="shared" si="18"/>
        <v>2017</v>
      </c>
      <c r="H30" s="228">
        <f t="shared" si="18"/>
        <v>2018</v>
      </c>
      <c r="I30" s="228">
        <f t="shared" si="18"/>
        <v>2019</v>
      </c>
      <c r="J30" s="228">
        <f t="shared" si="18"/>
        <v>2020</v>
      </c>
      <c r="K30" s="228">
        <f t="shared" si="18"/>
        <v>2021</v>
      </c>
      <c r="L30" s="228">
        <f t="shared" si="18"/>
        <v>2022</v>
      </c>
      <c r="M30" s="228">
        <f t="shared" si="18"/>
        <v>2023</v>
      </c>
      <c r="N30" s="228">
        <f t="shared" si="18"/>
        <v>2024</v>
      </c>
      <c r="O30" s="228">
        <f t="shared" si="18"/>
        <v>2025</v>
      </c>
    </row>
    <row r="31" spans="1:15" ht="15" customHeight="1" x14ac:dyDescent="0.2">
      <c r="B31" s="246" t="s">
        <v>117</v>
      </c>
      <c r="D31" s="247"/>
      <c r="E31" s="247"/>
    </row>
    <row r="32" spans="1:15" ht="15" customHeight="1" x14ac:dyDescent="0.2">
      <c r="B32" s="220" t="s">
        <v>266</v>
      </c>
      <c r="C32" s="234">
        <v>280</v>
      </c>
      <c r="D32" s="234">
        <v>361</v>
      </c>
      <c r="E32" s="234">
        <v>474</v>
      </c>
      <c r="F32" s="234">
        <f t="shared" ref="F32:O32" si="19">F83</f>
        <v>429.75123904020688</v>
      </c>
      <c r="G32" s="234">
        <f t="shared" si="19"/>
        <v>1559.647298029766</v>
      </c>
      <c r="H32" s="234">
        <f t="shared" si="19"/>
        <v>1778.2169983070535</v>
      </c>
      <c r="I32" s="234">
        <f t="shared" si="19"/>
        <v>2097.8021816601727</v>
      </c>
      <c r="J32" s="234">
        <f t="shared" si="19"/>
        <v>3515.2897591710243</v>
      </c>
      <c r="K32" s="234">
        <f t="shared" si="19"/>
        <v>5036.3291465108341</v>
      </c>
      <c r="L32" s="234">
        <f t="shared" si="19"/>
        <v>6709.4562032818285</v>
      </c>
      <c r="M32" s="234">
        <f t="shared" si="19"/>
        <v>7500.2362582781552</v>
      </c>
      <c r="N32" s="234">
        <f t="shared" si="19"/>
        <v>9443.0214610202129</v>
      </c>
      <c r="O32" s="234">
        <f t="shared" si="19"/>
        <v>11490.561697359988</v>
      </c>
    </row>
    <row r="33" spans="2:15" ht="15" customHeight="1" x14ac:dyDescent="0.2">
      <c r="B33" s="220" t="s">
        <v>267</v>
      </c>
      <c r="C33" s="234"/>
      <c r="D33" s="234">
        <v>1568</v>
      </c>
      <c r="E33" s="234">
        <v>1710</v>
      </c>
      <c r="F33" s="234">
        <f>F90</f>
        <v>1726.8904109589041</v>
      </c>
      <c r="G33" s="234">
        <f t="shared" ref="G33:O34" si="20">G90</f>
        <v>1813.2349315068495</v>
      </c>
      <c r="H33" s="234">
        <f t="shared" si="20"/>
        <v>1903.896678082192</v>
      </c>
      <c r="I33" s="234">
        <f t="shared" si="20"/>
        <v>1999.0915119863016</v>
      </c>
      <c r="J33" s="234">
        <f t="shared" si="20"/>
        <v>2099.0460875856165</v>
      </c>
      <c r="K33" s="234">
        <f t="shared" si="20"/>
        <v>2203.9983919648976</v>
      </c>
      <c r="L33" s="234">
        <f t="shared" si="20"/>
        <v>2292.1583276434935</v>
      </c>
      <c r="M33" s="234">
        <f t="shared" si="20"/>
        <v>2383.8446607492333</v>
      </c>
      <c r="N33" s="234">
        <f t="shared" si="20"/>
        <v>2455.3600005717108</v>
      </c>
      <c r="O33" s="234">
        <f t="shared" si="20"/>
        <v>2529.0208005888617</v>
      </c>
    </row>
    <row r="34" spans="2:15" ht="15" customHeight="1" x14ac:dyDescent="0.2">
      <c r="B34" s="220" t="s">
        <v>268</v>
      </c>
      <c r="C34" s="234"/>
      <c r="D34" s="234">
        <v>3426</v>
      </c>
      <c r="E34" s="234">
        <v>3640</v>
      </c>
      <c r="F34" s="234">
        <f>F91</f>
        <v>3884.7123287671238</v>
      </c>
      <c r="G34" s="234">
        <f t="shared" si="20"/>
        <v>4078.9479452054798</v>
      </c>
      <c r="H34" s="234">
        <f t="shared" si="20"/>
        <v>4282.8953424657539</v>
      </c>
      <c r="I34" s="234">
        <f t="shared" si="20"/>
        <v>4497.040109589042</v>
      </c>
      <c r="J34" s="234">
        <f t="shared" si="20"/>
        <v>4721.8921150684937</v>
      </c>
      <c r="K34" s="234">
        <f t="shared" si="20"/>
        <v>4957.9867208219184</v>
      </c>
      <c r="L34" s="234">
        <f t="shared" si="20"/>
        <v>5156.3061896547961</v>
      </c>
      <c r="M34" s="234">
        <f t="shared" si="20"/>
        <v>5362.5584372409876</v>
      </c>
      <c r="N34" s="234">
        <f t="shared" si="20"/>
        <v>5523.4351903582183</v>
      </c>
      <c r="O34" s="234">
        <f t="shared" si="20"/>
        <v>5689.1382460689638</v>
      </c>
    </row>
    <row r="35" spans="2:15" ht="15" customHeight="1" thickBot="1" x14ac:dyDescent="0.25">
      <c r="B35" s="220" t="s">
        <v>269</v>
      </c>
      <c r="C35" s="234"/>
      <c r="D35" s="248">
        <f>D36-SUM(D32:D34)</f>
        <v>152</v>
      </c>
      <c r="E35" s="248">
        <f>E36-SUM(E32:E34)</f>
        <v>148</v>
      </c>
      <c r="F35" s="249">
        <f>E35</f>
        <v>148</v>
      </c>
      <c r="G35" s="249">
        <f t="shared" ref="G35:O35" si="21">F35</f>
        <v>148</v>
      </c>
      <c r="H35" s="249">
        <f t="shared" si="21"/>
        <v>148</v>
      </c>
      <c r="I35" s="249">
        <f t="shared" si="21"/>
        <v>148</v>
      </c>
      <c r="J35" s="249">
        <f t="shared" si="21"/>
        <v>148</v>
      </c>
      <c r="K35" s="249">
        <f t="shared" si="21"/>
        <v>148</v>
      </c>
      <c r="L35" s="249">
        <f t="shared" si="21"/>
        <v>148</v>
      </c>
      <c r="M35" s="249">
        <f t="shared" si="21"/>
        <v>148</v>
      </c>
      <c r="N35" s="249">
        <f t="shared" si="21"/>
        <v>148</v>
      </c>
      <c r="O35" s="249">
        <f t="shared" si="21"/>
        <v>148</v>
      </c>
    </row>
    <row r="36" spans="2:15" ht="15" customHeight="1" thickTop="1" x14ac:dyDescent="0.2">
      <c r="B36" s="220" t="s">
        <v>116</v>
      </c>
      <c r="C36" s="234"/>
      <c r="D36" s="234">
        <v>5507</v>
      </c>
      <c r="E36" s="234">
        <v>5972</v>
      </c>
      <c r="F36" s="234">
        <f>SUM(F32:F35)</f>
        <v>6189.3539787662348</v>
      </c>
      <c r="G36" s="234">
        <f t="shared" ref="G36:O36" si="22">SUM(G32:G35)</f>
        <v>7599.8301747420956</v>
      </c>
      <c r="H36" s="234">
        <f t="shared" si="22"/>
        <v>8113.0090188549993</v>
      </c>
      <c r="I36" s="234">
        <f t="shared" si="22"/>
        <v>8741.9338032355154</v>
      </c>
      <c r="J36" s="234">
        <f t="shared" si="22"/>
        <v>10484.227961825134</v>
      </c>
      <c r="K36" s="234">
        <f t="shared" si="22"/>
        <v>12346.314259297651</v>
      </c>
      <c r="L36" s="234">
        <f t="shared" si="22"/>
        <v>14305.920720580118</v>
      </c>
      <c r="M36" s="234">
        <f t="shared" si="22"/>
        <v>15394.639356268377</v>
      </c>
      <c r="N36" s="234">
        <f t="shared" si="22"/>
        <v>17569.816651950143</v>
      </c>
      <c r="O36" s="234">
        <f t="shared" si="22"/>
        <v>19856.720744017814</v>
      </c>
    </row>
    <row r="37" spans="2:15" ht="7" customHeight="1" x14ac:dyDescent="0.2">
      <c r="C37" s="234"/>
      <c r="D37" s="234"/>
      <c r="E37" s="234"/>
      <c r="F37" s="234"/>
      <c r="G37" s="234"/>
      <c r="H37" s="234"/>
      <c r="I37" s="234"/>
      <c r="J37" s="234"/>
      <c r="K37" s="234"/>
      <c r="L37" s="234"/>
      <c r="M37" s="234"/>
      <c r="N37" s="234"/>
      <c r="O37" s="234"/>
    </row>
    <row r="38" spans="2:15" ht="15" customHeight="1" x14ac:dyDescent="0.2">
      <c r="B38" s="235" t="s">
        <v>115</v>
      </c>
      <c r="C38" s="234"/>
      <c r="D38" s="234">
        <v>2300</v>
      </c>
      <c r="E38" s="234">
        <v>2474</v>
      </c>
      <c r="F38" s="234">
        <f>F110</f>
        <v>2671.8242721811457</v>
      </c>
      <c r="G38" s="234">
        <f t="shared" ref="G38:O38" si="23">G110</f>
        <v>2858.7015301524953</v>
      </c>
      <c r="H38" s="234">
        <f t="shared" si="23"/>
        <v>3034.0844232035579</v>
      </c>
      <c r="I38" s="234">
        <f t="shared" si="23"/>
        <v>3197.39823308832</v>
      </c>
      <c r="J38" s="234">
        <f t="shared" si="23"/>
        <v>3348.0395056484663</v>
      </c>
      <c r="K38" s="234">
        <f t="shared" si="23"/>
        <v>3485.3746140177664</v>
      </c>
      <c r="L38" s="234">
        <f t="shared" si="23"/>
        <v>3602.4867131121791</v>
      </c>
      <c r="M38" s="234">
        <f t="shared" si="23"/>
        <v>3698.5668825607108</v>
      </c>
      <c r="N38" s="234">
        <f t="shared" si="23"/>
        <v>3766.0121828940673</v>
      </c>
      <c r="O38" s="234">
        <f t="shared" si="23"/>
        <v>3803.9635680387946</v>
      </c>
    </row>
    <row r="39" spans="2:15" ht="15" customHeight="1" x14ac:dyDescent="0.2">
      <c r="B39" s="235" t="s">
        <v>270</v>
      </c>
      <c r="C39" s="234"/>
      <c r="D39" s="234">
        <v>6613</v>
      </c>
      <c r="E39" s="234">
        <v>6661</v>
      </c>
      <c r="F39" s="250">
        <f>E39</f>
        <v>6661</v>
      </c>
      <c r="G39" s="250">
        <f t="shared" ref="G39:O39" si="24">F39</f>
        <v>6661</v>
      </c>
      <c r="H39" s="250">
        <f t="shared" si="24"/>
        <v>6661</v>
      </c>
      <c r="I39" s="250">
        <f t="shared" si="24"/>
        <v>6661</v>
      </c>
      <c r="J39" s="250">
        <f t="shared" si="24"/>
        <v>6661</v>
      </c>
      <c r="K39" s="250">
        <f t="shared" si="24"/>
        <v>6661</v>
      </c>
      <c r="L39" s="250">
        <f t="shared" si="24"/>
        <v>6661</v>
      </c>
      <c r="M39" s="250">
        <f t="shared" si="24"/>
        <v>6661</v>
      </c>
      <c r="N39" s="250">
        <f t="shared" si="24"/>
        <v>6661</v>
      </c>
      <c r="O39" s="250">
        <f t="shared" si="24"/>
        <v>6661</v>
      </c>
    </row>
    <row r="40" spans="2:15" ht="15" customHeight="1" x14ac:dyDescent="0.2">
      <c r="B40" s="235" t="s">
        <v>271</v>
      </c>
      <c r="C40" s="234"/>
      <c r="D40" s="234">
        <v>3440</v>
      </c>
      <c r="E40" s="234">
        <v>3744</v>
      </c>
      <c r="F40" s="234">
        <f>F137</f>
        <v>4119.6415671641789</v>
      </c>
      <c r="G40" s="234">
        <f t="shared" ref="G40:O40" si="25">G137</f>
        <v>4519.546779850747</v>
      </c>
      <c r="H40" s="234">
        <f t="shared" si="25"/>
        <v>4944.5788203358215</v>
      </c>
      <c r="I40" s="234">
        <f t="shared" si="25"/>
        <v>5387.6440300093291</v>
      </c>
      <c r="J40" s="234">
        <f t="shared" si="25"/>
        <v>5851.6940673306917</v>
      </c>
      <c r="K40" s="234">
        <f t="shared" si="25"/>
        <v>6336.7281736823006</v>
      </c>
      <c r="L40" s="234">
        <f t="shared" si="25"/>
        <v>6838.4780330122421</v>
      </c>
      <c r="M40" s="234">
        <f t="shared" si="25"/>
        <v>7357.6122754396483</v>
      </c>
      <c r="N40" s="234">
        <f t="shared" si="25"/>
        <v>7889.0748471935121</v>
      </c>
      <c r="O40" s="234">
        <f t="shared" si="25"/>
        <v>8433.2355981536275</v>
      </c>
    </row>
    <row r="41" spans="2:15" ht="15" customHeight="1" thickBot="1" x14ac:dyDescent="0.25">
      <c r="B41" s="220" t="s">
        <v>114</v>
      </c>
      <c r="C41" s="238"/>
      <c r="D41" s="248">
        <f>D42-SUM(D36:D40)</f>
        <v>726</v>
      </c>
      <c r="E41" s="248">
        <f>E42-SUM(E36:E40)</f>
        <v>577</v>
      </c>
      <c r="F41" s="249">
        <f>E41</f>
        <v>577</v>
      </c>
      <c r="G41" s="249">
        <f t="shared" ref="G41:O41" si="26">F41</f>
        <v>577</v>
      </c>
      <c r="H41" s="249">
        <f t="shared" si="26"/>
        <v>577</v>
      </c>
      <c r="I41" s="249">
        <f t="shared" si="26"/>
        <v>577</v>
      </c>
      <c r="J41" s="249">
        <f t="shared" si="26"/>
        <v>577</v>
      </c>
      <c r="K41" s="249">
        <f t="shared" si="26"/>
        <v>577</v>
      </c>
      <c r="L41" s="249">
        <f t="shared" si="26"/>
        <v>577</v>
      </c>
      <c r="M41" s="249">
        <f t="shared" si="26"/>
        <v>577</v>
      </c>
      <c r="N41" s="249">
        <f t="shared" si="26"/>
        <v>577</v>
      </c>
      <c r="O41" s="249">
        <f t="shared" si="26"/>
        <v>577</v>
      </c>
    </row>
    <row r="42" spans="2:15" ht="15" customHeight="1" thickTop="1" x14ac:dyDescent="0.2">
      <c r="B42" s="251" t="s">
        <v>113</v>
      </c>
      <c r="C42" s="230">
        <v>16896</v>
      </c>
      <c r="D42" s="230">
        <v>18586</v>
      </c>
      <c r="E42" s="230">
        <v>19428</v>
      </c>
      <c r="F42" s="230">
        <f>SUM(F36:F41)</f>
        <v>20218.819818111559</v>
      </c>
      <c r="G42" s="230">
        <f t="shared" ref="G42:O42" si="27">SUM(G36:G41)</f>
        <v>22216.07848474534</v>
      </c>
      <c r="H42" s="230">
        <f t="shared" si="27"/>
        <v>23329.672262394379</v>
      </c>
      <c r="I42" s="230">
        <f t="shared" si="27"/>
        <v>24564.976066333162</v>
      </c>
      <c r="J42" s="230">
        <f t="shared" si="27"/>
        <v>26921.961534804293</v>
      </c>
      <c r="K42" s="230">
        <f t="shared" si="27"/>
        <v>29406.417046997718</v>
      </c>
      <c r="L42" s="230">
        <f t="shared" si="27"/>
        <v>31984.885466704538</v>
      </c>
      <c r="M42" s="230">
        <f t="shared" si="27"/>
        <v>33688.818514268736</v>
      </c>
      <c r="N42" s="230">
        <f t="shared" si="27"/>
        <v>36462.903682037722</v>
      </c>
      <c r="O42" s="230">
        <f t="shared" si="27"/>
        <v>39331.919910210236</v>
      </c>
    </row>
    <row r="43" spans="2:15" ht="8" customHeight="1" x14ac:dyDescent="0.2">
      <c r="C43" s="234"/>
      <c r="D43" s="234"/>
      <c r="E43" s="234"/>
    </row>
    <row r="44" spans="2:15" ht="15" customHeight="1" x14ac:dyDescent="0.2">
      <c r="B44" s="252" t="s">
        <v>112</v>
      </c>
      <c r="C44" s="234"/>
      <c r="D44" s="234"/>
      <c r="E44" s="234"/>
    </row>
    <row r="45" spans="2:15" ht="15" customHeight="1" x14ac:dyDescent="0.2">
      <c r="B45" s="220" t="s">
        <v>272</v>
      </c>
      <c r="C45" s="234"/>
      <c r="D45" s="234">
        <v>2</v>
      </c>
      <c r="E45" s="234">
        <v>1093</v>
      </c>
      <c r="F45" s="253">
        <f>E45+F72</f>
        <v>0</v>
      </c>
      <c r="G45" s="253">
        <f t="shared" ref="G45:O45" si="28">F45+G72</f>
        <v>0</v>
      </c>
      <c r="H45" s="253">
        <f t="shared" si="28"/>
        <v>0</v>
      </c>
      <c r="I45" s="253">
        <f t="shared" si="28"/>
        <v>0</v>
      </c>
      <c r="J45" s="253">
        <f t="shared" si="28"/>
        <v>0</v>
      </c>
      <c r="K45" s="253">
        <f t="shared" si="28"/>
        <v>0</v>
      </c>
      <c r="L45" s="253">
        <f t="shared" si="28"/>
        <v>0</v>
      </c>
      <c r="M45" s="253">
        <f t="shared" si="28"/>
        <v>0</v>
      </c>
      <c r="N45" s="253">
        <f t="shared" si="28"/>
        <v>0</v>
      </c>
      <c r="O45" s="253">
        <f t="shared" si="28"/>
        <v>0</v>
      </c>
    </row>
    <row r="46" spans="2:15" ht="15" customHeight="1" x14ac:dyDescent="0.2">
      <c r="B46" s="220" t="s">
        <v>273</v>
      </c>
      <c r="C46" s="234"/>
      <c r="D46" s="234">
        <v>1039</v>
      </c>
      <c r="E46" s="234">
        <v>1162</v>
      </c>
      <c r="F46" s="254">
        <f>F92</f>
        <v>1206.9087681115602</v>
      </c>
      <c r="G46" s="254">
        <f t="shared" ref="G46:O46" si="29">G92</f>
        <v>1264.7298239437673</v>
      </c>
      <c r="H46" s="254">
        <f t="shared" si="29"/>
        <v>1325.384398321009</v>
      </c>
      <c r="I46" s="254">
        <f t="shared" si="29"/>
        <v>1387.6990986773867</v>
      </c>
      <c r="J46" s="254">
        <f t="shared" si="29"/>
        <v>1453.4665203529532</v>
      </c>
      <c r="K46" s="254">
        <f t="shared" si="29"/>
        <v>1522.3497103725726</v>
      </c>
      <c r="L46" s="254">
        <f t="shared" si="29"/>
        <v>1578.5748727789178</v>
      </c>
      <c r="M46" s="254">
        <f t="shared" si="29"/>
        <v>1637.0490416815173</v>
      </c>
      <c r="N46" s="254">
        <f t="shared" si="29"/>
        <v>1680.4460517574432</v>
      </c>
      <c r="O46" s="254">
        <f t="shared" si="29"/>
        <v>1725.1449721356464</v>
      </c>
    </row>
    <row r="47" spans="2:15" ht="15" customHeight="1" thickBot="1" x14ac:dyDescent="0.25">
      <c r="B47" s="220" t="s">
        <v>274</v>
      </c>
      <c r="C47" s="234"/>
      <c r="D47" s="248">
        <f>D48-D45-D46</f>
        <v>567</v>
      </c>
      <c r="E47" s="248">
        <f>E48-E45-E46</f>
        <v>572</v>
      </c>
      <c r="F47" s="249">
        <f>E47</f>
        <v>572</v>
      </c>
      <c r="G47" s="249">
        <f t="shared" ref="G47:O47" si="30">F47</f>
        <v>572</v>
      </c>
      <c r="H47" s="249">
        <f t="shared" si="30"/>
        <v>572</v>
      </c>
      <c r="I47" s="249">
        <f t="shared" si="30"/>
        <v>572</v>
      </c>
      <c r="J47" s="249">
        <f t="shared" si="30"/>
        <v>572</v>
      </c>
      <c r="K47" s="249">
        <f t="shared" si="30"/>
        <v>572</v>
      </c>
      <c r="L47" s="249">
        <f t="shared" si="30"/>
        <v>572</v>
      </c>
      <c r="M47" s="249">
        <f t="shared" si="30"/>
        <v>572</v>
      </c>
      <c r="N47" s="249">
        <f t="shared" si="30"/>
        <v>572</v>
      </c>
      <c r="O47" s="249">
        <f t="shared" si="30"/>
        <v>572</v>
      </c>
    </row>
    <row r="48" spans="2:15" ht="15" customHeight="1" thickTop="1" x14ac:dyDescent="0.2">
      <c r="B48" s="220" t="s">
        <v>111</v>
      </c>
      <c r="C48" s="234"/>
      <c r="D48" s="234">
        <v>1608</v>
      </c>
      <c r="E48" s="234">
        <v>2827</v>
      </c>
      <c r="F48" s="234">
        <f>SUM(F45:F47)</f>
        <v>1778.9087681115602</v>
      </c>
      <c r="G48" s="234">
        <f t="shared" ref="G48:O48" si="31">SUM(G45:G47)</f>
        <v>1836.7298239437673</v>
      </c>
      <c r="H48" s="234">
        <f t="shared" si="31"/>
        <v>1897.384398321009</v>
      </c>
      <c r="I48" s="234">
        <f t="shared" si="31"/>
        <v>1959.6990986773867</v>
      </c>
      <c r="J48" s="234">
        <f t="shared" si="31"/>
        <v>2025.4665203529532</v>
      </c>
      <c r="K48" s="234">
        <f t="shared" si="31"/>
        <v>2094.3497103725726</v>
      </c>
      <c r="L48" s="234">
        <f t="shared" si="31"/>
        <v>2150.5748727789178</v>
      </c>
      <c r="M48" s="234">
        <f t="shared" si="31"/>
        <v>2209.0490416815173</v>
      </c>
      <c r="N48" s="234">
        <f t="shared" si="31"/>
        <v>2252.4460517574435</v>
      </c>
      <c r="O48" s="234">
        <f t="shared" si="31"/>
        <v>2297.1449721356466</v>
      </c>
    </row>
    <row r="49" spans="1:15" ht="7" customHeight="1" x14ac:dyDescent="0.2">
      <c r="C49" s="234"/>
      <c r="D49" s="234"/>
      <c r="E49" s="234"/>
      <c r="F49" s="234"/>
      <c r="G49" s="234"/>
      <c r="H49" s="234"/>
      <c r="I49" s="234"/>
      <c r="J49" s="234"/>
      <c r="K49" s="234"/>
      <c r="L49" s="234"/>
      <c r="M49" s="234"/>
      <c r="N49" s="234"/>
      <c r="O49" s="234"/>
    </row>
    <row r="50" spans="1:15" ht="15" customHeight="1" x14ac:dyDescent="0.2">
      <c r="B50" s="220" t="s">
        <v>110</v>
      </c>
      <c r="C50" s="234">
        <v>3807</v>
      </c>
      <c r="D50" s="234">
        <v>3569</v>
      </c>
      <c r="E50" s="234">
        <v>3493</v>
      </c>
      <c r="F50" s="253">
        <f>E50+F73+F74</f>
        <v>3493</v>
      </c>
      <c r="G50" s="253">
        <f t="shared" ref="G50:O50" si="32">F50+G73+G74</f>
        <v>3492</v>
      </c>
      <c r="H50" s="253">
        <f t="shared" si="32"/>
        <v>2491</v>
      </c>
      <c r="I50" s="253">
        <f t="shared" si="32"/>
        <v>1491</v>
      </c>
      <c r="J50" s="253">
        <f t="shared" si="32"/>
        <v>1491</v>
      </c>
      <c r="K50" s="253">
        <f t="shared" si="32"/>
        <v>1491</v>
      </c>
      <c r="L50" s="253">
        <f t="shared" si="32"/>
        <v>1491</v>
      </c>
      <c r="M50" s="253">
        <f t="shared" si="32"/>
        <v>496</v>
      </c>
      <c r="N50" s="253">
        <f t="shared" si="32"/>
        <v>496</v>
      </c>
      <c r="O50" s="253">
        <f t="shared" si="32"/>
        <v>496</v>
      </c>
    </row>
    <row r="51" spans="1:15" ht="15" customHeight="1" x14ac:dyDescent="0.2">
      <c r="B51" s="235" t="s">
        <v>109</v>
      </c>
      <c r="C51" s="234"/>
      <c r="D51" s="234">
        <v>442</v>
      </c>
      <c r="E51" s="234">
        <v>678</v>
      </c>
      <c r="F51" s="250">
        <f>E51</f>
        <v>678</v>
      </c>
      <c r="G51" s="250">
        <f t="shared" ref="G51:O52" si="33">F51</f>
        <v>678</v>
      </c>
      <c r="H51" s="250">
        <f t="shared" si="33"/>
        <v>678</v>
      </c>
      <c r="I51" s="250">
        <f t="shared" si="33"/>
        <v>678</v>
      </c>
      <c r="J51" s="250">
        <f t="shared" si="33"/>
        <v>678</v>
      </c>
      <c r="K51" s="250">
        <f t="shared" si="33"/>
        <v>678</v>
      </c>
      <c r="L51" s="250">
        <f t="shared" si="33"/>
        <v>678</v>
      </c>
      <c r="M51" s="250">
        <f t="shared" si="33"/>
        <v>678</v>
      </c>
      <c r="N51" s="250">
        <f t="shared" si="33"/>
        <v>678</v>
      </c>
      <c r="O51" s="250">
        <f t="shared" si="33"/>
        <v>678</v>
      </c>
    </row>
    <row r="52" spans="1:15" ht="15" customHeight="1" thickBot="1" x14ac:dyDescent="0.25">
      <c r="B52" s="220" t="s">
        <v>108</v>
      </c>
      <c r="C52" s="234"/>
      <c r="D52" s="248">
        <v>1554</v>
      </c>
      <c r="E52" s="248">
        <v>1473</v>
      </c>
      <c r="F52" s="249">
        <f>E52</f>
        <v>1473</v>
      </c>
      <c r="G52" s="249">
        <f t="shared" si="33"/>
        <v>1473</v>
      </c>
      <c r="H52" s="249">
        <f t="shared" si="33"/>
        <v>1473</v>
      </c>
      <c r="I52" s="249">
        <f t="shared" si="33"/>
        <v>1473</v>
      </c>
      <c r="J52" s="249">
        <f t="shared" si="33"/>
        <v>1473</v>
      </c>
      <c r="K52" s="249">
        <f t="shared" si="33"/>
        <v>1473</v>
      </c>
      <c r="L52" s="249">
        <f t="shared" si="33"/>
        <v>1473</v>
      </c>
      <c r="M52" s="249">
        <f t="shared" si="33"/>
        <v>1473</v>
      </c>
      <c r="N52" s="249">
        <f t="shared" si="33"/>
        <v>1473</v>
      </c>
      <c r="O52" s="249">
        <f t="shared" si="33"/>
        <v>1473</v>
      </c>
    </row>
    <row r="53" spans="1:15" ht="15" customHeight="1" thickTop="1" thickBot="1" x14ac:dyDescent="0.25">
      <c r="B53" s="251" t="s">
        <v>107</v>
      </c>
      <c r="C53" s="255">
        <f>C55-C54</f>
        <v>7092</v>
      </c>
      <c r="D53" s="255">
        <f>SUM(D48:D52)</f>
        <v>7173</v>
      </c>
      <c r="E53" s="255">
        <f>SUM(E48:E52)</f>
        <v>8471</v>
      </c>
      <c r="F53" s="255">
        <f t="shared" ref="F53:O53" si="34">SUM(F48:F52)</f>
        <v>7422.9087681115598</v>
      </c>
      <c r="G53" s="255">
        <f t="shared" si="34"/>
        <v>7479.7298239437678</v>
      </c>
      <c r="H53" s="255">
        <f t="shared" si="34"/>
        <v>6539.384398321009</v>
      </c>
      <c r="I53" s="255">
        <f t="shared" si="34"/>
        <v>5601.6990986773872</v>
      </c>
      <c r="J53" s="255">
        <f t="shared" si="34"/>
        <v>5667.466520352953</v>
      </c>
      <c r="K53" s="255">
        <f t="shared" si="34"/>
        <v>5736.3497103725731</v>
      </c>
      <c r="L53" s="255">
        <f t="shared" si="34"/>
        <v>5792.5748727789178</v>
      </c>
      <c r="M53" s="255">
        <f t="shared" si="34"/>
        <v>4856.0490416815173</v>
      </c>
      <c r="N53" s="255">
        <f t="shared" si="34"/>
        <v>4899.4460517574435</v>
      </c>
      <c r="O53" s="255">
        <f t="shared" si="34"/>
        <v>4944.1449721356466</v>
      </c>
    </row>
    <row r="54" spans="1:15" ht="15" customHeight="1" thickTop="1" thickBot="1" x14ac:dyDescent="0.25">
      <c r="B54" s="229" t="s">
        <v>275</v>
      </c>
      <c r="C54" s="255">
        <v>9804</v>
      </c>
      <c r="D54" s="255">
        <v>11413</v>
      </c>
      <c r="E54" s="255">
        <v>10957</v>
      </c>
      <c r="F54" s="255">
        <f t="shared" ref="F54:O54" si="35">E54+F24+F62+F76+F77+F78</f>
        <v>12795.911050000001</v>
      </c>
      <c r="G54" s="255">
        <f t="shared" si="35"/>
        <v>14736.348660801572</v>
      </c>
      <c r="H54" s="255">
        <f t="shared" si="35"/>
        <v>16790.287864073372</v>
      </c>
      <c r="I54" s="255">
        <f t="shared" si="35"/>
        <v>18963.27696765578</v>
      </c>
      <c r="J54" s="255">
        <f t="shared" si="35"/>
        <v>21254.495014451339</v>
      </c>
      <c r="K54" s="255">
        <f t="shared" si="35"/>
        <v>23670.067336625143</v>
      </c>
      <c r="L54" s="255">
        <f t="shared" si="35"/>
        <v>26192.31059392562</v>
      </c>
      <c r="M54" s="255">
        <f t="shared" si="35"/>
        <v>28832.769472587217</v>
      </c>
      <c r="N54" s="255">
        <f t="shared" si="35"/>
        <v>31563.457630280278</v>
      </c>
      <c r="O54" s="255">
        <f t="shared" si="35"/>
        <v>34387.774938074588</v>
      </c>
    </row>
    <row r="55" spans="1:15" ht="15" customHeight="1" thickTop="1" x14ac:dyDescent="0.2">
      <c r="B55" s="251" t="s">
        <v>223</v>
      </c>
      <c r="C55" s="230">
        <f>C42</f>
        <v>16896</v>
      </c>
      <c r="D55" s="230">
        <v>18586</v>
      </c>
      <c r="E55" s="230">
        <v>19428</v>
      </c>
      <c r="F55" s="230">
        <f>F53+F54</f>
        <v>20218.819818111559</v>
      </c>
      <c r="G55" s="230">
        <f t="shared" ref="G55:O55" si="36">G53+G54</f>
        <v>22216.07848474534</v>
      </c>
      <c r="H55" s="230">
        <f t="shared" si="36"/>
        <v>23329.672262394382</v>
      </c>
      <c r="I55" s="230">
        <f t="shared" si="36"/>
        <v>24564.976066333169</v>
      </c>
      <c r="J55" s="230">
        <f t="shared" si="36"/>
        <v>26921.961534804293</v>
      </c>
      <c r="K55" s="230">
        <f t="shared" si="36"/>
        <v>29406.417046997718</v>
      </c>
      <c r="L55" s="230">
        <f t="shared" si="36"/>
        <v>31984.885466704538</v>
      </c>
      <c r="M55" s="230">
        <f t="shared" si="36"/>
        <v>33688.818514268736</v>
      </c>
      <c r="N55" s="230">
        <f t="shared" si="36"/>
        <v>36462.903682037722</v>
      </c>
      <c r="O55" s="230">
        <f t="shared" si="36"/>
        <v>39331.919910210236</v>
      </c>
    </row>
    <row r="56" spans="1:15" ht="15" customHeight="1" x14ac:dyDescent="0.2">
      <c r="B56" s="256" t="s">
        <v>276</v>
      </c>
      <c r="C56" s="230"/>
      <c r="D56" s="257">
        <f t="shared" ref="D56:O56" si="37">D42-D55</f>
        <v>0</v>
      </c>
      <c r="E56" s="257">
        <f t="shared" si="37"/>
        <v>0</v>
      </c>
      <c r="F56" s="257">
        <f t="shared" si="37"/>
        <v>0</v>
      </c>
      <c r="G56" s="257">
        <f t="shared" si="37"/>
        <v>0</v>
      </c>
      <c r="H56" s="257">
        <f t="shared" si="37"/>
        <v>0</v>
      </c>
      <c r="I56" s="257">
        <f t="shared" si="37"/>
        <v>0</v>
      </c>
      <c r="J56" s="257">
        <f t="shared" si="37"/>
        <v>0</v>
      </c>
      <c r="K56" s="257">
        <f t="shared" si="37"/>
        <v>0</v>
      </c>
      <c r="L56" s="257">
        <f t="shared" si="37"/>
        <v>0</v>
      </c>
      <c r="M56" s="257">
        <f t="shared" si="37"/>
        <v>0</v>
      </c>
      <c r="N56" s="257">
        <f t="shared" si="37"/>
        <v>0</v>
      </c>
      <c r="O56" s="257">
        <f t="shared" si="37"/>
        <v>0</v>
      </c>
    </row>
    <row r="57" spans="1:15" ht="16" x14ac:dyDescent="0.2">
      <c r="C57" s="234"/>
      <c r="D57" s="234"/>
      <c r="E57" s="234"/>
    </row>
    <row r="58" spans="1:15" ht="16" thickBot="1" x14ac:dyDescent="0.25">
      <c r="C58" s="222" t="s">
        <v>252</v>
      </c>
      <c r="D58" s="223"/>
      <c r="E58" s="223"/>
      <c r="F58" s="224" t="s">
        <v>253</v>
      </c>
      <c r="G58" s="225"/>
      <c r="H58" s="225"/>
      <c r="I58" s="225"/>
      <c r="J58" s="225"/>
      <c r="K58" s="225"/>
      <c r="L58" s="225"/>
      <c r="M58" s="225"/>
      <c r="N58" s="225"/>
      <c r="O58" s="225"/>
    </row>
    <row r="59" spans="1:15" ht="17" thickTop="1" x14ac:dyDescent="0.2">
      <c r="A59" s="226" t="s">
        <v>277</v>
      </c>
      <c r="B59" s="221"/>
      <c r="C59" s="227">
        <v>2013</v>
      </c>
      <c r="D59" s="227">
        <v>2014</v>
      </c>
      <c r="E59" s="228">
        <v>2015</v>
      </c>
      <c r="F59" s="228">
        <f t="shared" ref="F59:O59" si="38">E59+1</f>
        <v>2016</v>
      </c>
      <c r="G59" s="228">
        <f t="shared" si="38"/>
        <v>2017</v>
      </c>
      <c r="H59" s="228">
        <f t="shared" si="38"/>
        <v>2018</v>
      </c>
      <c r="I59" s="228">
        <f t="shared" si="38"/>
        <v>2019</v>
      </c>
      <c r="J59" s="228">
        <f t="shared" si="38"/>
        <v>2020</v>
      </c>
      <c r="K59" s="228">
        <f t="shared" si="38"/>
        <v>2021</v>
      </c>
      <c r="L59" s="228">
        <f t="shared" si="38"/>
        <v>2022</v>
      </c>
      <c r="M59" s="228">
        <f t="shared" si="38"/>
        <v>2023</v>
      </c>
      <c r="N59" s="228">
        <f t="shared" si="38"/>
        <v>2024</v>
      </c>
      <c r="O59" s="228">
        <f t="shared" si="38"/>
        <v>2025</v>
      </c>
    </row>
    <row r="60" spans="1:15" ht="15" customHeight="1" x14ac:dyDescent="0.2">
      <c r="B60" s="235" t="s">
        <v>263</v>
      </c>
      <c r="C60" s="234">
        <f>C24</f>
        <v>1433</v>
      </c>
      <c r="D60" s="234">
        <f>D24</f>
        <v>1758</v>
      </c>
      <c r="E60" s="234">
        <f>E24</f>
        <v>1731</v>
      </c>
      <c r="F60" s="234">
        <f t="shared" ref="F60:O60" si="39">F24</f>
        <v>1779.06105</v>
      </c>
      <c r="G60" s="234">
        <f t="shared" si="39"/>
        <v>1877.5951108015697</v>
      </c>
      <c r="H60" s="234">
        <f t="shared" si="39"/>
        <v>1987.9545782717996</v>
      </c>
      <c r="I60" s="234">
        <f>I24</f>
        <v>2103.7052473324075</v>
      </c>
      <c r="J60" s="234">
        <f t="shared" si="39"/>
        <v>2218.4699977330611</v>
      </c>
      <c r="K60" s="234">
        <f t="shared" si="39"/>
        <v>2339.1868706581804</v>
      </c>
      <c r="L60" s="234">
        <f t="shared" si="39"/>
        <v>2442.8023877242267</v>
      </c>
      <c r="M60" s="234">
        <f t="shared" si="39"/>
        <v>2557.8403743022964</v>
      </c>
      <c r="N60" s="234">
        <f t="shared" si="39"/>
        <v>2645.5910982029814</v>
      </c>
      <c r="O60" s="234">
        <f t="shared" si="39"/>
        <v>2736.6673365195288</v>
      </c>
    </row>
    <row r="61" spans="1:15" ht="15" customHeight="1" x14ac:dyDescent="0.2">
      <c r="B61" s="235" t="s">
        <v>238</v>
      </c>
      <c r="C61" s="234">
        <v>214.9</v>
      </c>
      <c r="D61" s="234">
        <v>293</v>
      </c>
      <c r="E61" s="234">
        <v>325</v>
      </c>
      <c r="F61" s="234">
        <f>-F159</f>
        <v>372.00666065467487</v>
      </c>
      <c r="G61" s="234">
        <f t="shared" ref="G61:O61" si="40">-G159</f>
        <v>405.96365434208349</v>
      </c>
      <c r="H61" s="234">
        <f t="shared" si="40"/>
        <v>441.96849771386252</v>
      </c>
      <c r="I61" s="234">
        <f t="shared" si="40"/>
        <v>488.12358325423054</v>
      </c>
      <c r="J61" s="234">
        <f t="shared" si="40"/>
        <v>534.53642307161692</v>
      </c>
      <c r="K61" s="234">
        <f t="shared" si="40"/>
        <v>584.31990487987264</v>
      </c>
      <c r="L61" s="234">
        <f t="shared" si="40"/>
        <v>636.0947259604585</v>
      </c>
      <c r="M61" s="234">
        <f t="shared" si="40"/>
        <v>689.94053988426799</v>
      </c>
      <c r="N61" s="234">
        <f t="shared" si="40"/>
        <v>745.40172822579166</v>
      </c>
      <c r="O61" s="234">
        <f t="shared" si="40"/>
        <v>802.52675221756101</v>
      </c>
    </row>
    <row r="62" spans="1:15" ht="15" customHeight="1" x14ac:dyDescent="0.2">
      <c r="B62" s="220" t="s">
        <v>278</v>
      </c>
      <c r="C62" s="234">
        <v>52</v>
      </c>
      <c r="D62" s="234">
        <v>60</v>
      </c>
      <c r="E62" s="234">
        <v>57</v>
      </c>
      <c r="F62" s="234">
        <f>F163</f>
        <v>59.849999999999994</v>
      </c>
      <c r="G62" s="234">
        <f t="shared" ref="G62:O62" si="41">G163</f>
        <v>62.842500000000001</v>
      </c>
      <c r="H62" s="234">
        <f t="shared" si="41"/>
        <v>65.984625000000008</v>
      </c>
      <c r="I62" s="234">
        <f t="shared" si="41"/>
        <v>69.283856249999999</v>
      </c>
      <c r="J62" s="234">
        <f t="shared" si="41"/>
        <v>72.748049062500002</v>
      </c>
      <c r="K62" s="234">
        <f t="shared" si="41"/>
        <v>76.385451515625007</v>
      </c>
      <c r="L62" s="234">
        <f t="shared" si="41"/>
        <v>79.440869576250009</v>
      </c>
      <c r="M62" s="234">
        <f t="shared" si="41"/>
        <v>82.618504359300005</v>
      </c>
      <c r="N62" s="234">
        <f t="shared" si="41"/>
        <v>85.097059490079019</v>
      </c>
      <c r="O62" s="234">
        <f t="shared" si="41"/>
        <v>87.649971274781379</v>
      </c>
    </row>
    <row r="63" spans="1:15" ht="15" customHeight="1" x14ac:dyDescent="0.2">
      <c r="B63" s="235" t="s">
        <v>279</v>
      </c>
      <c r="C63" s="234">
        <v>-323</v>
      </c>
      <c r="D63" s="234">
        <v>-355</v>
      </c>
      <c r="E63" s="234">
        <v>-457</v>
      </c>
      <c r="F63" s="234">
        <f>F115</f>
        <v>-525.26250000000005</v>
      </c>
      <c r="G63" s="234">
        <f t="shared" ref="G63:O63" si="42">G115</f>
        <v>-551.5256250000001</v>
      </c>
      <c r="H63" s="234">
        <f t="shared" si="42"/>
        <v>-579.10190625000007</v>
      </c>
      <c r="I63" s="234">
        <f t="shared" si="42"/>
        <v>-608.05700156250009</v>
      </c>
      <c r="J63" s="234">
        <f t="shared" si="42"/>
        <v>-638.45985164062506</v>
      </c>
      <c r="K63" s="234">
        <f t="shared" si="42"/>
        <v>-670.38284422265633</v>
      </c>
      <c r="L63" s="234">
        <f t="shared" si="42"/>
        <v>-697.19815799156265</v>
      </c>
      <c r="M63" s="234">
        <f t="shared" si="42"/>
        <v>-725.08608431122514</v>
      </c>
      <c r="N63" s="234">
        <f t="shared" si="42"/>
        <v>-746.83866684056193</v>
      </c>
      <c r="O63" s="234">
        <f t="shared" si="42"/>
        <v>-769.24382684577881</v>
      </c>
    </row>
    <row r="64" spans="1:15" ht="15" customHeight="1" x14ac:dyDescent="0.2">
      <c r="B64" s="220" t="s">
        <v>280</v>
      </c>
      <c r="C64" s="234">
        <f>-5346-C63</f>
        <v>-5023</v>
      </c>
      <c r="D64" s="234">
        <f>-1244-D63</f>
        <v>-889</v>
      </c>
      <c r="E64" s="234">
        <f>-1009-E63</f>
        <v>-552</v>
      </c>
      <c r="F64" s="234">
        <f>F142</f>
        <v>-420.21000000000004</v>
      </c>
      <c r="G64" s="234">
        <f t="shared" ref="G64:O64" si="43">G142</f>
        <v>-441.22050000000002</v>
      </c>
      <c r="H64" s="234">
        <f t="shared" si="43"/>
        <v>-463.28152500000004</v>
      </c>
      <c r="I64" s="234">
        <f t="shared" si="43"/>
        <v>-486.44560125000004</v>
      </c>
      <c r="J64" s="234">
        <f t="shared" si="43"/>
        <v>-510.76788131250004</v>
      </c>
      <c r="K64" s="234">
        <f t="shared" si="43"/>
        <v>-536.30627537812506</v>
      </c>
      <c r="L64" s="234">
        <f t="shared" si="43"/>
        <v>-557.75852639325012</v>
      </c>
      <c r="M64" s="234">
        <f t="shared" si="43"/>
        <v>-580.06886744898009</v>
      </c>
      <c r="N64" s="234">
        <f t="shared" si="43"/>
        <v>-597.47093347244959</v>
      </c>
      <c r="O64" s="234">
        <f t="shared" si="43"/>
        <v>-615.39506147662303</v>
      </c>
    </row>
    <row r="65" spans="2:15" ht="15" customHeight="1" x14ac:dyDescent="0.2">
      <c r="B65" s="235" t="s">
        <v>281</v>
      </c>
      <c r="C65" s="234">
        <f>C94</f>
        <v>-429</v>
      </c>
      <c r="D65" s="234">
        <f>D94</f>
        <v>-322</v>
      </c>
      <c r="E65" s="234">
        <f>E94</f>
        <v>-233</v>
      </c>
      <c r="F65" s="234">
        <f>F94</f>
        <v>-216.69397161446796</v>
      </c>
      <c r="G65" s="234">
        <f t="shared" ref="G65:O65" si="44">G94</f>
        <v>-222.75908115409402</v>
      </c>
      <c r="H65" s="234">
        <f t="shared" si="44"/>
        <v>-233.95456945837486</v>
      </c>
      <c r="I65" s="234">
        <f t="shared" si="44"/>
        <v>-247.02490067101917</v>
      </c>
      <c r="J65" s="234">
        <f t="shared" si="44"/>
        <v>-259.03915940320076</v>
      </c>
      <c r="K65" s="234">
        <f t="shared" si="44"/>
        <v>-272.16372011308704</v>
      </c>
      <c r="L65" s="234">
        <f t="shared" si="44"/>
        <v>-230.25424210512756</v>
      </c>
      <c r="M65" s="234">
        <f t="shared" si="44"/>
        <v>-239.46441178933219</v>
      </c>
      <c r="N65" s="234">
        <f t="shared" si="44"/>
        <v>-188.99508286378205</v>
      </c>
      <c r="O65" s="234">
        <f t="shared" si="44"/>
        <v>-194.66493534969322</v>
      </c>
    </row>
    <row r="66" spans="2:15" ht="15" customHeight="1" thickBot="1" x14ac:dyDescent="0.25">
      <c r="B66" s="235" t="s">
        <v>282</v>
      </c>
      <c r="C66" s="258">
        <f>SUM(C60:C65)-C67</f>
        <v>-188.09999999999991</v>
      </c>
      <c r="D66" s="258">
        <f>SUM(D60:D65)-D67</f>
        <v>-93</v>
      </c>
      <c r="E66" s="258">
        <f>SUM(E60:E65)-E67</f>
        <v>178</v>
      </c>
      <c r="F66" s="259">
        <f t="shared" ref="F66:O66" si="45">E35-F35+E41-F41+F47-E47+F51-E51+F52-E52</f>
        <v>0</v>
      </c>
      <c r="G66" s="259">
        <f t="shared" si="45"/>
        <v>0</v>
      </c>
      <c r="H66" s="259">
        <f t="shared" si="45"/>
        <v>0</v>
      </c>
      <c r="I66" s="259">
        <f t="shared" si="45"/>
        <v>0</v>
      </c>
      <c r="J66" s="259">
        <f t="shared" si="45"/>
        <v>0</v>
      </c>
      <c r="K66" s="259">
        <f t="shared" si="45"/>
        <v>0</v>
      </c>
      <c r="L66" s="259">
        <f t="shared" si="45"/>
        <v>0</v>
      </c>
      <c r="M66" s="259">
        <f t="shared" si="45"/>
        <v>0</v>
      </c>
      <c r="N66" s="259">
        <f t="shared" si="45"/>
        <v>0</v>
      </c>
      <c r="O66" s="259">
        <f t="shared" si="45"/>
        <v>0</v>
      </c>
    </row>
    <row r="67" spans="2:15" ht="15" customHeight="1" thickTop="1" x14ac:dyDescent="0.2">
      <c r="B67" s="229" t="s">
        <v>283</v>
      </c>
      <c r="C67" s="230">
        <f>1459-5346</f>
        <v>-3887</v>
      </c>
      <c r="D67" s="230">
        <f>1882-1244</f>
        <v>638</v>
      </c>
      <c r="E67" s="230">
        <f>1702-1009</f>
        <v>693</v>
      </c>
      <c r="F67" s="230">
        <f>SUM(F60:F66)</f>
        <v>1048.7512390402069</v>
      </c>
      <c r="G67" s="230">
        <f t="shared" ref="G67:O67" si="46">SUM(G60:G66)</f>
        <v>1130.8960589895592</v>
      </c>
      <c r="H67" s="230">
        <f t="shared" si="46"/>
        <v>1219.5697002772874</v>
      </c>
      <c r="I67" s="230">
        <f t="shared" si="46"/>
        <v>1319.5851833531192</v>
      </c>
      <c r="J67" s="230">
        <f t="shared" si="46"/>
        <v>1417.4875775108519</v>
      </c>
      <c r="K67" s="230">
        <f t="shared" si="46"/>
        <v>1521.0393873398098</v>
      </c>
      <c r="L67" s="230">
        <f t="shared" si="46"/>
        <v>1673.1270567709948</v>
      </c>
      <c r="M67" s="230">
        <f t="shared" si="46"/>
        <v>1785.7800549963272</v>
      </c>
      <c r="N67" s="230">
        <f t="shared" si="46"/>
        <v>1942.7852027420586</v>
      </c>
      <c r="O67" s="230">
        <f t="shared" si="46"/>
        <v>2047.5402363397757</v>
      </c>
    </row>
    <row r="68" spans="2:15" ht="15" customHeight="1" x14ac:dyDescent="0.2">
      <c r="B68" s="220" t="s">
        <v>260</v>
      </c>
      <c r="C68" s="234">
        <f t="shared" ref="C68:O68" si="47">-C17</f>
        <v>38</v>
      </c>
      <c r="D68" s="234">
        <f t="shared" si="47"/>
        <v>76</v>
      </c>
      <c r="E68" s="234">
        <f t="shared" si="47"/>
        <v>69</v>
      </c>
      <c r="F68" s="234">
        <f t="shared" si="47"/>
        <v>80.790000000000006</v>
      </c>
      <c r="G68" s="234">
        <f t="shared" si="47"/>
        <v>69.850000000000009</v>
      </c>
      <c r="H68" s="234">
        <f t="shared" si="47"/>
        <v>59.83</v>
      </c>
      <c r="I68" s="234">
        <f t="shared" si="47"/>
        <v>39.82</v>
      </c>
      <c r="J68" s="234">
        <f t="shared" si="47"/>
        <v>29.82</v>
      </c>
      <c r="K68" s="234">
        <f t="shared" si="47"/>
        <v>29.82</v>
      </c>
      <c r="L68" s="234">
        <f t="shared" si="47"/>
        <v>29.82</v>
      </c>
      <c r="M68" s="234">
        <f t="shared" si="47"/>
        <v>19.87</v>
      </c>
      <c r="N68" s="234">
        <f t="shared" si="47"/>
        <v>9.92</v>
      </c>
      <c r="O68" s="234">
        <f t="shared" si="47"/>
        <v>9.92</v>
      </c>
    </row>
    <row r="69" spans="2:15" ht="15" customHeight="1" thickBot="1" x14ac:dyDescent="0.25">
      <c r="B69" s="220" t="s">
        <v>284</v>
      </c>
      <c r="C69" s="248">
        <v>-24</v>
      </c>
      <c r="D69" s="248">
        <v>46</v>
      </c>
      <c r="E69" s="248">
        <v>-95</v>
      </c>
      <c r="F69" s="249">
        <v>0</v>
      </c>
      <c r="G69" s="249">
        <v>0</v>
      </c>
      <c r="H69" s="249">
        <v>0</v>
      </c>
      <c r="I69" s="249">
        <v>0</v>
      </c>
      <c r="J69" s="249">
        <v>0</v>
      </c>
      <c r="K69" s="249">
        <v>0</v>
      </c>
      <c r="L69" s="249">
        <v>0</v>
      </c>
      <c r="M69" s="249">
        <v>0</v>
      </c>
      <c r="N69" s="249">
        <v>0</v>
      </c>
      <c r="O69" s="249">
        <v>0</v>
      </c>
    </row>
    <row r="70" spans="2:15" ht="15" customHeight="1" thickTop="1" x14ac:dyDescent="0.2">
      <c r="B70" s="229" t="s">
        <v>283</v>
      </c>
      <c r="C70" s="230">
        <f>C67+C68+C69</f>
        <v>-3873</v>
      </c>
      <c r="D70" s="230">
        <f>D67+D68+D69</f>
        <v>760</v>
      </c>
      <c r="E70" s="230">
        <f>E67+E68+E69</f>
        <v>667</v>
      </c>
      <c r="F70" s="230">
        <f>F67+F68+F69</f>
        <v>1129.5412390402068</v>
      </c>
      <c r="G70" s="230">
        <f t="shared" ref="G70:O70" si="48">G67+G68+G69</f>
        <v>1200.7460589895591</v>
      </c>
      <c r="H70" s="230">
        <f t="shared" si="48"/>
        <v>1279.3997002772874</v>
      </c>
      <c r="I70" s="230">
        <f t="shared" si="48"/>
        <v>1359.4051833531191</v>
      </c>
      <c r="J70" s="230">
        <f t="shared" si="48"/>
        <v>1447.3075775108518</v>
      </c>
      <c r="K70" s="230">
        <f t="shared" si="48"/>
        <v>1550.8593873398097</v>
      </c>
      <c r="L70" s="230">
        <f t="shared" si="48"/>
        <v>1702.9470567709948</v>
      </c>
      <c r="M70" s="230">
        <f t="shared" si="48"/>
        <v>1805.6500549963271</v>
      </c>
      <c r="N70" s="230">
        <f t="shared" si="48"/>
        <v>1952.7052027420586</v>
      </c>
      <c r="O70" s="230">
        <f t="shared" si="48"/>
        <v>2057.4602363397757</v>
      </c>
    </row>
    <row r="71" spans="2:15" ht="6.25" customHeight="1" x14ac:dyDescent="0.2">
      <c r="F71" s="260"/>
      <c r="G71" s="260"/>
      <c r="H71" s="260"/>
      <c r="I71" s="260"/>
      <c r="J71" s="260"/>
      <c r="K71" s="260"/>
      <c r="L71" s="260"/>
      <c r="M71" s="260"/>
      <c r="N71" s="260"/>
      <c r="O71" s="260"/>
    </row>
    <row r="72" spans="2:15" ht="15" customHeight="1" x14ac:dyDescent="0.2">
      <c r="B72" s="220" t="s">
        <v>285</v>
      </c>
      <c r="C72" s="234">
        <v>601</v>
      </c>
      <c r="D72" s="234">
        <v>-30</v>
      </c>
      <c r="E72" s="234">
        <v>1017</v>
      </c>
      <c r="F72" s="261">
        <f>-E45</f>
        <v>-1093</v>
      </c>
      <c r="G72" s="262">
        <v>0</v>
      </c>
      <c r="H72" s="262">
        <v>0</v>
      </c>
      <c r="I72" s="262">
        <v>0</v>
      </c>
      <c r="J72" s="262">
        <v>0</v>
      </c>
      <c r="K72" s="262">
        <v>0</v>
      </c>
      <c r="L72" s="262">
        <v>0</v>
      </c>
      <c r="M72" s="262">
        <v>0</v>
      </c>
      <c r="N72" s="262">
        <v>0</v>
      </c>
      <c r="O72" s="262">
        <v>0</v>
      </c>
    </row>
    <row r="73" spans="2:15" ht="15" customHeight="1" x14ac:dyDescent="0.2">
      <c r="B73" s="220" t="s">
        <v>286</v>
      </c>
      <c r="C73" s="234">
        <v>2993</v>
      </c>
      <c r="D73" s="234">
        <v>0</v>
      </c>
      <c r="E73" s="234">
        <v>0</v>
      </c>
      <c r="F73" s="262">
        <v>0</v>
      </c>
      <c r="G73" s="262">
        <v>0</v>
      </c>
      <c r="H73" s="262">
        <v>0</v>
      </c>
      <c r="I73" s="262">
        <v>0</v>
      </c>
      <c r="J73" s="262">
        <v>0</v>
      </c>
      <c r="K73" s="262">
        <v>0</v>
      </c>
      <c r="L73" s="262">
        <v>0</v>
      </c>
      <c r="M73" s="262">
        <v>0</v>
      </c>
      <c r="N73" s="262">
        <v>0</v>
      </c>
      <c r="O73" s="262">
        <v>0</v>
      </c>
    </row>
    <row r="74" spans="2:15" ht="15" customHeight="1" x14ac:dyDescent="0.2">
      <c r="B74" s="220" t="s">
        <v>287</v>
      </c>
      <c r="C74" s="234">
        <v>-131</v>
      </c>
      <c r="D74" s="234">
        <v>-203</v>
      </c>
      <c r="E74" s="234">
        <v>0</v>
      </c>
      <c r="F74" s="262">
        <v>0</v>
      </c>
      <c r="G74" s="262">
        <v>-1</v>
      </c>
      <c r="H74" s="262">
        <v>-1001</v>
      </c>
      <c r="I74" s="262">
        <v>-1000</v>
      </c>
      <c r="J74" s="262">
        <v>0</v>
      </c>
      <c r="K74" s="262">
        <v>0</v>
      </c>
      <c r="L74" s="262">
        <v>0</v>
      </c>
      <c r="M74" s="262">
        <v>-995</v>
      </c>
      <c r="N74" s="262">
        <v>0</v>
      </c>
      <c r="O74" s="262">
        <v>0</v>
      </c>
    </row>
    <row r="75" spans="2:15" ht="15" customHeight="1" x14ac:dyDescent="0.2">
      <c r="B75" s="220" t="s">
        <v>260</v>
      </c>
      <c r="C75" s="234">
        <f t="shared" ref="C75:O75" si="49">-C68</f>
        <v>-38</v>
      </c>
      <c r="D75" s="234">
        <f t="shared" si="49"/>
        <v>-76</v>
      </c>
      <c r="E75" s="234">
        <f t="shared" si="49"/>
        <v>-69</v>
      </c>
      <c r="F75" s="234">
        <f t="shared" si="49"/>
        <v>-80.790000000000006</v>
      </c>
      <c r="G75" s="234">
        <f t="shared" si="49"/>
        <v>-69.850000000000009</v>
      </c>
      <c r="H75" s="234">
        <f t="shared" si="49"/>
        <v>-59.83</v>
      </c>
      <c r="I75" s="234">
        <f t="shared" si="49"/>
        <v>-39.82</v>
      </c>
      <c r="J75" s="234">
        <f t="shared" si="49"/>
        <v>-29.82</v>
      </c>
      <c r="K75" s="234">
        <f t="shared" si="49"/>
        <v>-29.82</v>
      </c>
      <c r="L75" s="234">
        <f t="shared" si="49"/>
        <v>-29.82</v>
      </c>
      <c r="M75" s="234">
        <f t="shared" si="49"/>
        <v>-19.87</v>
      </c>
      <c r="N75" s="234">
        <f t="shared" si="49"/>
        <v>-9.92</v>
      </c>
      <c r="O75" s="234">
        <f t="shared" si="49"/>
        <v>-9.92</v>
      </c>
    </row>
    <row r="76" spans="2:15" ht="15" customHeight="1" x14ac:dyDescent="0.2">
      <c r="B76" s="220" t="s">
        <v>288</v>
      </c>
      <c r="C76" s="234">
        <v>129</v>
      </c>
      <c r="D76" s="234">
        <v>114</v>
      </c>
      <c r="E76" s="234">
        <v>102</v>
      </c>
      <c r="F76" s="250">
        <v>0</v>
      </c>
      <c r="G76" s="250">
        <f>F76</f>
        <v>0</v>
      </c>
      <c r="H76" s="250">
        <f t="shared" ref="H76:O79" si="50">G76</f>
        <v>0</v>
      </c>
      <c r="I76" s="250">
        <f t="shared" si="50"/>
        <v>0</v>
      </c>
      <c r="J76" s="250">
        <f t="shared" si="50"/>
        <v>0</v>
      </c>
      <c r="K76" s="250">
        <f t="shared" si="50"/>
        <v>0</v>
      </c>
      <c r="L76" s="250">
        <f t="shared" si="50"/>
        <v>0</v>
      </c>
      <c r="M76" s="250">
        <f t="shared" si="50"/>
        <v>0</v>
      </c>
      <c r="N76" s="250">
        <f t="shared" si="50"/>
        <v>0</v>
      </c>
      <c r="O76" s="250">
        <f t="shared" si="50"/>
        <v>0</v>
      </c>
    </row>
    <row r="77" spans="2:15" ht="15" customHeight="1" x14ac:dyDescent="0.2">
      <c r="B77" s="220" t="s">
        <v>289</v>
      </c>
      <c r="C77" s="234">
        <v>-93</v>
      </c>
      <c r="D77" s="234">
        <v>-487</v>
      </c>
      <c r="E77" s="234">
        <v>-1598</v>
      </c>
      <c r="F77" s="250">
        <v>0</v>
      </c>
      <c r="G77" s="250">
        <f>F77</f>
        <v>0</v>
      </c>
      <c r="H77" s="250">
        <f t="shared" si="50"/>
        <v>0</v>
      </c>
      <c r="I77" s="250">
        <f t="shared" si="50"/>
        <v>0</v>
      </c>
      <c r="J77" s="250">
        <f t="shared" si="50"/>
        <v>0</v>
      </c>
      <c r="K77" s="250">
        <f t="shared" si="50"/>
        <v>0</v>
      </c>
      <c r="L77" s="250">
        <f t="shared" si="50"/>
        <v>0</v>
      </c>
      <c r="M77" s="250">
        <f t="shared" si="50"/>
        <v>0</v>
      </c>
      <c r="N77" s="250">
        <f t="shared" si="50"/>
        <v>0</v>
      </c>
      <c r="O77" s="250">
        <f t="shared" si="50"/>
        <v>0</v>
      </c>
    </row>
    <row r="78" spans="2:15" ht="15" customHeight="1" x14ac:dyDescent="0.2">
      <c r="B78" s="220" t="s">
        <v>290</v>
      </c>
      <c r="C78" s="234">
        <v>-17</v>
      </c>
      <c r="D78" s="234">
        <v>-18</v>
      </c>
      <c r="E78" s="234">
        <v>-17</v>
      </c>
      <c r="F78" s="250">
        <v>0</v>
      </c>
      <c r="G78" s="250">
        <f>F78</f>
        <v>0</v>
      </c>
      <c r="H78" s="250">
        <f t="shared" si="50"/>
        <v>0</v>
      </c>
      <c r="I78" s="250">
        <f t="shared" si="50"/>
        <v>0</v>
      </c>
      <c r="J78" s="250">
        <f t="shared" si="50"/>
        <v>0</v>
      </c>
      <c r="K78" s="250">
        <f t="shared" si="50"/>
        <v>0</v>
      </c>
      <c r="L78" s="250">
        <f t="shared" si="50"/>
        <v>0</v>
      </c>
      <c r="M78" s="250">
        <f t="shared" si="50"/>
        <v>0</v>
      </c>
      <c r="N78" s="250">
        <f t="shared" si="50"/>
        <v>0</v>
      </c>
      <c r="O78" s="250">
        <f t="shared" si="50"/>
        <v>0</v>
      </c>
    </row>
    <row r="79" spans="2:15" ht="15" customHeight="1" thickBot="1" x14ac:dyDescent="0.25">
      <c r="B79" s="220" t="s">
        <v>291</v>
      </c>
      <c r="C79" s="248">
        <f>C80-SUM(C72:C78)</f>
        <v>10</v>
      </c>
      <c r="D79" s="248">
        <f>D80-SUM(D72:D78)</f>
        <v>21</v>
      </c>
      <c r="E79" s="248">
        <f>E80-SUM(E72:E78)</f>
        <v>11</v>
      </c>
      <c r="F79" s="249">
        <v>0</v>
      </c>
      <c r="G79" s="249">
        <f>F79</f>
        <v>0</v>
      </c>
      <c r="H79" s="249">
        <f t="shared" si="50"/>
        <v>0</v>
      </c>
      <c r="I79" s="249">
        <f t="shared" si="50"/>
        <v>0</v>
      </c>
      <c r="J79" s="249">
        <f t="shared" si="50"/>
        <v>0</v>
      </c>
      <c r="K79" s="249">
        <f t="shared" si="50"/>
        <v>0</v>
      </c>
      <c r="L79" s="249">
        <f t="shared" si="50"/>
        <v>0</v>
      </c>
      <c r="M79" s="249">
        <f t="shared" si="50"/>
        <v>0</v>
      </c>
      <c r="N79" s="249">
        <f t="shared" si="50"/>
        <v>0</v>
      </c>
      <c r="O79" s="249">
        <f t="shared" si="50"/>
        <v>0</v>
      </c>
    </row>
    <row r="80" spans="2:15" ht="15" customHeight="1" thickTop="1" thickBot="1" x14ac:dyDescent="0.25">
      <c r="B80" s="229" t="s">
        <v>292</v>
      </c>
      <c r="C80" s="255">
        <f>3492-C68</f>
        <v>3454</v>
      </c>
      <c r="D80" s="255">
        <f>-603-D68</f>
        <v>-679</v>
      </c>
      <c r="E80" s="255">
        <f>-485-E68</f>
        <v>-554</v>
      </c>
      <c r="F80" s="255">
        <f>SUM(F72:F79)</f>
        <v>-1173.79</v>
      </c>
      <c r="G80" s="255">
        <f>SUM(G72:G79)</f>
        <v>-70.850000000000009</v>
      </c>
      <c r="H80" s="255">
        <f t="shared" ref="H80:O80" si="51">SUM(H72:H79)</f>
        <v>-1060.83</v>
      </c>
      <c r="I80" s="255">
        <f t="shared" si="51"/>
        <v>-1039.82</v>
      </c>
      <c r="J80" s="255">
        <f t="shared" si="51"/>
        <v>-29.82</v>
      </c>
      <c r="K80" s="255">
        <f t="shared" si="51"/>
        <v>-29.82</v>
      </c>
      <c r="L80" s="255">
        <f t="shared" si="51"/>
        <v>-29.82</v>
      </c>
      <c r="M80" s="255">
        <f t="shared" si="51"/>
        <v>-1014.87</v>
      </c>
      <c r="N80" s="255">
        <f t="shared" si="51"/>
        <v>-9.92</v>
      </c>
      <c r="O80" s="255">
        <f t="shared" si="51"/>
        <v>-9.92</v>
      </c>
    </row>
    <row r="81" spans="1:15" ht="15" customHeight="1" thickTop="1" x14ac:dyDescent="0.2">
      <c r="B81" s="229" t="s">
        <v>293</v>
      </c>
      <c r="C81" s="230">
        <f>C70+C80</f>
        <v>-419</v>
      </c>
      <c r="D81" s="230">
        <f>D70+D80</f>
        <v>81</v>
      </c>
      <c r="E81" s="230">
        <f>E70+E80</f>
        <v>113</v>
      </c>
      <c r="F81" s="230">
        <f t="shared" ref="F81:O81" si="52">F70+F80</f>
        <v>-44.248760959793117</v>
      </c>
      <c r="G81" s="230">
        <f t="shared" si="52"/>
        <v>1129.8960589895592</v>
      </c>
      <c r="H81" s="230">
        <f t="shared" si="52"/>
        <v>218.56970027728744</v>
      </c>
      <c r="I81" s="230">
        <f t="shared" si="52"/>
        <v>319.58518335311919</v>
      </c>
      <c r="J81" s="230">
        <f t="shared" si="52"/>
        <v>1417.4875775108519</v>
      </c>
      <c r="K81" s="230">
        <f t="shared" si="52"/>
        <v>1521.0393873398098</v>
      </c>
      <c r="L81" s="230">
        <f t="shared" si="52"/>
        <v>1673.1270567709948</v>
      </c>
      <c r="M81" s="230">
        <f t="shared" si="52"/>
        <v>790.78005499632707</v>
      </c>
      <c r="N81" s="230">
        <f t="shared" si="52"/>
        <v>1942.7852027420586</v>
      </c>
      <c r="O81" s="230">
        <f t="shared" si="52"/>
        <v>2047.5402363397757</v>
      </c>
    </row>
    <row r="82" spans="1:15" ht="15" customHeight="1" x14ac:dyDescent="0.2">
      <c r="B82" s="220" t="s">
        <v>294</v>
      </c>
      <c r="C82" s="234">
        <v>699</v>
      </c>
      <c r="D82" s="234">
        <f>C83</f>
        <v>280</v>
      </c>
      <c r="E82" s="234">
        <f>D83</f>
        <v>361</v>
      </c>
      <c r="F82" s="234">
        <f t="shared" ref="F82:O82" si="53">E83</f>
        <v>474</v>
      </c>
      <c r="G82" s="234">
        <f t="shared" si="53"/>
        <v>429.75123904020688</v>
      </c>
      <c r="H82" s="234">
        <f t="shared" si="53"/>
        <v>1559.647298029766</v>
      </c>
      <c r="I82" s="234">
        <f t="shared" si="53"/>
        <v>1778.2169983070535</v>
      </c>
      <c r="J82" s="234">
        <f t="shared" si="53"/>
        <v>2097.8021816601727</v>
      </c>
      <c r="K82" s="234">
        <f t="shared" si="53"/>
        <v>3515.2897591710243</v>
      </c>
      <c r="L82" s="234">
        <f t="shared" si="53"/>
        <v>5036.3291465108341</v>
      </c>
      <c r="M82" s="234">
        <f t="shared" si="53"/>
        <v>6709.4562032818285</v>
      </c>
      <c r="N82" s="234">
        <f t="shared" si="53"/>
        <v>7500.2362582781552</v>
      </c>
      <c r="O82" s="234">
        <f t="shared" si="53"/>
        <v>9443.0214610202129</v>
      </c>
    </row>
    <row r="83" spans="1:15" ht="15" customHeight="1" x14ac:dyDescent="0.2">
      <c r="B83" s="220" t="s">
        <v>295</v>
      </c>
      <c r="C83" s="234">
        <f>C82+C81</f>
        <v>280</v>
      </c>
      <c r="D83" s="234">
        <f>D81+D82</f>
        <v>361</v>
      </c>
      <c r="E83" s="234">
        <f>E81+E82</f>
        <v>474</v>
      </c>
      <c r="F83" s="234">
        <f t="shared" ref="F83:O83" si="54">F81+F82</f>
        <v>429.75123904020688</v>
      </c>
      <c r="G83" s="234">
        <f t="shared" si="54"/>
        <v>1559.647298029766</v>
      </c>
      <c r="H83" s="234">
        <f t="shared" si="54"/>
        <v>1778.2169983070535</v>
      </c>
      <c r="I83" s="234">
        <f t="shared" si="54"/>
        <v>2097.8021816601727</v>
      </c>
      <c r="J83" s="234">
        <f t="shared" si="54"/>
        <v>3515.2897591710243</v>
      </c>
      <c r="K83" s="234">
        <f t="shared" si="54"/>
        <v>5036.3291465108341</v>
      </c>
      <c r="L83" s="234">
        <f t="shared" si="54"/>
        <v>6709.4562032818285</v>
      </c>
      <c r="M83" s="234">
        <f t="shared" si="54"/>
        <v>7500.2362582781552</v>
      </c>
      <c r="N83" s="234">
        <f t="shared" si="54"/>
        <v>9443.0214610202129</v>
      </c>
      <c r="O83" s="234">
        <f t="shared" si="54"/>
        <v>11490.561697359988</v>
      </c>
    </row>
    <row r="84" spans="1:15" ht="15" customHeight="1" x14ac:dyDescent="0.2">
      <c r="B84" s="263" t="s">
        <v>276</v>
      </c>
      <c r="C84" s="264">
        <f>C32-C83</f>
        <v>0</v>
      </c>
      <c r="D84" s="264">
        <f>D32-D83</f>
        <v>0</v>
      </c>
      <c r="E84" s="264">
        <f>E32-E83</f>
        <v>0</v>
      </c>
      <c r="F84" s="264">
        <f t="shared" ref="F84:O84" si="55">F32-F83</f>
        <v>0</v>
      </c>
      <c r="G84" s="264">
        <f t="shared" si="55"/>
        <v>0</v>
      </c>
      <c r="H84" s="264">
        <f t="shared" si="55"/>
        <v>0</v>
      </c>
      <c r="I84" s="264">
        <f t="shared" si="55"/>
        <v>0</v>
      </c>
      <c r="J84" s="264">
        <f t="shared" si="55"/>
        <v>0</v>
      </c>
      <c r="K84" s="264">
        <f t="shared" si="55"/>
        <v>0</v>
      </c>
      <c r="L84" s="264">
        <f t="shared" si="55"/>
        <v>0</v>
      </c>
      <c r="M84" s="264">
        <f t="shared" si="55"/>
        <v>0</v>
      </c>
      <c r="N84" s="264">
        <f t="shared" si="55"/>
        <v>0</v>
      </c>
      <c r="O84" s="264">
        <f t="shared" si="55"/>
        <v>0</v>
      </c>
    </row>
    <row r="86" spans="1:15" ht="16" thickBot="1" x14ac:dyDescent="0.25">
      <c r="C86" s="222" t="s">
        <v>252</v>
      </c>
      <c r="D86" s="223"/>
      <c r="E86" s="223"/>
      <c r="F86" s="224" t="s">
        <v>253</v>
      </c>
      <c r="G86" s="225"/>
      <c r="H86" s="225"/>
      <c r="I86" s="225"/>
      <c r="J86" s="225"/>
      <c r="K86" s="225"/>
      <c r="L86" s="225"/>
      <c r="M86" s="225"/>
      <c r="N86" s="225"/>
      <c r="O86" s="225"/>
    </row>
    <row r="87" spans="1:15" ht="17" thickTop="1" x14ac:dyDescent="0.2">
      <c r="A87" s="226" t="s">
        <v>296</v>
      </c>
      <c r="B87" s="221"/>
      <c r="C87" s="227">
        <v>2013</v>
      </c>
      <c r="D87" s="227">
        <v>2014</v>
      </c>
      <c r="E87" s="228">
        <v>2015</v>
      </c>
      <c r="F87" s="228">
        <f t="shared" ref="F87:O87" si="56">E87+1</f>
        <v>2016</v>
      </c>
      <c r="G87" s="228">
        <f t="shared" si="56"/>
        <v>2017</v>
      </c>
      <c r="H87" s="228">
        <f t="shared" si="56"/>
        <v>2018</v>
      </c>
      <c r="I87" s="228">
        <f t="shared" si="56"/>
        <v>2019</v>
      </c>
      <c r="J87" s="228">
        <f t="shared" si="56"/>
        <v>2020</v>
      </c>
      <c r="K87" s="228">
        <f t="shared" si="56"/>
        <v>2021</v>
      </c>
      <c r="L87" s="228">
        <f t="shared" si="56"/>
        <v>2022</v>
      </c>
      <c r="M87" s="228">
        <f t="shared" si="56"/>
        <v>2023</v>
      </c>
      <c r="N87" s="228">
        <f t="shared" si="56"/>
        <v>2024</v>
      </c>
      <c r="O87" s="228">
        <f t="shared" si="56"/>
        <v>2025</v>
      </c>
    </row>
    <row r="88" spans="1:15" ht="9.25" customHeight="1" x14ac:dyDescent="0.2"/>
    <row r="89" spans="1:15" ht="12" customHeight="1" x14ac:dyDescent="0.2">
      <c r="A89" s="246" t="s">
        <v>297</v>
      </c>
    </row>
    <row r="90" spans="1:15" x14ac:dyDescent="0.2">
      <c r="A90" s="235" t="s">
        <v>267</v>
      </c>
      <c r="C90" s="265">
        <f>D90+8</f>
        <v>1576</v>
      </c>
      <c r="D90" s="265">
        <f>D33</f>
        <v>1568</v>
      </c>
      <c r="E90" s="265">
        <f>E33</f>
        <v>1710</v>
      </c>
      <c r="F90" s="265">
        <f>F6/365*F100</f>
        <v>1726.8904109589041</v>
      </c>
      <c r="G90" s="265">
        <f t="shared" ref="G90:O90" si="57">G6/365*G100</f>
        <v>1813.2349315068495</v>
      </c>
      <c r="H90" s="265">
        <f t="shared" si="57"/>
        <v>1903.896678082192</v>
      </c>
      <c r="I90" s="265">
        <f t="shared" si="57"/>
        <v>1999.0915119863016</v>
      </c>
      <c r="J90" s="265">
        <f t="shared" si="57"/>
        <v>2099.0460875856165</v>
      </c>
      <c r="K90" s="265">
        <f t="shared" si="57"/>
        <v>2203.9983919648976</v>
      </c>
      <c r="L90" s="265">
        <f t="shared" si="57"/>
        <v>2292.1583276434935</v>
      </c>
      <c r="M90" s="265">
        <f t="shared" si="57"/>
        <v>2383.8446607492333</v>
      </c>
      <c r="N90" s="265">
        <f t="shared" si="57"/>
        <v>2455.3600005717108</v>
      </c>
      <c r="O90" s="265">
        <f t="shared" si="57"/>
        <v>2529.0208005888617</v>
      </c>
    </row>
    <row r="91" spans="1:15" x14ac:dyDescent="0.2">
      <c r="A91" s="235" t="s">
        <v>268</v>
      </c>
      <c r="C91" s="265">
        <f>D91-361</f>
        <v>3065</v>
      </c>
      <c r="D91" s="265">
        <f>D34</f>
        <v>3426</v>
      </c>
      <c r="E91" s="265">
        <f>E34</f>
        <v>3640</v>
      </c>
      <c r="F91" s="265">
        <f>-F9/365*F101</f>
        <v>3884.7123287671238</v>
      </c>
      <c r="G91" s="265">
        <f t="shared" ref="G91:O91" si="58">-G9/365*G101</f>
        <v>4078.9479452054798</v>
      </c>
      <c r="H91" s="265">
        <f t="shared" si="58"/>
        <v>4282.8953424657539</v>
      </c>
      <c r="I91" s="265">
        <f t="shared" si="58"/>
        <v>4497.040109589042</v>
      </c>
      <c r="J91" s="265">
        <f t="shared" si="58"/>
        <v>4721.8921150684937</v>
      </c>
      <c r="K91" s="265">
        <f t="shared" si="58"/>
        <v>4957.9867208219184</v>
      </c>
      <c r="L91" s="265">
        <f t="shared" si="58"/>
        <v>5156.3061896547961</v>
      </c>
      <c r="M91" s="265">
        <f t="shared" si="58"/>
        <v>5362.5584372409876</v>
      </c>
      <c r="N91" s="265">
        <f t="shared" si="58"/>
        <v>5523.4351903582183</v>
      </c>
      <c r="O91" s="265">
        <f t="shared" si="58"/>
        <v>5689.1382460689638</v>
      </c>
    </row>
    <row r="92" spans="1:15" ht="16" thickBot="1" x14ac:dyDescent="0.25">
      <c r="A92" s="235" t="s">
        <v>273</v>
      </c>
      <c r="C92" s="258">
        <f>D92-31</f>
        <v>1008</v>
      </c>
      <c r="D92" s="258">
        <f>D46</f>
        <v>1039</v>
      </c>
      <c r="E92" s="258">
        <f>E46</f>
        <v>1162</v>
      </c>
      <c r="F92" s="258">
        <f>(-F11-F9-F61-F62)/365*F102</f>
        <v>1206.9087681115602</v>
      </c>
      <c r="G92" s="258">
        <f t="shared" ref="G92:O92" si="59">(-G11-G9-G61-G62)/365*G102</f>
        <v>1264.7298239437673</v>
      </c>
      <c r="H92" s="258">
        <f t="shared" si="59"/>
        <v>1325.384398321009</v>
      </c>
      <c r="I92" s="258">
        <f t="shared" si="59"/>
        <v>1387.6990986773867</v>
      </c>
      <c r="J92" s="258">
        <f t="shared" si="59"/>
        <v>1453.4665203529532</v>
      </c>
      <c r="K92" s="258">
        <f t="shared" si="59"/>
        <v>1522.3497103725726</v>
      </c>
      <c r="L92" s="258">
        <f t="shared" si="59"/>
        <v>1578.5748727789178</v>
      </c>
      <c r="M92" s="258">
        <f t="shared" si="59"/>
        <v>1637.0490416815173</v>
      </c>
      <c r="N92" s="258">
        <f t="shared" si="59"/>
        <v>1680.4460517574432</v>
      </c>
      <c r="O92" s="258">
        <f t="shared" si="59"/>
        <v>1725.1449721356464</v>
      </c>
    </row>
    <row r="93" spans="1:15" ht="16" thickTop="1" x14ac:dyDescent="0.2">
      <c r="A93" s="220" t="s">
        <v>298</v>
      </c>
      <c r="C93" s="265">
        <f>C90+C91-C92</f>
        <v>3633</v>
      </c>
      <c r="D93" s="265">
        <f>D90+D91-D92</f>
        <v>3955</v>
      </c>
      <c r="E93" s="265">
        <f>E90+E91-E92</f>
        <v>4188</v>
      </c>
      <c r="F93" s="265">
        <f>F90+F91-F92</f>
        <v>4404.693971614468</v>
      </c>
      <c r="G93" s="265">
        <f t="shared" ref="G93:O93" si="60">G90+G91-G92</f>
        <v>4627.453052768562</v>
      </c>
      <c r="H93" s="265">
        <f t="shared" si="60"/>
        <v>4861.4076222269368</v>
      </c>
      <c r="I93" s="265">
        <f t="shared" si="60"/>
        <v>5108.432522897956</v>
      </c>
      <c r="J93" s="265">
        <f t="shared" si="60"/>
        <v>5367.4716823011568</v>
      </c>
      <c r="K93" s="265">
        <f t="shared" si="60"/>
        <v>5639.6354024142438</v>
      </c>
      <c r="L93" s="265">
        <f t="shared" si="60"/>
        <v>5869.8896445193714</v>
      </c>
      <c r="M93" s="265">
        <f t="shared" si="60"/>
        <v>6109.3540563087035</v>
      </c>
      <c r="N93" s="265">
        <f t="shared" si="60"/>
        <v>6298.3491391724856</v>
      </c>
      <c r="O93" s="265">
        <f t="shared" si="60"/>
        <v>6493.0140745221788</v>
      </c>
    </row>
    <row r="94" spans="1:15" x14ac:dyDescent="0.2">
      <c r="B94" s="229" t="s">
        <v>281</v>
      </c>
      <c r="C94" s="266">
        <f>C95+C96+C97</f>
        <v>-429</v>
      </c>
      <c r="D94" s="266">
        <f>C93-D93</f>
        <v>-322</v>
      </c>
      <c r="E94" s="266">
        <f>D93-E93</f>
        <v>-233</v>
      </c>
      <c r="F94" s="266">
        <f>E93-F93</f>
        <v>-216.69397161446796</v>
      </c>
      <c r="G94" s="266">
        <f t="shared" ref="G94:O94" si="61">F93-G93</f>
        <v>-222.75908115409402</v>
      </c>
      <c r="H94" s="266">
        <f t="shared" si="61"/>
        <v>-233.95456945837486</v>
      </c>
      <c r="I94" s="266">
        <f t="shared" si="61"/>
        <v>-247.02490067101917</v>
      </c>
      <c r="J94" s="266">
        <f t="shared" si="61"/>
        <v>-259.03915940320076</v>
      </c>
      <c r="K94" s="266">
        <f t="shared" si="61"/>
        <v>-272.16372011308704</v>
      </c>
      <c r="L94" s="266">
        <f t="shared" si="61"/>
        <v>-230.25424210512756</v>
      </c>
      <c r="M94" s="266">
        <f t="shared" si="61"/>
        <v>-239.46441178933219</v>
      </c>
      <c r="N94" s="266">
        <f t="shared" si="61"/>
        <v>-188.99508286378205</v>
      </c>
      <c r="O94" s="266">
        <f t="shared" si="61"/>
        <v>-194.66493534969322</v>
      </c>
    </row>
    <row r="95" spans="1:15" x14ac:dyDescent="0.2">
      <c r="B95" s="220" t="s">
        <v>299</v>
      </c>
      <c r="C95" s="265">
        <v>-137</v>
      </c>
      <c r="D95" s="265">
        <f t="shared" ref="D95:O96" si="62">C90-D90</f>
        <v>8</v>
      </c>
      <c r="E95" s="265">
        <f t="shared" si="62"/>
        <v>-142</v>
      </c>
      <c r="F95" s="265">
        <f t="shared" si="62"/>
        <v>-16.890410958904113</v>
      </c>
      <c r="G95" s="265">
        <f t="shared" si="62"/>
        <v>-86.344520547945422</v>
      </c>
      <c r="H95" s="265">
        <f t="shared" si="62"/>
        <v>-90.661746575342477</v>
      </c>
      <c r="I95" s="265">
        <f t="shared" si="62"/>
        <v>-95.194833904109601</v>
      </c>
      <c r="J95" s="265">
        <f t="shared" si="62"/>
        <v>-99.954575599314921</v>
      </c>
      <c r="K95" s="265">
        <f t="shared" si="62"/>
        <v>-104.95230437928103</v>
      </c>
      <c r="L95" s="265">
        <f t="shared" si="62"/>
        <v>-88.159935678595957</v>
      </c>
      <c r="M95" s="265">
        <f t="shared" si="62"/>
        <v>-91.686333105739777</v>
      </c>
      <c r="N95" s="265">
        <f t="shared" si="62"/>
        <v>-71.515339822477472</v>
      </c>
      <c r="O95" s="265">
        <f t="shared" si="62"/>
        <v>-73.660800017150905</v>
      </c>
    </row>
    <row r="96" spans="1:15" x14ac:dyDescent="0.2">
      <c r="B96" s="220" t="s">
        <v>300</v>
      </c>
      <c r="C96" s="265">
        <v>-292</v>
      </c>
      <c r="D96" s="265">
        <f t="shared" si="62"/>
        <v>-361</v>
      </c>
      <c r="E96" s="265">
        <f t="shared" si="62"/>
        <v>-214</v>
      </c>
      <c r="F96" s="265">
        <f t="shared" si="62"/>
        <v>-244.71232876712384</v>
      </c>
      <c r="G96" s="265">
        <f t="shared" si="62"/>
        <v>-194.23561643835592</v>
      </c>
      <c r="H96" s="265">
        <f t="shared" si="62"/>
        <v>-203.9473972602741</v>
      </c>
      <c r="I96" s="265">
        <f t="shared" si="62"/>
        <v>-214.14476712328815</v>
      </c>
      <c r="J96" s="265">
        <f t="shared" si="62"/>
        <v>-224.85200547945169</v>
      </c>
      <c r="K96" s="265">
        <f t="shared" si="62"/>
        <v>-236.09460575342473</v>
      </c>
      <c r="L96" s="265">
        <f t="shared" si="62"/>
        <v>-198.31946883287765</v>
      </c>
      <c r="M96" s="265">
        <f t="shared" si="62"/>
        <v>-206.25224758619152</v>
      </c>
      <c r="N96" s="265">
        <f t="shared" si="62"/>
        <v>-160.87675311723069</v>
      </c>
      <c r="O96" s="265">
        <f t="shared" si="62"/>
        <v>-165.7030557107455</v>
      </c>
    </row>
    <row r="97" spans="1:15" x14ac:dyDescent="0.2">
      <c r="B97" s="220" t="s">
        <v>301</v>
      </c>
      <c r="C97" s="265">
        <v>0</v>
      </c>
      <c r="D97" s="265">
        <f>D92-C92</f>
        <v>31</v>
      </c>
      <c r="E97" s="265">
        <f>E92-D92</f>
        <v>123</v>
      </c>
      <c r="F97" s="265">
        <f>F92-E92</f>
        <v>44.908768111560221</v>
      </c>
      <c r="G97" s="265">
        <f t="shared" ref="G97:O97" si="63">G92-F92</f>
        <v>57.821055832207094</v>
      </c>
      <c r="H97" s="265">
        <f t="shared" si="63"/>
        <v>60.654574377241715</v>
      </c>
      <c r="I97" s="265">
        <f t="shared" si="63"/>
        <v>62.314700356377671</v>
      </c>
      <c r="J97" s="265">
        <f t="shared" si="63"/>
        <v>65.767421675566538</v>
      </c>
      <c r="K97" s="265">
        <f t="shared" si="63"/>
        <v>68.883190019619406</v>
      </c>
      <c r="L97" s="265">
        <f t="shared" si="63"/>
        <v>56.225162406345135</v>
      </c>
      <c r="M97" s="265">
        <f t="shared" si="63"/>
        <v>58.474168902599558</v>
      </c>
      <c r="N97" s="265">
        <f t="shared" si="63"/>
        <v>43.397010075925891</v>
      </c>
      <c r="O97" s="265">
        <f t="shared" si="63"/>
        <v>44.698920378203184</v>
      </c>
    </row>
    <row r="98" spans="1:15" x14ac:dyDescent="0.2">
      <c r="B98" s="267" t="s">
        <v>276</v>
      </c>
      <c r="C98" s="268">
        <f>C94-C95-C96-C97</f>
        <v>0</v>
      </c>
      <c r="D98" s="268">
        <f>D94-D95-D96-D97</f>
        <v>0</v>
      </c>
      <c r="E98" s="268">
        <f>E94-E95-E96-E97</f>
        <v>0</v>
      </c>
      <c r="F98" s="268">
        <f>F94-F95-F96-F97</f>
        <v>-2.2737367544323206E-13</v>
      </c>
      <c r="G98" s="268">
        <f t="shared" ref="G98:O98" si="64">G94-G95-G96-G97</f>
        <v>2.2737367544323206E-13</v>
      </c>
      <c r="H98" s="268">
        <f t="shared" si="64"/>
        <v>0</v>
      </c>
      <c r="I98" s="268">
        <f t="shared" si="64"/>
        <v>9.0949470177292824E-13</v>
      </c>
      <c r="J98" s="268">
        <f t="shared" si="64"/>
        <v>-6.8212102632969618E-13</v>
      </c>
      <c r="K98" s="268">
        <f t="shared" si="64"/>
        <v>-6.8212102632969618E-13</v>
      </c>
      <c r="L98" s="268">
        <f t="shared" si="64"/>
        <v>9.0949470177292824E-13</v>
      </c>
      <c r="M98" s="268">
        <f t="shared" si="64"/>
        <v>-4.5474735088646412E-13</v>
      </c>
      <c r="N98" s="268">
        <f t="shared" si="64"/>
        <v>2.2737367544323206E-13</v>
      </c>
      <c r="O98" s="268">
        <f t="shared" si="64"/>
        <v>0</v>
      </c>
    </row>
    <row r="100" spans="1:15" x14ac:dyDescent="0.2">
      <c r="A100" s="220" t="s">
        <v>302</v>
      </c>
      <c r="C100" s="269">
        <f>C90/(C6/365)</f>
        <v>68.915778123876848</v>
      </c>
      <c r="D100" s="269">
        <f>D90/(D6/365)</f>
        <v>60.035665582712681</v>
      </c>
      <c r="E100" s="269">
        <f>E90/(E6/365)</f>
        <v>62.383808095952027</v>
      </c>
      <c r="F100" s="270">
        <v>60</v>
      </c>
      <c r="G100" s="270">
        <f>F100</f>
        <v>60</v>
      </c>
      <c r="H100" s="270">
        <f t="shared" ref="H100:O102" si="65">G100</f>
        <v>60</v>
      </c>
      <c r="I100" s="270">
        <f t="shared" si="65"/>
        <v>60</v>
      </c>
      <c r="J100" s="270">
        <f t="shared" si="65"/>
        <v>60</v>
      </c>
      <c r="K100" s="270">
        <f t="shared" si="65"/>
        <v>60</v>
      </c>
      <c r="L100" s="270">
        <f t="shared" si="65"/>
        <v>60</v>
      </c>
      <c r="M100" s="270">
        <f t="shared" si="65"/>
        <v>60</v>
      </c>
      <c r="N100" s="270">
        <f t="shared" si="65"/>
        <v>60</v>
      </c>
      <c r="O100" s="270">
        <f t="shared" si="65"/>
        <v>60</v>
      </c>
    </row>
    <row r="101" spans="1:15" x14ac:dyDescent="0.2">
      <c r="A101" s="220" t="s">
        <v>303</v>
      </c>
      <c r="C101" s="269">
        <f>C91/(-C9/365)</f>
        <v>197.86434382737886</v>
      </c>
      <c r="D101" s="269">
        <f>D91/(-D9/365)</f>
        <v>199.98240844394689</v>
      </c>
      <c r="E101" s="269">
        <f>E91/(-E9/365)</f>
        <v>196.77132701421803</v>
      </c>
      <c r="F101" s="270">
        <v>200</v>
      </c>
      <c r="G101" s="270">
        <f>F101</f>
        <v>200</v>
      </c>
      <c r="H101" s="270">
        <f t="shared" si="65"/>
        <v>200</v>
      </c>
      <c r="I101" s="270">
        <f t="shared" si="65"/>
        <v>200</v>
      </c>
      <c r="J101" s="270">
        <f t="shared" si="65"/>
        <v>200</v>
      </c>
      <c r="K101" s="270">
        <f t="shared" si="65"/>
        <v>200</v>
      </c>
      <c r="L101" s="270">
        <f t="shared" si="65"/>
        <v>200</v>
      </c>
      <c r="M101" s="270">
        <f t="shared" si="65"/>
        <v>200</v>
      </c>
      <c r="N101" s="270">
        <f t="shared" si="65"/>
        <v>200</v>
      </c>
      <c r="O101" s="270">
        <f t="shared" si="65"/>
        <v>200</v>
      </c>
    </row>
    <row r="102" spans="1:15" x14ac:dyDescent="0.2">
      <c r="A102" s="220" t="s">
        <v>304</v>
      </c>
      <c r="C102" s="271">
        <f>C92/((-C11-C9-C61-C62)/365)</f>
        <v>62.137102903176768</v>
      </c>
      <c r="D102" s="271">
        <f>D92/((-D11-D9-D61-D62)/365)</f>
        <v>58.15595767520319</v>
      </c>
      <c r="E102" s="271">
        <f>E92/((-E11-E9-E61-E62)/365)</f>
        <v>60.49493652831265</v>
      </c>
      <c r="F102" s="272">
        <v>60</v>
      </c>
      <c r="G102" s="272">
        <f>F102</f>
        <v>60</v>
      </c>
      <c r="H102" s="272">
        <f t="shared" si="65"/>
        <v>60</v>
      </c>
      <c r="I102" s="272">
        <f t="shared" si="65"/>
        <v>60</v>
      </c>
      <c r="J102" s="272">
        <f t="shared" si="65"/>
        <v>60</v>
      </c>
      <c r="K102" s="272">
        <f t="shared" si="65"/>
        <v>60</v>
      </c>
      <c r="L102" s="272">
        <f t="shared" si="65"/>
        <v>60</v>
      </c>
      <c r="M102" s="272">
        <f t="shared" si="65"/>
        <v>60</v>
      </c>
      <c r="N102" s="272">
        <f t="shared" si="65"/>
        <v>60</v>
      </c>
      <c r="O102" s="272">
        <f t="shared" si="65"/>
        <v>60</v>
      </c>
    </row>
    <row r="103" spans="1:15" x14ac:dyDescent="0.2">
      <c r="A103" s="220" t="s">
        <v>305</v>
      </c>
      <c r="C103" s="269">
        <f>C100+C101-C102</f>
        <v>204.64301904807894</v>
      </c>
      <c r="D103" s="269">
        <f>D100+D101-D102</f>
        <v>201.86211635145639</v>
      </c>
      <c r="E103" s="269">
        <f>E100+E101-E102</f>
        <v>198.66019858185743</v>
      </c>
      <c r="F103" s="269">
        <f>F100+F101-F102</f>
        <v>200</v>
      </c>
      <c r="G103" s="269">
        <f>G100+G101-G102</f>
        <v>200</v>
      </c>
      <c r="H103" s="269">
        <f t="shared" ref="H103:O103" si="66">H100+H101-H102</f>
        <v>200</v>
      </c>
      <c r="I103" s="269">
        <f t="shared" si="66"/>
        <v>200</v>
      </c>
      <c r="J103" s="269">
        <f t="shared" si="66"/>
        <v>200</v>
      </c>
      <c r="K103" s="269">
        <f t="shared" si="66"/>
        <v>200</v>
      </c>
      <c r="L103" s="269">
        <f t="shared" si="66"/>
        <v>200</v>
      </c>
      <c r="M103" s="269">
        <f t="shared" si="66"/>
        <v>200</v>
      </c>
      <c r="N103" s="269">
        <f t="shared" si="66"/>
        <v>200</v>
      </c>
      <c r="O103" s="269">
        <f t="shared" si="66"/>
        <v>200</v>
      </c>
    </row>
    <row r="105" spans="1:15" ht="16" thickBot="1" x14ac:dyDescent="0.25">
      <c r="C105" s="222" t="s">
        <v>252</v>
      </c>
      <c r="D105" s="223"/>
      <c r="E105" s="223"/>
      <c r="F105" s="224" t="s">
        <v>253</v>
      </c>
      <c r="G105" s="225"/>
      <c r="H105" s="225"/>
      <c r="I105" s="225"/>
      <c r="J105" s="225"/>
      <c r="K105" s="225"/>
      <c r="L105" s="225"/>
      <c r="M105" s="225"/>
      <c r="N105" s="225"/>
      <c r="O105" s="225"/>
    </row>
    <row r="106" spans="1:15" ht="16" thickTop="1" x14ac:dyDescent="0.2">
      <c r="C106" s="227">
        <v>2013</v>
      </c>
      <c r="D106" s="227">
        <v>2014</v>
      </c>
      <c r="E106" s="228">
        <v>2015</v>
      </c>
      <c r="F106" s="228">
        <f t="shared" ref="F106:O106" si="67">E106+1</f>
        <v>2016</v>
      </c>
      <c r="G106" s="228">
        <f t="shared" si="67"/>
        <v>2017</v>
      </c>
      <c r="H106" s="228">
        <f t="shared" si="67"/>
        <v>2018</v>
      </c>
      <c r="I106" s="228">
        <f t="shared" si="67"/>
        <v>2019</v>
      </c>
      <c r="J106" s="228">
        <f t="shared" si="67"/>
        <v>2020</v>
      </c>
      <c r="K106" s="228">
        <f t="shared" si="67"/>
        <v>2021</v>
      </c>
      <c r="L106" s="228">
        <f t="shared" si="67"/>
        <v>2022</v>
      </c>
      <c r="M106" s="228">
        <f t="shared" si="67"/>
        <v>2023</v>
      </c>
      <c r="N106" s="228">
        <f t="shared" si="67"/>
        <v>2024</v>
      </c>
      <c r="O106" s="228">
        <f t="shared" si="67"/>
        <v>2025</v>
      </c>
    </row>
    <row r="107" spans="1:15" x14ac:dyDescent="0.2">
      <c r="A107" s="246" t="s">
        <v>306</v>
      </c>
      <c r="C107" s="265"/>
      <c r="F107" s="265"/>
      <c r="G107" s="265"/>
      <c r="H107" s="265"/>
      <c r="I107" s="265"/>
      <c r="J107" s="265"/>
      <c r="K107" s="265"/>
      <c r="L107" s="265"/>
      <c r="M107" s="265"/>
      <c r="N107" s="265"/>
      <c r="O107" s="265"/>
    </row>
    <row r="108" spans="1:15" x14ac:dyDescent="0.2">
      <c r="A108" s="323" t="s">
        <v>307</v>
      </c>
      <c r="C108" s="265"/>
      <c r="D108" s="265">
        <v>3978</v>
      </c>
      <c r="E108" s="265">
        <v>4328</v>
      </c>
      <c r="F108" s="265">
        <f>E108-F115</f>
        <v>4853.2624999999998</v>
      </c>
      <c r="G108" s="265">
        <f t="shared" ref="G108:O108" si="68">F108-G115</f>
        <v>5404.788125</v>
      </c>
      <c r="H108" s="265">
        <f t="shared" si="68"/>
        <v>5983.89003125</v>
      </c>
      <c r="I108" s="265">
        <f t="shared" si="68"/>
        <v>6591.9470328124999</v>
      </c>
      <c r="J108" s="265">
        <f t="shared" si="68"/>
        <v>7230.4068844531248</v>
      </c>
      <c r="K108" s="265">
        <f t="shared" si="68"/>
        <v>7900.7897286757816</v>
      </c>
      <c r="L108" s="265">
        <f t="shared" si="68"/>
        <v>8597.9878866673444</v>
      </c>
      <c r="M108" s="265">
        <f t="shared" si="68"/>
        <v>9323.0739709785703</v>
      </c>
      <c r="N108" s="265">
        <f t="shared" si="68"/>
        <v>10069.912637819132</v>
      </c>
      <c r="O108" s="265">
        <f t="shared" si="68"/>
        <v>10839.156464664911</v>
      </c>
    </row>
    <row r="109" spans="1:15" x14ac:dyDescent="0.2">
      <c r="A109" s="220" t="s">
        <v>308</v>
      </c>
      <c r="C109" s="265"/>
      <c r="D109" s="273">
        <v>-1678</v>
      </c>
      <c r="E109" s="273">
        <v>-1854</v>
      </c>
      <c r="F109" s="273">
        <f>E109+F130</f>
        <v>-2181.4382278188541</v>
      </c>
      <c r="G109" s="273">
        <f t="shared" ref="G109:O109" si="69">F109+G130</f>
        <v>-2546.0865948475048</v>
      </c>
      <c r="H109" s="273">
        <f t="shared" si="69"/>
        <v>-2949.8056080464421</v>
      </c>
      <c r="I109" s="273">
        <f t="shared" si="69"/>
        <v>-3394.5487997241798</v>
      </c>
      <c r="J109" s="273">
        <f t="shared" si="69"/>
        <v>-3882.3673788046585</v>
      </c>
      <c r="K109" s="273">
        <f t="shared" si="69"/>
        <v>-4415.4151146580152</v>
      </c>
      <c r="L109" s="273">
        <f t="shared" si="69"/>
        <v>-4995.5011735551652</v>
      </c>
      <c r="M109" s="273">
        <f t="shared" si="69"/>
        <v>-5624.5070884178594</v>
      </c>
      <c r="N109" s="273">
        <f t="shared" si="69"/>
        <v>-6303.9004549250649</v>
      </c>
      <c r="O109" s="273">
        <f t="shared" si="69"/>
        <v>-7035.1928966261166</v>
      </c>
    </row>
    <row r="110" spans="1:15" x14ac:dyDescent="0.2">
      <c r="A110" s="220" t="s">
        <v>309</v>
      </c>
      <c r="C110" s="265"/>
      <c r="D110" s="265">
        <f>D108+D109</f>
        <v>2300</v>
      </c>
      <c r="E110" s="265">
        <f>E108+E109</f>
        <v>2474</v>
      </c>
      <c r="F110" s="265">
        <f>F108+F109</f>
        <v>2671.8242721811457</v>
      </c>
      <c r="G110" s="265">
        <f t="shared" ref="G110:O110" si="70">G108+G109</f>
        <v>2858.7015301524953</v>
      </c>
      <c r="H110" s="265">
        <f t="shared" si="70"/>
        <v>3034.0844232035579</v>
      </c>
      <c r="I110" s="265">
        <f t="shared" si="70"/>
        <v>3197.39823308832</v>
      </c>
      <c r="J110" s="265">
        <f t="shared" si="70"/>
        <v>3348.0395056484663</v>
      </c>
      <c r="K110" s="265">
        <f t="shared" si="70"/>
        <v>3485.3746140177664</v>
      </c>
      <c r="L110" s="265">
        <f t="shared" si="70"/>
        <v>3602.4867131121791</v>
      </c>
      <c r="M110" s="265">
        <f t="shared" si="70"/>
        <v>3698.5668825607108</v>
      </c>
      <c r="N110" s="265">
        <f t="shared" si="70"/>
        <v>3766.0121828940673</v>
      </c>
      <c r="O110" s="265">
        <f t="shared" si="70"/>
        <v>3803.9635680387946</v>
      </c>
    </row>
    <row r="111" spans="1:15" x14ac:dyDescent="0.2">
      <c r="C111" s="265"/>
      <c r="D111" s="265"/>
      <c r="E111" s="265"/>
      <c r="F111" s="265"/>
      <c r="G111" s="265"/>
      <c r="H111" s="265"/>
      <c r="I111" s="265"/>
      <c r="J111" s="265"/>
      <c r="K111" s="265"/>
      <c r="L111" s="265"/>
      <c r="M111" s="265"/>
      <c r="N111" s="265"/>
      <c r="O111" s="265"/>
    </row>
    <row r="112" spans="1:15" x14ac:dyDescent="0.2">
      <c r="A112" s="229" t="s">
        <v>310</v>
      </c>
      <c r="B112" s="229"/>
      <c r="C112" s="266"/>
      <c r="D112" s="266"/>
      <c r="E112" s="266">
        <f>-E61-E139</f>
        <v>-292</v>
      </c>
      <c r="F112" s="274">
        <f>E112</f>
        <v>-292</v>
      </c>
      <c r="G112" s="274">
        <f>F112</f>
        <v>-292</v>
      </c>
      <c r="H112" s="274">
        <f t="shared" ref="H112:O112" si="71">G112</f>
        <v>-292</v>
      </c>
      <c r="I112" s="274">
        <f t="shared" si="71"/>
        <v>-292</v>
      </c>
      <c r="J112" s="274">
        <f t="shared" si="71"/>
        <v>-292</v>
      </c>
      <c r="K112" s="274">
        <f t="shared" si="71"/>
        <v>-292</v>
      </c>
      <c r="L112" s="274">
        <f t="shared" si="71"/>
        <v>-292</v>
      </c>
      <c r="M112" s="274">
        <f t="shared" si="71"/>
        <v>-292</v>
      </c>
      <c r="N112" s="274">
        <f t="shared" si="71"/>
        <v>-292</v>
      </c>
      <c r="O112" s="274">
        <f t="shared" si="71"/>
        <v>-292</v>
      </c>
    </row>
    <row r="113" spans="1:15" x14ac:dyDescent="0.2">
      <c r="A113" s="220" t="s">
        <v>311</v>
      </c>
      <c r="C113" s="265"/>
      <c r="D113" s="265"/>
      <c r="E113" s="269">
        <f>1/(-E112/E108)</f>
        <v>14.82191780821918</v>
      </c>
      <c r="F113" s="265"/>
      <c r="G113" s="265"/>
      <c r="H113" s="265"/>
      <c r="I113" s="265"/>
      <c r="J113" s="265"/>
      <c r="K113" s="265"/>
      <c r="L113" s="265"/>
      <c r="M113" s="265"/>
      <c r="N113" s="265"/>
      <c r="O113" s="265"/>
    </row>
    <row r="114" spans="1:15" x14ac:dyDescent="0.2">
      <c r="C114" s="265"/>
      <c r="D114" s="265"/>
      <c r="E114" s="265"/>
      <c r="F114" s="265"/>
      <c r="G114" s="265"/>
      <c r="H114" s="265"/>
      <c r="I114" s="265"/>
      <c r="J114" s="265"/>
      <c r="K114" s="265"/>
      <c r="L114" s="265"/>
      <c r="M114" s="265"/>
      <c r="N114" s="265"/>
      <c r="O114" s="265"/>
    </row>
    <row r="115" spans="1:15" x14ac:dyDescent="0.2">
      <c r="A115" s="229" t="s">
        <v>312</v>
      </c>
      <c r="B115" s="229"/>
      <c r="C115" s="266">
        <f>C63</f>
        <v>-323</v>
      </c>
      <c r="D115" s="266">
        <f>D63</f>
        <v>-355</v>
      </c>
      <c r="E115" s="266">
        <f>E63</f>
        <v>-457</v>
      </c>
      <c r="F115" s="266">
        <f>-F116*F6</f>
        <v>-525.26250000000005</v>
      </c>
      <c r="G115" s="266">
        <f t="shared" ref="G115:O115" si="72">-G116*G6</f>
        <v>-551.5256250000001</v>
      </c>
      <c r="H115" s="266">
        <f t="shared" si="72"/>
        <v>-579.10190625000007</v>
      </c>
      <c r="I115" s="266">
        <f t="shared" si="72"/>
        <v>-608.05700156250009</v>
      </c>
      <c r="J115" s="266">
        <f t="shared" si="72"/>
        <v>-638.45985164062506</v>
      </c>
      <c r="K115" s="266">
        <f t="shared" si="72"/>
        <v>-670.38284422265633</v>
      </c>
      <c r="L115" s="266">
        <f t="shared" si="72"/>
        <v>-697.19815799156265</v>
      </c>
      <c r="M115" s="266">
        <f t="shared" si="72"/>
        <v>-725.08608431122514</v>
      </c>
      <c r="N115" s="266">
        <f t="shared" si="72"/>
        <v>-746.83866684056193</v>
      </c>
      <c r="O115" s="266">
        <f t="shared" si="72"/>
        <v>-769.24382684577881</v>
      </c>
    </row>
    <row r="116" spans="1:15" x14ac:dyDescent="0.2">
      <c r="B116" s="220" t="s">
        <v>313</v>
      </c>
      <c r="C116" s="265"/>
      <c r="D116" s="275">
        <f>-D115/D6</f>
        <v>3.7239064302947655E-2</v>
      </c>
      <c r="E116" s="276">
        <f>-E115/E6</f>
        <v>4.5677161419290353E-2</v>
      </c>
      <c r="F116" s="277">
        <v>0.05</v>
      </c>
      <c r="G116" s="278">
        <f>F116</f>
        <v>0.05</v>
      </c>
      <c r="H116" s="278">
        <f t="shared" ref="H116:O116" si="73">G116</f>
        <v>0.05</v>
      </c>
      <c r="I116" s="278">
        <f t="shared" si="73"/>
        <v>0.05</v>
      </c>
      <c r="J116" s="278">
        <f t="shared" si="73"/>
        <v>0.05</v>
      </c>
      <c r="K116" s="278">
        <f t="shared" si="73"/>
        <v>0.05</v>
      </c>
      <c r="L116" s="278">
        <f t="shared" si="73"/>
        <v>0.05</v>
      </c>
      <c r="M116" s="278">
        <f t="shared" si="73"/>
        <v>0.05</v>
      </c>
      <c r="N116" s="278">
        <f t="shared" si="73"/>
        <v>0.05</v>
      </c>
      <c r="O116" s="278">
        <f t="shared" si="73"/>
        <v>0.05</v>
      </c>
    </row>
    <row r="117" spans="1:15" x14ac:dyDescent="0.2">
      <c r="C117" s="265"/>
      <c r="D117" s="265"/>
      <c r="E117" s="265"/>
      <c r="F117" s="265"/>
      <c r="G117" s="265"/>
      <c r="H117" s="265"/>
      <c r="I117" s="265"/>
      <c r="J117" s="265"/>
      <c r="K117" s="265"/>
      <c r="L117" s="265"/>
      <c r="M117" s="265"/>
      <c r="N117" s="265"/>
      <c r="O117" s="265"/>
    </row>
    <row r="118" spans="1:15" x14ac:dyDescent="0.2">
      <c r="C118" s="265"/>
      <c r="D118" s="279" t="s">
        <v>312</v>
      </c>
      <c r="E118" s="279" t="s">
        <v>314</v>
      </c>
      <c r="F118" s="265"/>
      <c r="G118" s="265"/>
      <c r="H118" s="265"/>
      <c r="I118" s="265"/>
      <c r="J118" s="265"/>
      <c r="K118" s="265"/>
      <c r="L118" s="265"/>
      <c r="M118" s="265"/>
      <c r="N118" s="265"/>
      <c r="O118" s="265"/>
    </row>
    <row r="119" spans="1:15" x14ac:dyDescent="0.2">
      <c r="B119" s="220" t="s">
        <v>315</v>
      </c>
      <c r="C119" s="265"/>
      <c r="D119" s="280">
        <f>-F115</f>
        <v>525.26250000000005</v>
      </c>
      <c r="E119" s="281">
        <f>E113</f>
        <v>14.82191780821918</v>
      </c>
      <c r="F119" s="265">
        <f>$D119/$E119</f>
        <v>35.438227818853974</v>
      </c>
      <c r="G119" s="265">
        <f t="shared" ref="G119:O128" si="74">$D119/$E119</f>
        <v>35.438227818853974</v>
      </c>
      <c r="H119" s="265">
        <f t="shared" si="74"/>
        <v>35.438227818853974</v>
      </c>
      <c r="I119" s="265">
        <f t="shared" si="74"/>
        <v>35.438227818853974</v>
      </c>
      <c r="J119" s="265">
        <f t="shared" si="74"/>
        <v>35.438227818853974</v>
      </c>
      <c r="K119" s="265">
        <f t="shared" si="74"/>
        <v>35.438227818853974</v>
      </c>
      <c r="L119" s="265">
        <f t="shared" si="74"/>
        <v>35.438227818853974</v>
      </c>
      <c r="M119" s="265">
        <f t="shared" si="74"/>
        <v>35.438227818853974</v>
      </c>
      <c r="N119" s="265">
        <f t="shared" si="74"/>
        <v>35.438227818853974</v>
      </c>
      <c r="O119" s="265">
        <f t="shared" si="74"/>
        <v>35.438227818853974</v>
      </c>
    </row>
    <row r="120" spans="1:15" x14ac:dyDescent="0.2">
      <c r="B120" s="220" t="s">
        <v>316</v>
      </c>
      <c r="C120" s="265"/>
      <c r="D120" s="280">
        <f>-G115</f>
        <v>551.5256250000001</v>
      </c>
      <c r="E120" s="281">
        <f>E119</f>
        <v>14.82191780821918</v>
      </c>
      <c r="G120" s="265">
        <f t="shared" si="74"/>
        <v>37.210139209796679</v>
      </c>
      <c r="H120" s="265">
        <f t="shared" si="74"/>
        <v>37.210139209796679</v>
      </c>
      <c r="I120" s="265">
        <f t="shared" si="74"/>
        <v>37.210139209796679</v>
      </c>
      <c r="J120" s="265">
        <f t="shared" si="74"/>
        <v>37.210139209796679</v>
      </c>
      <c r="K120" s="265">
        <f t="shared" si="74"/>
        <v>37.210139209796679</v>
      </c>
      <c r="L120" s="265">
        <f t="shared" si="74"/>
        <v>37.210139209796679</v>
      </c>
      <c r="M120" s="265">
        <f t="shared" si="74"/>
        <v>37.210139209796679</v>
      </c>
      <c r="N120" s="265">
        <f t="shared" si="74"/>
        <v>37.210139209796679</v>
      </c>
      <c r="O120" s="265">
        <f t="shared" si="74"/>
        <v>37.210139209796679</v>
      </c>
    </row>
    <row r="121" spans="1:15" x14ac:dyDescent="0.2">
      <c r="B121" s="220" t="s">
        <v>317</v>
      </c>
      <c r="C121" s="265"/>
      <c r="D121" s="280">
        <f>-H115</f>
        <v>579.10190625000007</v>
      </c>
      <c r="E121" s="281">
        <f t="shared" ref="E121:E128" si="75">E120</f>
        <v>14.82191780821918</v>
      </c>
      <c r="H121" s="265">
        <f t="shared" si="74"/>
        <v>39.070646170286508</v>
      </c>
      <c r="I121" s="265">
        <f t="shared" si="74"/>
        <v>39.070646170286508</v>
      </c>
      <c r="J121" s="265">
        <f t="shared" si="74"/>
        <v>39.070646170286508</v>
      </c>
      <c r="K121" s="265">
        <f t="shared" si="74"/>
        <v>39.070646170286508</v>
      </c>
      <c r="L121" s="265">
        <f t="shared" si="74"/>
        <v>39.070646170286508</v>
      </c>
      <c r="M121" s="265">
        <f t="shared" si="74"/>
        <v>39.070646170286508</v>
      </c>
      <c r="N121" s="265">
        <f t="shared" si="74"/>
        <v>39.070646170286508</v>
      </c>
      <c r="O121" s="265">
        <f t="shared" si="74"/>
        <v>39.070646170286508</v>
      </c>
    </row>
    <row r="122" spans="1:15" x14ac:dyDescent="0.2">
      <c r="B122" s="220" t="s">
        <v>318</v>
      </c>
      <c r="C122" s="265"/>
      <c r="D122" s="280">
        <f>-I115</f>
        <v>608.05700156250009</v>
      </c>
      <c r="E122" s="281">
        <f t="shared" si="75"/>
        <v>14.82191780821918</v>
      </c>
      <c r="I122" s="265">
        <f t="shared" si="74"/>
        <v>41.024178478800835</v>
      </c>
      <c r="J122" s="265">
        <f t="shared" si="74"/>
        <v>41.024178478800835</v>
      </c>
      <c r="K122" s="265">
        <f t="shared" si="74"/>
        <v>41.024178478800835</v>
      </c>
      <c r="L122" s="265">
        <f t="shared" si="74"/>
        <v>41.024178478800835</v>
      </c>
      <c r="M122" s="265">
        <f t="shared" si="74"/>
        <v>41.024178478800835</v>
      </c>
      <c r="N122" s="265">
        <f t="shared" si="74"/>
        <v>41.024178478800835</v>
      </c>
      <c r="O122" s="265">
        <f t="shared" si="74"/>
        <v>41.024178478800835</v>
      </c>
    </row>
    <row r="123" spans="1:15" x14ac:dyDescent="0.2">
      <c r="B123" s="220" t="s">
        <v>319</v>
      </c>
      <c r="C123" s="265"/>
      <c r="D123" s="280">
        <f>-J115</f>
        <v>638.45985164062506</v>
      </c>
      <c r="E123" s="281">
        <f t="shared" si="75"/>
        <v>14.82191780821918</v>
      </c>
      <c r="J123" s="265">
        <f t="shared" si="74"/>
        <v>43.075387402740873</v>
      </c>
      <c r="K123" s="265">
        <f t="shared" si="74"/>
        <v>43.075387402740873</v>
      </c>
      <c r="L123" s="265">
        <f t="shared" si="74"/>
        <v>43.075387402740873</v>
      </c>
      <c r="M123" s="265">
        <f t="shared" si="74"/>
        <v>43.075387402740873</v>
      </c>
      <c r="N123" s="265">
        <f t="shared" si="74"/>
        <v>43.075387402740873</v>
      </c>
      <c r="O123" s="265">
        <f t="shared" si="74"/>
        <v>43.075387402740873</v>
      </c>
    </row>
    <row r="124" spans="1:15" x14ac:dyDescent="0.2">
      <c r="B124" s="220" t="s">
        <v>320</v>
      </c>
      <c r="C124" s="265"/>
      <c r="D124" s="280">
        <f>-K115</f>
        <v>670.38284422265633</v>
      </c>
      <c r="E124" s="281">
        <f t="shared" si="75"/>
        <v>14.82191780821918</v>
      </c>
      <c r="I124" s="265"/>
      <c r="J124" s="265"/>
      <c r="K124" s="265">
        <f t="shared" si="74"/>
        <v>45.229156772877921</v>
      </c>
      <c r="L124" s="265">
        <f t="shared" si="74"/>
        <v>45.229156772877921</v>
      </c>
      <c r="M124" s="265">
        <f t="shared" si="74"/>
        <v>45.229156772877921</v>
      </c>
      <c r="N124" s="265">
        <f t="shared" si="74"/>
        <v>45.229156772877921</v>
      </c>
      <c r="O124" s="265">
        <f t="shared" si="74"/>
        <v>45.229156772877921</v>
      </c>
    </row>
    <row r="125" spans="1:15" x14ac:dyDescent="0.2">
      <c r="B125" s="220" t="s">
        <v>321</v>
      </c>
      <c r="C125" s="265"/>
      <c r="D125" s="280">
        <f>-L115</f>
        <v>697.19815799156265</v>
      </c>
      <c r="E125" s="281">
        <f t="shared" si="75"/>
        <v>14.82191780821918</v>
      </c>
      <c r="H125" s="265"/>
      <c r="I125" s="265"/>
      <c r="J125" s="265"/>
      <c r="K125" s="265"/>
      <c r="L125" s="265">
        <f t="shared" si="74"/>
        <v>47.038323043793042</v>
      </c>
      <c r="M125" s="265">
        <f t="shared" si="74"/>
        <v>47.038323043793042</v>
      </c>
      <c r="N125" s="265">
        <f t="shared" si="74"/>
        <v>47.038323043793042</v>
      </c>
      <c r="O125" s="265">
        <f t="shared" si="74"/>
        <v>47.038323043793042</v>
      </c>
    </row>
    <row r="126" spans="1:15" x14ac:dyDescent="0.2">
      <c r="B126" s="220" t="s">
        <v>322</v>
      </c>
      <c r="C126" s="265"/>
      <c r="D126" s="280">
        <f>-M115</f>
        <v>725.08608431122514</v>
      </c>
      <c r="E126" s="281">
        <f t="shared" si="75"/>
        <v>14.82191780821918</v>
      </c>
      <c r="G126" s="265"/>
      <c r="H126" s="265"/>
      <c r="I126" s="265"/>
      <c r="J126" s="265"/>
      <c r="K126" s="265"/>
      <c r="L126" s="265"/>
      <c r="M126" s="265">
        <f t="shared" si="74"/>
        <v>48.919855965544762</v>
      </c>
      <c r="N126" s="265">
        <f t="shared" si="74"/>
        <v>48.919855965544762</v>
      </c>
      <c r="O126" s="265">
        <f t="shared" si="74"/>
        <v>48.919855965544762</v>
      </c>
    </row>
    <row r="127" spans="1:15" x14ac:dyDescent="0.2">
      <c r="B127" s="220" t="s">
        <v>323</v>
      </c>
      <c r="C127" s="265"/>
      <c r="D127" s="280">
        <f>-N115</f>
        <v>746.83866684056193</v>
      </c>
      <c r="E127" s="281">
        <f t="shared" si="75"/>
        <v>14.82191780821918</v>
      </c>
      <c r="F127" s="265"/>
      <c r="G127" s="265"/>
      <c r="H127" s="265"/>
      <c r="I127" s="265"/>
      <c r="J127" s="265"/>
      <c r="K127" s="265"/>
      <c r="L127" s="265"/>
      <c r="M127" s="265"/>
      <c r="N127" s="265">
        <f t="shared" si="74"/>
        <v>50.387451644511103</v>
      </c>
      <c r="O127" s="265">
        <f t="shared" si="74"/>
        <v>50.387451644511103</v>
      </c>
    </row>
    <row r="128" spans="1:15" x14ac:dyDescent="0.2">
      <c r="B128" s="220" t="s">
        <v>324</v>
      </c>
      <c r="C128" s="265"/>
      <c r="D128" s="280">
        <f>-O115</f>
        <v>769.24382684577881</v>
      </c>
      <c r="E128" s="281">
        <f t="shared" si="75"/>
        <v>14.82191780821918</v>
      </c>
      <c r="F128" s="273"/>
      <c r="G128" s="273"/>
      <c r="H128" s="273"/>
      <c r="I128" s="273"/>
      <c r="J128" s="273"/>
      <c r="K128" s="273"/>
      <c r="L128" s="273"/>
      <c r="M128" s="273"/>
      <c r="N128" s="273"/>
      <c r="O128" s="273">
        <f t="shared" si="74"/>
        <v>51.899075193846443</v>
      </c>
    </row>
    <row r="129" spans="1:15" x14ac:dyDescent="0.2">
      <c r="B129" s="229" t="s">
        <v>325</v>
      </c>
      <c r="C129" s="265"/>
      <c r="D129" s="265"/>
      <c r="E129" s="265"/>
      <c r="F129" s="282">
        <f>-SUM(F119:F128)</f>
        <v>-35.438227818853974</v>
      </c>
      <c r="G129" s="282">
        <f t="shared" ref="G129:O129" si="76">-SUM(G119:G128)</f>
        <v>-72.648367028650654</v>
      </c>
      <c r="H129" s="282">
        <f t="shared" si="76"/>
        <v>-111.71901319893716</v>
      </c>
      <c r="I129" s="282">
        <f t="shared" si="76"/>
        <v>-152.743191677738</v>
      </c>
      <c r="J129" s="282">
        <f t="shared" si="76"/>
        <v>-195.81857908047886</v>
      </c>
      <c r="K129" s="282">
        <f t="shared" si="76"/>
        <v>-241.04773585335678</v>
      </c>
      <c r="L129" s="282">
        <f t="shared" si="76"/>
        <v>-288.08605889714983</v>
      </c>
      <c r="M129" s="282">
        <f t="shared" si="76"/>
        <v>-337.00591486269457</v>
      </c>
      <c r="N129" s="282">
        <f t="shared" si="76"/>
        <v>-387.39336650720566</v>
      </c>
      <c r="O129" s="282">
        <f t="shared" si="76"/>
        <v>-439.2924417010521</v>
      </c>
    </row>
    <row r="130" spans="1:15" x14ac:dyDescent="0.2">
      <c r="B130" s="229" t="s">
        <v>326</v>
      </c>
      <c r="C130" s="265"/>
      <c r="D130" s="265"/>
      <c r="E130" s="265"/>
      <c r="F130" s="266">
        <f>F112+F129</f>
        <v>-327.43822781885399</v>
      </c>
      <c r="G130" s="266">
        <f t="shared" ref="G130:O130" si="77">G112+G129</f>
        <v>-364.64836702865068</v>
      </c>
      <c r="H130" s="266">
        <f t="shared" si="77"/>
        <v>-403.71901319893715</v>
      </c>
      <c r="I130" s="266">
        <f t="shared" si="77"/>
        <v>-444.74319167773797</v>
      </c>
      <c r="J130" s="266">
        <f t="shared" si="77"/>
        <v>-487.81857908047886</v>
      </c>
      <c r="K130" s="266">
        <f t="shared" si="77"/>
        <v>-533.04773585335681</v>
      </c>
      <c r="L130" s="266">
        <f t="shared" si="77"/>
        <v>-580.08605889714977</v>
      </c>
      <c r="M130" s="266">
        <f t="shared" si="77"/>
        <v>-629.00591486269457</v>
      </c>
      <c r="N130" s="266">
        <f t="shared" si="77"/>
        <v>-679.39336650720566</v>
      </c>
      <c r="O130" s="266">
        <f t="shared" si="77"/>
        <v>-731.2924417010521</v>
      </c>
    </row>
    <row r="131" spans="1:15" x14ac:dyDescent="0.2">
      <c r="C131" s="265"/>
      <c r="D131" s="265"/>
      <c r="E131" s="265"/>
      <c r="F131" s="265"/>
      <c r="G131" s="265"/>
      <c r="H131" s="265"/>
      <c r="I131" s="265"/>
      <c r="J131" s="265"/>
      <c r="K131" s="265"/>
      <c r="L131" s="265"/>
      <c r="M131" s="265"/>
      <c r="N131" s="265"/>
      <c r="O131" s="265"/>
    </row>
    <row r="132" spans="1:15" ht="16" thickBot="1" x14ac:dyDescent="0.25">
      <c r="C132" s="222" t="s">
        <v>252</v>
      </c>
      <c r="D132" s="223"/>
      <c r="E132" s="223"/>
      <c r="F132" s="224" t="s">
        <v>253</v>
      </c>
      <c r="G132" s="225"/>
      <c r="H132" s="225"/>
      <c r="I132" s="225"/>
      <c r="J132" s="225"/>
      <c r="K132" s="225"/>
      <c r="L132" s="225"/>
      <c r="M132" s="225"/>
      <c r="N132" s="225"/>
      <c r="O132" s="225"/>
    </row>
    <row r="133" spans="1:15" ht="16" thickTop="1" x14ac:dyDescent="0.2">
      <c r="C133" s="227">
        <v>2013</v>
      </c>
      <c r="D133" s="227">
        <v>2014</v>
      </c>
      <c r="E133" s="228">
        <v>2015</v>
      </c>
      <c r="F133" s="228">
        <f t="shared" ref="F133:O133" si="78">E133+1</f>
        <v>2016</v>
      </c>
      <c r="G133" s="228">
        <f t="shared" si="78"/>
        <v>2017</v>
      </c>
      <c r="H133" s="228">
        <f t="shared" si="78"/>
        <v>2018</v>
      </c>
      <c r="I133" s="228">
        <f t="shared" si="78"/>
        <v>2019</v>
      </c>
      <c r="J133" s="228">
        <f t="shared" si="78"/>
        <v>2020</v>
      </c>
      <c r="K133" s="228">
        <f t="shared" si="78"/>
        <v>2021</v>
      </c>
      <c r="L133" s="228">
        <f t="shared" si="78"/>
        <v>2022</v>
      </c>
      <c r="M133" s="228">
        <f t="shared" si="78"/>
        <v>2023</v>
      </c>
      <c r="N133" s="228">
        <f t="shared" si="78"/>
        <v>2024</v>
      </c>
      <c r="O133" s="228">
        <f t="shared" si="78"/>
        <v>2025</v>
      </c>
    </row>
    <row r="134" spans="1:15" x14ac:dyDescent="0.2">
      <c r="A134" s="246" t="s">
        <v>327</v>
      </c>
      <c r="C134" s="265"/>
      <c r="F134" s="265"/>
      <c r="G134" s="265"/>
      <c r="H134" s="265"/>
      <c r="I134" s="265"/>
      <c r="J134" s="265"/>
      <c r="K134" s="265"/>
      <c r="L134" s="265"/>
      <c r="M134" s="265"/>
      <c r="N134" s="265"/>
      <c r="O134" s="265"/>
    </row>
    <row r="135" spans="1:15" x14ac:dyDescent="0.2">
      <c r="A135" s="220" t="s">
        <v>328</v>
      </c>
      <c r="C135" s="265"/>
      <c r="D135" s="265">
        <f>D137-D136</f>
        <v>3549</v>
      </c>
      <c r="E135" s="265">
        <f>E137-E136</f>
        <v>3886</v>
      </c>
      <c r="F135" s="265">
        <f>E135-F142</f>
        <v>4306.21</v>
      </c>
      <c r="G135" s="265">
        <f t="shared" ref="G135:O135" si="79">F135-G142</f>
        <v>4747.4305000000004</v>
      </c>
      <c r="H135" s="265">
        <f t="shared" si="79"/>
        <v>5210.7120250000007</v>
      </c>
      <c r="I135" s="265">
        <f t="shared" si="79"/>
        <v>5697.1576262500012</v>
      </c>
      <c r="J135" s="265">
        <f t="shared" si="79"/>
        <v>6207.9255075625015</v>
      </c>
      <c r="K135" s="265">
        <f t="shared" si="79"/>
        <v>6744.2317829406265</v>
      </c>
      <c r="L135" s="265">
        <f t="shared" si="79"/>
        <v>7301.9903093338762</v>
      </c>
      <c r="M135" s="265">
        <f t="shared" si="79"/>
        <v>7882.0591767828564</v>
      </c>
      <c r="N135" s="265">
        <f t="shared" si="79"/>
        <v>8479.5301102553058</v>
      </c>
      <c r="O135" s="265">
        <f t="shared" si="79"/>
        <v>9094.9251717319294</v>
      </c>
    </row>
    <row r="136" spans="1:15" x14ac:dyDescent="0.2">
      <c r="A136" s="220" t="s">
        <v>329</v>
      </c>
      <c r="C136" s="265"/>
      <c r="D136" s="273">
        <v>-109</v>
      </c>
      <c r="E136" s="273">
        <v>-142</v>
      </c>
      <c r="F136" s="273">
        <f>E136+F157</f>
        <v>-186.56843283582089</v>
      </c>
      <c r="G136" s="273">
        <f t="shared" ref="G136:O136" si="80">F136+G157</f>
        <v>-227.88372014925372</v>
      </c>
      <c r="H136" s="273">
        <f t="shared" si="80"/>
        <v>-266.13320466417906</v>
      </c>
      <c r="I136" s="273">
        <f t="shared" si="80"/>
        <v>-309.51359624067163</v>
      </c>
      <c r="J136" s="273">
        <f t="shared" si="80"/>
        <v>-356.2314402318097</v>
      </c>
      <c r="K136" s="273">
        <f t="shared" si="80"/>
        <v>-407.50360925832558</v>
      </c>
      <c r="L136" s="273">
        <f t="shared" si="80"/>
        <v>-463.51227632163437</v>
      </c>
      <c r="M136" s="273">
        <f t="shared" si="80"/>
        <v>-524.44690134320774</v>
      </c>
      <c r="N136" s="273">
        <f t="shared" si="80"/>
        <v>-590.45526306179374</v>
      </c>
      <c r="O136" s="273">
        <f t="shared" si="80"/>
        <v>-661.68957357830266</v>
      </c>
    </row>
    <row r="137" spans="1:15" x14ac:dyDescent="0.2">
      <c r="A137" s="220" t="s">
        <v>330</v>
      </c>
      <c r="C137" s="265"/>
      <c r="D137" s="265">
        <f>D40</f>
        <v>3440</v>
      </c>
      <c r="E137" s="265">
        <f>E40</f>
        <v>3744</v>
      </c>
      <c r="F137" s="265">
        <f>F135+F136</f>
        <v>4119.6415671641789</v>
      </c>
      <c r="G137" s="265">
        <f t="shared" ref="G137:O137" si="81">G135+G136</f>
        <v>4519.546779850747</v>
      </c>
      <c r="H137" s="265">
        <f t="shared" si="81"/>
        <v>4944.5788203358215</v>
      </c>
      <c r="I137" s="265">
        <f t="shared" si="81"/>
        <v>5387.6440300093291</v>
      </c>
      <c r="J137" s="265">
        <f t="shared" si="81"/>
        <v>5851.6940673306917</v>
      </c>
      <c r="K137" s="265">
        <f t="shared" si="81"/>
        <v>6336.7281736823006</v>
      </c>
      <c r="L137" s="265">
        <f t="shared" si="81"/>
        <v>6838.4780330122421</v>
      </c>
      <c r="M137" s="265">
        <f t="shared" si="81"/>
        <v>7357.6122754396483</v>
      </c>
      <c r="N137" s="265">
        <f t="shared" si="81"/>
        <v>7889.0748471935121</v>
      </c>
      <c r="O137" s="265">
        <f t="shared" si="81"/>
        <v>8433.2355981536275</v>
      </c>
    </row>
    <row r="138" spans="1:15" x14ac:dyDescent="0.2">
      <c r="C138" s="265"/>
      <c r="D138" s="265"/>
      <c r="E138" s="265"/>
      <c r="F138" s="265"/>
      <c r="G138" s="265"/>
      <c r="H138" s="265"/>
      <c r="I138" s="265"/>
      <c r="J138" s="265"/>
      <c r="K138" s="265"/>
      <c r="L138" s="265"/>
      <c r="M138" s="265"/>
      <c r="N138" s="265"/>
      <c r="O138" s="265"/>
    </row>
    <row r="139" spans="1:15" x14ac:dyDescent="0.2">
      <c r="A139" s="229" t="s">
        <v>331</v>
      </c>
      <c r="B139" s="229"/>
      <c r="C139" s="266"/>
      <c r="D139" s="266"/>
      <c r="E139" s="266">
        <f>E136-D136</f>
        <v>-33</v>
      </c>
      <c r="F139" s="274">
        <v>-41</v>
      </c>
      <c r="G139" s="274">
        <v>-34</v>
      </c>
      <c r="H139" s="274">
        <v>-27</v>
      </c>
      <c r="I139" s="274">
        <v>-28</v>
      </c>
      <c r="J139" s="274">
        <v>-27</v>
      </c>
      <c r="K139" s="283">
        <f>J139</f>
        <v>-27</v>
      </c>
      <c r="L139" s="283">
        <f t="shared" ref="L139:O139" si="82">K139</f>
        <v>-27</v>
      </c>
      <c r="M139" s="283">
        <f t="shared" si="82"/>
        <v>-27</v>
      </c>
      <c r="N139" s="283">
        <f t="shared" si="82"/>
        <v>-27</v>
      </c>
      <c r="O139" s="283">
        <f t="shared" si="82"/>
        <v>-27</v>
      </c>
    </row>
    <row r="140" spans="1:15" x14ac:dyDescent="0.2">
      <c r="A140" s="220" t="s">
        <v>311</v>
      </c>
      <c r="C140" s="265"/>
      <c r="D140" s="265"/>
      <c r="E140" s="269">
        <f>1/(-E139/E135)</f>
        <v>117.75757575757575</v>
      </c>
      <c r="F140" s="265"/>
      <c r="G140" s="265"/>
      <c r="H140" s="265"/>
      <c r="I140" s="265"/>
      <c r="J140" s="265"/>
      <c r="K140" s="265"/>
      <c r="L140" s="265"/>
      <c r="M140" s="265"/>
      <c r="N140" s="265"/>
      <c r="O140" s="265"/>
    </row>
    <row r="141" spans="1:15" x14ac:dyDescent="0.2">
      <c r="C141" s="265"/>
      <c r="D141" s="265"/>
      <c r="E141" s="265"/>
      <c r="F141" s="265"/>
      <c r="G141" s="265"/>
      <c r="H141" s="265"/>
      <c r="I141" s="265"/>
      <c r="J141" s="265"/>
      <c r="K141" s="265"/>
      <c r="L141" s="265"/>
      <c r="M141" s="265"/>
      <c r="N141" s="265"/>
      <c r="O141" s="265"/>
    </row>
    <row r="142" spans="1:15" x14ac:dyDescent="0.2">
      <c r="A142" s="229" t="s">
        <v>332</v>
      </c>
      <c r="B142" s="229"/>
      <c r="C142" s="266"/>
      <c r="D142" s="266">
        <f>-D143*D6</f>
        <v>-321.10154922538726</v>
      </c>
      <c r="E142" s="266">
        <f>D135-E135</f>
        <v>-337</v>
      </c>
      <c r="F142" s="266">
        <f t="shared" ref="F142:O142" si="83">-F143*F6</f>
        <v>-420.21000000000004</v>
      </c>
      <c r="G142" s="266">
        <f t="shared" si="83"/>
        <v>-441.22050000000002</v>
      </c>
      <c r="H142" s="266">
        <f t="shared" si="83"/>
        <v>-463.28152500000004</v>
      </c>
      <c r="I142" s="266">
        <f t="shared" si="83"/>
        <v>-486.44560125000004</v>
      </c>
      <c r="J142" s="266">
        <f t="shared" si="83"/>
        <v>-510.76788131250004</v>
      </c>
      <c r="K142" s="266">
        <f t="shared" si="83"/>
        <v>-536.30627537812506</v>
      </c>
      <c r="L142" s="266">
        <f t="shared" si="83"/>
        <v>-557.75852639325012</v>
      </c>
      <c r="M142" s="266">
        <f t="shared" si="83"/>
        <v>-580.06886744898009</v>
      </c>
      <c r="N142" s="266">
        <f t="shared" si="83"/>
        <v>-597.47093347244959</v>
      </c>
      <c r="O142" s="266">
        <f t="shared" si="83"/>
        <v>-615.39506147662303</v>
      </c>
    </row>
    <row r="143" spans="1:15" x14ac:dyDescent="0.2">
      <c r="B143" s="220" t="s">
        <v>313</v>
      </c>
      <c r="C143" s="265"/>
      <c r="D143" s="278">
        <f>E143</f>
        <v>3.3683158420789602E-2</v>
      </c>
      <c r="E143" s="276">
        <f>-E142/E6</f>
        <v>3.3683158420789602E-2</v>
      </c>
      <c r="F143" s="277">
        <v>0.04</v>
      </c>
      <c r="G143" s="278">
        <f t="shared" ref="G143:O143" si="84">F143</f>
        <v>0.04</v>
      </c>
      <c r="H143" s="278">
        <f t="shared" si="84"/>
        <v>0.04</v>
      </c>
      <c r="I143" s="278">
        <f t="shared" si="84"/>
        <v>0.04</v>
      </c>
      <c r="J143" s="278">
        <f t="shared" si="84"/>
        <v>0.04</v>
      </c>
      <c r="K143" s="278">
        <f t="shared" si="84"/>
        <v>0.04</v>
      </c>
      <c r="L143" s="278">
        <f t="shared" si="84"/>
        <v>0.04</v>
      </c>
      <c r="M143" s="278">
        <f t="shared" si="84"/>
        <v>0.04</v>
      </c>
      <c r="N143" s="278">
        <f t="shared" si="84"/>
        <v>0.04</v>
      </c>
      <c r="O143" s="278">
        <f t="shared" si="84"/>
        <v>0.04</v>
      </c>
    </row>
    <row r="145" spans="2:15" x14ac:dyDescent="0.2">
      <c r="C145" s="265"/>
      <c r="D145" s="279" t="s">
        <v>312</v>
      </c>
      <c r="E145" s="279" t="s">
        <v>314</v>
      </c>
      <c r="F145" s="265"/>
      <c r="G145" s="265"/>
      <c r="H145" s="265"/>
      <c r="I145" s="265"/>
      <c r="J145" s="265"/>
      <c r="K145" s="265"/>
      <c r="L145" s="265"/>
      <c r="M145" s="265"/>
      <c r="N145" s="265"/>
      <c r="O145" s="265"/>
    </row>
    <row r="146" spans="2:15" x14ac:dyDescent="0.2">
      <c r="B146" s="220" t="s">
        <v>315</v>
      </c>
      <c r="C146" s="265"/>
      <c r="D146" s="280">
        <f>-F142</f>
        <v>420.21000000000004</v>
      </c>
      <c r="E146" s="281">
        <f>E140</f>
        <v>117.75757575757575</v>
      </c>
      <c r="F146" s="265">
        <f>$D146/$E146</f>
        <v>3.5684328358208961</v>
      </c>
      <c r="G146" s="265">
        <f t="shared" ref="G146:O155" si="85">$D146/$E146</f>
        <v>3.5684328358208961</v>
      </c>
      <c r="H146" s="265">
        <f t="shared" si="85"/>
        <v>3.5684328358208961</v>
      </c>
      <c r="I146" s="265">
        <f t="shared" si="85"/>
        <v>3.5684328358208961</v>
      </c>
      <c r="J146" s="265">
        <f t="shared" si="85"/>
        <v>3.5684328358208961</v>
      </c>
      <c r="K146" s="265">
        <f t="shared" si="85"/>
        <v>3.5684328358208961</v>
      </c>
      <c r="L146" s="265">
        <f t="shared" si="85"/>
        <v>3.5684328358208961</v>
      </c>
      <c r="M146" s="265">
        <f t="shared" si="85"/>
        <v>3.5684328358208961</v>
      </c>
      <c r="N146" s="265">
        <f t="shared" si="85"/>
        <v>3.5684328358208961</v>
      </c>
      <c r="O146" s="265">
        <f t="shared" si="85"/>
        <v>3.5684328358208961</v>
      </c>
    </row>
    <row r="147" spans="2:15" x14ac:dyDescent="0.2">
      <c r="B147" s="220" t="s">
        <v>316</v>
      </c>
      <c r="C147" s="265"/>
      <c r="D147" s="280">
        <f>-G142</f>
        <v>441.22050000000002</v>
      </c>
      <c r="E147" s="281">
        <f>E146</f>
        <v>117.75757575757575</v>
      </c>
      <c r="G147" s="265">
        <f t="shared" si="85"/>
        <v>3.7468544776119406</v>
      </c>
      <c r="H147" s="265">
        <f t="shared" si="85"/>
        <v>3.7468544776119406</v>
      </c>
      <c r="I147" s="265">
        <f t="shared" si="85"/>
        <v>3.7468544776119406</v>
      </c>
      <c r="J147" s="265">
        <f t="shared" si="85"/>
        <v>3.7468544776119406</v>
      </c>
      <c r="K147" s="265">
        <f t="shared" si="85"/>
        <v>3.7468544776119406</v>
      </c>
      <c r="L147" s="265">
        <f t="shared" si="85"/>
        <v>3.7468544776119406</v>
      </c>
      <c r="M147" s="265">
        <f t="shared" si="85"/>
        <v>3.7468544776119406</v>
      </c>
      <c r="N147" s="265">
        <f t="shared" si="85"/>
        <v>3.7468544776119406</v>
      </c>
      <c r="O147" s="265">
        <f t="shared" si="85"/>
        <v>3.7468544776119406</v>
      </c>
    </row>
    <row r="148" spans="2:15" x14ac:dyDescent="0.2">
      <c r="B148" s="220" t="s">
        <v>317</v>
      </c>
      <c r="C148" s="265"/>
      <c r="D148" s="280">
        <f>-H142</f>
        <v>463.28152500000004</v>
      </c>
      <c r="E148" s="281">
        <f t="shared" ref="E148:E155" si="86">E147</f>
        <v>117.75757575757575</v>
      </c>
      <c r="H148" s="265">
        <f t="shared" si="85"/>
        <v>3.9341972014925379</v>
      </c>
      <c r="I148" s="265">
        <f t="shared" si="85"/>
        <v>3.9341972014925379</v>
      </c>
      <c r="J148" s="265">
        <f t="shared" si="85"/>
        <v>3.9341972014925379</v>
      </c>
      <c r="K148" s="265">
        <f t="shared" si="85"/>
        <v>3.9341972014925379</v>
      </c>
      <c r="L148" s="265">
        <f t="shared" si="85"/>
        <v>3.9341972014925379</v>
      </c>
      <c r="M148" s="265">
        <f t="shared" si="85"/>
        <v>3.9341972014925379</v>
      </c>
      <c r="N148" s="265">
        <f t="shared" si="85"/>
        <v>3.9341972014925379</v>
      </c>
      <c r="O148" s="265">
        <f t="shared" si="85"/>
        <v>3.9341972014925379</v>
      </c>
    </row>
    <row r="149" spans="2:15" x14ac:dyDescent="0.2">
      <c r="B149" s="220" t="s">
        <v>318</v>
      </c>
      <c r="C149" s="265"/>
      <c r="D149" s="280">
        <f>-I142</f>
        <v>486.44560125000004</v>
      </c>
      <c r="E149" s="281">
        <f t="shared" si="86"/>
        <v>117.75757575757575</v>
      </c>
      <c r="I149" s="265">
        <f t="shared" si="85"/>
        <v>4.1309070615671644</v>
      </c>
      <c r="J149" s="265">
        <f t="shared" si="85"/>
        <v>4.1309070615671644</v>
      </c>
      <c r="K149" s="265">
        <f t="shared" si="85"/>
        <v>4.1309070615671644</v>
      </c>
      <c r="L149" s="265">
        <f t="shared" si="85"/>
        <v>4.1309070615671644</v>
      </c>
      <c r="M149" s="265">
        <f t="shared" si="85"/>
        <v>4.1309070615671644</v>
      </c>
      <c r="N149" s="265">
        <f t="shared" si="85"/>
        <v>4.1309070615671644</v>
      </c>
      <c r="O149" s="265">
        <f t="shared" si="85"/>
        <v>4.1309070615671644</v>
      </c>
    </row>
    <row r="150" spans="2:15" x14ac:dyDescent="0.2">
      <c r="B150" s="220" t="s">
        <v>319</v>
      </c>
      <c r="C150" s="265"/>
      <c r="D150" s="280">
        <f>-J142</f>
        <v>510.76788131250004</v>
      </c>
      <c r="E150" s="281">
        <f t="shared" si="86"/>
        <v>117.75757575757575</v>
      </c>
      <c r="J150" s="265">
        <f t="shared" si="85"/>
        <v>4.3374524146455231</v>
      </c>
      <c r="K150" s="265">
        <f t="shared" si="85"/>
        <v>4.3374524146455231</v>
      </c>
      <c r="L150" s="265">
        <f t="shared" si="85"/>
        <v>4.3374524146455231</v>
      </c>
      <c r="M150" s="265">
        <f t="shared" si="85"/>
        <v>4.3374524146455231</v>
      </c>
      <c r="N150" s="265">
        <f t="shared" si="85"/>
        <v>4.3374524146455231</v>
      </c>
      <c r="O150" s="265">
        <f t="shared" si="85"/>
        <v>4.3374524146455231</v>
      </c>
    </row>
    <row r="151" spans="2:15" x14ac:dyDescent="0.2">
      <c r="B151" s="220" t="s">
        <v>320</v>
      </c>
      <c r="C151" s="265"/>
      <c r="D151" s="280">
        <f>-K142</f>
        <v>536.30627537812506</v>
      </c>
      <c r="E151" s="281">
        <f t="shared" si="86"/>
        <v>117.75757575757575</v>
      </c>
      <c r="I151" s="265"/>
      <c r="J151" s="265"/>
      <c r="K151" s="265">
        <f t="shared" si="85"/>
        <v>4.5543250353777998</v>
      </c>
      <c r="L151" s="265">
        <f t="shared" si="85"/>
        <v>4.5543250353777998</v>
      </c>
      <c r="M151" s="265">
        <f t="shared" si="85"/>
        <v>4.5543250353777998</v>
      </c>
      <c r="N151" s="265">
        <f t="shared" si="85"/>
        <v>4.5543250353777998</v>
      </c>
      <c r="O151" s="265">
        <f t="shared" si="85"/>
        <v>4.5543250353777998</v>
      </c>
    </row>
    <row r="152" spans="2:15" x14ac:dyDescent="0.2">
      <c r="B152" s="220" t="s">
        <v>321</v>
      </c>
      <c r="C152" s="265"/>
      <c r="D152" s="280">
        <f>-L142</f>
        <v>557.75852639325012</v>
      </c>
      <c r="E152" s="281">
        <f t="shared" si="86"/>
        <v>117.75757575757575</v>
      </c>
      <c r="H152" s="265"/>
      <c r="I152" s="265"/>
      <c r="J152" s="265"/>
      <c r="K152" s="265"/>
      <c r="L152" s="265">
        <f t="shared" si="85"/>
        <v>4.7364980367929119</v>
      </c>
      <c r="M152" s="265">
        <f t="shared" si="85"/>
        <v>4.7364980367929119</v>
      </c>
      <c r="N152" s="265">
        <f t="shared" si="85"/>
        <v>4.7364980367929119</v>
      </c>
      <c r="O152" s="265">
        <f t="shared" si="85"/>
        <v>4.7364980367929119</v>
      </c>
    </row>
    <row r="153" spans="2:15" x14ac:dyDescent="0.2">
      <c r="B153" s="220" t="s">
        <v>322</v>
      </c>
      <c r="C153" s="265"/>
      <c r="D153" s="280">
        <f>-M142</f>
        <v>580.06886744898009</v>
      </c>
      <c r="E153" s="281">
        <f t="shared" si="86"/>
        <v>117.75757575757575</v>
      </c>
      <c r="G153" s="265"/>
      <c r="H153" s="265"/>
      <c r="I153" s="265"/>
      <c r="J153" s="265"/>
      <c r="K153" s="265"/>
      <c r="L153" s="265"/>
      <c r="M153" s="265">
        <f t="shared" si="85"/>
        <v>4.925957958264628</v>
      </c>
      <c r="N153" s="265">
        <f t="shared" si="85"/>
        <v>4.925957958264628</v>
      </c>
      <c r="O153" s="265">
        <f t="shared" si="85"/>
        <v>4.925957958264628</v>
      </c>
    </row>
    <row r="154" spans="2:15" x14ac:dyDescent="0.2">
      <c r="B154" s="220" t="s">
        <v>323</v>
      </c>
      <c r="C154" s="265"/>
      <c r="D154" s="280">
        <f>-N142</f>
        <v>597.47093347244959</v>
      </c>
      <c r="E154" s="281">
        <f t="shared" si="86"/>
        <v>117.75757575757575</v>
      </c>
      <c r="F154" s="265"/>
      <c r="G154" s="265"/>
      <c r="H154" s="265"/>
      <c r="I154" s="265"/>
      <c r="J154" s="265"/>
      <c r="K154" s="265"/>
      <c r="L154" s="265"/>
      <c r="M154" s="265"/>
      <c r="N154" s="265">
        <f t="shared" si="85"/>
        <v>5.0737366970125679</v>
      </c>
      <c r="O154" s="265">
        <f t="shared" si="85"/>
        <v>5.0737366970125679</v>
      </c>
    </row>
    <row r="155" spans="2:15" x14ac:dyDescent="0.2">
      <c r="B155" s="220" t="s">
        <v>324</v>
      </c>
      <c r="C155" s="265"/>
      <c r="D155" s="280">
        <f>-O142</f>
        <v>615.39506147662303</v>
      </c>
      <c r="E155" s="281">
        <f t="shared" si="86"/>
        <v>117.75757575757575</v>
      </c>
      <c r="F155" s="273"/>
      <c r="G155" s="273"/>
      <c r="H155" s="273"/>
      <c r="I155" s="273"/>
      <c r="J155" s="273"/>
      <c r="K155" s="273"/>
      <c r="L155" s="273"/>
      <c r="M155" s="273"/>
      <c r="N155" s="273"/>
      <c r="O155" s="273">
        <f t="shared" si="85"/>
        <v>5.2259487979229444</v>
      </c>
    </row>
    <row r="156" spans="2:15" x14ac:dyDescent="0.2">
      <c r="B156" s="229" t="s">
        <v>333</v>
      </c>
      <c r="C156" s="265"/>
      <c r="D156" s="265"/>
      <c r="E156" s="265"/>
      <c r="F156" s="282">
        <f>-SUM(F146:F155)</f>
        <v>-3.5684328358208961</v>
      </c>
      <c r="G156" s="282">
        <f t="shared" ref="G156" si="87">-SUM(G146:G155)</f>
        <v>-7.3152873134328367</v>
      </c>
      <c r="H156" s="282">
        <f t="shared" ref="H156:O156" si="88">-SUM(H146:H155)</f>
        <v>-11.249484514925374</v>
      </c>
      <c r="I156" s="282">
        <f t="shared" si="88"/>
        <v>-15.380391576492539</v>
      </c>
      <c r="J156" s="282">
        <f t="shared" si="88"/>
        <v>-19.717843991138061</v>
      </c>
      <c r="K156" s="282">
        <f t="shared" si="88"/>
        <v>-24.272169026515861</v>
      </c>
      <c r="L156" s="282">
        <f t="shared" si="88"/>
        <v>-29.008667063308774</v>
      </c>
      <c r="M156" s="282">
        <f t="shared" si="88"/>
        <v>-33.934625021573403</v>
      </c>
      <c r="N156" s="282">
        <f t="shared" si="88"/>
        <v>-39.008361718585974</v>
      </c>
      <c r="O156" s="282">
        <f t="shared" si="88"/>
        <v>-44.23431051650892</v>
      </c>
    </row>
    <row r="157" spans="2:15" x14ac:dyDescent="0.2">
      <c r="B157" s="229" t="s">
        <v>334</v>
      </c>
      <c r="C157" s="265"/>
      <c r="D157" s="265"/>
      <c r="E157" s="265"/>
      <c r="F157" s="266">
        <f>F139+F156</f>
        <v>-44.568432835820893</v>
      </c>
      <c r="G157" s="266">
        <f t="shared" ref="G157:O157" si="89">G139+G156</f>
        <v>-41.315287313432833</v>
      </c>
      <c r="H157" s="266">
        <f t="shared" si="89"/>
        <v>-38.249484514925371</v>
      </c>
      <c r="I157" s="266">
        <f t="shared" si="89"/>
        <v>-43.380391576492542</v>
      </c>
      <c r="J157" s="266">
        <f t="shared" si="89"/>
        <v>-46.717843991138061</v>
      </c>
      <c r="K157" s="266">
        <f t="shared" si="89"/>
        <v>-51.272169026515861</v>
      </c>
      <c r="L157" s="266">
        <f t="shared" si="89"/>
        <v>-56.008667063308778</v>
      </c>
      <c r="M157" s="266">
        <f t="shared" si="89"/>
        <v>-60.934625021573403</v>
      </c>
      <c r="N157" s="266">
        <f t="shared" si="89"/>
        <v>-66.008361718585974</v>
      </c>
      <c r="O157" s="266">
        <f t="shared" si="89"/>
        <v>-71.234310516508913</v>
      </c>
    </row>
    <row r="158" spans="2:15" x14ac:dyDescent="0.2">
      <c r="E158" s="240"/>
      <c r="F158" s="240"/>
      <c r="G158" s="240"/>
      <c r="H158" s="240"/>
      <c r="I158" s="240"/>
      <c r="J158" s="240"/>
      <c r="K158" s="240"/>
      <c r="L158" s="240"/>
      <c r="M158" s="240"/>
      <c r="N158" s="240"/>
      <c r="O158" s="240"/>
    </row>
    <row r="159" spans="2:15" x14ac:dyDescent="0.2">
      <c r="B159" s="229" t="s">
        <v>335</v>
      </c>
      <c r="E159" s="266">
        <f>E112+E139</f>
        <v>-325</v>
      </c>
      <c r="F159" s="266">
        <f>F130+F157</f>
        <v>-372.00666065467487</v>
      </c>
      <c r="G159" s="266">
        <f t="shared" ref="G159:O159" si="90">G130+G157</f>
        <v>-405.96365434208349</v>
      </c>
      <c r="H159" s="266">
        <f t="shared" si="90"/>
        <v>-441.96849771386252</v>
      </c>
      <c r="I159" s="266">
        <f t="shared" si="90"/>
        <v>-488.12358325423054</v>
      </c>
      <c r="J159" s="266">
        <f t="shared" si="90"/>
        <v>-534.53642307161692</v>
      </c>
      <c r="K159" s="266">
        <f t="shared" si="90"/>
        <v>-584.31990487987264</v>
      </c>
      <c r="L159" s="266">
        <f t="shared" si="90"/>
        <v>-636.0947259604585</v>
      </c>
      <c r="M159" s="266">
        <f t="shared" si="90"/>
        <v>-689.94053988426799</v>
      </c>
      <c r="N159" s="266">
        <f t="shared" si="90"/>
        <v>-745.40172822579166</v>
      </c>
      <c r="O159" s="266">
        <f t="shared" si="90"/>
        <v>-802.52675221756101</v>
      </c>
    </row>
    <row r="160" spans="2:15" x14ac:dyDescent="0.2">
      <c r="B160" s="284" t="s">
        <v>276</v>
      </c>
      <c r="D160" s="285"/>
      <c r="E160" s="285">
        <f>E61+E159</f>
        <v>0</v>
      </c>
    </row>
    <row r="162" spans="2:15" x14ac:dyDescent="0.2">
      <c r="B162" s="246" t="s">
        <v>336</v>
      </c>
    </row>
    <row r="163" spans="2:15" x14ac:dyDescent="0.2">
      <c r="B163" s="220" t="s">
        <v>336</v>
      </c>
      <c r="C163" s="265">
        <f>C62</f>
        <v>52</v>
      </c>
      <c r="D163" s="265">
        <f>D62</f>
        <v>60</v>
      </c>
      <c r="E163" s="265">
        <f>E62</f>
        <v>57</v>
      </c>
      <c r="F163" s="286">
        <f>F6*F164</f>
        <v>59.849999999999994</v>
      </c>
      <c r="G163" s="286">
        <f t="shared" ref="G163:O163" si="91">G6*G164</f>
        <v>62.842500000000001</v>
      </c>
      <c r="H163" s="286">
        <f t="shared" si="91"/>
        <v>65.984625000000008</v>
      </c>
      <c r="I163" s="286">
        <f t="shared" si="91"/>
        <v>69.283856249999999</v>
      </c>
      <c r="J163" s="286">
        <f t="shared" si="91"/>
        <v>72.748049062500002</v>
      </c>
      <c r="K163" s="286">
        <f t="shared" si="91"/>
        <v>76.385451515625007</v>
      </c>
      <c r="L163" s="286">
        <f t="shared" si="91"/>
        <v>79.440869576250009</v>
      </c>
      <c r="M163" s="286">
        <f t="shared" si="91"/>
        <v>82.618504359300005</v>
      </c>
      <c r="N163" s="286">
        <f t="shared" si="91"/>
        <v>85.097059490079019</v>
      </c>
      <c r="O163" s="286">
        <f t="shared" si="91"/>
        <v>87.649971274781379</v>
      </c>
    </row>
    <row r="164" spans="2:15" x14ac:dyDescent="0.2">
      <c r="B164" s="220" t="s">
        <v>313</v>
      </c>
      <c r="C164" s="276">
        <f>C163/C6</f>
        <v>6.2297831556247752E-3</v>
      </c>
      <c r="D164" s="276">
        <f>D163/D6</f>
        <v>6.2939263610615756E-3</v>
      </c>
      <c r="E164" s="276">
        <f>E163/E6</f>
        <v>5.6971514242878558E-3</v>
      </c>
      <c r="F164" s="277">
        <f>E164</f>
        <v>5.6971514242878558E-3</v>
      </c>
      <c r="G164" s="277">
        <f t="shared" ref="G164:O164" si="92">F164</f>
        <v>5.6971514242878558E-3</v>
      </c>
      <c r="H164" s="277">
        <f t="shared" si="92"/>
        <v>5.6971514242878558E-3</v>
      </c>
      <c r="I164" s="277">
        <f t="shared" si="92"/>
        <v>5.6971514242878558E-3</v>
      </c>
      <c r="J164" s="277">
        <f t="shared" si="92"/>
        <v>5.6971514242878558E-3</v>
      </c>
      <c r="K164" s="277">
        <f t="shared" si="92"/>
        <v>5.6971514242878558E-3</v>
      </c>
      <c r="L164" s="277">
        <f t="shared" si="92"/>
        <v>5.6971514242878558E-3</v>
      </c>
      <c r="M164" s="277">
        <f t="shared" si="92"/>
        <v>5.6971514242878558E-3</v>
      </c>
      <c r="N164" s="277">
        <f t="shared" si="92"/>
        <v>5.6971514242878558E-3</v>
      </c>
      <c r="O164" s="277">
        <f t="shared" si="92"/>
        <v>5.6971514242878558E-3</v>
      </c>
    </row>
    <row r="165" spans="2:15" x14ac:dyDescent="0.2">
      <c r="B165" s="220" t="s">
        <v>337</v>
      </c>
      <c r="C165" s="276">
        <f>C163/-C11</f>
        <v>9.7378277153558054E-2</v>
      </c>
      <c r="D165" s="276">
        <f>D163/-D11</f>
        <v>9.6618357487922704E-2</v>
      </c>
      <c r="E165" s="276">
        <f>E163/-E11</f>
        <v>8.8923556942277687E-2</v>
      </c>
      <c r="F165" s="276">
        <f>F163/-F11</f>
        <v>8.7463556851312019E-2</v>
      </c>
      <c r="G165" s="276">
        <f t="shared" ref="G165:O165" si="93">G163/-G11</f>
        <v>8.7463556851312033E-2</v>
      </c>
      <c r="H165" s="276">
        <f t="shared" si="93"/>
        <v>8.7463556851311963E-2</v>
      </c>
      <c r="I165" s="276">
        <f t="shared" si="93"/>
        <v>8.7463556851311949E-2</v>
      </c>
      <c r="J165" s="276">
        <f t="shared" si="93"/>
        <v>8.7463556851311949E-2</v>
      </c>
      <c r="K165" s="276">
        <f t="shared" si="93"/>
        <v>8.7463556851312005E-2</v>
      </c>
      <c r="L165" s="276">
        <f t="shared" si="93"/>
        <v>8.7463556851312088E-2</v>
      </c>
      <c r="M165" s="276">
        <f t="shared" si="93"/>
        <v>8.7463556851311977E-2</v>
      </c>
      <c r="N165" s="276">
        <f t="shared" si="93"/>
        <v>8.7463556851312046E-2</v>
      </c>
      <c r="O165" s="276">
        <f t="shared" si="93"/>
        <v>8.7463556851311922E-2</v>
      </c>
    </row>
    <row r="167" spans="2:15" ht="16" thickBot="1" x14ac:dyDescent="0.25">
      <c r="C167" s="222" t="s">
        <v>252</v>
      </c>
      <c r="D167" s="223"/>
      <c r="E167" s="223"/>
      <c r="F167" s="224" t="s">
        <v>253</v>
      </c>
      <c r="G167" s="225"/>
      <c r="H167" s="225"/>
      <c r="I167" s="225"/>
      <c r="J167" s="225"/>
      <c r="K167" s="225"/>
      <c r="L167" s="225"/>
      <c r="M167" s="225"/>
      <c r="N167" s="225"/>
      <c r="O167" s="225"/>
    </row>
    <row r="168" spans="2:15" ht="16" thickTop="1" x14ac:dyDescent="0.2">
      <c r="C168" s="227">
        <v>2013</v>
      </c>
      <c r="D168" s="227">
        <v>2014</v>
      </c>
      <c r="E168" s="228">
        <v>2015</v>
      </c>
      <c r="F168" s="228">
        <f t="shared" ref="F168:O168" si="94">E168+1</f>
        <v>2016</v>
      </c>
      <c r="G168" s="228">
        <f t="shared" si="94"/>
        <v>2017</v>
      </c>
      <c r="H168" s="228">
        <f t="shared" si="94"/>
        <v>2018</v>
      </c>
      <c r="I168" s="228">
        <f t="shared" si="94"/>
        <v>2019</v>
      </c>
      <c r="J168" s="228">
        <f t="shared" si="94"/>
        <v>2020</v>
      </c>
      <c r="K168" s="228">
        <f t="shared" si="94"/>
        <v>2021</v>
      </c>
      <c r="L168" s="228">
        <f t="shared" si="94"/>
        <v>2022</v>
      </c>
      <c r="M168" s="228">
        <f t="shared" si="94"/>
        <v>2023</v>
      </c>
      <c r="N168" s="228">
        <f t="shared" si="94"/>
        <v>2024</v>
      </c>
      <c r="O168" s="228">
        <f t="shared" si="94"/>
        <v>2025</v>
      </c>
    </row>
    <row r="169" spans="2:15" x14ac:dyDescent="0.2">
      <c r="B169" s="246" t="s">
        <v>338</v>
      </c>
    </row>
    <row r="170" spans="2:15" x14ac:dyDescent="0.2">
      <c r="B170" s="220" t="s">
        <v>339</v>
      </c>
      <c r="D170" s="287"/>
      <c r="E170" s="287">
        <f t="shared" ref="E170:O170" si="95">D173</f>
        <v>3571</v>
      </c>
      <c r="F170" s="287">
        <f t="shared" si="95"/>
        <v>4586</v>
      </c>
      <c r="G170" s="287">
        <f t="shared" si="95"/>
        <v>3493</v>
      </c>
      <c r="H170" s="287">
        <f t="shared" si="95"/>
        <v>3492</v>
      </c>
      <c r="I170" s="287">
        <f t="shared" si="95"/>
        <v>2491</v>
      </c>
      <c r="J170" s="287">
        <f t="shared" si="95"/>
        <v>1491</v>
      </c>
      <c r="K170" s="287">
        <f t="shared" si="95"/>
        <v>1491</v>
      </c>
      <c r="L170" s="287">
        <f t="shared" si="95"/>
        <v>1491</v>
      </c>
      <c r="M170" s="287">
        <f t="shared" si="95"/>
        <v>1491</v>
      </c>
      <c r="N170" s="287">
        <f t="shared" si="95"/>
        <v>496</v>
      </c>
      <c r="O170" s="287">
        <f t="shared" si="95"/>
        <v>496</v>
      </c>
    </row>
    <row r="171" spans="2:15" x14ac:dyDescent="0.2">
      <c r="B171" s="220" t="s">
        <v>286</v>
      </c>
      <c r="D171" s="287"/>
      <c r="E171" s="265">
        <f>E72+E73</f>
        <v>1017</v>
      </c>
      <c r="F171" s="265">
        <f t="shared" ref="F171:O172" si="96">F73</f>
        <v>0</v>
      </c>
      <c r="G171" s="265">
        <f t="shared" si="96"/>
        <v>0</v>
      </c>
      <c r="H171" s="265">
        <f t="shared" si="96"/>
        <v>0</v>
      </c>
      <c r="I171" s="265">
        <f t="shared" si="96"/>
        <v>0</v>
      </c>
      <c r="J171" s="265">
        <f t="shared" si="96"/>
        <v>0</v>
      </c>
      <c r="K171" s="265">
        <f t="shared" si="96"/>
        <v>0</v>
      </c>
      <c r="L171" s="265">
        <f t="shared" si="96"/>
        <v>0</v>
      </c>
      <c r="M171" s="265">
        <f t="shared" si="96"/>
        <v>0</v>
      </c>
      <c r="N171" s="265">
        <f t="shared" si="96"/>
        <v>0</v>
      </c>
      <c r="O171" s="265">
        <f t="shared" si="96"/>
        <v>0</v>
      </c>
    </row>
    <row r="172" spans="2:15" x14ac:dyDescent="0.2">
      <c r="B172" s="220" t="s">
        <v>287</v>
      </c>
      <c r="C172" s="240"/>
      <c r="D172" s="288"/>
      <c r="E172" s="273">
        <f>E173-E170-E171</f>
        <v>-2</v>
      </c>
      <c r="F172" s="273">
        <f>F74+F72</f>
        <v>-1093</v>
      </c>
      <c r="G172" s="273">
        <f t="shared" si="96"/>
        <v>-1</v>
      </c>
      <c r="H172" s="273">
        <f t="shared" si="96"/>
        <v>-1001</v>
      </c>
      <c r="I172" s="273">
        <f t="shared" si="96"/>
        <v>-1000</v>
      </c>
      <c r="J172" s="273">
        <f t="shared" si="96"/>
        <v>0</v>
      </c>
      <c r="K172" s="273">
        <f t="shared" si="96"/>
        <v>0</v>
      </c>
      <c r="L172" s="273">
        <f t="shared" si="96"/>
        <v>0</v>
      </c>
      <c r="M172" s="273">
        <f t="shared" si="96"/>
        <v>-995</v>
      </c>
      <c r="N172" s="273">
        <f t="shared" si="96"/>
        <v>0</v>
      </c>
      <c r="O172" s="273">
        <f t="shared" si="96"/>
        <v>0</v>
      </c>
    </row>
    <row r="173" spans="2:15" x14ac:dyDescent="0.2">
      <c r="B173" s="220" t="s">
        <v>340</v>
      </c>
      <c r="C173" s="265">
        <f>D173-D174</f>
        <v>3807</v>
      </c>
      <c r="D173" s="287">
        <f>D45+D50</f>
        <v>3571</v>
      </c>
      <c r="E173" s="287">
        <f>E45+E50</f>
        <v>4586</v>
      </c>
      <c r="F173" s="265">
        <f t="shared" ref="F173:O173" si="97">SUM(F170:F172)</f>
        <v>3493</v>
      </c>
      <c r="G173" s="265">
        <f t="shared" si="97"/>
        <v>3492</v>
      </c>
      <c r="H173" s="265">
        <f t="shared" si="97"/>
        <v>2491</v>
      </c>
      <c r="I173" s="265">
        <f t="shared" si="97"/>
        <v>1491</v>
      </c>
      <c r="J173" s="265">
        <f t="shared" si="97"/>
        <v>1491</v>
      </c>
      <c r="K173" s="265">
        <f t="shared" si="97"/>
        <v>1491</v>
      </c>
      <c r="L173" s="265">
        <f t="shared" si="97"/>
        <v>1491</v>
      </c>
      <c r="M173" s="265">
        <f t="shared" si="97"/>
        <v>496</v>
      </c>
      <c r="N173" s="265">
        <f t="shared" si="97"/>
        <v>496</v>
      </c>
      <c r="O173" s="265">
        <f t="shared" si="97"/>
        <v>496</v>
      </c>
    </row>
    <row r="174" spans="2:15" x14ac:dyDescent="0.2">
      <c r="B174" s="220" t="s">
        <v>341</v>
      </c>
      <c r="C174" s="265">
        <f>C73+C72+C74</f>
        <v>3463</v>
      </c>
      <c r="D174" s="265">
        <f>D73+D72+D74-3</f>
        <v>-236</v>
      </c>
      <c r="E174" s="265">
        <f>E73+E72+E74</f>
        <v>1017</v>
      </c>
    </row>
    <row r="175" spans="2:15" x14ac:dyDescent="0.2">
      <c r="C175" s="265"/>
      <c r="D175" s="265"/>
      <c r="E175" s="265"/>
    </row>
    <row r="176" spans="2:15" x14ac:dyDescent="0.2">
      <c r="B176" s="246" t="s">
        <v>342</v>
      </c>
      <c r="E176" s="265"/>
    </row>
    <row r="177" spans="1:16" x14ac:dyDescent="0.2">
      <c r="B177" s="220" t="s">
        <v>342</v>
      </c>
      <c r="C177" s="265">
        <f>-C17</f>
        <v>38</v>
      </c>
      <c r="D177" s="265">
        <f>-D17</f>
        <v>76</v>
      </c>
      <c r="E177" s="265">
        <f>-E17</f>
        <v>69</v>
      </c>
      <c r="F177" s="265">
        <f t="shared" ref="F177:O177" si="98">F178*((E173+F173)/2)</f>
        <v>80.790000000000006</v>
      </c>
      <c r="G177" s="265">
        <f t="shared" si="98"/>
        <v>69.850000000000009</v>
      </c>
      <c r="H177" s="265">
        <f t="shared" si="98"/>
        <v>59.83</v>
      </c>
      <c r="I177" s="265">
        <f t="shared" si="98"/>
        <v>39.82</v>
      </c>
      <c r="J177" s="265">
        <f t="shared" si="98"/>
        <v>29.82</v>
      </c>
      <c r="K177" s="265">
        <f t="shared" si="98"/>
        <v>29.82</v>
      </c>
      <c r="L177" s="265">
        <f t="shared" si="98"/>
        <v>29.82</v>
      </c>
      <c r="M177" s="265">
        <f t="shared" si="98"/>
        <v>19.87</v>
      </c>
      <c r="N177" s="265">
        <f t="shared" si="98"/>
        <v>9.92</v>
      </c>
      <c r="O177" s="265">
        <f t="shared" si="98"/>
        <v>9.92</v>
      </c>
    </row>
    <row r="178" spans="1:16" x14ac:dyDescent="0.2">
      <c r="B178" s="220" t="s">
        <v>343</v>
      </c>
      <c r="C178" s="276">
        <f>C177/((208+C173)/2)</f>
        <v>1.8929016189290163E-2</v>
      </c>
      <c r="D178" s="276">
        <f>D177/((C173+D173)/2)</f>
        <v>2.0601789102737869E-2</v>
      </c>
      <c r="E178" s="276">
        <f>E177/((D173+E173)/2)</f>
        <v>1.6917984553144538E-2</v>
      </c>
      <c r="F178" s="277">
        <v>0.02</v>
      </c>
      <c r="G178" s="277">
        <f t="shared" ref="G178:O178" si="99">F178</f>
        <v>0.02</v>
      </c>
      <c r="H178" s="277">
        <f t="shared" si="99"/>
        <v>0.02</v>
      </c>
      <c r="I178" s="277">
        <f>H178</f>
        <v>0.02</v>
      </c>
      <c r="J178" s="277">
        <f t="shared" si="99"/>
        <v>0.02</v>
      </c>
      <c r="K178" s="277">
        <f t="shared" si="99"/>
        <v>0.02</v>
      </c>
      <c r="L178" s="277">
        <f t="shared" si="99"/>
        <v>0.02</v>
      </c>
      <c r="M178" s="277">
        <f t="shared" si="99"/>
        <v>0.02</v>
      </c>
      <c r="N178" s="277">
        <f t="shared" si="99"/>
        <v>0.02</v>
      </c>
      <c r="O178" s="277">
        <f t="shared" si="99"/>
        <v>0.02</v>
      </c>
    </row>
    <row r="180" spans="1:16" x14ac:dyDescent="0.2">
      <c r="B180" s="246" t="s">
        <v>344</v>
      </c>
    </row>
    <row r="181" spans="1:16" x14ac:dyDescent="0.2">
      <c r="B181" s="220" t="s">
        <v>345</v>
      </c>
      <c r="C181" s="265">
        <f>C83</f>
        <v>280</v>
      </c>
      <c r="D181" s="265">
        <f t="shared" ref="D181:O181" si="100">D83</f>
        <v>361</v>
      </c>
      <c r="E181" s="265">
        <f t="shared" si="100"/>
        <v>474</v>
      </c>
      <c r="F181" s="265">
        <f t="shared" si="100"/>
        <v>429.75123904020688</v>
      </c>
      <c r="G181" s="265">
        <f t="shared" si="100"/>
        <v>1559.647298029766</v>
      </c>
      <c r="H181" s="265">
        <f t="shared" si="100"/>
        <v>1778.2169983070535</v>
      </c>
      <c r="I181" s="265">
        <f t="shared" si="100"/>
        <v>2097.8021816601727</v>
      </c>
      <c r="J181" s="265">
        <f t="shared" si="100"/>
        <v>3515.2897591710243</v>
      </c>
      <c r="K181" s="265">
        <f t="shared" si="100"/>
        <v>5036.3291465108341</v>
      </c>
      <c r="L181" s="265">
        <f t="shared" si="100"/>
        <v>6709.4562032818285</v>
      </c>
      <c r="M181" s="265">
        <f t="shared" si="100"/>
        <v>7500.2362582781552</v>
      </c>
      <c r="N181" s="265">
        <f t="shared" si="100"/>
        <v>9443.0214610202129</v>
      </c>
      <c r="O181" s="265">
        <f t="shared" si="100"/>
        <v>11490.561697359988</v>
      </c>
    </row>
    <row r="182" spans="1:16" x14ac:dyDescent="0.2">
      <c r="B182" s="220" t="s">
        <v>344</v>
      </c>
      <c r="C182" s="265">
        <f>C18</f>
        <v>7</v>
      </c>
      <c r="D182" s="265">
        <f>D18</f>
        <v>5</v>
      </c>
      <c r="E182" s="265">
        <f>E18</f>
        <v>4</v>
      </c>
      <c r="F182" s="265">
        <f>E181*F183</f>
        <v>4.74</v>
      </c>
      <c r="G182" s="265">
        <f t="shared" ref="G182:O182" si="101">F181*G183</f>
        <v>4.2975123904020691</v>
      </c>
      <c r="H182" s="265">
        <f t="shared" si="101"/>
        <v>15.59647298029766</v>
      </c>
      <c r="I182" s="265">
        <f t="shared" si="101"/>
        <v>17.782169983070535</v>
      </c>
      <c r="J182" s="265">
        <f t="shared" si="101"/>
        <v>20.978021816601728</v>
      </c>
      <c r="K182" s="265">
        <f t="shared" si="101"/>
        <v>35.152897591710243</v>
      </c>
      <c r="L182" s="265">
        <f t="shared" si="101"/>
        <v>50.36329146510834</v>
      </c>
      <c r="M182" s="265">
        <f t="shared" si="101"/>
        <v>67.094562032818288</v>
      </c>
      <c r="N182" s="265">
        <f t="shared" si="101"/>
        <v>75.002362582781558</v>
      </c>
      <c r="O182" s="265">
        <f t="shared" si="101"/>
        <v>94.430214610202128</v>
      </c>
    </row>
    <row r="183" spans="1:16" x14ac:dyDescent="0.2">
      <c r="B183" s="220" t="s">
        <v>343</v>
      </c>
      <c r="C183" s="276">
        <f>C182/C82</f>
        <v>1.0014306151645207E-2</v>
      </c>
      <c r="D183" s="276">
        <f>D182/C181</f>
        <v>1.7857142857142856E-2</v>
      </c>
      <c r="E183" s="276">
        <f>E182/D181</f>
        <v>1.1080332409972299E-2</v>
      </c>
      <c r="F183" s="277">
        <v>0.01</v>
      </c>
      <c r="G183" s="277">
        <f t="shared" ref="G183:O183" si="102">F183</f>
        <v>0.01</v>
      </c>
      <c r="H183" s="277">
        <f t="shared" si="102"/>
        <v>0.01</v>
      </c>
      <c r="I183" s="277">
        <f t="shared" si="102"/>
        <v>0.01</v>
      </c>
      <c r="J183" s="277">
        <f t="shared" si="102"/>
        <v>0.01</v>
      </c>
      <c r="K183" s="277">
        <f t="shared" si="102"/>
        <v>0.01</v>
      </c>
      <c r="L183" s="277">
        <f t="shared" si="102"/>
        <v>0.01</v>
      </c>
      <c r="M183" s="277">
        <f t="shared" si="102"/>
        <v>0.01</v>
      </c>
      <c r="N183" s="277">
        <f t="shared" si="102"/>
        <v>0.01</v>
      </c>
      <c r="O183" s="277">
        <f t="shared" si="102"/>
        <v>0.01</v>
      </c>
    </row>
    <row r="185" spans="1:16" s="290" customFormat="1" ht="16" thickBot="1" x14ac:dyDescent="0.25">
      <c r="A185" s="289"/>
      <c r="B185" s="289"/>
      <c r="C185" s="222" t="s">
        <v>252</v>
      </c>
      <c r="D185" s="223"/>
      <c r="E185" s="223"/>
      <c r="F185" s="224" t="s">
        <v>253</v>
      </c>
      <c r="G185" s="225"/>
      <c r="H185" s="225"/>
      <c r="I185" s="225"/>
      <c r="J185" s="225"/>
      <c r="K185" s="225"/>
      <c r="L185" s="225"/>
      <c r="M185" s="225"/>
      <c r="N185" s="225"/>
      <c r="O185" s="225"/>
      <c r="P185" s="220"/>
    </row>
    <row r="186" spans="1:16" s="290" customFormat="1" ht="16" thickTop="1" x14ac:dyDescent="0.2">
      <c r="A186" s="289"/>
      <c r="B186" s="289"/>
      <c r="C186" s="227">
        <v>2013</v>
      </c>
      <c r="D186" s="227">
        <v>2014</v>
      </c>
      <c r="E186" s="228">
        <v>2015</v>
      </c>
      <c r="F186" s="228">
        <f t="shared" ref="F186:O186" si="103">E186+1</f>
        <v>2016</v>
      </c>
      <c r="G186" s="228">
        <f t="shared" si="103"/>
        <v>2017</v>
      </c>
      <c r="H186" s="228">
        <f t="shared" si="103"/>
        <v>2018</v>
      </c>
      <c r="I186" s="228">
        <f t="shared" si="103"/>
        <v>2019</v>
      </c>
      <c r="J186" s="228">
        <f t="shared" si="103"/>
        <v>2020</v>
      </c>
      <c r="K186" s="228">
        <f t="shared" si="103"/>
        <v>2021</v>
      </c>
      <c r="L186" s="228">
        <f t="shared" si="103"/>
        <v>2022</v>
      </c>
      <c r="M186" s="228">
        <f t="shared" si="103"/>
        <v>2023</v>
      </c>
      <c r="N186" s="228">
        <f t="shared" si="103"/>
        <v>2024</v>
      </c>
      <c r="O186" s="228">
        <f t="shared" si="103"/>
        <v>2025</v>
      </c>
      <c r="P186" s="220"/>
    </row>
    <row r="187" spans="1:16" s="290" customFormat="1" x14ac:dyDescent="0.2">
      <c r="A187" s="289"/>
      <c r="B187" s="291" t="s">
        <v>346</v>
      </c>
      <c r="C187" s="289"/>
      <c r="D187" s="289"/>
      <c r="E187" s="289"/>
      <c r="F187" s="289"/>
      <c r="G187" s="289"/>
      <c r="H187" s="289"/>
      <c r="I187" s="289"/>
      <c r="J187" s="289"/>
      <c r="K187" s="289"/>
      <c r="L187" s="289"/>
      <c r="M187" s="289"/>
      <c r="N187" s="289"/>
      <c r="O187" s="289"/>
      <c r="P187" s="220"/>
    </row>
    <row r="188" spans="1:16" s="290" customFormat="1" x14ac:dyDescent="0.2">
      <c r="A188" s="289"/>
      <c r="B188" s="292" t="s">
        <v>347</v>
      </c>
      <c r="C188" s="215">
        <f t="shared" ref="C188" si="104">C7</f>
        <v>0.15898361566231611</v>
      </c>
      <c r="D188" s="215">
        <f>D7</f>
        <v>0.14208697735713427</v>
      </c>
      <c r="E188" s="215">
        <f t="shared" ref="E188:O188" si="105">E7</f>
        <v>4.9512220707017773E-2</v>
      </c>
      <c r="F188" s="215">
        <f t="shared" si="105"/>
        <v>0.05</v>
      </c>
      <c r="G188" s="215">
        <f t="shared" si="105"/>
        <v>0.05</v>
      </c>
      <c r="H188" s="215">
        <f t="shared" si="105"/>
        <v>0.05</v>
      </c>
      <c r="I188" s="215">
        <f t="shared" si="105"/>
        <v>0.05</v>
      </c>
      <c r="J188" s="215">
        <f t="shared" si="105"/>
        <v>0.05</v>
      </c>
      <c r="K188" s="215">
        <f t="shared" si="105"/>
        <v>0.05</v>
      </c>
      <c r="L188" s="215">
        <f t="shared" si="105"/>
        <v>0.04</v>
      </c>
      <c r="M188" s="215">
        <f t="shared" si="105"/>
        <v>0.04</v>
      </c>
      <c r="N188" s="215">
        <f t="shared" si="105"/>
        <v>0.03</v>
      </c>
      <c r="O188" s="215">
        <f t="shared" si="105"/>
        <v>0.03</v>
      </c>
      <c r="P188" s="220"/>
    </row>
    <row r="189" spans="1:16" s="290" customFormat="1" x14ac:dyDescent="0.2">
      <c r="A189" s="289"/>
      <c r="B189" s="292" t="s">
        <v>348</v>
      </c>
      <c r="C189" s="293">
        <f>C15</f>
        <v>0.25865580448065173</v>
      </c>
      <c r="D189" s="293">
        <f t="shared" ref="D189:O189" si="106">D15</f>
        <v>0.27892583656771214</v>
      </c>
      <c r="E189" s="293">
        <f t="shared" si="106"/>
        <v>0.2610694652673663</v>
      </c>
      <c r="F189" s="293">
        <f t="shared" si="106"/>
        <v>0.26</v>
      </c>
      <c r="G189" s="293">
        <f t="shared" si="106"/>
        <v>0.26</v>
      </c>
      <c r="H189" s="293">
        <f t="shared" si="106"/>
        <v>0.26</v>
      </c>
      <c r="I189" s="293">
        <f t="shared" si="106"/>
        <v>0.26</v>
      </c>
      <c r="J189" s="293">
        <f t="shared" si="106"/>
        <v>0.26</v>
      </c>
      <c r="K189" s="293">
        <f t="shared" si="106"/>
        <v>0.26</v>
      </c>
      <c r="L189" s="293">
        <f t="shared" si="106"/>
        <v>0.26</v>
      </c>
      <c r="M189" s="293">
        <f t="shared" si="106"/>
        <v>0.26</v>
      </c>
      <c r="N189" s="293">
        <f t="shared" si="106"/>
        <v>0.26</v>
      </c>
      <c r="O189" s="293">
        <f t="shared" si="106"/>
        <v>0.26</v>
      </c>
      <c r="P189" s="220"/>
    </row>
    <row r="190" spans="1:16" s="290" customFormat="1" x14ac:dyDescent="0.2">
      <c r="A190" s="289"/>
      <c r="B190" s="292" t="s">
        <v>349</v>
      </c>
      <c r="C190" s="293">
        <f>C27</f>
        <v>0.28440158140649335</v>
      </c>
      <c r="D190" s="293">
        <f t="shared" ref="D190:O190" si="107">D27</f>
        <v>0.30966117696422951</v>
      </c>
      <c r="E190" s="293">
        <f t="shared" si="107"/>
        <v>0.29355322338830586</v>
      </c>
      <c r="F190" s="293">
        <f t="shared" si="107"/>
        <v>0.29541150002662242</v>
      </c>
      <c r="G190" s="293">
        <f t="shared" si="107"/>
        <v>0.29680369831792347</v>
      </c>
      <c r="H190" s="293">
        <f t="shared" si="107"/>
        <v>0.29815982065884133</v>
      </c>
      <c r="I190" s="293">
        <f t="shared" si="107"/>
        <v>0.30013797900525108</v>
      </c>
      <c r="J190" s="293">
        <f t="shared" si="107"/>
        <v>0.30186139674233547</v>
      </c>
      <c r="K190" s="293">
        <f t="shared" si="107"/>
        <v>0.303581060428047</v>
      </c>
      <c r="L190" s="293">
        <f t="shared" si="107"/>
        <v>0.30561792932678378</v>
      </c>
      <c r="M190" s="293">
        <f t="shared" si="107"/>
        <v>0.30757645711403064</v>
      </c>
      <c r="N190" s="293">
        <f t="shared" si="107"/>
        <v>0.30990379859275036</v>
      </c>
      <c r="O190" s="293">
        <f t="shared" si="107"/>
        <v>0.31216335342645884</v>
      </c>
      <c r="P190" s="220"/>
    </row>
    <row r="191" spans="1:16" s="290" customFormat="1" x14ac:dyDescent="0.2">
      <c r="A191" s="289"/>
      <c r="B191" s="292" t="s">
        <v>350</v>
      </c>
      <c r="C191" s="293">
        <f>C24/C6</f>
        <v>0.17167844734635199</v>
      </c>
      <c r="D191" s="293">
        <f t="shared" ref="D191:O191" si="108">D24/D6</f>
        <v>0.18441204237910416</v>
      </c>
      <c r="E191" s="293">
        <f t="shared" si="108"/>
        <v>0.17301349325337331</v>
      </c>
      <c r="F191" s="293">
        <f t="shared" si="108"/>
        <v>0.16934971085885628</v>
      </c>
      <c r="G191" s="293">
        <f t="shared" si="108"/>
        <v>0.17021830225944348</v>
      </c>
      <c r="H191" s="293">
        <f t="shared" si="108"/>
        <v>0.17164117030324483</v>
      </c>
      <c r="I191" s="293">
        <f t="shared" si="108"/>
        <v>0.17298585839210792</v>
      </c>
      <c r="J191" s="293">
        <f t="shared" si="108"/>
        <v>0.17373606124428548</v>
      </c>
      <c r="K191" s="293">
        <f t="shared" si="108"/>
        <v>0.17446649260323696</v>
      </c>
      <c r="L191" s="293">
        <f t="shared" si="108"/>
        <v>0.17518709420871628</v>
      </c>
      <c r="M191" s="293">
        <f t="shared" si="108"/>
        <v>0.17638184138729154</v>
      </c>
      <c r="N191" s="293">
        <f t="shared" si="108"/>
        <v>0.17711931744207432</v>
      </c>
      <c r="O191" s="293">
        <f t="shared" si="108"/>
        <v>0.17788035737257774</v>
      </c>
      <c r="P191" s="220"/>
    </row>
    <row r="192" spans="1:16" s="290" customFormat="1" x14ac:dyDescent="0.2">
      <c r="A192" s="289"/>
      <c r="B192" s="292" t="s">
        <v>351</v>
      </c>
      <c r="C192" s="293">
        <f>-C63/C6</f>
        <v>3.8696537678207736E-2</v>
      </c>
      <c r="D192" s="293">
        <f t="shared" ref="D192:O192" si="109">-D63/D6</f>
        <v>3.7239064302947655E-2</v>
      </c>
      <c r="E192" s="293">
        <f t="shared" si="109"/>
        <v>4.5677161419290353E-2</v>
      </c>
      <c r="F192" s="293">
        <f t="shared" si="109"/>
        <v>0.05</v>
      </c>
      <c r="G192" s="293">
        <f t="shared" si="109"/>
        <v>0.05</v>
      </c>
      <c r="H192" s="293">
        <f t="shared" si="109"/>
        <v>0.05</v>
      </c>
      <c r="I192" s="293">
        <f t="shared" si="109"/>
        <v>0.05</v>
      </c>
      <c r="J192" s="293">
        <f t="shared" si="109"/>
        <v>0.05</v>
      </c>
      <c r="K192" s="293">
        <f t="shared" si="109"/>
        <v>0.05</v>
      </c>
      <c r="L192" s="293">
        <f t="shared" si="109"/>
        <v>0.05</v>
      </c>
      <c r="M192" s="293">
        <f t="shared" si="109"/>
        <v>0.05</v>
      </c>
      <c r="N192" s="293">
        <f t="shared" si="109"/>
        <v>0.05</v>
      </c>
      <c r="O192" s="293">
        <f t="shared" si="109"/>
        <v>0.05</v>
      </c>
      <c r="P192" s="220"/>
    </row>
    <row r="193" spans="1:16" s="290" customFormat="1" x14ac:dyDescent="0.2">
      <c r="A193" s="289"/>
      <c r="B193" s="292" t="s">
        <v>352</v>
      </c>
      <c r="C193" s="215">
        <f>C70/C$6</f>
        <v>-0.4639990415718222</v>
      </c>
      <c r="D193" s="215">
        <f>D70/D$6</f>
        <v>7.9723067240113285E-2</v>
      </c>
      <c r="E193" s="215">
        <f t="shared" ref="E193:O193" si="110">E70/E$6</f>
        <v>6.6666666666666666E-2</v>
      </c>
      <c r="F193" s="215">
        <f t="shared" si="110"/>
        <v>0.10752159530141661</v>
      </c>
      <c r="G193" s="215">
        <f t="shared" si="110"/>
        <v>0.10885677877519825</v>
      </c>
      <c r="H193" s="215">
        <f t="shared" si="110"/>
        <v>0.11046412440274084</v>
      </c>
      <c r="I193" s="215">
        <f t="shared" si="110"/>
        <v>0.11178270950420022</v>
      </c>
      <c r="J193" s="215">
        <f t="shared" si="110"/>
        <v>0.11334366395880358</v>
      </c>
      <c r="K193" s="215">
        <f t="shared" si="110"/>
        <v>0.11566968044491888</v>
      </c>
      <c r="L193" s="215">
        <f t="shared" si="110"/>
        <v>0.12212790848994208</v>
      </c>
      <c r="M193" s="215">
        <f t="shared" si="110"/>
        <v>0.12451280572509904</v>
      </c>
      <c r="N193" s="215">
        <f t="shared" si="110"/>
        <v>0.13073139417130164</v>
      </c>
      <c r="O193" s="215">
        <f t="shared" si="110"/>
        <v>0.13373264526387055</v>
      </c>
      <c r="P193" s="220"/>
    </row>
    <row r="194" spans="1:16" s="290" customFormat="1" x14ac:dyDescent="0.2">
      <c r="A194" s="289"/>
      <c r="B194" s="292" t="s">
        <v>353</v>
      </c>
      <c r="C194" s="215">
        <f>C14/((10559+C42)/2)</f>
        <v>0.15727554179566564</v>
      </c>
      <c r="D194" s="215">
        <f t="shared" ref="D194:O194" si="111">D14/((C42+D42)/2)</f>
        <v>0.1498788117918945</v>
      </c>
      <c r="E194" s="215">
        <f t="shared" si="111"/>
        <v>0.13742305466407112</v>
      </c>
      <c r="F194" s="215">
        <f t="shared" si="111"/>
        <v>0.13778482170982356</v>
      </c>
      <c r="G194" s="215">
        <f t="shared" si="111"/>
        <v>0.13516861661982205</v>
      </c>
      <c r="H194" s="215">
        <f t="shared" si="111"/>
        <v>0.13223318808458162</v>
      </c>
      <c r="I194" s="215">
        <f t="shared" si="111"/>
        <v>0.13203547863732715</v>
      </c>
      <c r="J194" s="215">
        <f t="shared" si="111"/>
        <v>0.12896440857488112</v>
      </c>
      <c r="K194" s="215">
        <f t="shared" si="111"/>
        <v>0.12377387305389367</v>
      </c>
      <c r="L194" s="215">
        <f t="shared" si="111"/>
        <v>0.11810892661047373</v>
      </c>
      <c r="M194" s="215">
        <f t="shared" si="111"/>
        <v>0.11482366334966365</v>
      </c>
      <c r="N194" s="215">
        <f t="shared" si="111"/>
        <v>0.11071890884456134</v>
      </c>
      <c r="O194" s="215">
        <f t="shared" si="111"/>
        <v>0.1055498966820516</v>
      </c>
      <c r="P194" s="220"/>
    </row>
    <row r="195" spans="1:16" s="290" customFormat="1" x14ac:dyDescent="0.2">
      <c r="A195" s="289"/>
      <c r="B195" s="292" t="s">
        <v>354</v>
      </c>
      <c r="C195" s="215">
        <f>C24/((8365+C54)/2)</f>
        <v>0.15774120755132368</v>
      </c>
      <c r="D195" s="215">
        <f>D24/((8365+D54)/2)</f>
        <v>0.1777732834462534</v>
      </c>
      <c r="E195" s="215">
        <f>E24/((8365+E54)/2)</f>
        <v>0.17917399855087465</v>
      </c>
      <c r="F195" s="215">
        <f t="shared" ref="F195:O195" si="112">F24/((8365+F54)/2)</f>
        <v>0.16814597876210058</v>
      </c>
      <c r="G195" s="215">
        <f t="shared" si="112"/>
        <v>0.16255285683709694</v>
      </c>
      <c r="H195" s="215">
        <f t="shared" si="112"/>
        <v>0.15805460776387967</v>
      </c>
      <c r="I195" s="215">
        <f t="shared" si="112"/>
        <v>0.15395813280304757</v>
      </c>
      <c r="J195" s="215">
        <f t="shared" si="112"/>
        <v>0.14979796223066399</v>
      </c>
      <c r="K195" s="215">
        <f t="shared" si="112"/>
        <v>0.14603914179907643</v>
      </c>
      <c r="L195" s="215">
        <f t="shared" si="112"/>
        <v>0.14137688065075382</v>
      </c>
      <c r="M195" s="215">
        <f t="shared" si="112"/>
        <v>0.13752654584234086</v>
      </c>
      <c r="N195" s="215">
        <f t="shared" si="112"/>
        <v>0.13251656864384675</v>
      </c>
      <c r="O195" s="215">
        <f t="shared" si="112"/>
        <v>0.12802291034832075</v>
      </c>
      <c r="P195" s="220"/>
    </row>
    <row r="196" spans="1:16" s="290" customFormat="1" x14ac:dyDescent="0.2">
      <c r="A196" s="289"/>
      <c r="B196" s="292" t="s">
        <v>355</v>
      </c>
      <c r="C196" s="215">
        <f>C178</f>
        <v>1.8929016189290163E-2</v>
      </c>
      <c r="D196" s="215">
        <f>D178</f>
        <v>2.0601789102737869E-2</v>
      </c>
      <c r="E196" s="215">
        <f t="shared" ref="E196:O196" si="113">E178</f>
        <v>1.6917984553144538E-2</v>
      </c>
      <c r="F196" s="215">
        <f t="shared" si="113"/>
        <v>0.02</v>
      </c>
      <c r="G196" s="215">
        <f t="shared" si="113"/>
        <v>0.02</v>
      </c>
      <c r="H196" s="215">
        <f t="shared" si="113"/>
        <v>0.02</v>
      </c>
      <c r="I196" s="215">
        <f t="shared" si="113"/>
        <v>0.02</v>
      </c>
      <c r="J196" s="215">
        <f t="shared" si="113"/>
        <v>0.02</v>
      </c>
      <c r="K196" s="215">
        <f t="shared" si="113"/>
        <v>0.02</v>
      </c>
      <c r="L196" s="215">
        <f t="shared" si="113"/>
        <v>0.02</v>
      </c>
      <c r="M196" s="215">
        <f t="shared" si="113"/>
        <v>0.02</v>
      </c>
      <c r="N196" s="215">
        <f t="shared" si="113"/>
        <v>0.02</v>
      </c>
      <c r="O196" s="215">
        <f t="shared" si="113"/>
        <v>0.02</v>
      </c>
      <c r="P196" s="220"/>
    </row>
    <row r="197" spans="1:16" s="290" customFormat="1" x14ac:dyDescent="0.2">
      <c r="A197" s="289"/>
      <c r="B197" s="292"/>
      <c r="C197" s="289"/>
      <c r="D197" s="289"/>
      <c r="E197" s="289"/>
      <c r="F197" s="289"/>
      <c r="G197" s="289"/>
      <c r="H197" s="289"/>
      <c r="I197" s="289"/>
      <c r="J197" s="289"/>
      <c r="K197" s="289"/>
      <c r="L197" s="289"/>
      <c r="M197" s="289"/>
      <c r="N197" s="289"/>
      <c r="O197" s="289"/>
      <c r="P197" s="220"/>
    </row>
    <row r="198" spans="1:16" s="290" customFormat="1" x14ac:dyDescent="0.2">
      <c r="A198" s="289"/>
      <c r="B198" s="291" t="s">
        <v>356</v>
      </c>
      <c r="C198" s="289"/>
      <c r="D198" s="289"/>
      <c r="E198" s="289"/>
      <c r="F198" s="289"/>
      <c r="G198" s="289"/>
      <c r="H198" s="289"/>
      <c r="I198" s="289"/>
      <c r="J198" s="289"/>
      <c r="K198" s="289"/>
      <c r="L198" s="289"/>
      <c r="M198" s="289"/>
      <c r="N198" s="289"/>
      <c r="O198" s="289"/>
      <c r="P198" s="220"/>
    </row>
    <row r="199" spans="1:16" s="290" customFormat="1" x14ac:dyDescent="0.2">
      <c r="A199" s="289"/>
      <c r="B199" s="292" t="s">
        <v>357</v>
      </c>
      <c r="C199" s="215">
        <f>(C45+C50)/C54</f>
        <v>0.38831089351285192</v>
      </c>
      <c r="D199" s="215">
        <f t="shared" ref="D199:O199" si="114">(D45+D50)/D54</f>
        <v>0.31288881100499433</v>
      </c>
      <c r="E199" s="215">
        <f t="shared" si="114"/>
        <v>0.41854522223236285</v>
      </c>
      <c r="F199" s="215">
        <f t="shared" si="114"/>
        <v>0.27297782755374811</v>
      </c>
      <c r="G199" s="215">
        <f t="shared" si="114"/>
        <v>0.23696507733212491</v>
      </c>
      <c r="H199" s="215">
        <f t="shared" si="114"/>
        <v>0.1483595766889774</v>
      </c>
      <c r="I199" s="215">
        <f t="shared" si="114"/>
        <v>7.8625651175326147E-2</v>
      </c>
      <c r="J199" s="215">
        <f t="shared" si="114"/>
        <v>7.0149867074528971E-2</v>
      </c>
      <c r="K199" s="215">
        <f t="shared" si="114"/>
        <v>6.2990948812931657E-2</v>
      </c>
      <c r="L199" s="215">
        <f t="shared" si="114"/>
        <v>5.6925103825921516E-2</v>
      </c>
      <c r="M199" s="215">
        <f t="shared" si="114"/>
        <v>1.72026485513843E-2</v>
      </c>
      <c r="N199" s="215">
        <f t="shared" si="114"/>
        <v>1.5714374699055924E-2</v>
      </c>
      <c r="O199" s="215">
        <f t="shared" si="114"/>
        <v>1.4423730552302248E-2</v>
      </c>
      <c r="P199" s="220"/>
    </row>
    <row r="200" spans="1:16" s="290" customFormat="1" x14ac:dyDescent="0.2">
      <c r="A200" s="289"/>
      <c r="B200" s="292" t="s">
        <v>358</v>
      </c>
      <c r="C200" s="215">
        <f>(C45+C50)/(C45+C50+C54)</f>
        <v>0.27970024245095876</v>
      </c>
      <c r="D200" s="215">
        <f t="shared" ref="D200:O200" si="115">(D45+D50)/(D45+D50+D54)</f>
        <v>0.23832087560064069</v>
      </c>
      <c r="E200" s="215">
        <f t="shared" si="115"/>
        <v>0.29505243517982371</v>
      </c>
      <c r="F200" s="215">
        <f t="shared" si="115"/>
        <v>0.21444036309597259</v>
      </c>
      <c r="G200" s="215">
        <f t="shared" si="115"/>
        <v>0.19156973925505563</v>
      </c>
      <c r="H200" s="215">
        <f t="shared" si="115"/>
        <v>0.12919261501413787</v>
      </c>
      <c r="I200" s="215">
        <f t="shared" si="115"/>
        <v>7.2894290145660443E-2</v>
      </c>
      <c r="J200" s="215">
        <f t="shared" si="115"/>
        <v>6.5551442123053111E-2</v>
      </c>
      <c r="K200" s="215">
        <f t="shared" si="115"/>
        <v>5.9258217469560968E-2</v>
      </c>
      <c r="L200" s="215">
        <f t="shared" si="115"/>
        <v>5.3859165251975358E-2</v>
      </c>
      <c r="M200" s="215">
        <f t="shared" si="115"/>
        <v>1.6911722139027939E-2</v>
      </c>
      <c r="N200" s="215">
        <f t="shared" si="115"/>
        <v>1.5471253622566782E-2</v>
      </c>
      <c r="O200" s="215">
        <f t="shared" si="115"/>
        <v>1.4218644653008324E-2</v>
      </c>
      <c r="P200" s="220"/>
    </row>
    <row r="201" spans="1:16" s="290" customFormat="1" x14ac:dyDescent="0.2">
      <c r="A201" s="289"/>
      <c r="B201" s="292" t="s">
        <v>359</v>
      </c>
      <c r="C201" s="294">
        <f>C14/-C17</f>
        <v>56.815789473684212</v>
      </c>
      <c r="D201" s="294">
        <f t="shared" ref="D201:O201" si="116">D14/-D17</f>
        <v>34.986842105263158</v>
      </c>
      <c r="E201" s="294">
        <f t="shared" si="116"/>
        <v>37.855072463768117</v>
      </c>
      <c r="F201" s="294">
        <f t="shared" si="116"/>
        <v>33.808206461195695</v>
      </c>
      <c r="G201" s="294">
        <f t="shared" si="116"/>
        <v>41.058457408732998</v>
      </c>
      <c r="H201" s="294">
        <f t="shared" si="116"/>
        <v>50.331437614908914</v>
      </c>
      <c r="I201" s="294">
        <f t="shared" si="116"/>
        <v>79.404731494851845</v>
      </c>
      <c r="J201" s="294">
        <f t="shared" si="116"/>
        <v>111.33438056778169</v>
      </c>
      <c r="K201" s="294">
        <f t="shared" si="116"/>
        <v>116.90109959617078</v>
      </c>
      <c r="L201" s="294">
        <f t="shared" si="116"/>
        <v>121.57714358001762</v>
      </c>
      <c r="M201" s="294">
        <f t="shared" si="116"/>
        <v>189.75579458572574</v>
      </c>
      <c r="N201" s="294">
        <f t="shared" si="116"/>
        <v>391.48801084384297</v>
      </c>
      <c r="O201" s="294">
        <f t="shared" si="116"/>
        <v>403.23265116915826</v>
      </c>
      <c r="P201" s="220"/>
    </row>
    <row r="202" spans="1:16" s="290" customFormat="1" x14ac:dyDescent="0.2">
      <c r="A202" s="289"/>
      <c r="B202" s="292" t="s">
        <v>360</v>
      </c>
      <c r="C202" s="294">
        <f>C26/-C17</f>
        <v>62.471052631578949</v>
      </c>
      <c r="D202" s="294">
        <f t="shared" ref="D202:O202" si="117">D26/-D17</f>
        <v>38.842105263157897</v>
      </c>
      <c r="E202" s="294">
        <f t="shared" si="117"/>
        <v>42.565217391304351</v>
      </c>
      <c r="F202" s="294">
        <f t="shared" si="117"/>
        <v>38.412819168890643</v>
      </c>
      <c r="G202" s="294">
        <f t="shared" si="117"/>
        <v>46.870392331311145</v>
      </c>
      <c r="H202" s="294">
        <f t="shared" si="117"/>
        <v>57.718509279857315</v>
      </c>
      <c r="I202" s="294">
        <f t="shared" si="117"/>
        <v>91.66298320892092</v>
      </c>
      <c r="J202" s="294">
        <f t="shared" si="117"/>
        <v>129.25981393705121</v>
      </c>
      <c r="K202" s="294">
        <f t="shared" si="117"/>
        <v>136.49599915619334</v>
      </c>
      <c r="L202" s="294">
        <f t="shared" si="117"/>
        <v>142.90828797842335</v>
      </c>
      <c r="M202" s="294">
        <f t="shared" si="117"/>
        <v>224.47851929052032</v>
      </c>
      <c r="N202" s="294">
        <f t="shared" si="117"/>
        <v>466.62931409241071</v>
      </c>
      <c r="O202" s="294">
        <f t="shared" si="117"/>
        <v>484.1325253846382</v>
      </c>
      <c r="P202" s="220"/>
    </row>
    <row r="203" spans="1:16" s="290" customFormat="1" x14ac:dyDescent="0.2">
      <c r="A203" s="289"/>
      <c r="B203" s="292" t="s">
        <v>361</v>
      </c>
      <c r="C203" s="294">
        <f>C70/-C17</f>
        <v>-101.92105263157895</v>
      </c>
      <c r="D203" s="294">
        <f>D70/-D17</f>
        <v>10</v>
      </c>
      <c r="E203" s="294">
        <f>E70/-E17</f>
        <v>9.6666666666666661</v>
      </c>
      <c r="F203" s="294">
        <f t="shared" ref="F203:O203" si="118">F70/-F17</f>
        <v>13.981201126874696</v>
      </c>
      <c r="G203" s="294">
        <f t="shared" si="118"/>
        <v>17.190351596128259</v>
      </c>
      <c r="H203" s="294">
        <f t="shared" si="118"/>
        <v>21.3839161002388</v>
      </c>
      <c r="I203" s="294">
        <f t="shared" si="118"/>
        <v>34.13875397672323</v>
      </c>
      <c r="J203" s="294">
        <f t="shared" si="118"/>
        <v>48.534794685139232</v>
      </c>
      <c r="K203" s="294">
        <f t="shared" si="118"/>
        <v>52.007357053648882</v>
      </c>
      <c r="L203" s="294">
        <f t="shared" si="118"/>
        <v>57.107547175419008</v>
      </c>
      <c r="M203" s="294">
        <f t="shared" si="118"/>
        <v>90.873178409477958</v>
      </c>
      <c r="N203" s="294">
        <f t="shared" si="118"/>
        <v>196.84528253448173</v>
      </c>
      <c r="O203" s="294">
        <f t="shared" si="118"/>
        <v>207.40526576005803</v>
      </c>
      <c r="P203" s="220"/>
    </row>
    <row r="204" spans="1:16" s="290" customFormat="1" x14ac:dyDescent="0.2">
      <c r="A204" s="289"/>
      <c r="B204" s="292" t="s">
        <v>362</v>
      </c>
      <c r="C204" s="294">
        <f>(C45+C50)/C26</f>
        <v>1.6036901301655504</v>
      </c>
      <c r="D204" s="294">
        <f t="shared" ref="D204:O204" si="119">(D45+D50)/D26</f>
        <v>1.2096883468834689</v>
      </c>
      <c r="E204" s="294">
        <f>(E45+E50)/E26</f>
        <v>1.5614572693224378</v>
      </c>
      <c r="F204" s="294">
        <f t="shared" si="119"/>
        <v>1.1255500088130375</v>
      </c>
      <c r="G204" s="294">
        <f t="shared" si="119"/>
        <v>1.066618803838524</v>
      </c>
      <c r="H204" s="294">
        <f t="shared" si="119"/>
        <v>0.7213393411447846</v>
      </c>
      <c r="I204" s="294">
        <f t="shared" si="119"/>
        <v>0.40849091334335313</v>
      </c>
      <c r="J204" s="294">
        <f t="shared" si="119"/>
        <v>0.3868178243266675</v>
      </c>
      <c r="K204" s="294">
        <f t="shared" si="119"/>
        <v>0.36631110295609942</v>
      </c>
      <c r="L204" s="294">
        <f t="shared" si="119"/>
        <v>0.3498747392981793</v>
      </c>
      <c r="M204" s="294">
        <f t="shared" si="119"/>
        <v>0.11120108389058379</v>
      </c>
      <c r="N204" s="294">
        <f t="shared" si="119"/>
        <v>0.10715143367546356</v>
      </c>
      <c r="O204" s="294">
        <f t="shared" si="119"/>
        <v>0.10327750642300995</v>
      </c>
      <c r="P204" s="220"/>
    </row>
    <row r="207" spans="1:16" x14ac:dyDescent="0.2">
      <c r="B207" s="246" t="s">
        <v>363</v>
      </c>
      <c r="C207" s="295" t="s">
        <v>364</v>
      </c>
      <c r="D207" s="296" t="s">
        <v>365</v>
      </c>
      <c r="E207" s="296"/>
      <c r="F207" s="296"/>
      <c r="G207" s="296"/>
    </row>
    <row r="208" spans="1:16" x14ac:dyDescent="0.2">
      <c r="B208" s="292" t="s">
        <v>358</v>
      </c>
      <c r="C208" s="215">
        <f>C210/C209</f>
        <v>0.29505243517982371</v>
      </c>
      <c r="D208" s="216">
        <v>0.4</v>
      </c>
      <c r="E208" s="216">
        <v>0.5</v>
      </c>
      <c r="F208" s="216">
        <v>0.6</v>
      </c>
      <c r="G208" s="216">
        <v>0.65</v>
      </c>
    </row>
    <row r="209" spans="2:16" x14ac:dyDescent="0.2">
      <c r="B209" s="220" t="s">
        <v>366</v>
      </c>
      <c r="C209" s="265">
        <f>(E45+E50+E54)*1</f>
        <v>15543</v>
      </c>
      <c r="D209" s="265">
        <f>C209</f>
        <v>15543</v>
      </c>
      <c r="E209" s="265">
        <f>D209</f>
        <v>15543</v>
      </c>
      <c r="F209" s="265">
        <f>E209</f>
        <v>15543</v>
      </c>
      <c r="G209" s="265">
        <f>F209</f>
        <v>15543</v>
      </c>
    </row>
    <row r="210" spans="2:16" x14ac:dyDescent="0.2">
      <c r="B210" s="220" t="s">
        <v>367</v>
      </c>
      <c r="C210" s="286">
        <f>E173</f>
        <v>4586</v>
      </c>
      <c r="D210" s="286">
        <f>D209*D208</f>
        <v>6217.2000000000007</v>
      </c>
      <c r="E210" s="286">
        <f>E209*E208</f>
        <v>7771.5</v>
      </c>
      <c r="F210" s="286">
        <f>F209*F208</f>
        <v>9325.7999999999993</v>
      </c>
      <c r="G210" s="286">
        <f>G209*G208</f>
        <v>10102.950000000001</v>
      </c>
    </row>
    <row r="211" spans="2:16" x14ac:dyDescent="0.2">
      <c r="B211" s="220" t="s">
        <v>368</v>
      </c>
      <c r="C211" s="297">
        <f>E196</f>
        <v>1.6917984553144538E-2</v>
      </c>
      <c r="D211" s="297">
        <v>0.02</v>
      </c>
      <c r="E211" s="297">
        <v>0.02</v>
      </c>
      <c r="F211" s="297">
        <v>0.02</v>
      </c>
      <c r="G211" s="297">
        <v>0.02</v>
      </c>
    </row>
    <row r="212" spans="2:16" x14ac:dyDescent="0.2">
      <c r="B212" s="240" t="s">
        <v>369</v>
      </c>
      <c r="C212" s="298">
        <f>-E17</f>
        <v>69</v>
      </c>
      <c r="D212" s="298">
        <f>D210*D211</f>
        <v>124.34400000000002</v>
      </c>
      <c r="E212" s="298">
        <f>E210*E211</f>
        <v>155.43</v>
      </c>
      <c r="F212" s="298">
        <f>F210*F211</f>
        <v>186.51599999999999</v>
      </c>
      <c r="G212" s="298">
        <f>G210*G211</f>
        <v>202.05900000000003</v>
      </c>
    </row>
    <row r="213" spans="2:16" x14ac:dyDescent="0.2">
      <c r="B213" s="220" t="s">
        <v>370</v>
      </c>
      <c r="C213" s="265">
        <f>E70</f>
        <v>667</v>
      </c>
      <c r="D213" s="265">
        <f>E70</f>
        <v>667</v>
      </c>
      <c r="E213" s="265">
        <f>E70</f>
        <v>667</v>
      </c>
      <c r="F213" s="265">
        <f>E70</f>
        <v>667</v>
      </c>
      <c r="G213" s="265">
        <f>E70</f>
        <v>667</v>
      </c>
    </row>
    <row r="214" spans="2:16" x14ac:dyDescent="0.2">
      <c r="B214" s="240" t="s">
        <v>371</v>
      </c>
      <c r="C214" s="273">
        <f>E26</f>
        <v>2937</v>
      </c>
      <c r="D214" s="273">
        <f>E26</f>
        <v>2937</v>
      </c>
      <c r="E214" s="273">
        <f>E26</f>
        <v>2937</v>
      </c>
      <c r="F214" s="273">
        <f>E26</f>
        <v>2937</v>
      </c>
      <c r="G214" s="273">
        <f>E26</f>
        <v>2937</v>
      </c>
    </row>
    <row r="215" spans="2:16" x14ac:dyDescent="0.2">
      <c r="B215" s="292" t="s">
        <v>361</v>
      </c>
      <c r="C215" s="294">
        <f>C213/C212</f>
        <v>9.6666666666666661</v>
      </c>
      <c r="D215" s="294">
        <f>D213/D212</f>
        <v>5.3641510647880066</v>
      </c>
      <c r="E215" s="294">
        <f>E213/E212</f>
        <v>4.291320851830406</v>
      </c>
      <c r="F215" s="294">
        <f>F213/F212</f>
        <v>3.5761007098586717</v>
      </c>
      <c r="G215" s="294">
        <f>G213/G212</f>
        <v>3.3010160398695425</v>
      </c>
    </row>
    <row r="216" spans="2:16" x14ac:dyDescent="0.2">
      <c r="B216" s="292" t="s">
        <v>362</v>
      </c>
      <c r="C216" s="294">
        <f>C210/C214</f>
        <v>1.5614572693224378</v>
      </c>
      <c r="D216" s="294">
        <f>D210/D214</f>
        <v>2.1168539325842701</v>
      </c>
      <c r="E216" s="294">
        <f>E210/E214</f>
        <v>2.6460674157303372</v>
      </c>
      <c r="F216" s="294">
        <f>F210/F214</f>
        <v>3.1752808988764043</v>
      </c>
      <c r="G216" s="294">
        <f>G210/G214</f>
        <v>3.4398876404494385</v>
      </c>
    </row>
    <row r="218" spans="2:16" x14ac:dyDescent="0.2">
      <c r="B218" s="323" t="s">
        <v>377</v>
      </c>
      <c r="C218" s="265">
        <f>C20*(1-C22)+C61+C63+C94</f>
        <v>895.90000000000009</v>
      </c>
      <c r="D218" s="265">
        <f t="shared" ref="D218:O218" si="120">D20*(1-D22)+D61+D63+D94</f>
        <v>1374</v>
      </c>
      <c r="E218" s="265">
        <f t="shared" si="120"/>
        <v>1366</v>
      </c>
      <c r="F218" s="265">
        <f t="shared" si="120"/>
        <v>1409.1112390402066</v>
      </c>
      <c r="G218" s="265">
        <f t="shared" si="120"/>
        <v>1509.2740589895589</v>
      </c>
      <c r="H218" s="265">
        <f t="shared" si="120"/>
        <v>1616.866600277287</v>
      </c>
      <c r="I218" s="265">
        <f t="shared" si="120"/>
        <v>1736.7469283531188</v>
      </c>
      <c r="J218" s="265">
        <f t="shared" si="120"/>
        <v>1855.5074097608517</v>
      </c>
      <c r="K218" s="265">
        <f t="shared" si="120"/>
        <v>1980.9602112023099</v>
      </c>
      <c r="L218" s="265">
        <f t="shared" si="120"/>
        <v>2151.4447135879946</v>
      </c>
      <c r="M218" s="265">
        <f t="shared" si="120"/>
        <v>2283.2304180860074</v>
      </c>
      <c r="N218" s="265">
        <f t="shared" si="120"/>
        <v>2455.1590767244288</v>
      </c>
      <c r="O218" s="265">
        <f t="shared" si="120"/>
        <v>2575.285326541617</v>
      </c>
      <c r="P218" s="265"/>
    </row>
    <row r="219" spans="2:16" x14ac:dyDescent="0.2">
      <c r="B219" s="323" t="s">
        <v>378</v>
      </c>
      <c r="C219" s="265">
        <f>C218+C17*0.7+C171+C172</f>
        <v>869.30000000000007</v>
      </c>
      <c r="D219" s="265">
        <f t="shared" ref="D219:O219" si="121">D218+D17*0.7+D171+D172</f>
        <v>1320.8</v>
      </c>
      <c r="E219" s="265">
        <f t="shared" si="121"/>
        <v>2332.6999999999998</v>
      </c>
      <c r="F219" s="265">
        <f t="shared" si="121"/>
        <v>259.55823904020644</v>
      </c>
      <c r="G219" s="265">
        <f t="shared" si="121"/>
        <v>1459.3790589895589</v>
      </c>
      <c r="H219" s="265">
        <f t="shared" si="121"/>
        <v>573.98560027728695</v>
      </c>
      <c r="I219" s="265">
        <f t="shared" si="121"/>
        <v>708.87292835311882</v>
      </c>
      <c r="J219" s="265">
        <f t="shared" si="121"/>
        <v>1834.6334097608517</v>
      </c>
      <c r="K219" s="265">
        <f t="shared" si="121"/>
        <v>1960.0862112023099</v>
      </c>
      <c r="L219" s="265">
        <f t="shared" si="121"/>
        <v>2130.5707135879948</v>
      </c>
      <c r="M219" s="265">
        <f t="shared" si="121"/>
        <v>1274.3214180860073</v>
      </c>
      <c r="N219" s="265">
        <f t="shared" si="121"/>
        <v>2448.2150767244289</v>
      </c>
      <c r="O219" s="265">
        <f t="shared" si="121"/>
        <v>2568.341326541617</v>
      </c>
    </row>
    <row r="220" spans="2:16" x14ac:dyDescent="0.2">
      <c r="B220" s="323" t="s">
        <v>379</v>
      </c>
      <c r="C220" s="326">
        <v>2.8899999999999999E-2</v>
      </c>
    </row>
    <row r="221" spans="2:16" x14ac:dyDescent="0.2">
      <c r="B221" s="323" t="s">
        <v>380</v>
      </c>
      <c r="C221" s="220">
        <v>0.38</v>
      </c>
    </row>
    <row r="222" spans="2:16" x14ac:dyDescent="0.2">
      <c r="B222" s="323" t="s">
        <v>381</v>
      </c>
      <c r="C222" s="326">
        <v>0.16900000000000001</v>
      </c>
    </row>
    <row r="223" spans="2:16" x14ac:dyDescent="0.2">
      <c r="B223" s="323" t="s">
        <v>382</v>
      </c>
      <c r="C223" s="327">
        <f>1-C222</f>
        <v>0.83099999999999996</v>
      </c>
    </row>
    <row r="224" spans="2:16" x14ac:dyDescent="0.2">
      <c r="B224" s="323" t="s">
        <v>383</v>
      </c>
      <c r="C224" s="326">
        <v>9.9000000000000005E-2</v>
      </c>
    </row>
    <row r="225" spans="2:15" x14ac:dyDescent="0.2">
      <c r="B225" s="323" t="s">
        <v>384</v>
      </c>
      <c r="C225" s="326">
        <f>C226*C222+C227*C223</f>
        <v>2.8498921999999999E-2</v>
      </c>
      <c r="F225" s="326">
        <f>C225+O207</f>
        <v>2.8498921999999999E-2</v>
      </c>
    </row>
    <row r="226" spans="2:15" x14ac:dyDescent="0.2">
      <c r="B226" s="323" t="s">
        <v>385</v>
      </c>
      <c r="C226" s="326">
        <f>C220+C221*(C224-C220)</f>
        <v>5.5538000000000004E-2</v>
      </c>
    </row>
    <row r="227" spans="2:15" x14ac:dyDescent="0.2">
      <c r="B227" s="323" t="s">
        <v>386</v>
      </c>
      <c r="C227" s="326">
        <v>2.3E-2</v>
      </c>
    </row>
    <row r="228" spans="2:15" x14ac:dyDescent="0.2">
      <c r="B228" s="323" t="s">
        <v>387</v>
      </c>
      <c r="F228" s="220">
        <v>1</v>
      </c>
      <c r="G228" s="220">
        <v>2</v>
      </c>
      <c r="H228" s="220">
        <v>3</v>
      </c>
      <c r="I228" s="220">
        <v>4</v>
      </c>
      <c r="J228" s="220">
        <v>5</v>
      </c>
      <c r="K228" s="220">
        <v>6</v>
      </c>
      <c r="L228" s="220">
        <v>7</v>
      </c>
      <c r="M228" s="220">
        <v>8</v>
      </c>
      <c r="N228" s="220">
        <v>9</v>
      </c>
      <c r="O228" s="220">
        <v>10</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B7"/>
  <sheetViews>
    <sheetView workbookViewId="0">
      <selection activeCell="A4" sqref="A4:B4"/>
    </sheetView>
  </sheetViews>
  <sheetFormatPr baseColWidth="10" defaultColWidth="9.1640625" defaultRowHeight="15" x14ac:dyDescent="0.2"/>
  <cols>
    <col min="1" max="1" width="33.6640625" style="193" customWidth="1"/>
    <col min="2" max="2" width="100.6640625" style="193" customWidth="1"/>
    <col min="3" max="16384" width="9.1640625" style="193"/>
  </cols>
  <sheetData>
    <row r="2" spans="1:2" ht="65.25" customHeight="1" x14ac:dyDescent="0.2">
      <c r="B2" s="194" t="s">
        <v>211</v>
      </c>
    </row>
    <row r="3" spans="1:2" ht="13.5" customHeight="1" x14ac:dyDescent="0.2">
      <c r="A3" s="195"/>
      <c r="B3" s="195"/>
    </row>
    <row r="4" spans="1:2" ht="57" customHeight="1" x14ac:dyDescent="0.2">
      <c r="A4" s="305" t="s">
        <v>210</v>
      </c>
      <c r="B4" s="306"/>
    </row>
    <row r="5" spans="1:2" x14ac:dyDescent="0.2">
      <c r="A5" s="214" t="s">
        <v>250</v>
      </c>
    </row>
    <row r="6" spans="1:2" x14ac:dyDescent="0.2">
      <c r="A6" s="196"/>
      <c r="B6" s="196"/>
    </row>
    <row r="7" spans="1:2" x14ac:dyDescent="0.2">
      <c r="A7" s="196"/>
    </row>
  </sheetData>
  <mergeCells count="1">
    <mergeCell ref="A4:B4"/>
  </mergeCells>
  <pageMargins left="0.7" right="0.7" top="0.75" bottom="0.75" header="0.3" footer="0.3"/>
  <pageSetup scale="8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508"/>
  <sheetViews>
    <sheetView topLeftCell="B1" zoomScale="110" zoomScaleNormal="110" workbookViewId="0">
      <pane xSplit="2" ySplit="16" topLeftCell="D296" activePane="bottomRight" state="frozen"/>
      <selection activeCell="C16" sqref="C16"/>
      <selection pane="topRight" activeCell="D16" sqref="D16"/>
      <selection pane="bottomLeft" activeCell="C17" sqref="C17"/>
      <selection pane="bottomRight" activeCell="G307" sqref="G307"/>
    </sheetView>
  </sheetViews>
  <sheetFormatPr baseColWidth="10" defaultColWidth="15.6640625" defaultRowHeight="13" x14ac:dyDescent="0.15"/>
  <cols>
    <col min="1" max="1" width="7" style="5" hidden="1" customWidth="1"/>
    <col min="2" max="2" width="255.6640625" style="4" hidden="1" customWidth="1"/>
    <col min="3" max="3" width="0.1640625" style="3" customWidth="1"/>
    <col min="4" max="5" width="0.1640625" style="2" customWidth="1"/>
    <col min="6" max="6" width="11.6640625" style="2" customWidth="1"/>
    <col min="7" max="7" width="21.5" style="2" bestFit="1" customWidth="1"/>
    <col min="8" max="8" width="11.6640625" style="2" customWidth="1"/>
    <col min="9" max="9" width="23.83203125" style="2" customWidth="1"/>
    <col min="10" max="13" width="15.6640625" style="2" customWidth="1"/>
    <col min="14" max="17" width="9.33203125" style="2" customWidth="1"/>
    <col min="18" max="88" width="15.6640625" style="2" customWidth="1"/>
    <col min="89" max="16384" width="15.6640625" style="1"/>
  </cols>
  <sheetData>
    <row r="1" spans="1:88" s="18" customFormat="1" ht="13" hidden="1" customHeight="1" x14ac:dyDescent="0.15">
      <c r="A1" s="19" t="s">
        <v>64</v>
      </c>
      <c r="B1" s="19" t="s">
        <v>63</v>
      </c>
      <c r="C1" s="20" t="s">
        <v>0</v>
      </c>
      <c r="D1" s="20" t="s">
        <v>1</v>
      </c>
      <c r="E1" s="20" t="s">
        <v>2</v>
      </c>
      <c r="F1" s="20" t="s">
        <v>2</v>
      </c>
      <c r="G1" s="20" t="s">
        <v>3</v>
      </c>
      <c r="H1" s="20" t="s">
        <v>4</v>
      </c>
      <c r="I1" s="20" t="s">
        <v>73</v>
      </c>
      <c r="J1" s="20" t="s">
        <v>5</v>
      </c>
      <c r="K1" s="20" t="s">
        <v>6</v>
      </c>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row>
    <row r="2" spans="1:88" s="18" customFormat="1" ht="13" hidden="1" customHeight="1" x14ac:dyDescent="0.15">
      <c r="A2" s="19" t="s">
        <v>62</v>
      </c>
      <c r="B2" s="19" t="s">
        <v>61</v>
      </c>
      <c r="C2" s="20" t="s">
        <v>72</v>
      </c>
      <c r="D2" s="20" t="s">
        <v>60</v>
      </c>
      <c r="E2" s="20" t="s">
        <v>71</v>
      </c>
      <c r="F2" s="20" t="s">
        <v>8</v>
      </c>
      <c r="G2" s="20" t="s">
        <v>70</v>
      </c>
      <c r="H2" s="20"/>
      <c r="I2" s="20" t="s">
        <v>7</v>
      </c>
      <c r="J2" s="20" t="s">
        <v>59</v>
      </c>
      <c r="K2" s="20" t="s">
        <v>7</v>
      </c>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row>
    <row r="3" spans="1:88" s="18" customFormat="1" ht="12.75" hidden="1" customHeight="1" x14ac:dyDescent="0.15">
      <c r="B3" s="19"/>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row>
    <row r="4" spans="1:88" s="18" customFormat="1" ht="12.75" hidden="1" customHeight="1" x14ac:dyDescent="0.15">
      <c r="B4" s="19"/>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row>
    <row r="5" spans="1:88" s="18" customFormat="1" ht="12.75" hidden="1" customHeight="1" x14ac:dyDescent="0.15">
      <c r="B5" s="19"/>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row>
    <row r="6" spans="1:88" s="18" customFormat="1" ht="12.75" hidden="1" customHeight="1" x14ac:dyDescent="0.15">
      <c r="B6" s="19"/>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row>
    <row r="7" spans="1:88" s="18" customFormat="1" ht="12.75" hidden="1" customHeight="1" x14ac:dyDescent="0.15">
      <c r="B7" s="19"/>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row>
    <row r="8" spans="1:88" s="18" customFormat="1" ht="12.75" hidden="1" customHeight="1" x14ac:dyDescent="0.15">
      <c r="B8" s="19"/>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row>
    <row r="9" spans="1:88" s="18" customFormat="1" ht="13" hidden="1" customHeight="1" x14ac:dyDescent="0.15">
      <c r="B9" s="19"/>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row>
    <row r="10" spans="1:88" s="18" customFormat="1" ht="12.75" hidden="1" customHeight="1" x14ac:dyDescent="0.15">
      <c r="B10" s="19"/>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row>
    <row r="11" spans="1:88" s="18" customFormat="1" ht="12.75" hidden="1" customHeight="1" x14ac:dyDescent="0.15">
      <c r="B11" s="19"/>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row>
    <row r="12" spans="1:88" s="18" customFormat="1" ht="12.75" hidden="1" customHeight="1" x14ac:dyDescent="0.15">
      <c r="B12" s="19"/>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12"/>
      <c r="CI12" s="12"/>
      <c r="CJ12" s="12"/>
    </row>
    <row r="13" spans="1:88" s="18" customFormat="1" ht="40.5" hidden="1" customHeight="1" x14ac:dyDescent="0.15">
      <c r="B13" s="19"/>
      <c r="C13" s="12" t="s">
        <v>58</v>
      </c>
      <c r="D13" s="12" t="s">
        <v>57</v>
      </c>
      <c r="E13" s="12" t="s">
        <v>57</v>
      </c>
      <c r="F13" s="12" t="s">
        <v>56</v>
      </c>
      <c r="G13" s="12" t="s">
        <v>55</v>
      </c>
      <c r="H13" s="12" t="s">
        <v>55</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row>
    <row r="14" spans="1:88" s="14" customFormat="1" ht="45" hidden="1" customHeight="1" x14ac:dyDescent="0.15">
      <c r="A14" s="14" t="s">
        <v>54</v>
      </c>
      <c r="B14" s="17"/>
      <c r="C14" s="16"/>
      <c r="D14" s="16"/>
      <c r="E14" s="22" t="s">
        <v>69</v>
      </c>
      <c r="F14" s="21" t="s">
        <v>68</v>
      </c>
      <c r="G14" s="21" t="s">
        <v>67</v>
      </c>
      <c r="H14" s="15"/>
      <c r="I14" s="15"/>
    </row>
    <row r="15" spans="1:88" s="11" customFormat="1" ht="24.75" hidden="1" customHeight="1" x14ac:dyDescent="0.15">
      <c r="B15" s="13"/>
      <c r="C15" s="3"/>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row>
    <row r="16" spans="1:88" s="10" customFormat="1" ht="62.25" customHeight="1" x14ac:dyDescent="0.15">
      <c r="A16" s="10" t="s">
        <v>53</v>
      </c>
      <c r="C16" s="10" t="s">
        <v>52</v>
      </c>
      <c r="D16" s="10" t="s">
        <v>66</v>
      </c>
      <c r="E16" s="10" t="s">
        <v>65</v>
      </c>
      <c r="F16" s="10" t="s">
        <v>52</v>
      </c>
      <c r="G16" s="10" t="s">
        <v>66</v>
      </c>
      <c r="H16" s="10" t="s">
        <v>65</v>
      </c>
      <c r="I16" s="10" t="s">
        <v>166</v>
      </c>
      <c r="J16" s="10" t="s">
        <v>165</v>
      </c>
      <c r="K16" s="10" t="s">
        <v>166</v>
      </c>
      <c r="L16" s="10" t="s">
        <v>165</v>
      </c>
    </row>
    <row r="17" spans="3:17" x14ac:dyDescent="0.15">
      <c r="C17" s="8" t="s">
        <v>51</v>
      </c>
      <c r="D17" s="6"/>
      <c r="E17" s="6"/>
      <c r="F17" s="7">
        <v>28033</v>
      </c>
      <c r="G17" s="24">
        <v>100</v>
      </c>
      <c r="H17" s="24">
        <v>100</v>
      </c>
    </row>
    <row r="18" spans="3:17" x14ac:dyDescent="0.15">
      <c r="C18" s="8"/>
      <c r="D18" s="6"/>
      <c r="E18" s="6"/>
      <c r="F18" s="7">
        <v>28064</v>
      </c>
      <c r="G18" s="24">
        <v>95.714200000000005</v>
      </c>
      <c r="H18" s="24">
        <v>97.776499999999999</v>
      </c>
    </row>
    <row r="19" spans="3:17" x14ac:dyDescent="0.15">
      <c r="C19" s="8"/>
      <c r="D19" s="6"/>
      <c r="E19" s="6"/>
      <c r="F19" s="7">
        <v>28094</v>
      </c>
      <c r="G19" s="24">
        <v>95.714200000000005</v>
      </c>
      <c r="H19" s="24">
        <v>97.016300000000015</v>
      </c>
    </row>
    <row r="20" spans="3:17" x14ac:dyDescent="0.15">
      <c r="C20" s="8"/>
      <c r="D20" s="6"/>
      <c r="E20" s="6"/>
      <c r="F20" s="7">
        <v>28125</v>
      </c>
      <c r="G20" s="24">
        <v>127.142</v>
      </c>
      <c r="H20" s="24">
        <v>102.10899999999999</v>
      </c>
    </row>
    <row r="21" spans="3:17" x14ac:dyDescent="0.15">
      <c r="C21" s="8"/>
      <c r="D21" s="6"/>
      <c r="E21" s="6"/>
      <c r="F21" s="7">
        <v>28156</v>
      </c>
      <c r="G21" s="24">
        <v>131.428</v>
      </c>
      <c r="H21" s="24">
        <v>96.949799999999996</v>
      </c>
      <c r="O21" s="142" t="s">
        <v>74</v>
      </c>
      <c r="P21" s="142" t="s">
        <v>171</v>
      </c>
      <c r="Q21" s="142" t="s">
        <v>172</v>
      </c>
    </row>
    <row r="22" spans="3:17" x14ac:dyDescent="0.15">
      <c r="C22" s="8"/>
      <c r="D22" s="6"/>
      <c r="E22" s="6"/>
      <c r="F22" s="7">
        <v>28184</v>
      </c>
      <c r="G22" s="24">
        <v>124.285</v>
      </c>
      <c r="H22" s="24">
        <v>94.849800000000002</v>
      </c>
      <c r="N22" s="142" t="s">
        <v>168</v>
      </c>
      <c r="O22" s="141">
        <v>0.128</v>
      </c>
      <c r="P22" s="141">
        <v>0.13800000000000001</v>
      </c>
      <c r="Q22" s="141">
        <f>O22-P22</f>
        <v>-1.0000000000000009E-2</v>
      </c>
    </row>
    <row r="23" spans="3:17" x14ac:dyDescent="0.15">
      <c r="C23" s="9" t="s">
        <v>50</v>
      </c>
      <c r="D23" s="6"/>
      <c r="E23" s="6"/>
      <c r="F23" s="7">
        <v>28215</v>
      </c>
      <c r="G23" s="24">
        <v>135.714</v>
      </c>
      <c r="H23" s="24">
        <v>93.519499999999994</v>
      </c>
      <c r="N23" s="142" t="s">
        <v>169</v>
      </c>
      <c r="O23" s="141">
        <v>9.5000000000000001E-2</v>
      </c>
      <c r="P23" s="141">
        <v>2.5999999999999999E-2</v>
      </c>
      <c r="Q23" s="141">
        <f>O23-P23</f>
        <v>6.9000000000000006E-2</v>
      </c>
    </row>
    <row r="24" spans="3:17" x14ac:dyDescent="0.15">
      <c r="C24" s="8"/>
      <c r="D24" s="6">
        <v>100</v>
      </c>
      <c r="E24" s="6">
        <v>100</v>
      </c>
      <c r="F24" s="7">
        <v>28245</v>
      </c>
      <c r="G24" s="24">
        <v>134.285</v>
      </c>
      <c r="H24" s="24">
        <v>93.538499999999999</v>
      </c>
      <c r="N24" s="142" t="s">
        <v>170</v>
      </c>
      <c r="O24" s="141">
        <v>0.22800000000000001</v>
      </c>
      <c r="P24" s="141">
        <v>0.08</v>
      </c>
      <c r="Q24" s="141">
        <f>O24-P24</f>
        <v>0.14800000000000002</v>
      </c>
    </row>
    <row r="25" spans="3:17" x14ac:dyDescent="0.15">
      <c r="C25" s="8"/>
      <c r="D25" s="6">
        <v>95.714200000000005</v>
      </c>
      <c r="E25" s="6">
        <v>97.776499999999999</v>
      </c>
      <c r="F25" s="7">
        <v>28276</v>
      </c>
      <c r="G25" s="24">
        <v>142.857</v>
      </c>
      <c r="H25" s="24">
        <v>91.334000000000003</v>
      </c>
    </row>
    <row r="26" spans="3:17" x14ac:dyDescent="0.15">
      <c r="C26" s="8"/>
      <c r="D26" s="6">
        <v>95.714200000000005</v>
      </c>
      <c r="E26" s="6">
        <v>97.776499999999999</v>
      </c>
      <c r="F26" s="7">
        <v>28306</v>
      </c>
      <c r="G26" s="24">
        <v>142.857</v>
      </c>
      <c r="H26" s="24">
        <v>95.477000000000004</v>
      </c>
    </row>
    <row r="27" spans="3:17" x14ac:dyDescent="0.15">
      <c r="C27" s="8"/>
      <c r="D27" s="6">
        <v>95.714200000000005</v>
      </c>
      <c r="E27" s="6">
        <v>97.016300000000001</v>
      </c>
      <c r="F27" s="7">
        <v>28337</v>
      </c>
      <c r="G27" s="24">
        <v>142.857</v>
      </c>
      <c r="H27" s="24">
        <v>93.928100000000001</v>
      </c>
    </row>
    <row r="28" spans="3:17" x14ac:dyDescent="0.15">
      <c r="C28" s="8"/>
      <c r="D28" s="6">
        <v>127.142</v>
      </c>
      <c r="E28" s="6">
        <v>102.10899999999999</v>
      </c>
      <c r="F28" s="7">
        <v>28368</v>
      </c>
      <c r="G28" s="24">
        <v>145.714</v>
      </c>
      <c r="H28" s="24">
        <v>91.951700000000002</v>
      </c>
    </row>
    <row r="29" spans="3:17" x14ac:dyDescent="0.15">
      <c r="C29" s="8"/>
      <c r="D29" s="6">
        <v>131.428</v>
      </c>
      <c r="E29" s="6">
        <v>96.949799999999996</v>
      </c>
      <c r="F29" s="7">
        <v>28398</v>
      </c>
      <c r="G29" s="24">
        <v>151.428</v>
      </c>
      <c r="H29" s="24">
        <v>91.723600000000005</v>
      </c>
    </row>
    <row r="30" spans="3:17" x14ac:dyDescent="0.15">
      <c r="C30" s="8"/>
      <c r="D30" s="6">
        <v>124.285</v>
      </c>
      <c r="E30" s="6">
        <v>94.849800000000002</v>
      </c>
      <c r="F30" s="7">
        <v>28429</v>
      </c>
      <c r="G30" s="24">
        <v>158.571</v>
      </c>
      <c r="H30" s="24">
        <v>87.7423</v>
      </c>
    </row>
    <row r="31" spans="3:17" x14ac:dyDescent="0.15">
      <c r="C31" s="8"/>
      <c r="D31" s="6">
        <v>135.714</v>
      </c>
      <c r="E31" s="6">
        <v>93.519499999999994</v>
      </c>
      <c r="F31" s="7">
        <v>28459</v>
      </c>
      <c r="G31" s="24">
        <v>192.857</v>
      </c>
      <c r="H31" s="24">
        <v>90.1083</v>
      </c>
    </row>
    <row r="32" spans="3:17" x14ac:dyDescent="0.15">
      <c r="C32" s="8"/>
      <c r="D32" s="6">
        <v>134.285</v>
      </c>
      <c r="E32" s="6">
        <v>93.538499999999999</v>
      </c>
      <c r="F32" s="7">
        <v>28490</v>
      </c>
      <c r="G32" s="24">
        <v>197.14200000000002</v>
      </c>
      <c r="H32" s="24">
        <v>90.364800000000002</v>
      </c>
    </row>
    <row r="33" spans="3:8" x14ac:dyDescent="0.15">
      <c r="C33" s="8"/>
      <c r="D33" s="6">
        <v>142.857</v>
      </c>
      <c r="E33" s="6">
        <v>91.334000000000003</v>
      </c>
      <c r="F33" s="7">
        <v>28521</v>
      </c>
      <c r="G33" s="24">
        <v>192.857</v>
      </c>
      <c r="H33" s="24">
        <v>84.806100000000001</v>
      </c>
    </row>
    <row r="34" spans="3:8" x14ac:dyDescent="0.15">
      <c r="C34" s="8"/>
      <c r="D34" s="6">
        <v>142.857</v>
      </c>
      <c r="E34" s="6">
        <v>95.477000000000004</v>
      </c>
      <c r="F34" s="7">
        <v>28549</v>
      </c>
      <c r="G34" s="24">
        <v>192.857</v>
      </c>
      <c r="H34" s="24">
        <v>82.706199999999995</v>
      </c>
    </row>
    <row r="35" spans="3:8" x14ac:dyDescent="0.15">
      <c r="C35" s="9" t="s">
        <v>49</v>
      </c>
      <c r="D35" s="6">
        <v>142.857</v>
      </c>
      <c r="E35" s="6">
        <v>93.928100000000001</v>
      </c>
      <c r="F35" s="7">
        <v>28580</v>
      </c>
      <c r="G35" s="24">
        <v>201.428</v>
      </c>
      <c r="H35" s="24">
        <v>84.768100000000018</v>
      </c>
    </row>
    <row r="36" spans="3:8" x14ac:dyDescent="0.15">
      <c r="C36" s="8"/>
      <c r="D36" s="6">
        <v>145.714</v>
      </c>
      <c r="E36" s="6">
        <v>91.951700000000002</v>
      </c>
      <c r="F36" s="7">
        <v>28610</v>
      </c>
      <c r="G36" s="24">
        <v>212.857</v>
      </c>
      <c r="H36" s="24">
        <v>92.008700000000005</v>
      </c>
    </row>
    <row r="37" spans="3:8" x14ac:dyDescent="0.15">
      <c r="C37" s="8"/>
      <c r="D37" s="6">
        <v>151.428</v>
      </c>
      <c r="E37" s="6">
        <v>91.723600000000005</v>
      </c>
      <c r="F37" s="7">
        <v>28641</v>
      </c>
      <c r="G37" s="24">
        <v>242.857</v>
      </c>
      <c r="H37" s="24">
        <v>92.398300000000006</v>
      </c>
    </row>
    <row r="38" spans="3:8" x14ac:dyDescent="0.15">
      <c r="C38" s="8"/>
      <c r="D38" s="6">
        <v>158.571</v>
      </c>
      <c r="E38" s="6">
        <v>87.7423</v>
      </c>
      <c r="F38" s="7">
        <v>28671</v>
      </c>
      <c r="G38" s="24">
        <v>235.71400000000003</v>
      </c>
      <c r="H38" s="24">
        <v>90.773400000000009</v>
      </c>
    </row>
    <row r="39" spans="3:8" x14ac:dyDescent="0.15">
      <c r="C39" s="8"/>
      <c r="D39" s="6">
        <v>192.857</v>
      </c>
      <c r="E39" s="6">
        <v>90.1083</v>
      </c>
      <c r="F39" s="7">
        <v>28702</v>
      </c>
      <c r="G39" s="24">
        <v>235.71400000000003</v>
      </c>
      <c r="H39" s="24">
        <v>95.667000000000016</v>
      </c>
    </row>
    <row r="40" spans="3:8" x14ac:dyDescent="0.15">
      <c r="C40" s="8"/>
      <c r="D40" s="6">
        <v>197.142</v>
      </c>
      <c r="E40" s="6">
        <v>90.364800000000002</v>
      </c>
      <c r="F40" s="7">
        <v>28733</v>
      </c>
      <c r="G40" s="24">
        <v>250</v>
      </c>
      <c r="H40" s="24">
        <v>98.052000000000007</v>
      </c>
    </row>
    <row r="41" spans="3:8" x14ac:dyDescent="0.15">
      <c r="C41" s="8"/>
      <c r="D41" s="6">
        <v>192.857</v>
      </c>
      <c r="E41" s="6">
        <v>84.806100000000001</v>
      </c>
      <c r="F41" s="7">
        <v>28763</v>
      </c>
      <c r="G41" s="24">
        <v>250</v>
      </c>
      <c r="H41" s="24">
        <v>97.424899999999994</v>
      </c>
    </row>
    <row r="42" spans="3:8" x14ac:dyDescent="0.15">
      <c r="C42" s="8"/>
      <c r="D42" s="6">
        <v>192.857</v>
      </c>
      <c r="E42" s="6">
        <v>82.706199999999995</v>
      </c>
      <c r="F42" s="7">
        <v>28794</v>
      </c>
      <c r="G42" s="24">
        <v>265.714</v>
      </c>
      <c r="H42" s="24">
        <v>88.511900000000011</v>
      </c>
    </row>
    <row r="43" spans="3:8" x14ac:dyDescent="0.15">
      <c r="C43" s="8"/>
      <c r="D43" s="6">
        <v>201.428</v>
      </c>
      <c r="E43" s="6">
        <v>84.768100000000004</v>
      </c>
      <c r="F43" s="7">
        <v>28824</v>
      </c>
      <c r="G43" s="24">
        <v>238.571</v>
      </c>
      <c r="H43" s="24">
        <v>89.338600000000014</v>
      </c>
    </row>
    <row r="44" spans="3:8" x14ac:dyDescent="0.15">
      <c r="C44" s="8"/>
      <c r="D44" s="6">
        <v>212.857</v>
      </c>
      <c r="E44" s="6">
        <v>92.008700000000005</v>
      </c>
      <c r="F44" s="7">
        <v>28855</v>
      </c>
      <c r="G44" s="24">
        <v>217.14200000000002</v>
      </c>
      <c r="H44" s="24">
        <v>91.324600000000018</v>
      </c>
    </row>
    <row r="45" spans="3:8" x14ac:dyDescent="0.15">
      <c r="C45" s="8"/>
      <c r="D45" s="6">
        <v>242.857</v>
      </c>
      <c r="E45" s="6">
        <v>92.398300000000006</v>
      </c>
      <c r="F45" s="7">
        <v>28886</v>
      </c>
      <c r="G45" s="24">
        <v>222.857</v>
      </c>
      <c r="H45" s="24">
        <v>94.954300000000003</v>
      </c>
    </row>
    <row r="46" spans="3:8" x14ac:dyDescent="0.15">
      <c r="C46" s="8"/>
      <c r="D46" s="6">
        <v>235.714</v>
      </c>
      <c r="E46" s="6">
        <v>90.773399999999995</v>
      </c>
      <c r="F46" s="7">
        <v>28914</v>
      </c>
      <c r="G46" s="24">
        <v>228.571</v>
      </c>
      <c r="H46" s="24">
        <v>91.486099999999993</v>
      </c>
    </row>
    <row r="47" spans="3:8" x14ac:dyDescent="0.15">
      <c r="C47" s="9" t="s">
        <v>48</v>
      </c>
      <c r="D47" s="6">
        <v>235.714</v>
      </c>
      <c r="E47" s="6">
        <v>95.667000000000002</v>
      </c>
      <c r="F47" s="7">
        <v>28945</v>
      </c>
      <c r="G47" s="24">
        <v>260</v>
      </c>
      <c r="H47" s="24">
        <v>96.531700000000001</v>
      </c>
    </row>
    <row r="48" spans="3:8" x14ac:dyDescent="0.15">
      <c r="C48" s="8"/>
      <c r="D48" s="6">
        <v>250</v>
      </c>
      <c r="E48" s="6">
        <v>98.052000000000007</v>
      </c>
      <c r="F48" s="7">
        <v>28975</v>
      </c>
      <c r="G48" s="24">
        <v>271.428</v>
      </c>
      <c r="H48" s="24">
        <v>96.693200000000004</v>
      </c>
    </row>
    <row r="49" spans="3:8" x14ac:dyDescent="0.15">
      <c r="C49" s="8"/>
      <c r="D49" s="6">
        <v>250</v>
      </c>
      <c r="E49" s="6">
        <v>97.424899999999994</v>
      </c>
      <c r="F49" s="7">
        <v>29006</v>
      </c>
      <c r="G49" s="24">
        <v>271.428</v>
      </c>
      <c r="H49" s="24">
        <v>94.146699999999996</v>
      </c>
    </row>
    <row r="50" spans="3:8" x14ac:dyDescent="0.15">
      <c r="C50" s="8"/>
      <c r="D50" s="6">
        <v>265.714</v>
      </c>
      <c r="E50" s="6">
        <v>88.511899999999997</v>
      </c>
      <c r="F50" s="7">
        <v>29036</v>
      </c>
      <c r="G50" s="24">
        <v>321.428</v>
      </c>
      <c r="H50" s="24">
        <v>97.786000000000001</v>
      </c>
    </row>
    <row r="51" spans="3:8" x14ac:dyDescent="0.15">
      <c r="C51" s="8"/>
      <c r="D51" s="6">
        <v>238.571</v>
      </c>
      <c r="E51" s="6">
        <v>89.3386</v>
      </c>
      <c r="F51" s="7">
        <v>29067</v>
      </c>
      <c r="G51" s="24">
        <v>435.714</v>
      </c>
      <c r="H51" s="24">
        <v>98.641199999999998</v>
      </c>
    </row>
    <row r="52" spans="3:8" x14ac:dyDescent="0.15">
      <c r="C52" s="8"/>
      <c r="D52" s="6">
        <v>217.142</v>
      </c>
      <c r="E52" s="6">
        <v>91.324600000000004</v>
      </c>
      <c r="F52" s="7">
        <v>29098</v>
      </c>
      <c r="G52" s="24">
        <v>492.85700000000003</v>
      </c>
      <c r="H52" s="24">
        <v>103.876</v>
      </c>
    </row>
    <row r="53" spans="3:8" x14ac:dyDescent="0.15">
      <c r="C53" s="8"/>
      <c r="D53" s="6">
        <v>222.857</v>
      </c>
      <c r="E53" s="6">
        <v>94.954300000000003</v>
      </c>
      <c r="F53" s="7">
        <v>29128</v>
      </c>
      <c r="G53" s="24">
        <v>478.57100000000008</v>
      </c>
      <c r="H53" s="24">
        <v>103.876</v>
      </c>
    </row>
    <row r="54" spans="3:8" x14ac:dyDescent="0.15">
      <c r="C54" s="8"/>
      <c r="D54" s="6">
        <v>228.571</v>
      </c>
      <c r="E54" s="6">
        <v>91.486099999999993</v>
      </c>
      <c r="F54" s="7">
        <v>29159</v>
      </c>
      <c r="G54" s="24">
        <v>392.85700000000003</v>
      </c>
      <c r="H54" s="24">
        <v>96.750200000000007</v>
      </c>
    </row>
    <row r="55" spans="3:8" x14ac:dyDescent="0.15">
      <c r="C55" s="8"/>
      <c r="D55" s="6">
        <v>260</v>
      </c>
      <c r="E55" s="6">
        <v>96.531700000000001</v>
      </c>
      <c r="F55" s="7">
        <v>29189</v>
      </c>
      <c r="G55" s="24">
        <v>442.85700000000003</v>
      </c>
      <c r="H55" s="24">
        <v>100.874</v>
      </c>
    </row>
    <row r="56" spans="3:8" x14ac:dyDescent="0.15">
      <c r="C56" s="8"/>
      <c r="D56" s="6">
        <v>271.428</v>
      </c>
      <c r="E56" s="6">
        <v>96.693200000000004</v>
      </c>
      <c r="F56" s="7">
        <v>29220</v>
      </c>
      <c r="G56" s="24">
        <v>457.142</v>
      </c>
      <c r="H56" s="24">
        <v>102.565</v>
      </c>
    </row>
    <row r="57" spans="3:8" x14ac:dyDescent="0.15">
      <c r="C57" s="8"/>
      <c r="D57" s="6">
        <v>271.428</v>
      </c>
      <c r="E57" s="6">
        <v>94.146699999999996</v>
      </c>
      <c r="F57" s="7">
        <v>29251</v>
      </c>
      <c r="G57" s="24">
        <v>478.57100000000008</v>
      </c>
      <c r="H57" s="24">
        <v>108.47500000000001</v>
      </c>
    </row>
    <row r="58" spans="3:8" x14ac:dyDescent="0.15">
      <c r="C58" s="8"/>
      <c r="D58" s="6">
        <v>321.428</v>
      </c>
      <c r="E58" s="6">
        <v>97.786000000000001</v>
      </c>
      <c r="F58" s="7">
        <v>29280</v>
      </c>
      <c r="G58" s="24">
        <v>478.57100000000008</v>
      </c>
      <c r="H58" s="24">
        <v>108</v>
      </c>
    </row>
    <row r="59" spans="3:8" x14ac:dyDescent="0.15">
      <c r="C59" s="9" t="s">
        <v>47</v>
      </c>
      <c r="D59" s="6">
        <v>435.714</v>
      </c>
      <c r="E59" s="6">
        <v>98.641199999999998</v>
      </c>
      <c r="F59" s="7">
        <v>29311</v>
      </c>
      <c r="G59" s="24">
        <v>371.42800000000005</v>
      </c>
      <c r="H59" s="24">
        <v>97.006799999999998</v>
      </c>
    </row>
    <row r="60" spans="3:8" x14ac:dyDescent="0.15">
      <c r="C60" s="8"/>
      <c r="D60" s="6">
        <v>492.85700000000003</v>
      </c>
      <c r="E60" s="6">
        <v>103.876</v>
      </c>
      <c r="F60" s="7">
        <v>29341</v>
      </c>
      <c r="G60" s="24">
        <v>400</v>
      </c>
      <c r="H60" s="24">
        <v>100.99700000000001</v>
      </c>
    </row>
    <row r="61" spans="3:8" x14ac:dyDescent="0.15">
      <c r="C61" s="8"/>
      <c r="D61" s="6">
        <v>478.57100000000003</v>
      </c>
      <c r="E61" s="6">
        <v>103.876</v>
      </c>
      <c r="F61" s="7">
        <v>29372</v>
      </c>
      <c r="G61" s="24">
        <v>457.142</v>
      </c>
      <c r="H61" s="24">
        <v>105.70099999999999</v>
      </c>
    </row>
    <row r="62" spans="3:8" x14ac:dyDescent="0.15">
      <c r="C62" s="8"/>
      <c r="D62" s="6">
        <v>392.85700000000003</v>
      </c>
      <c r="E62" s="6">
        <v>96.750200000000007</v>
      </c>
      <c r="F62" s="7">
        <v>29402</v>
      </c>
      <c r="G62" s="24">
        <v>435.714</v>
      </c>
      <c r="H62" s="24">
        <v>110.224</v>
      </c>
    </row>
    <row r="63" spans="3:8" x14ac:dyDescent="0.15">
      <c r="C63" s="8"/>
      <c r="D63" s="6">
        <v>442.85700000000003</v>
      </c>
      <c r="E63" s="6">
        <v>100.874</v>
      </c>
      <c r="F63" s="7">
        <v>29433</v>
      </c>
      <c r="G63" s="24">
        <v>485.714</v>
      </c>
      <c r="H63" s="24">
        <v>115.611</v>
      </c>
    </row>
    <row r="64" spans="3:8" x14ac:dyDescent="0.15">
      <c r="C64" s="8"/>
      <c r="D64" s="6">
        <v>457.142</v>
      </c>
      <c r="E64" s="6">
        <v>102.565</v>
      </c>
      <c r="F64" s="7">
        <v>29464</v>
      </c>
      <c r="G64" s="24">
        <v>535.71400000000006</v>
      </c>
      <c r="H64" s="24">
        <v>116.286</v>
      </c>
    </row>
    <row r="65" spans="3:8" x14ac:dyDescent="0.15">
      <c r="C65" s="8"/>
      <c r="D65" s="6">
        <v>478.57100000000003</v>
      </c>
      <c r="E65" s="6">
        <v>108.47499999999999</v>
      </c>
      <c r="F65" s="7">
        <v>29494</v>
      </c>
      <c r="G65" s="24">
        <v>550</v>
      </c>
      <c r="H65" s="24">
        <v>119.21299999999999</v>
      </c>
    </row>
    <row r="66" spans="3:8" x14ac:dyDescent="0.15">
      <c r="C66" s="8"/>
      <c r="D66" s="6">
        <v>478.57100000000003</v>
      </c>
      <c r="E66" s="6">
        <v>108</v>
      </c>
      <c r="F66" s="7">
        <v>29525</v>
      </c>
      <c r="G66" s="24">
        <v>592.85699999999997</v>
      </c>
      <c r="H66" s="24">
        <v>121.12300000000002</v>
      </c>
    </row>
    <row r="67" spans="3:8" x14ac:dyDescent="0.15">
      <c r="C67" s="8"/>
      <c r="D67" s="6">
        <v>371.428</v>
      </c>
      <c r="E67" s="6">
        <v>97.006799999999998</v>
      </c>
      <c r="F67" s="7">
        <v>29555</v>
      </c>
      <c r="G67" s="24">
        <v>621.428</v>
      </c>
      <c r="H67" s="24">
        <v>133.523</v>
      </c>
    </row>
    <row r="68" spans="3:8" x14ac:dyDescent="0.15">
      <c r="C68" s="8"/>
      <c r="D68" s="6">
        <v>400</v>
      </c>
      <c r="E68" s="6">
        <v>100.997</v>
      </c>
      <c r="F68" s="7">
        <v>29586</v>
      </c>
      <c r="G68" s="24">
        <v>607.14200000000005</v>
      </c>
      <c r="H68" s="24">
        <v>129</v>
      </c>
    </row>
    <row r="69" spans="3:8" x14ac:dyDescent="0.15">
      <c r="C69" s="8"/>
      <c r="D69" s="6">
        <v>457.142</v>
      </c>
      <c r="E69" s="6">
        <v>105.70099999999999</v>
      </c>
      <c r="F69" s="7">
        <v>29617</v>
      </c>
      <c r="G69" s="24">
        <v>614.28499999999997</v>
      </c>
      <c r="H69" s="24">
        <v>123.099</v>
      </c>
    </row>
    <row r="70" spans="3:8" x14ac:dyDescent="0.15">
      <c r="C70" s="8"/>
      <c r="D70" s="6">
        <v>435.714</v>
      </c>
      <c r="E70" s="6">
        <v>110.224</v>
      </c>
      <c r="F70" s="7">
        <v>29645</v>
      </c>
      <c r="G70" s="24">
        <v>692.85699999999997</v>
      </c>
      <c r="H70" s="24">
        <v>124.73300000000002</v>
      </c>
    </row>
    <row r="71" spans="3:8" x14ac:dyDescent="0.15">
      <c r="C71" s="9" t="s">
        <v>46</v>
      </c>
      <c r="D71" s="6">
        <v>485.714</v>
      </c>
      <c r="E71" s="6">
        <v>115.611</v>
      </c>
      <c r="F71" s="7">
        <v>29676</v>
      </c>
      <c r="G71" s="24">
        <v>685.71400000000006</v>
      </c>
      <c r="H71" s="24">
        <v>129.22800000000001</v>
      </c>
    </row>
    <row r="72" spans="3:8" x14ac:dyDescent="0.15">
      <c r="C72" s="8"/>
      <c r="D72" s="6">
        <v>535.71400000000006</v>
      </c>
      <c r="E72" s="6">
        <v>116.286</v>
      </c>
      <c r="F72" s="7">
        <v>29706</v>
      </c>
      <c r="G72" s="24">
        <v>735.71400000000006</v>
      </c>
      <c r="H72" s="24">
        <v>126.19700000000003</v>
      </c>
    </row>
    <row r="73" spans="3:8" x14ac:dyDescent="0.15">
      <c r="C73" s="8"/>
      <c r="D73" s="6">
        <v>550</v>
      </c>
      <c r="E73" s="6">
        <v>119.21299999999999</v>
      </c>
      <c r="F73" s="7">
        <v>29737</v>
      </c>
      <c r="G73" s="24">
        <v>742.85699999999997</v>
      </c>
      <c r="H73" s="24">
        <v>126.80500000000001</v>
      </c>
    </row>
    <row r="74" spans="3:8" x14ac:dyDescent="0.15">
      <c r="C74" s="8"/>
      <c r="D74" s="6">
        <v>592.85699999999997</v>
      </c>
      <c r="E74" s="6">
        <v>121.123</v>
      </c>
      <c r="F74" s="7">
        <v>29767</v>
      </c>
      <c r="G74" s="24">
        <v>728.57100000000003</v>
      </c>
      <c r="H74" s="24">
        <v>124.74299999999999</v>
      </c>
    </row>
    <row r="75" spans="3:8" x14ac:dyDescent="0.15">
      <c r="C75" s="8"/>
      <c r="D75" s="6">
        <v>621.428</v>
      </c>
      <c r="E75" s="6">
        <v>133.523</v>
      </c>
      <c r="F75" s="7">
        <v>29798</v>
      </c>
      <c r="G75" s="24">
        <v>692.85699999999997</v>
      </c>
      <c r="H75" s="24">
        <v>124.40100000000001</v>
      </c>
    </row>
    <row r="76" spans="3:8" x14ac:dyDescent="0.15">
      <c r="C76" s="8"/>
      <c r="D76" s="6">
        <v>607.14200000000005</v>
      </c>
      <c r="E76" s="6">
        <v>129</v>
      </c>
      <c r="F76" s="7">
        <v>29829</v>
      </c>
      <c r="G76" s="24">
        <v>692.85699999999997</v>
      </c>
      <c r="H76" s="24">
        <v>116.676</v>
      </c>
    </row>
    <row r="77" spans="3:8" x14ac:dyDescent="0.15">
      <c r="C77" s="8"/>
      <c r="D77" s="6">
        <v>614.28499999999997</v>
      </c>
      <c r="E77" s="6">
        <v>123.099</v>
      </c>
      <c r="F77" s="7">
        <v>29859</v>
      </c>
      <c r="G77" s="24">
        <v>657.14200000000017</v>
      </c>
      <c r="H77" s="24">
        <v>110.395</v>
      </c>
    </row>
    <row r="78" spans="3:8" x14ac:dyDescent="0.15">
      <c r="C78" s="8"/>
      <c r="D78" s="6">
        <v>692.85699999999997</v>
      </c>
      <c r="E78" s="6">
        <v>124.733</v>
      </c>
      <c r="F78" s="7">
        <v>29890</v>
      </c>
      <c r="G78" s="24">
        <v>721.428</v>
      </c>
      <c r="H78" s="24">
        <v>115.82000000000001</v>
      </c>
    </row>
    <row r="79" spans="3:8" x14ac:dyDescent="0.15">
      <c r="C79" s="8"/>
      <c r="D79" s="6">
        <v>685.71400000000006</v>
      </c>
      <c r="E79" s="6">
        <v>129.22800000000001</v>
      </c>
      <c r="F79" s="7">
        <v>29920</v>
      </c>
      <c r="G79" s="24">
        <v>828.57100000000003</v>
      </c>
      <c r="H79" s="24">
        <v>120.05800000000001</v>
      </c>
    </row>
    <row r="80" spans="3:8" x14ac:dyDescent="0.15">
      <c r="C80" s="8"/>
      <c r="D80" s="6">
        <v>735.71400000000006</v>
      </c>
      <c r="E80" s="6">
        <v>126.197</v>
      </c>
      <c r="F80" s="7">
        <v>29951</v>
      </c>
      <c r="G80" s="24">
        <v>800</v>
      </c>
      <c r="H80" s="24">
        <v>116.44799999999999</v>
      </c>
    </row>
    <row r="81" spans="3:8" x14ac:dyDescent="0.15">
      <c r="C81" s="8"/>
      <c r="D81" s="6">
        <v>742.85699999999997</v>
      </c>
      <c r="E81" s="6">
        <v>126.80500000000001</v>
      </c>
      <c r="F81" s="7">
        <v>29982</v>
      </c>
      <c r="G81" s="24">
        <v>728.57100000000003</v>
      </c>
      <c r="H81" s="24">
        <v>114.405</v>
      </c>
    </row>
    <row r="82" spans="3:8" x14ac:dyDescent="0.15">
      <c r="C82" s="8"/>
      <c r="D82" s="6">
        <v>728.57100000000003</v>
      </c>
      <c r="E82" s="6">
        <v>124.74299999999999</v>
      </c>
      <c r="F82" s="7">
        <v>30010</v>
      </c>
      <c r="G82" s="24">
        <v>735.71400000000006</v>
      </c>
      <c r="H82" s="24">
        <v>107.47799999999999</v>
      </c>
    </row>
    <row r="83" spans="3:8" x14ac:dyDescent="0.15">
      <c r="C83" s="9" t="s">
        <v>45</v>
      </c>
      <c r="D83" s="6">
        <v>692.85699999999997</v>
      </c>
      <c r="E83" s="6">
        <v>124.401</v>
      </c>
      <c r="F83" s="7">
        <v>30041</v>
      </c>
      <c r="G83" s="24">
        <v>685.71400000000006</v>
      </c>
      <c r="H83" s="24">
        <v>106.38500000000001</v>
      </c>
    </row>
    <row r="84" spans="3:8" x14ac:dyDescent="0.15">
      <c r="C84" s="8"/>
      <c r="D84" s="6">
        <v>692.85699999999997</v>
      </c>
      <c r="E84" s="6">
        <v>116.676</v>
      </c>
      <c r="F84" s="7">
        <v>30071</v>
      </c>
      <c r="G84" s="24">
        <v>728.57100000000003</v>
      </c>
      <c r="H84" s="24">
        <v>110.642</v>
      </c>
    </row>
    <row r="85" spans="3:8" x14ac:dyDescent="0.15">
      <c r="C85" s="8"/>
      <c r="D85" s="6">
        <v>657.14200000000005</v>
      </c>
      <c r="E85" s="6">
        <v>110.395</v>
      </c>
      <c r="F85" s="7">
        <v>30102</v>
      </c>
      <c r="G85" s="24">
        <v>721.428</v>
      </c>
      <c r="H85" s="24">
        <v>106.309</v>
      </c>
    </row>
    <row r="86" spans="3:8" x14ac:dyDescent="0.15">
      <c r="C86" s="8"/>
      <c r="D86" s="6">
        <v>721.428</v>
      </c>
      <c r="E86" s="6">
        <v>115.82</v>
      </c>
      <c r="F86" s="7">
        <v>30132</v>
      </c>
      <c r="G86" s="24">
        <v>707.14200000000017</v>
      </c>
      <c r="H86" s="24">
        <v>105.425</v>
      </c>
    </row>
    <row r="87" spans="3:8" x14ac:dyDescent="0.15">
      <c r="C87" s="8"/>
      <c r="D87" s="6">
        <v>828.57100000000003</v>
      </c>
      <c r="E87" s="6">
        <v>120.05800000000001</v>
      </c>
      <c r="F87" s="7">
        <v>30163</v>
      </c>
      <c r="G87" s="24">
        <v>678.57100000000003</v>
      </c>
      <c r="H87" s="24">
        <v>101.75700000000001</v>
      </c>
    </row>
    <row r="88" spans="3:8" x14ac:dyDescent="0.15">
      <c r="C88" s="8"/>
      <c r="D88" s="6">
        <v>800</v>
      </c>
      <c r="E88" s="6">
        <v>116.44799999999999</v>
      </c>
      <c r="F88" s="7">
        <v>30194</v>
      </c>
      <c r="G88" s="24">
        <v>692.85699999999997</v>
      </c>
      <c r="H88" s="24">
        <v>113.559</v>
      </c>
    </row>
    <row r="89" spans="3:8" x14ac:dyDescent="0.15">
      <c r="C89" s="8"/>
      <c r="D89" s="6">
        <v>728.57100000000003</v>
      </c>
      <c r="E89" s="6">
        <v>114.405</v>
      </c>
      <c r="F89" s="7">
        <v>30224</v>
      </c>
      <c r="G89" s="24">
        <v>785.71400000000006</v>
      </c>
      <c r="H89" s="24">
        <v>114.42400000000002</v>
      </c>
    </row>
    <row r="90" spans="3:8" x14ac:dyDescent="0.15">
      <c r="C90" s="8"/>
      <c r="D90" s="6">
        <v>735.71400000000006</v>
      </c>
      <c r="E90" s="6">
        <v>107.47799999999999</v>
      </c>
      <c r="F90" s="7">
        <v>30255</v>
      </c>
      <c r="G90" s="24">
        <v>878.57100000000003</v>
      </c>
      <c r="H90" s="24">
        <v>127.05200000000001</v>
      </c>
    </row>
    <row r="91" spans="3:8" x14ac:dyDescent="0.15">
      <c r="C91" s="8"/>
      <c r="D91" s="6">
        <v>685.71400000000006</v>
      </c>
      <c r="E91" s="6">
        <v>106.38500000000001</v>
      </c>
      <c r="F91" s="7">
        <v>30285</v>
      </c>
      <c r="G91" s="24">
        <v>985.71400000000006</v>
      </c>
      <c r="H91" s="24">
        <v>131.64099999999999</v>
      </c>
    </row>
    <row r="92" spans="3:8" x14ac:dyDescent="0.15">
      <c r="C92" s="8"/>
      <c r="D92" s="6">
        <v>728.57100000000003</v>
      </c>
      <c r="E92" s="6">
        <v>110.642</v>
      </c>
      <c r="F92" s="7">
        <v>30316</v>
      </c>
      <c r="G92" s="24">
        <v>1107.1400000000001</v>
      </c>
      <c r="H92" s="24">
        <v>133.637</v>
      </c>
    </row>
    <row r="93" spans="3:8" x14ac:dyDescent="0.15">
      <c r="C93" s="8"/>
      <c r="D93" s="6">
        <v>721.428</v>
      </c>
      <c r="E93" s="6">
        <v>106.309</v>
      </c>
      <c r="F93" s="7">
        <v>30347</v>
      </c>
      <c r="G93" s="24">
        <v>1092.8499999999999</v>
      </c>
      <c r="H93" s="24">
        <v>138.065</v>
      </c>
    </row>
    <row r="94" spans="3:8" x14ac:dyDescent="0.15">
      <c r="C94" s="8"/>
      <c r="D94" s="6">
        <v>707.14200000000005</v>
      </c>
      <c r="E94" s="6">
        <v>105.425</v>
      </c>
      <c r="F94" s="7">
        <v>30375</v>
      </c>
      <c r="G94" s="24">
        <v>1185.71</v>
      </c>
      <c r="H94" s="24">
        <v>141.20099999999999</v>
      </c>
    </row>
    <row r="95" spans="3:8" x14ac:dyDescent="0.15">
      <c r="C95" s="9" t="s">
        <v>44</v>
      </c>
      <c r="D95" s="6">
        <v>678.57100000000003</v>
      </c>
      <c r="E95" s="6">
        <v>101.75700000000001</v>
      </c>
      <c r="F95" s="7">
        <v>30406</v>
      </c>
      <c r="G95" s="24">
        <v>1378.57</v>
      </c>
      <c r="H95" s="24">
        <v>145.34299999999999</v>
      </c>
    </row>
    <row r="96" spans="3:8" x14ac:dyDescent="0.15">
      <c r="C96" s="8"/>
      <c r="D96" s="6">
        <v>692.85699999999997</v>
      </c>
      <c r="E96" s="6">
        <v>113.559</v>
      </c>
      <c r="F96" s="7">
        <v>30436</v>
      </c>
      <c r="G96" s="24">
        <v>1392.8500000000001</v>
      </c>
      <c r="H96" s="24">
        <v>156.233</v>
      </c>
    </row>
    <row r="97" spans="3:8" x14ac:dyDescent="0.15">
      <c r="C97" s="8"/>
      <c r="D97" s="6">
        <v>785.71400000000006</v>
      </c>
      <c r="E97" s="6">
        <v>114.42400000000001</v>
      </c>
      <c r="F97" s="7">
        <v>30467</v>
      </c>
      <c r="G97" s="24">
        <v>1400</v>
      </c>
      <c r="H97" s="24">
        <v>154.304</v>
      </c>
    </row>
    <row r="98" spans="3:8" x14ac:dyDescent="0.15">
      <c r="C98" s="8"/>
      <c r="D98" s="6">
        <v>878.57100000000003</v>
      </c>
      <c r="E98" s="6">
        <v>127.05200000000001</v>
      </c>
      <c r="F98" s="7">
        <v>30497</v>
      </c>
      <c r="G98" s="24">
        <v>1300</v>
      </c>
      <c r="H98" s="24">
        <v>159.739</v>
      </c>
    </row>
    <row r="99" spans="3:8" x14ac:dyDescent="0.15">
      <c r="C99" s="8"/>
      <c r="D99" s="6">
        <v>985.71400000000006</v>
      </c>
      <c r="E99" s="6">
        <v>131.64099999999999</v>
      </c>
      <c r="F99" s="7">
        <v>30528</v>
      </c>
      <c r="G99" s="24">
        <v>1357.14</v>
      </c>
      <c r="H99" s="24">
        <v>154.46600000000001</v>
      </c>
    </row>
    <row r="100" spans="3:8" x14ac:dyDescent="0.15">
      <c r="C100" s="8"/>
      <c r="D100" s="6">
        <v>1107.1400000000001</v>
      </c>
      <c r="E100" s="6">
        <v>133.637</v>
      </c>
      <c r="F100" s="7">
        <v>30559</v>
      </c>
      <c r="G100" s="24">
        <v>1457.14</v>
      </c>
      <c r="H100" s="24">
        <v>156.214</v>
      </c>
    </row>
    <row r="101" spans="3:8" x14ac:dyDescent="0.15">
      <c r="C101" s="8"/>
      <c r="D101" s="6">
        <v>1092.8499999999999</v>
      </c>
      <c r="E101" s="6">
        <v>138.065</v>
      </c>
      <c r="F101" s="7">
        <v>30589</v>
      </c>
      <c r="G101" s="24">
        <v>1778.57</v>
      </c>
      <c r="H101" s="24">
        <v>157.80099999999999</v>
      </c>
    </row>
    <row r="102" spans="3:8" x14ac:dyDescent="0.15">
      <c r="C102" s="8"/>
      <c r="D102" s="6">
        <v>1185.71</v>
      </c>
      <c r="E102" s="6">
        <v>141.20099999999999</v>
      </c>
      <c r="F102" s="7">
        <v>30620</v>
      </c>
      <c r="G102" s="24">
        <v>1871.42</v>
      </c>
      <c r="H102" s="24">
        <v>155.40600000000001</v>
      </c>
    </row>
    <row r="103" spans="3:8" x14ac:dyDescent="0.15">
      <c r="C103" s="8"/>
      <c r="D103" s="6">
        <v>1378.57</v>
      </c>
      <c r="E103" s="6">
        <v>145.34299999999999</v>
      </c>
      <c r="F103" s="7">
        <v>30650</v>
      </c>
      <c r="G103" s="24">
        <v>1928.57</v>
      </c>
      <c r="H103" s="24">
        <v>158.114</v>
      </c>
    </row>
    <row r="104" spans="3:8" x14ac:dyDescent="0.15">
      <c r="C104" s="8"/>
      <c r="D104" s="6">
        <v>1392.85</v>
      </c>
      <c r="E104" s="6">
        <v>156.233</v>
      </c>
      <c r="F104" s="7">
        <v>30681</v>
      </c>
      <c r="G104" s="24">
        <v>1871.42</v>
      </c>
      <c r="H104" s="24">
        <v>156.71700000000001</v>
      </c>
    </row>
    <row r="105" spans="3:8" x14ac:dyDescent="0.15">
      <c r="C105" s="8"/>
      <c r="D105" s="6">
        <v>1400</v>
      </c>
      <c r="E105" s="6">
        <v>154.304</v>
      </c>
      <c r="F105" s="7">
        <v>30712</v>
      </c>
      <c r="G105" s="24">
        <v>1892.8500000000001</v>
      </c>
      <c r="H105" s="24">
        <v>155.273</v>
      </c>
    </row>
    <row r="106" spans="3:8" x14ac:dyDescent="0.15">
      <c r="C106" s="8"/>
      <c r="D106" s="6">
        <v>1300</v>
      </c>
      <c r="E106" s="6">
        <v>159.739</v>
      </c>
      <c r="F106" s="7">
        <v>30741</v>
      </c>
      <c r="G106" s="24">
        <v>1828.57</v>
      </c>
      <c r="H106" s="24">
        <v>149.239</v>
      </c>
    </row>
    <row r="107" spans="3:8" x14ac:dyDescent="0.15">
      <c r="C107" s="9" t="s">
        <v>43</v>
      </c>
      <c r="D107" s="6">
        <v>1357.14</v>
      </c>
      <c r="E107" s="6">
        <v>154.46600000000001</v>
      </c>
      <c r="F107" s="7">
        <v>30772</v>
      </c>
      <c r="G107" s="24">
        <v>1771.42</v>
      </c>
      <c r="H107" s="24">
        <v>151.25399999999999</v>
      </c>
    </row>
    <row r="108" spans="3:8" x14ac:dyDescent="0.15">
      <c r="C108" s="8"/>
      <c r="D108" s="6">
        <v>1457.14</v>
      </c>
      <c r="E108" s="6">
        <v>156.214</v>
      </c>
      <c r="F108" s="7">
        <v>30802</v>
      </c>
      <c r="G108" s="24">
        <v>1785.71</v>
      </c>
      <c r="H108" s="24">
        <v>152.08000000000001</v>
      </c>
    </row>
    <row r="109" spans="3:8" x14ac:dyDescent="0.15">
      <c r="C109" s="8"/>
      <c r="D109" s="6">
        <v>1778.57</v>
      </c>
      <c r="E109" s="6">
        <v>157.80099999999999</v>
      </c>
      <c r="F109" s="7">
        <v>30833</v>
      </c>
      <c r="G109" s="24">
        <v>1842.8500000000001</v>
      </c>
      <c r="H109" s="24">
        <v>143.053</v>
      </c>
    </row>
    <row r="110" spans="3:8" x14ac:dyDescent="0.15">
      <c r="C110" s="8"/>
      <c r="D110" s="6">
        <v>1871.42</v>
      </c>
      <c r="E110" s="6">
        <v>155.40600000000001</v>
      </c>
      <c r="F110" s="7">
        <v>30863</v>
      </c>
      <c r="G110" s="24">
        <v>1800</v>
      </c>
      <c r="H110" s="24">
        <v>146.07499999999999</v>
      </c>
    </row>
    <row r="111" spans="3:8" x14ac:dyDescent="0.15">
      <c r="C111" s="8"/>
      <c r="D111" s="6">
        <v>1928.57</v>
      </c>
      <c r="E111" s="6">
        <v>158.114</v>
      </c>
      <c r="F111" s="7">
        <v>30894</v>
      </c>
      <c r="G111" s="24">
        <v>1771.42</v>
      </c>
      <c r="H111" s="24">
        <v>143.15799999999999</v>
      </c>
    </row>
    <row r="112" spans="3:8" x14ac:dyDescent="0.15">
      <c r="C112" s="8"/>
      <c r="D112" s="6">
        <v>1871.42</v>
      </c>
      <c r="E112" s="6">
        <v>156.71700000000001</v>
      </c>
      <c r="F112" s="7">
        <v>30925</v>
      </c>
      <c r="G112" s="24">
        <v>1842.8500000000001</v>
      </c>
      <c r="H112" s="24">
        <v>158.38</v>
      </c>
    </row>
    <row r="113" spans="3:8" x14ac:dyDescent="0.15">
      <c r="C113" s="8"/>
      <c r="D113" s="6">
        <v>1892.85</v>
      </c>
      <c r="E113" s="6">
        <v>155.273</v>
      </c>
      <c r="F113" s="7">
        <v>30955</v>
      </c>
      <c r="G113" s="24">
        <v>1864.28</v>
      </c>
      <c r="H113" s="24">
        <v>157.82900000000001</v>
      </c>
    </row>
    <row r="114" spans="3:8" x14ac:dyDescent="0.15">
      <c r="C114" s="8"/>
      <c r="D114" s="6">
        <v>1828.57</v>
      </c>
      <c r="E114" s="6">
        <v>149.239</v>
      </c>
      <c r="F114" s="7">
        <v>30986</v>
      </c>
      <c r="G114" s="24">
        <v>1857.14</v>
      </c>
      <c r="H114" s="24">
        <v>157.82</v>
      </c>
    </row>
    <row r="115" spans="3:8" x14ac:dyDescent="0.15">
      <c r="C115" s="8"/>
      <c r="D115" s="6">
        <v>1771.42</v>
      </c>
      <c r="E115" s="6">
        <v>151.25399999999999</v>
      </c>
      <c r="F115" s="7">
        <v>31016</v>
      </c>
      <c r="G115" s="24">
        <v>1846.42</v>
      </c>
      <c r="H115" s="24">
        <v>155.435</v>
      </c>
    </row>
    <row r="116" spans="3:8" x14ac:dyDescent="0.15">
      <c r="C116" s="8"/>
      <c r="D116" s="6">
        <v>1785.71</v>
      </c>
      <c r="E116" s="6">
        <v>152.08000000000001</v>
      </c>
      <c r="F116" s="7">
        <v>31047</v>
      </c>
      <c r="G116" s="24">
        <v>1839.28</v>
      </c>
      <c r="H116" s="24">
        <v>158.91200000000001</v>
      </c>
    </row>
    <row r="117" spans="3:8" x14ac:dyDescent="0.15">
      <c r="C117" s="8"/>
      <c r="D117" s="6">
        <v>1842.85</v>
      </c>
      <c r="E117" s="6">
        <v>143.053</v>
      </c>
      <c r="F117" s="7">
        <v>31078</v>
      </c>
      <c r="G117" s="24">
        <v>2014.28</v>
      </c>
      <c r="H117" s="24">
        <v>170.68600000000004</v>
      </c>
    </row>
    <row r="118" spans="3:8" x14ac:dyDescent="0.15">
      <c r="C118" s="8"/>
      <c r="D118" s="6">
        <v>1800</v>
      </c>
      <c r="E118" s="6">
        <v>146.07499999999999</v>
      </c>
      <c r="F118" s="7">
        <v>31106</v>
      </c>
      <c r="G118" s="24">
        <v>2150</v>
      </c>
      <c r="H118" s="24">
        <v>172.15799999999999</v>
      </c>
    </row>
    <row r="119" spans="3:8" x14ac:dyDescent="0.15">
      <c r="C119" s="9" t="s">
        <v>42</v>
      </c>
      <c r="D119" s="6">
        <v>1771.42</v>
      </c>
      <c r="E119" s="6">
        <v>143.15799999999999</v>
      </c>
      <c r="F119" s="7">
        <v>31137</v>
      </c>
      <c r="G119" s="24">
        <v>2617.85</v>
      </c>
      <c r="H119" s="24">
        <v>171.66399999999999</v>
      </c>
    </row>
    <row r="120" spans="3:8" x14ac:dyDescent="0.15">
      <c r="C120" s="8"/>
      <c r="D120" s="6">
        <v>1842.85</v>
      </c>
      <c r="E120" s="6">
        <v>158.38</v>
      </c>
      <c r="F120" s="7">
        <v>31167</v>
      </c>
      <c r="G120" s="24">
        <v>2642.85</v>
      </c>
      <c r="H120" s="24">
        <v>170.87600000000003</v>
      </c>
    </row>
    <row r="121" spans="3:8" x14ac:dyDescent="0.15">
      <c r="C121" s="8"/>
      <c r="D121" s="6">
        <v>1864.28</v>
      </c>
      <c r="E121" s="6">
        <v>157.82900000000001</v>
      </c>
      <c r="F121" s="7">
        <v>31198</v>
      </c>
      <c r="G121" s="24">
        <v>2657.14</v>
      </c>
      <c r="H121" s="24">
        <v>180.11200000000002</v>
      </c>
    </row>
    <row r="122" spans="3:8" x14ac:dyDescent="0.15">
      <c r="C122" s="8"/>
      <c r="D122" s="6">
        <v>1857.14</v>
      </c>
      <c r="E122" s="6">
        <v>157.82</v>
      </c>
      <c r="F122" s="7">
        <v>31228</v>
      </c>
      <c r="G122" s="24">
        <v>3071.42</v>
      </c>
      <c r="H122" s="24">
        <v>182.297</v>
      </c>
    </row>
    <row r="123" spans="3:8" x14ac:dyDescent="0.15">
      <c r="C123" s="8"/>
      <c r="D123" s="6">
        <v>1846.42</v>
      </c>
      <c r="E123" s="6">
        <v>155.435</v>
      </c>
      <c r="F123" s="7">
        <v>31259</v>
      </c>
      <c r="G123" s="24">
        <v>3014.28</v>
      </c>
      <c r="H123" s="24">
        <v>181.41300000000004</v>
      </c>
    </row>
    <row r="124" spans="3:8" x14ac:dyDescent="0.15">
      <c r="C124" s="8"/>
      <c r="D124" s="6">
        <v>1839.28</v>
      </c>
      <c r="E124" s="6">
        <v>158.91200000000001</v>
      </c>
      <c r="F124" s="7">
        <v>31290</v>
      </c>
      <c r="G124" s="24">
        <v>2914.28</v>
      </c>
      <c r="H124" s="24">
        <v>179.23700000000002</v>
      </c>
    </row>
    <row r="125" spans="3:8" x14ac:dyDescent="0.15">
      <c r="C125" s="8"/>
      <c r="D125" s="6">
        <v>2014.28</v>
      </c>
      <c r="E125" s="6">
        <v>170.68600000000001</v>
      </c>
      <c r="F125" s="7">
        <v>31320</v>
      </c>
      <c r="G125" s="24">
        <v>2957.14</v>
      </c>
      <c r="H125" s="24">
        <v>173.01400000000001</v>
      </c>
    </row>
    <row r="126" spans="3:8" x14ac:dyDescent="0.15">
      <c r="C126" s="8"/>
      <c r="D126" s="6">
        <v>2150</v>
      </c>
      <c r="E126" s="6">
        <v>172.15799999999999</v>
      </c>
      <c r="F126" s="7">
        <v>31351</v>
      </c>
      <c r="G126" s="24">
        <v>3742.85</v>
      </c>
      <c r="H126" s="24">
        <v>180.36799999999999</v>
      </c>
    </row>
    <row r="127" spans="3:8" x14ac:dyDescent="0.15">
      <c r="C127" s="8"/>
      <c r="D127" s="6">
        <v>2617.85</v>
      </c>
      <c r="E127" s="6">
        <v>171.66399999999999</v>
      </c>
      <c r="F127" s="7">
        <v>31381</v>
      </c>
      <c r="G127" s="24">
        <v>3750</v>
      </c>
      <c r="H127" s="24">
        <v>192.10300000000001</v>
      </c>
    </row>
    <row r="128" spans="3:8" x14ac:dyDescent="0.15">
      <c r="C128" s="8"/>
      <c r="D128" s="6">
        <v>2642.85</v>
      </c>
      <c r="E128" s="6">
        <v>170.876</v>
      </c>
      <c r="F128" s="7">
        <v>31412</v>
      </c>
      <c r="G128" s="24">
        <v>3528.57</v>
      </c>
      <c r="H128" s="24">
        <v>200.76</v>
      </c>
    </row>
    <row r="129" spans="3:8" x14ac:dyDescent="0.15">
      <c r="C129" s="8"/>
      <c r="D129" s="6">
        <v>2657.14</v>
      </c>
      <c r="E129" s="6">
        <v>180.11199999999999</v>
      </c>
      <c r="F129" s="7">
        <v>31443</v>
      </c>
      <c r="G129" s="24">
        <v>3221.42</v>
      </c>
      <c r="H129" s="24">
        <v>201.23500000000001</v>
      </c>
    </row>
    <row r="130" spans="3:8" x14ac:dyDescent="0.15">
      <c r="C130" s="8"/>
      <c r="D130" s="6">
        <v>3071.42</v>
      </c>
      <c r="E130" s="6">
        <v>182.297</v>
      </c>
      <c r="F130" s="7">
        <v>31471</v>
      </c>
      <c r="G130" s="24">
        <v>3942.85</v>
      </c>
      <c r="H130" s="24">
        <v>215.62100000000004</v>
      </c>
    </row>
    <row r="131" spans="3:8" x14ac:dyDescent="0.15">
      <c r="C131" s="9" t="s">
        <v>41</v>
      </c>
      <c r="D131" s="6">
        <v>3014.28</v>
      </c>
      <c r="E131" s="6">
        <v>181.41300000000001</v>
      </c>
      <c r="F131" s="7">
        <v>31502</v>
      </c>
      <c r="G131" s="24">
        <v>4457.1400000000003</v>
      </c>
      <c r="H131" s="24">
        <v>227.00399999999999</v>
      </c>
    </row>
    <row r="132" spans="3:8" x14ac:dyDescent="0.15">
      <c r="C132" s="8"/>
      <c r="D132" s="6">
        <v>2914.28</v>
      </c>
      <c r="E132" s="6">
        <v>179.23699999999999</v>
      </c>
      <c r="F132" s="7">
        <v>31532</v>
      </c>
      <c r="G132" s="24">
        <v>4157.1400000000003</v>
      </c>
      <c r="H132" s="24">
        <v>223.79300000000001</v>
      </c>
    </row>
    <row r="133" spans="3:8" x14ac:dyDescent="0.15">
      <c r="C133" s="8"/>
      <c r="D133" s="6">
        <v>2957.14</v>
      </c>
      <c r="E133" s="6">
        <v>173.01400000000001</v>
      </c>
      <c r="F133" s="7">
        <v>31563</v>
      </c>
      <c r="G133" s="24">
        <v>4085.71</v>
      </c>
      <c r="H133" s="24">
        <v>235.03399999999999</v>
      </c>
    </row>
    <row r="134" spans="3:8" x14ac:dyDescent="0.15">
      <c r="C134" s="8"/>
      <c r="D134" s="6">
        <v>3742.85</v>
      </c>
      <c r="E134" s="6">
        <v>180.36799999999999</v>
      </c>
      <c r="F134" s="7">
        <v>31593</v>
      </c>
      <c r="G134" s="24">
        <v>4250</v>
      </c>
      <c r="H134" s="24">
        <v>238.35</v>
      </c>
    </row>
    <row r="135" spans="3:8" x14ac:dyDescent="0.15">
      <c r="C135" s="8"/>
      <c r="D135" s="6">
        <v>3750</v>
      </c>
      <c r="E135" s="6">
        <v>192.10300000000001</v>
      </c>
      <c r="F135" s="7">
        <v>31624</v>
      </c>
      <c r="G135" s="24">
        <v>4035.71</v>
      </c>
      <c r="H135" s="24">
        <v>224.363</v>
      </c>
    </row>
    <row r="136" spans="3:8" x14ac:dyDescent="0.15">
      <c r="C136" s="8"/>
      <c r="D136" s="6">
        <v>3528.57</v>
      </c>
      <c r="E136" s="6">
        <v>200.76</v>
      </c>
      <c r="F136" s="7">
        <v>31655</v>
      </c>
      <c r="G136" s="24">
        <v>4142.8500000000004</v>
      </c>
      <c r="H136" s="24">
        <v>240.33600000000001</v>
      </c>
    </row>
    <row r="137" spans="3:8" x14ac:dyDescent="0.15">
      <c r="C137" s="8"/>
      <c r="D137" s="6">
        <v>3221.42</v>
      </c>
      <c r="E137" s="6">
        <v>201.23500000000001</v>
      </c>
      <c r="F137" s="7">
        <v>31685</v>
      </c>
      <c r="G137" s="24">
        <v>3750</v>
      </c>
      <c r="H137" s="24">
        <v>219.80200000000002</v>
      </c>
    </row>
    <row r="138" spans="3:8" x14ac:dyDescent="0.15">
      <c r="C138" s="8"/>
      <c r="D138" s="6">
        <v>3942.85</v>
      </c>
      <c r="E138" s="6">
        <v>215.62100000000001</v>
      </c>
      <c r="F138" s="7">
        <v>31716</v>
      </c>
      <c r="G138" s="24">
        <v>4107.1400000000003</v>
      </c>
      <c r="H138" s="24">
        <v>231.83200000000002</v>
      </c>
    </row>
    <row r="139" spans="3:8" x14ac:dyDescent="0.15">
      <c r="C139" s="8"/>
      <c r="D139" s="6">
        <v>4457.1400000000003</v>
      </c>
      <c r="E139" s="6">
        <v>227.00399999999999</v>
      </c>
      <c r="F139" s="7">
        <v>31746</v>
      </c>
      <c r="G139" s="24">
        <v>3914.28</v>
      </c>
      <c r="H139" s="24">
        <v>236.81100000000004</v>
      </c>
    </row>
    <row r="140" spans="3:8" x14ac:dyDescent="0.15">
      <c r="C140" s="8"/>
      <c r="D140" s="6">
        <v>4157.1400000000003</v>
      </c>
      <c r="E140" s="6">
        <v>223.79300000000001</v>
      </c>
      <c r="F140" s="7">
        <v>31777</v>
      </c>
      <c r="G140" s="24">
        <v>4028.57</v>
      </c>
      <c r="H140" s="24">
        <v>230.11200000000002</v>
      </c>
    </row>
    <row r="141" spans="3:8" x14ac:dyDescent="0.15">
      <c r="C141" s="8"/>
      <c r="D141" s="6">
        <v>4085.71</v>
      </c>
      <c r="E141" s="6">
        <v>235.03399999999999</v>
      </c>
      <c r="F141" s="7">
        <v>31808</v>
      </c>
      <c r="G141" s="24">
        <v>4428.57</v>
      </c>
      <c r="H141" s="24">
        <v>260.43299999999999</v>
      </c>
    </row>
    <row r="142" spans="3:8" x14ac:dyDescent="0.15">
      <c r="C142" s="8"/>
      <c r="D142" s="6">
        <v>4250</v>
      </c>
      <c r="E142" s="6">
        <v>238.35</v>
      </c>
      <c r="F142" s="7">
        <v>31836</v>
      </c>
      <c r="G142" s="24">
        <v>4800</v>
      </c>
      <c r="H142" s="24">
        <v>270.04899999999998</v>
      </c>
    </row>
    <row r="143" spans="3:8" x14ac:dyDescent="0.15">
      <c r="C143" s="9" t="s">
        <v>40</v>
      </c>
      <c r="D143" s="6">
        <v>4035.71</v>
      </c>
      <c r="E143" s="6">
        <v>224.363</v>
      </c>
      <c r="F143" s="7">
        <v>31867</v>
      </c>
      <c r="G143" s="24">
        <v>5028.57</v>
      </c>
      <c r="H143" s="24">
        <v>277.17500000000001</v>
      </c>
    </row>
    <row r="144" spans="3:8" x14ac:dyDescent="0.15">
      <c r="C144" s="8"/>
      <c r="D144" s="6">
        <v>4142.8500000000004</v>
      </c>
      <c r="E144" s="6">
        <v>240.33600000000001</v>
      </c>
      <c r="F144" s="7">
        <v>31897</v>
      </c>
      <c r="G144" s="24">
        <v>4828.57</v>
      </c>
      <c r="H144" s="24">
        <v>274.00200000000001</v>
      </c>
    </row>
    <row r="145" spans="3:8" x14ac:dyDescent="0.15">
      <c r="C145" s="8"/>
      <c r="D145" s="6">
        <v>3750</v>
      </c>
      <c r="E145" s="6">
        <v>219.80199999999999</v>
      </c>
      <c r="F145" s="7">
        <v>31928</v>
      </c>
      <c r="G145" s="24">
        <v>4871.42</v>
      </c>
      <c r="H145" s="24">
        <v>275.65499999999997</v>
      </c>
    </row>
    <row r="146" spans="3:8" x14ac:dyDescent="0.15">
      <c r="C146" s="8"/>
      <c r="D146" s="6">
        <v>4107.1400000000003</v>
      </c>
      <c r="E146" s="6">
        <v>231.83199999999999</v>
      </c>
      <c r="F146" s="7">
        <v>31958</v>
      </c>
      <c r="G146" s="24">
        <v>5000</v>
      </c>
      <c r="H146" s="24">
        <v>288.863</v>
      </c>
    </row>
    <row r="147" spans="3:8" x14ac:dyDescent="0.15">
      <c r="C147" s="8"/>
      <c r="D147" s="6">
        <v>3914.28</v>
      </c>
      <c r="E147" s="6">
        <v>236.81100000000001</v>
      </c>
      <c r="F147" s="7">
        <v>31989</v>
      </c>
      <c r="G147" s="24">
        <v>5657.14</v>
      </c>
      <c r="H147" s="24">
        <v>302.79300000000001</v>
      </c>
    </row>
    <row r="148" spans="3:8" x14ac:dyDescent="0.15">
      <c r="C148" s="8"/>
      <c r="D148" s="6">
        <v>4028.57</v>
      </c>
      <c r="E148" s="6">
        <v>230.11199999999999</v>
      </c>
      <c r="F148" s="7">
        <v>32020</v>
      </c>
      <c r="G148" s="24">
        <v>5700</v>
      </c>
      <c r="H148" s="24">
        <v>313.36900000000003</v>
      </c>
    </row>
    <row r="149" spans="3:8" x14ac:dyDescent="0.15">
      <c r="C149" s="8"/>
      <c r="D149" s="6">
        <v>4428.57</v>
      </c>
      <c r="E149" s="6">
        <v>260.43299999999999</v>
      </c>
      <c r="F149" s="7">
        <v>32050</v>
      </c>
      <c r="G149" s="24">
        <v>5885.71</v>
      </c>
      <c r="H149" s="24">
        <v>305.80500000000001</v>
      </c>
    </row>
    <row r="150" spans="3:8" x14ac:dyDescent="0.15">
      <c r="C150" s="8"/>
      <c r="D150" s="6">
        <v>4800</v>
      </c>
      <c r="E150" s="6">
        <v>270.04899999999998</v>
      </c>
      <c r="F150" s="7">
        <v>32081</v>
      </c>
      <c r="G150" s="24">
        <v>4750</v>
      </c>
      <c r="H150" s="24">
        <v>239.25299999999999</v>
      </c>
    </row>
    <row r="151" spans="3:8" x14ac:dyDescent="0.15">
      <c r="C151" s="8"/>
      <c r="D151" s="6">
        <v>5028.57</v>
      </c>
      <c r="E151" s="6">
        <v>277.17500000000001</v>
      </c>
      <c r="F151" s="7">
        <v>32111</v>
      </c>
      <c r="G151" s="24">
        <v>4142.8500000000004</v>
      </c>
      <c r="H151" s="24">
        <v>218.833</v>
      </c>
    </row>
    <row r="152" spans="3:8" x14ac:dyDescent="0.15">
      <c r="C152" s="8"/>
      <c r="D152" s="6">
        <v>4828.57</v>
      </c>
      <c r="E152" s="6">
        <v>274.00200000000001</v>
      </c>
      <c r="F152" s="7">
        <v>32142</v>
      </c>
      <c r="G152" s="24">
        <v>4214.28</v>
      </c>
      <c r="H152" s="24">
        <v>234.77699999999999</v>
      </c>
    </row>
    <row r="153" spans="3:8" x14ac:dyDescent="0.15">
      <c r="C153" s="8"/>
      <c r="D153" s="6">
        <v>4871.42</v>
      </c>
      <c r="E153" s="6">
        <v>275.65499999999997</v>
      </c>
      <c r="F153" s="7">
        <v>32173</v>
      </c>
      <c r="G153" s="24">
        <v>4328.57</v>
      </c>
      <c r="H153" s="24">
        <v>244.27</v>
      </c>
    </row>
    <row r="154" spans="3:8" x14ac:dyDescent="0.15">
      <c r="C154" s="8"/>
      <c r="D154" s="6">
        <v>5000</v>
      </c>
      <c r="E154" s="6">
        <v>288.863</v>
      </c>
      <c r="F154" s="7">
        <v>32202</v>
      </c>
      <c r="G154" s="24">
        <v>4500</v>
      </c>
      <c r="H154" s="24">
        <v>254.48500000000001</v>
      </c>
    </row>
    <row r="155" spans="3:8" x14ac:dyDescent="0.15">
      <c r="C155" s="9" t="s">
        <v>39</v>
      </c>
      <c r="D155" s="6">
        <v>5657.14</v>
      </c>
      <c r="E155" s="6">
        <v>302.79300000000001</v>
      </c>
      <c r="F155" s="7">
        <v>32233</v>
      </c>
      <c r="G155" s="24">
        <v>4892.8500000000004</v>
      </c>
      <c r="H155" s="24">
        <v>245.999</v>
      </c>
    </row>
    <row r="156" spans="3:8" x14ac:dyDescent="0.15">
      <c r="C156" s="8"/>
      <c r="D156" s="6">
        <v>5700</v>
      </c>
      <c r="E156" s="6">
        <v>313.36900000000003</v>
      </c>
      <c r="F156" s="7">
        <v>32263</v>
      </c>
      <c r="G156" s="24">
        <v>5392.85</v>
      </c>
      <c r="H156" s="24">
        <v>248.31800000000004</v>
      </c>
    </row>
    <row r="157" spans="3:8" x14ac:dyDescent="0.15">
      <c r="C157" s="8"/>
      <c r="D157" s="6">
        <v>5885.71</v>
      </c>
      <c r="E157" s="6">
        <v>305.80500000000001</v>
      </c>
      <c r="F157" s="7">
        <v>32294</v>
      </c>
      <c r="G157" s="24">
        <v>5607.14</v>
      </c>
      <c r="H157" s="24">
        <v>249.10599999999999</v>
      </c>
    </row>
    <row r="158" spans="3:8" x14ac:dyDescent="0.15">
      <c r="C158" s="8"/>
      <c r="D158" s="6">
        <v>4750</v>
      </c>
      <c r="E158" s="6">
        <v>239.25299999999999</v>
      </c>
      <c r="F158" s="7">
        <v>32324</v>
      </c>
      <c r="G158" s="24">
        <v>5928.57</v>
      </c>
      <c r="H158" s="24">
        <v>259.88200000000001</v>
      </c>
    </row>
    <row r="159" spans="3:8" x14ac:dyDescent="0.15">
      <c r="C159" s="8"/>
      <c r="D159" s="6">
        <v>4142.8500000000004</v>
      </c>
      <c r="E159" s="6">
        <v>218.833</v>
      </c>
      <c r="F159" s="7">
        <v>32355</v>
      </c>
      <c r="G159" s="24">
        <v>6250</v>
      </c>
      <c r="H159" s="24">
        <v>258.47500000000002</v>
      </c>
    </row>
    <row r="160" spans="3:8" x14ac:dyDescent="0.15">
      <c r="C160" s="8"/>
      <c r="D160" s="6">
        <v>4214.28</v>
      </c>
      <c r="E160" s="6">
        <v>234.77699999999999</v>
      </c>
      <c r="F160" s="7">
        <v>32386</v>
      </c>
      <c r="G160" s="24">
        <v>6142.85</v>
      </c>
      <c r="H160" s="24">
        <v>248.49799999999999</v>
      </c>
    </row>
    <row r="161" spans="3:8" x14ac:dyDescent="0.15">
      <c r="C161" s="8"/>
      <c r="D161" s="6">
        <v>4328.57</v>
      </c>
      <c r="E161" s="6">
        <v>244.27</v>
      </c>
      <c r="F161" s="7">
        <v>32416</v>
      </c>
      <c r="G161" s="24">
        <v>6857.14</v>
      </c>
      <c r="H161" s="24">
        <v>258.37099999999998</v>
      </c>
    </row>
    <row r="162" spans="3:8" x14ac:dyDescent="0.15">
      <c r="C162" s="8"/>
      <c r="D162" s="6">
        <v>4500</v>
      </c>
      <c r="E162" s="6">
        <v>254.48500000000001</v>
      </c>
      <c r="F162" s="7">
        <v>32447</v>
      </c>
      <c r="G162" s="24">
        <v>6750</v>
      </c>
      <c r="H162" s="24">
        <v>265.07900000000001</v>
      </c>
    </row>
    <row r="163" spans="3:8" x14ac:dyDescent="0.15">
      <c r="C163" s="8"/>
      <c r="D163" s="6">
        <v>4892.8500000000004</v>
      </c>
      <c r="E163" s="6">
        <v>245.999</v>
      </c>
      <c r="F163" s="7">
        <v>32477</v>
      </c>
      <c r="G163" s="24">
        <v>6714.28</v>
      </c>
      <c r="H163" s="24">
        <v>260.072</v>
      </c>
    </row>
    <row r="164" spans="3:8" x14ac:dyDescent="0.15">
      <c r="C164" s="8"/>
      <c r="D164" s="6">
        <v>5392.85</v>
      </c>
      <c r="E164" s="6">
        <v>248.31800000000001</v>
      </c>
      <c r="F164" s="7">
        <v>32508</v>
      </c>
      <c r="G164" s="24">
        <v>6714.28</v>
      </c>
      <c r="H164" s="24">
        <v>263.892</v>
      </c>
    </row>
    <row r="165" spans="3:8" x14ac:dyDescent="0.15">
      <c r="C165" s="8"/>
      <c r="D165" s="6">
        <v>5607.14</v>
      </c>
      <c r="E165" s="6">
        <v>249.10599999999999</v>
      </c>
      <c r="F165" s="7">
        <v>32539</v>
      </c>
      <c r="G165" s="24">
        <v>7035.71</v>
      </c>
      <c r="H165" s="24">
        <v>282.65800000000002</v>
      </c>
    </row>
    <row r="166" spans="3:8" x14ac:dyDescent="0.15">
      <c r="C166" s="8"/>
      <c r="D166" s="6">
        <v>5928.57</v>
      </c>
      <c r="E166" s="6">
        <v>259.88200000000001</v>
      </c>
      <c r="F166" s="7">
        <v>32567</v>
      </c>
      <c r="G166" s="24">
        <v>6750</v>
      </c>
      <c r="H166" s="24">
        <v>274.47699999999998</v>
      </c>
    </row>
    <row r="167" spans="3:8" x14ac:dyDescent="0.15">
      <c r="C167" s="9" t="s">
        <v>38</v>
      </c>
      <c r="D167" s="6">
        <v>6250</v>
      </c>
      <c r="E167" s="6">
        <v>258.47500000000002</v>
      </c>
      <c r="F167" s="7">
        <v>32598</v>
      </c>
      <c r="G167" s="24">
        <v>7071.42</v>
      </c>
      <c r="H167" s="24">
        <v>280.18799999999999</v>
      </c>
    </row>
    <row r="168" spans="3:8" x14ac:dyDescent="0.15">
      <c r="C168" s="8"/>
      <c r="D168" s="6">
        <v>6142.85</v>
      </c>
      <c r="E168" s="6">
        <v>248.49799999999999</v>
      </c>
      <c r="F168" s="7">
        <v>32628</v>
      </c>
      <c r="G168" s="24">
        <v>8964.2800000000007</v>
      </c>
      <c r="H168" s="24">
        <v>294.22199999999998</v>
      </c>
    </row>
    <row r="169" spans="3:8" x14ac:dyDescent="0.15">
      <c r="C169" s="8"/>
      <c r="D169" s="6">
        <v>6857.14</v>
      </c>
      <c r="E169" s="6">
        <v>258.37099999999998</v>
      </c>
      <c r="F169" s="7">
        <v>32659</v>
      </c>
      <c r="G169" s="24">
        <v>9178.57</v>
      </c>
      <c r="H169" s="24">
        <v>304.56099999999998</v>
      </c>
    </row>
    <row r="170" spans="3:8" x14ac:dyDescent="0.15">
      <c r="C170" s="8"/>
      <c r="D170" s="6">
        <v>6750</v>
      </c>
      <c r="E170" s="6">
        <v>265.07900000000001</v>
      </c>
      <c r="F170" s="7">
        <v>32689</v>
      </c>
      <c r="G170" s="24">
        <v>9392.85</v>
      </c>
      <c r="H170" s="24">
        <v>302.14699999999999</v>
      </c>
    </row>
    <row r="171" spans="3:8" x14ac:dyDescent="0.15">
      <c r="C171" s="8"/>
      <c r="D171" s="6">
        <v>6714.28</v>
      </c>
      <c r="E171" s="6">
        <v>260.072</v>
      </c>
      <c r="F171" s="7">
        <v>32720</v>
      </c>
      <c r="G171" s="24">
        <v>10714.2</v>
      </c>
      <c r="H171" s="24">
        <v>328.84800000000001</v>
      </c>
    </row>
    <row r="172" spans="3:8" x14ac:dyDescent="0.15">
      <c r="C172" s="8"/>
      <c r="D172" s="6">
        <v>6714.28</v>
      </c>
      <c r="E172" s="6">
        <v>263.892</v>
      </c>
      <c r="F172" s="7">
        <v>32751</v>
      </c>
      <c r="G172" s="24">
        <v>11392.800000000001</v>
      </c>
      <c r="H172" s="24">
        <v>333.95</v>
      </c>
    </row>
    <row r="173" spans="3:8" x14ac:dyDescent="0.15">
      <c r="C173" s="8"/>
      <c r="D173" s="6">
        <v>7035.71</v>
      </c>
      <c r="E173" s="6">
        <v>282.65800000000002</v>
      </c>
      <c r="F173" s="7">
        <v>32781</v>
      </c>
      <c r="G173" s="24">
        <v>12321.4</v>
      </c>
      <c r="H173" s="24">
        <v>331.76499999999999</v>
      </c>
    </row>
    <row r="174" spans="3:8" x14ac:dyDescent="0.15">
      <c r="C174" s="8"/>
      <c r="D174" s="6">
        <v>6750</v>
      </c>
      <c r="E174" s="6">
        <v>274.47699999999998</v>
      </c>
      <c r="F174" s="7">
        <v>32812</v>
      </c>
      <c r="G174" s="24">
        <v>12157.1</v>
      </c>
      <c r="H174" s="24">
        <v>323.41300000000001</v>
      </c>
    </row>
    <row r="175" spans="3:8" x14ac:dyDescent="0.15">
      <c r="C175" s="8"/>
      <c r="D175" s="6">
        <v>7071.42</v>
      </c>
      <c r="E175" s="6">
        <v>280.18799999999999</v>
      </c>
      <c r="F175" s="7">
        <v>32842</v>
      </c>
      <c r="G175" s="24">
        <v>11785.7</v>
      </c>
      <c r="H175" s="24">
        <v>328.762</v>
      </c>
    </row>
    <row r="176" spans="3:8" x14ac:dyDescent="0.15">
      <c r="C176" s="8"/>
      <c r="D176" s="6">
        <v>8964.2800000000007</v>
      </c>
      <c r="E176" s="6">
        <v>294.22199999999998</v>
      </c>
      <c r="F176" s="7">
        <v>32873</v>
      </c>
      <c r="G176" s="24">
        <v>12392.800000000001</v>
      </c>
      <c r="H176" s="24">
        <v>335.80300000000005</v>
      </c>
    </row>
    <row r="177" spans="3:8" x14ac:dyDescent="0.15">
      <c r="C177" s="8"/>
      <c r="D177" s="6">
        <v>9178.57</v>
      </c>
      <c r="E177" s="6">
        <v>304.56099999999998</v>
      </c>
      <c r="F177" s="7">
        <v>32904</v>
      </c>
      <c r="G177" s="24">
        <v>10650</v>
      </c>
      <c r="H177" s="24">
        <v>312.69400000000002</v>
      </c>
    </row>
    <row r="178" spans="3:8" x14ac:dyDescent="0.15">
      <c r="C178" s="8"/>
      <c r="D178" s="6">
        <v>9392.85</v>
      </c>
      <c r="E178" s="6">
        <v>302.14699999999999</v>
      </c>
      <c r="F178" s="7">
        <v>32932</v>
      </c>
      <c r="G178" s="24">
        <v>10321.4</v>
      </c>
      <c r="H178" s="24">
        <v>315.36399999999998</v>
      </c>
    </row>
    <row r="179" spans="3:8" x14ac:dyDescent="0.15">
      <c r="C179" s="9" t="s">
        <v>37</v>
      </c>
      <c r="D179" s="6">
        <v>10714.2</v>
      </c>
      <c r="E179" s="6">
        <v>328.84800000000001</v>
      </c>
      <c r="F179" s="7">
        <v>32963</v>
      </c>
      <c r="G179" s="24">
        <v>9607.14</v>
      </c>
      <c r="H179" s="24">
        <v>323.01400000000001</v>
      </c>
    </row>
    <row r="180" spans="3:8" x14ac:dyDescent="0.15">
      <c r="C180" s="8"/>
      <c r="D180" s="6">
        <v>11392.8</v>
      </c>
      <c r="E180" s="6">
        <v>333.95</v>
      </c>
      <c r="F180" s="7">
        <v>32993</v>
      </c>
      <c r="G180" s="24">
        <v>9571.42</v>
      </c>
      <c r="H180" s="24">
        <v>314.32900000000001</v>
      </c>
    </row>
    <row r="181" spans="3:8" x14ac:dyDescent="0.15">
      <c r="C181" s="8"/>
      <c r="D181" s="6">
        <v>12321.4</v>
      </c>
      <c r="E181" s="6">
        <v>331.76499999999999</v>
      </c>
      <c r="F181" s="7">
        <v>33024</v>
      </c>
      <c r="G181" s="24">
        <v>10214.200000000001</v>
      </c>
      <c r="H181" s="24">
        <v>343.24400000000003</v>
      </c>
    </row>
    <row r="182" spans="3:8" x14ac:dyDescent="0.15">
      <c r="C182" s="8"/>
      <c r="D182" s="6">
        <v>12157.1</v>
      </c>
      <c r="E182" s="6">
        <v>323.41300000000001</v>
      </c>
      <c r="F182" s="7">
        <v>33054</v>
      </c>
      <c r="G182" s="24">
        <v>10285.700000000001</v>
      </c>
      <c r="H182" s="24">
        <v>340.19299999999998</v>
      </c>
    </row>
    <row r="183" spans="3:8" x14ac:dyDescent="0.15">
      <c r="C183" s="8"/>
      <c r="D183" s="6">
        <v>11785.7</v>
      </c>
      <c r="E183" s="6">
        <v>328.762</v>
      </c>
      <c r="F183" s="7">
        <v>33085</v>
      </c>
      <c r="G183" s="24">
        <v>10000</v>
      </c>
      <c r="H183" s="24">
        <v>338.416</v>
      </c>
    </row>
    <row r="184" spans="3:8" x14ac:dyDescent="0.15">
      <c r="C184" s="8"/>
      <c r="D184" s="6">
        <v>12392.8</v>
      </c>
      <c r="E184" s="6">
        <v>335.803</v>
      </c>
      <c r="F184" s="7">
        <v>33116</v>
      </c>
      <c r="G184" s="24">
        <v>9142.85</v>
      </c>
      <c r="H184" s="24">
        <v>306.49900000000002</v>
      </c>
    </row>
    <row r="185" spans="3:8" x14ac:dyDescent="0.15">
      <c r="C185" s="8"/>
      <c r="D185" s="6">
        <v>10650</v>
      </c>
      <c r="E185" s="6">
        <v>312.69400000000002</v>
      </c>
      <c r="F185" s="7">
        <v>33146</v>
      </c>
      <c r="G185" s="24">
        <v>8392.85</v>
      </c>
      <c r="H185" s="24">
        <v>290.81099999999998</v>
      </c>
    </row>
    <row r="186" spans="3:8" x14ac:dyDescent="0.15">
      <c r="C186" s="8"/>
      <c r="D186" s="6">
        <v>10321.4</v>
      </c>
      <c r="E186" s="6">
        <v>315.36399999999998</v>
      </c>
      <c r="F186" s="7">
        <v>33177</v>
      </c>
      <c r="G186" s="24">
        <v>8500</v>
      </c>
      <c r="H186" s="24">
        <v>288.863</v>
      </c>
    </row>
    <row r="187" spans="3:8" x14ac:dyDescent="0.15">
      <c r="C187" s="8"/>
      <c r="D187" s="6">
        <v>9607.14</v>
      </c>
      <c r="E187" s="6">
        <v>323.01400000000001</v>
      </c>
      <c r="F187" s="7">
        <v>33207</v>
      </c>
      <c r="G187" s="24">
        <v>9064.2800000000007</v>
      </c>
      <c r="H187" s="24">
        <v>306.17599999999999</v>
      </c>
    </row>
    <row r="188" spans="3:8" x14ac:dyDescent="0.15">
      <c r="C188" s="8"/>
      <c r="D188" s="6">
        <v>9571.42</v>
      </c>
      <c r="E188" s="6">
        <v>314.32900000000001</v>
      </c>
      <c r="F188" s="7">
        <v>33238</v>
      </c>
      <c r="G188" s="24">
        <v>9535.7099999999991</v>
      </c>
      <c r="H188" s="24">
        <v>313.77800000000002</v>
      </c>
    </row>
    <row r="189" spans="3:8" x14ac:dyDescent="0.15">
      <c r="C189" s="8"/>
      <c r="D189" s="6">
        <v>10214.200000000001</v>
      </c>
      <c r="E189" s="6">
        <v>343.24400000000003</v>
      </c>
      <c r="F189" s="7">
        <v>33269</v>
      </c>
      <c r="G189" s="24">
        <v>10571.4</v>
      </c>
      <c r="H189" s="24">
        <v>326.80500000000001</v>
      </c>
    </row>
    <row r="190" spans="3:8" x14ac:dyDescent="0.15">
      <c r="C190" s="8"/>
      <c r="D190" s="6">
        <v>10285.700000000001</v>
      </c>
      <c r="E190" s="6">
        <v>340.19299999999998</v>
      </c>
      <c r="F190" s="7">
        <v>33297</v>
      </c>
      <c r="G190" s="24">
        <v>11535.7</v>
      </c>
      <c r="H190" s="24">
        <v>348.79300000000006</v>
      </c>
    </row>
    <row r="191" spans="3:8" x14ac:dyDescent="0.15">
      <c r="C191" s="9" t="s">
        <v>36</v>
      </c>
      <c r="D191" s="6">
        <v>10000</v>
      </c>
      <c r="E191" s="6">
        <v>338.416</v>
      </c>
      <c r="F191" s="7">
        <v>33328</v>
      </c>
      <c r="G191" s="24">
        <v>11464.2</v>
      </c>
      <c r="H191" s="24">
        <v>356.53699999999998</v>
      </c>
    </row>
    <row r="192" spans="3:8" x14ac:dyDescent="0.15">
      <c r="C192" s="8"/>
      <c r="D192" s="6">
        <v>9142.85</v>
      </c>
      <c r="E192" s="6">
        <v>306.49900000000002</v>
      </c>
      <c r="F192" s="7">
        <v>33358</v>
      </c>
      <c r="G192" s="24">
        <v>11607.1</v>
      </c>
      <c r="H192" s="24">
        <v>356.661</v>
      </c>
    </row>
    <row r="193" spans="3:8" x14ac:dyDescent="0.15">
      <c r="C193" s="8"/>
      <c r="D193" s="6">
        <v>8392.85</v>
      </c>
      <c r="E193" s="6">
        <v>290.81099999999998</v>
      </c>
      <c r="F193" s="7">
        <v>33389</v>
      </c>
      <c r="G193" s="24">
        <v>12500</v>
      </c>
      <c r="H193" s="24">
        <v>370.42</v>
      </c>
    </row>
    <row r="194" spans="3:8" x14ac:dyDescent="0.15">
      <c r="C194" s="8"/>
      <c r="D194" s="6">
        <v>8500</v>
      </c>
      <c r="E194" s="6">
        <v>288.863</v>
      </c>
      <c r="F194" s="7">
        <v>33419</v>
      </c>
      <c r="G194" s="24">
        <v>12000</v>
      </c>
      <c r="H194" s="24">
        <v>352.67899999999997</v>
      </c>
    </row>
    <row r="195" spans="3:8" x14ac:dyDescent="0.15">
      <c r="C195" s="8"/>
      <c r="D195" s="6">
        <v>9064.2800000000007</v>
      </c>
      <c r="E195" s="6">
        <v>306.17599999999999</v>
      </c>
      <c r="F195" s="7">
        <v>33450</v>
      </c>
      <c r="G195" s="24">
        <v>12178.5</v>
      </c>
      <c r="H195" s="24">
        <v>368.5</v>
      </c>
    </row>
    <row r="196" spans="3:8" x14ac:dyDescent="0.15">
      <c r="C196" s="8"/>
      <c r="D196" s="6">
        <v>9535.7099999999991</v>
      </c>
      <c r="E196" s="6">
        <v>313.77800000000002</v>
      </c>
      <c r="F196" s="7">
        <v>33481</v>
      </c>
      <c r="G196" s="24">
        <v>12535.7</v>
      </c>
      <c r="H196" s="24">
        <v>375.74099999999999</v>
      </c>
    </row>
    <row r="197" spans="3:8" x14ac:dyDescent="0.15">
      <c r="C197" s="8"/>
      <c r="D197" s="6">
        <v>10571.4</v>
      </c>
      <c r="E197" s="6">
        <v>326.80500000000001</v>
      </c>
      <c r="F197" s="7">
        <v>33511</v>
      </c>
      <c r="G197" s="24">
        <v>12678.5</v>
      </c>
      <c r="H197" s="24">
        <v>368.54800000000006</v>
      </c>
    </row>
    <row r="198" spans="3:8" x14ac:dyDescent="0.15">
      <c r="C198" s="8"/>
      <c r="D198" s="6">
        <v>11535.7</v>
      </c>
      <c r="E198" s="6">
        <v>348.79300000000001</v>
      </c>
      <c r="F198" s="7">
        <v>33542</v>
      </c>
      <c r="G198" s="24">
        <v>12242.800000000001</v>
      </c>
      <c r="H198" s="24">
        <v>372.91900000000004</v>
      </c>
    </row>
    <row r="199" spans="3:8" x14ac:dyDescent="0.15">
      <c r="C199" s="8"/>
      <c r="D199" s="6">
        <v>11464.2</v>
      </c>
      <c r="E199" s="6">
        <v>356.53699999999998</v>
      </c>
      <c r="F199" s="7">
        <v>33572</v>
      </c>
      <c r="G199" s="24">
        <v>11928.5</v>
      </c>
      <c r="H199" s="24">
        <v>356.53699999999998</v>
      </c>
    </row>
    <row r="200" spans="3:8" x14ac:dyDescent="0.15">
      <c r="C200" s="8"/>
      <c r="D200" s="6">
        <v>11607.1</v>
      </c>
      <c r="E200" s="6">
        <v>356.661</v>
      </c>
      <c r="F200" s="7">
        <v>33603</v>
      </c>
      <c r="G200" s="24">
        <v>12928.5</v>
      </c>
      <c r="H200" s="24">
        <v>396.322</v>
      </c>
    </row>
    <row r="201" spans="3:8" x14ac:dyDescent="0.15">
      <c r="C201" s="8"/>
      <c r="D201" s="6">
        <v>12500</v>
      </c>
      <c r="E201" s="6">
        <v>370.42</v>
      </c>
      <c r="F201" s="7">
        <v>33634</v>
      </c>
      <c r="G201" s="24">
        <v>12642.800000000001</v>
      </c>
      <c r="H201" s="24">
        <v>388.435</v>
      </c>
    </row>
    <row r="202" spans="3:8" x14ac:dyDescent="0.15">
      <c r="C202" s="8"/>
      <c r="D202" s="6">
        <v>12000</v>
      </c>
      <c r="E202" s="6">
        <v>352.67899999999997</v>
      </c>
      <c r="F202" s="7">
        <v>33663</v>
      </c>
      <c r="G202" s="24">
        <v>12464.2</v>
      </c>
      <c r="H202" s="24">
        <v>392.15100000000001</v>
      </c>
    </row>
    <row r="203" spans="3:8" x14ac:dyDescent="0.15">
      <c r="C203" s="9" t="s">
        <v>35</v>
      </c>
      <c r="D203" s="6">
        <v>12178.5</v>
      </c>
      <c r="E203" s="6">
        <v>368.5</v>
      </c>
      <c r="F203" s="7">
        <v>33694</v>
      </c>
      <c r="G203" s="24">
        <v>12785.7</v>
      </c>
      <c r="H203" s="24">
        <v>383.589</v>
      </c>
    </row>
    <row r="204" spans="3:8" x14ac:dyDescent="0.15">
      <c r="C204" s="8"/>
      <c r="D204" s="6">
        <v>12535.7</v>
      </c>
      <c r="E204" s="6">
        <v>375.74099999999999</v>
      </c>
      <c r="F204" s="7">
        <v>33724</v>
      </c>
      <c r="G204" s="24">
        <v>13035.7</v>
      </c>
      <c r="H204" s="24">
        <v>394.28900000000004</v>
      </c>
    </row>
    <row r="205" spans="3:8" x14ac:dyDescent="0.15">
      <c r="C205" s="8"/>
      <c r="D205" s="6">
        <v>12678.5</v>
      </c>
      <c r="E205" s="6">
        <v>368.548</v>
      </c>
      <c r="F205" s="7">
        <v>33755</v>
      </c>
      <c r="G205" s="24">
        <v>13000</v>
      </c>
      <c r="H205" s="24">
        <v>394.66900000000004</v>
      </c>
    </row>
    <row r="206" spans="3:8" x14ac:dyDescent="0.15">
      <c r="C206" s="8"/>
      <c r="D206" s="6">
        <v>12242.8</v>
      </c>
      <c r="E206" s="6">
        <v>372.91899999999998</v>
      </c>
      <c r="F206" s="7">
        <v>33785</v>
      </c>
      <c r="G206" s="24">
        <v>13178.5</v>
      </c>
      <c r="H206" s="24">
        <v>387.81799999999998</v>
      </c>
    </row>
    <row r="207" spans="3:8" x14ac:dyDescent="0.15">
      <c r="C207" s="8"/>
      <c r="D207" s="6">
        <v>11928.5</v>
      </c>
      <c r="E207" s="6">
        <v>356.53699999999998</v>
      </c>
      <c r="F207" s="7">
        <v>33816</v>
      </c>
      <c r="G207" s="24">
        <v>13607.1</v>
      </c>
      <c r="H207" s="24">
        <v>403.08800000000002</v>
      </c>
    </row>
    <row r="208" spans="3:8" x14ac:dyDescent="0.15">
      <c r="C208" s="8"/>
      <c r="D208" s="6">
        <v>12928.5</v>
      </c>
      <c r="E208" s="6">
        <v>396.322</v>
      </c>
      <c r="F208" s="7">
        <v>33847</v>
      </c>
      <c r="G208" s="24">
        <v>13035.7</v>
      </c>
      <c r="H208" s="24">
        <v>393.41500000000002</v>
      </c>
    </row>
    <row r="209" spans="3:8" x14ac:dyDescent="0.15">
      <c r="C209" s="8"/>
      <c r="D209" s="6">
        <v>12642.8</v>
      </c>
      <c r="E209" s="6">
        <v>388.435</v>
      </c>
      <c r="F209" s="7">
        <v>33877</v>
      </c>
      <c r="G209" s="24">
        <v>13428.5</v>
      </c>
      <c r="H209" s="24">
        <v>396.99700000000007</v>
      </c>
    </row>
    <row r="210" spans="3:8" x14ac:dyDescent="0.15">
      <c r="C210" s="8"/>
      <c r="D210" s="6">
        <v>12464.2</v>
      </c>
      <c r="E210" s="6">
        <v>392.15100000000001</v>
      </c>
      <c r="F210" s="7">
        <v>33908</v>
      </c>
      <c r="G210" s="24">
        <v>13535.7</v>
      </c>
      <c r="H210" s="24">
        <v>397.83300000000003</v>
      </c>
    </row>
    <row r="211" spans="3:8" x14ac:dyDescent="0.15">
      <c r="C211" s="8"/>
      <c r="D211" s="6">
        <v>12785.7</v>
      </c>
      <c r="E211" s="6">
        <v>383.589</v>
      </c>
      <c r="F211" s="7">
        <v>33938</v>
      </c>
      <c r="G211" s="24">
        <v>15817.800000000001</v>
      </c>
      <c r="H211" s="24">
        <v>409.87200000000007</v>
      </c>
    </row>
    <row r="212" spans="3:8" x14ac:dyDescent="0.15">
      <c r="C212" s="8"/>
      <c r="D212" s="6">
        <v>13035.7</v>
      </c>
      <c r="E212" s="6">
        <v>394.28899999999999</v>
      </c>
      <c r="F212" s="7">
        <v>33969</v>
      </c>
      <c r="G212" s="24">
        <v>16785.7</v>
      </c>
      <c r="H212" s="24">
        <v>414.01499999999999</v>
      </c>
    </row>
    <row r="213" spans="3:8" x14ac:dyDescent="0.15">
      <c r="C213" s="8"/>
      <c r="D213" s="6">
        <v>13000</v>
      </c>
      <c r="E213" s="6">
        <v>394.66899999999998</v>
      </c>
      <c r="F213" s="7">
        <v>34000</v>
      </c>
      <c r="G213" s="24">
        <v>17285.7</v>
      </c>
      <c r="H213" s="24">
        <v>416.93200000000007</v>
      </c>
    </row>
    <row r="214" spans="3:8" x14ac:dyDescent="0.15">
      <c r="C214" s="8"/>
      <c r="D214" s="6">
        <v>13178.5</v>
      </c>
      <c r="E214" s="6">
        <v>387.81799999999998</v>
      </c>
      <c r="F214" s="7">
        <v>34028</v>
      </c>
      <c r="G214" s="24">
        <v>17821.400000000001</v>
      </c>
      <c r="H214" s="24">
        <v>421.30300000000005</v>
      </c>
    </row>
    <row r="215" spans="3:8" x14ac:dyDescent="0.15">
      <c r="C215" s="9" t="s">
        <v>34</v>
      </c>
      <c r="D215" s="6">
        <v>13607.1</v>
      </c>
      <c r="E215" s="6">
        <v>403.08800000000002</v>
      </c>
      <c r="F215" s="7">
        <v>34059</v>
      </c>
      <c r="G215" s="24">
        <v>18214.2</v>
      </c>
      <c r="H215" s="24">
        <v>429.18</v>
      </c>
    </row>
    <row r="216" spans="3:8" x14ac:dyDescent="0.15">
      <c r="C216" s="8"/>
      <c r="D216" s="6">
        <v>13035.7</v>
      </c>
      <c r="E216" s="6">
        <v>393.41500000000002</v>
      </c>
      <c r="F216" s="7">
        <v>34089</v>
      </c>
      <c r="G216" s="24">
        <v>18071.400000000001</v>
      </c>
      <c r="H216" s="24">
        <v>418.27199999999999</v>
      </c>
    </row>
    <row r="217" spans="3:8" x14ac:dyDescent="0.15">
      <c r="C217" s="8"/>
      <c r="D217" s="6">
        <v>13428.5</v>
      </c>
      <c r="E217" s="6">
        <v>396.99700000000001</v>
      </c>
      <c r="F217" s="7">
        <v>34120</v>
      </c>
      <c r="G217" s="24">
        <v>21428.5</v>
      </c>
      <c r="H217" s="24">
        <v>427.774</v>
      </c>
    </row>
    <row r="218" spans="3:8" x14ac:dyDescent="0.15">
      <c r="C218" s="8"/>
      <c r="D218" s="6">
        <v>13535.7</v>
      </c>
      <c r="E218" s="6">
        <v>397.83300000000003</v>
      </c>
      <c r="F218" s="7">
        <v>34150</v>
      </c>
      <c r="G218" s="24">
        <v>22000</v>
      </c>
      <c r="H218" s="24">
        <v>428.09699999999998</v>
      </c>
    </row>
    <row r="219" spans="3:8" x14ac:dyDescent="0.15">
      <c r="C219" s="8"/>
      <c r="D219" s="6">
        <v>15817.8</v>
      </c>
      <c r="E219" s="6">
        <v>409.87200000000001</v>
      </c>
      <c r="F219" s="7">
        <v>34181</v>
      </c>
      <c r="G219" s="24">
        <v>22857.100000000002</v>
      </c>
      <c r="H219" s="24">
        <v>425.81700000000001</v>
      </c>
    </row>
    <row r="220" spans="3:8" x14ac:dyDescent="0.15">
      <c r="C220" s="8"/>
      <c r="D220" s="6">
        <v>16785.7</v>
      </c>
      <c r="E220" s="6">
        <v>414.01499999999999</v>
      </c>
      <c r="F220" s="7">
        <v>34212</v>
      </c>
      <c r="G220" s="24">
        <v>25035.7</v>
      </c>
      <c r="H220" s="24">
        <v>440.47800000000007</v>
      </c>
    </row>
    <row r="221" spans="3:8" x14ac:dyDescent="0.15">
      <c r="C221" s="8"/>
      <c r="D221" s="6">
        <v>17285.7</v>
      </c>
      <c r="E221" s="6">
        <v>416.93200000000002</v>
      </c>
      <c r="F221" s="7">
        <v>34242</v>
      </c>
      <c r="G221" s="24">
        <v>23821.4</v>
      </c>
      <c r="H221" s="24">
        <v>436.07900000000001</v>
      </c>
    </row>
    <row r="222" spans="3:8" x14ac:dyDescent="0.15">
      <c r="C222" s="8"/>
      <c r="D222" s="6">
        <v>17821.400000000001</v>
      </c>
      <c r="E222" s="6">
        <v>421.303</v>
      </c>
      <c r="F222" s="7">
        <v>34273</v>
      </c>
      <c r="G222" s="24">
        <v>24642.799999999999</v>
      </c>
      <c r="H222" s="24">
        <v>444.536</v>
      </c>
    </row>
    <row r="223" spans="3:8" x14ac:dyDescent="0.15">
      <c r="C223" s="8"/>
      <c r="D223" s="6">
        <v>18214.2</v>
      </c>
      <c r="E223" s="6">
        <v>429.18</v>
      </c>
      <c r="F223" s="7">
        <v>34303</v>
      </c>
      <c r="G223" s="24">
        <v>24642.799999999999</v>
      </c>
      <c r="H223" s="24">
        <v>438.79700000000003</v>
      </c>
    </row>
    <row r="224" spans="3:8" x14ac:dyDescent="0.15">
      <c r="C224" s="8"/>
      <c r="D224" s="6">
        <v>18071.400000000001</v>
      </c>
      <c r="E224" s="6">
        <v>418.27199999999999</v>
      </c>
      <c r="F224" s="7">
        <v>34334</v>
      </c>
      <c r="G224" s="24">
        <v>23321.4</v>
      </c>
      <c r="H224" s="24">
        <v>443.22500000000002</v>
      </c>
    </row>
    <row r="225" spans="3:8" x14ac:dyDescent="0.15">
      <c r="C225" s="8"/>
      <c r="D225" s="6">
        <v>21428.5</v>
      </c>
      <c r="E225" s="6">
        <v>427.774</v>
      </c>
      <c r="F225" s="7">
        <v>34365</v>
      </c>
      <c r="G225" s="24">
        <v>23142.799999999999</v>
      </c>
      <c r="H225" s="24">
        <v>457.63</v>
      </c>
    </row>
    <row r="226" spans="3:8" x14ac:dyDescent="0.15">
      <c r="C226" s="8"/>
      <c r="D226" s="6">
        <v>22000</v>
      </c>
      <c r="E226" s="6">
        <v>428.09699999999998</v>
      </c>
      <c r="F226" s="7">
        <v>34393</v>
      </c>
      <c r="G226" s="24">
        <v>22071.4</v>
      </c>
      <c r="H226" s="24">
        <v>443.88</v>
      </c>
    </row>
    <row r="227" spans="3:8" x14ac:dyDescent="0.15">
      <c r="C227" s="9" t="s">
        <v>33</v>
      </c>
      <c r="D227" s="6">
        <v>22857.1</v>
      </c>
      <c r="E227" s="6">
        <v>425.81700000000001</v>
      </c>
      <c r="F227" s="7">
        <v>34424</v>
      </c>
      <c r="G227" s="24">
        <v>22750</v>
      </c>
      <c r="H227" s="24">
        <v>423.57400000000001</v>
      </c>
    </row>
    <row r="228" spans="3:8" x14ac:dyDescent="0.15">
      <c r="C228" s="8"/>
      <c r="D228" s="6">
        <v>25035.7</v>
      </c>
      <c r="E228" s="6">
        <v>440.47800000000001</v>
      </c>
      <c r="F228" s="7">
        <v>34454</v>
      </c>
      <c r="G228" s="24">
        <v>23000</v>
      </c>
      <c r="H228" s="24">
        <v>428.45800000000003</v>
      </c>
    </row>
    <row r="229" spans="3:8" x14ac:dyDescent="0.15">
      <c r="C229" s="8"/>
      <c r="D229" s="6">
        <v>23821.4</v>
      </c>
      <c r="E229" s="6">
        <v>436.07900000000001</v>
      </c>
      <c r="F229" s="7">
        <v>34485</v>
      </c>
      <c r="G229" s="24">
        <v>23000</v>
      </c>
      <c r="H229" s="24">
        <v>433.77</v>
      </c>
    </row>
    <row r="230" spans="3:8" x14ac:dyDescent="0.15">
      <c r="C230" s="8"/>
      <c r="D230" s="6">
        <v>24642.799999999999</v>
      </c>
      <c r="E230" s="6">
        <v>444.536</v>
      </c>
      <c r="F230" s="7">
        <v>34515</v>
      </c>
      <c r="G230" s="24">
        <v>23000</v>
      </c>
      <c r="H230" s="24">
        <v>422.149</v>
      </c>
    </row>
    <row r="231" spans="3:8" x14ac:dyDescent="0.15">
      <c r="C231" s="8"/>
      <c r="D231" s="6">
        <v>24642.799999999999</v>
      </c>
      <c r="E231" s="6">
        <v>438.79700000000003</v>
      </c>
      <c r="F231" s="7">
        <v>34546</v>
      </c>
      <c r="G231" s="24">
        <v>28000</v>
      </c>
      <c r="H231" s="24">
        <v>435.44200000000001</v>
      </c>
    </row>
    <row r="232" spans="3:8" x14ac:dyDescent="0.15">
      <c r="C232" s="8"/>
      <c r="D232" s="6">
        <v>23321.4</v>
      </c>
      <c r="E232" s="6">
        <v>443.22500000000002</v>
      </c>
      <c r="F232" s="7">
        <v>34577</v>
      </c>
      <c r="G232" s="24">
        <v>27285.7</v>
      </c>
      <c r="H232" s="24">
        <v>451.81400000000002</v>
      </c>
    </row>
    <row r="233" spans="3:8" x14ac:dyDescent="0.15">
      <c r="C233" s="8"/>
      <c r="D233" s="6">
        <v>23142.799999999999</v>
      </c>
      <c r="E233" s="6">
        <v>457.63</v>
      </c>
      <c r="F233" s="7">
        <v>34607</v>
      </c>
      <c r="G233" s="24">
        <v>27071.4</v>
      </c>
      <c r="H233" s="24">
        <v>439.65199999999999</v>
      </c>
    </row>
    <row r="234" spans="3:8" x14ac:dyDescent="0.15">
      <c r="C234" s="8"/>
      <c r="D234" s="6">
        <v>22071.4</v>
      </c>
      <c r="E234" s="6">
        <v>443.88</v>
      </c>
      <c r="F234" s="7">
        <v>34638</v>
      </c>
      <c r="G234" s="24">
        <v>28928.5</v>
      </c>
      <c r="H234" s="24">
        <v>448.83100000000002</v>
      </c>
    </row>
    <row r="235" spans="3:8" x14ac:dyDescent="0.15">
      <c r="C235" s="8"/>
      <c r="D235" s="6">
        <v>22750</v>
      </c>
      <c r="E235" s="6">
        <v>423.57400000000001</v>
      </c>
      <c r="F235" s="7">
        <v>34668</v>
      </c>
      <c r="G235" s="24">
        <v>29321.4</v>
      </c>
      <c r="H235" s="24">
        <v>431.1</v>
      </c>
    </row>
    <row r="236" spans="3:8" x14ac:dyDescent="0.15">
      <c r="C236" s="8"/>
      <c r="D236" s="6">
        <v>23000</v>
      </c>
      <c r="E236" s="6">
        <v>428.45800000000003</v>
      </c>
      <c r="F236" s="7">
        <v>34699</v>
      </c>
      <c r="G236" s="24">
        <v>29142.799999999999</v>
      </c>
      <c r="H236" s="24">
        <v>436.40199999999999</v>
      </c>
    </row>
    <row r="237" spans="3:8" x14ac:dyDescent="0.15">
      <c r="C237" s="8"/>
      <c r="D237" s="6">
        <v>23000</v>
      </c>
      <c r="E237" s="6">
        <v>433.77</v>
      </c>
      <c r="F237" s="7">
        <v>34730</v>
      </c>
      <c r="G237" s="24">
        <v>35142.800000000003</v>
      </c>
      <c r="H237" s="24">
        <v>446.99700000000007</v>
      </c>
    </row>
    <row r="238" spans="3:8" x14ac:dyDescent="0.15">
      <c r="C238" s="8"/>
      <c r="D238" s="6">
        <v>23000</v>
      </c>
      <c r="E238" s="6">
        <v>422.149</v>
      </c>
      <c r="F238" s="7">
        <v>34758</v>
      </c>
      <c r="G238" s="24">
        <v>31821.4</v>
      </c>
      <c r="H238" s="24">
        <v>463.12200000000007</v>
      </c>
    </row>
    <row r="239" spans="3:8" x14ac:dyDescent="0.15">
      <c r="C239" s="9" t="s">
        <v>32</v>
      </c>
      <c r="D239" s="6">
        <v>28000</v>
      </c>
      <c r="E239" s="6">
        <v>435.44200000000001</v>
      </c>
      <c r="F239" s="7">
        <v>34789</v>
      </c>
      <c r="G239" s="24">
        <v>32357.100000000002</v>
      </c>
      <c r="H239" s="24">
        <v>475.779</v>
      </c>
    </row>
    <row r="240" spans="3:8" x14ac:dyDescent="0.15">
      <c r="C240" s="8"/>
      <c r="D240" s="6">
        <v>27285.7</v>
      </c>
      <c r="E240" s="6">
        <v>451.81400000000002</v>
      </c>
      <c r="F240" s="7">
        <v>34819</v>
      </c>
      <c r="G240" s="24">
        <v>30857.100000000002</v>
      </c>
      <c r="H240" s="24">
        <v>489.08199999999999</v>
      </c>
    </row>
    <row r="241" spans="3:8" x14ac:dyDescent="0.15">
      <c r="C241" s="8"/>
      <c r="D241" s="6">
        <v>27071.4</v>
      </c>
      <c r="E241" s="6">
        <v>439.65199999999999</v>
      </c>
      <c r="F241" s="7">
        <v>34850</v>
      </c>
      <c r="G241" s="24">
        <v>32428.5</v>
      </c>
      <c r="H241" s="24">
        <v>506.84100000000001</v>
      </c>
    </row>
    <row r="242" spans="3:8" x14ac:dyDescent="0.15">
      <c r="C242" s="8"/>
      <c r="D242" s="6">
        <v>28928.5</v>
      </c>
      <c r="E242" s="6">
        <v>448.83100000000002</v>
      </c>
      <c r="F242" s="7">
        <v>34880</v>
      </c>
      <c r="G242" s="24">
        <v>33500</v>
      </c>
      <c r="H242" s="24">
        <v>517.62599999999998</v>
      </c>
    </row>
    <row r="243" spans="3:8" x14ac:dyDescent="0.15">
      <c r="C243" s="8"/>
      <c r="D243" s="6">
        <v>29321.4</v>
      </c>
      <c r="E243" s="6">
        <v>431.1</v>
      </c>
      <c r="F243" s="7">
        <v>34911</v>
      </c>
      <c r="G243" s="24">
        <v>35357.1</v>
      </c>
      <c r="H243" s="24">
        <v>534.07399999999996</v>
      </c>
    </row>
    <row r="244" spans="3:8" x14ac:dyDescent="0.15">
      <c r="C244" s="8"/>
      <c r="D244" s="6">
        <v>29142.799999999999</v>
      </c>
      <c r="E244" s="6">
        <v>436.40199999999999</v>
      </c>
      <c r="F244" s="7">
        <v>34942</v>
      </c>
      <c r="G244" s="24">
        <v>36428.5</v>
      </c>
      <c r="H244" s="24">
        <v>533.90300000000002</v>
      </c>
    </row>
    <row r="245" spans="3:8" x14ac:dyDescent="0.15">
      <c r="C245" s="8"/>
      <c r="D245" s="6">
        <v>35142.800000000003</v>
      </c>
      <c r="E245" s="6">
        <v>446.99700000000001</v>
      </c>
      <c r="F245" s="7">
        <v>34972</v>
      </c>
      <c r="G245" s="24">
        <v>42000</v>
      </c>
      <c r="H245" s="24">
        <v>555.31100000000004</v>
      </c>
    </row>
    <row r="246" spans="3:8" x14ac:dyDescent="0.15">
      <c r="C246" s="8"/>
      <c r="D246" s="6">
        <v>31821.4</v>
      </c>
      <c r="E246" s="6">
        <v>463.12200000000001</v>
      </c>
      <c r="F246" s="7">
        <v>35003</v>
      </c>
      <c r="G246" s="24">
        <v>42142.8</v>
      </c>
      <c r="H246" s="24">
        <v>552.54600000000005</v>
      </c>
    </row>
    <row r="247" spans="3:8" x14ac:dyDescent="0.15">
      <c r="C247" s="8"/>
      <c r="D247" s="6">
        <v>32357.1</v>
      </c>
      <c r="E247" s="6">
        <v>475.779</v>
      </c>
      <c r="F247" s="7">
        <v>35033</v>
      </c>
      <c r="G247" s="24">
        <v>44714.200000000004</v>
      </c>
      <c r="H247" s="24">
        <v>575.22799999999995</v>
      </c>
    </row>
    <row r="248" spans="3:8" x14ac:dyDescent="0.15">
      <c r="C248" s="8"/>
      <c r="D248" s="6">
        <v>30857.1</v>
      </c>
      <c r="E248" s="6">
        <v>489.08199999999999</v>
      </c>
      <c r="F248" s="7">
        <v>35064</v>
      </c>
      <c r="G248" s="24">
        <v>45857.1</v>
      </c>
      <c r="H248" s="24">
        <v>585.26199999999994</v>
      </c>
    </row>
    <row r="249" spans="3:8" x14ac:dyDescent="0.15">
      <c r="C249" s="8"/>
      <c r="D249" s="6">
        <v>32428.5</v>
      </c>
      <c r="E249" s="6">
        <v>506.84100000000001</v>
      </c>
      <c r="F249" s="7">
        <v>35095</v>
      </c>
      <c r="G249" s="24">
        <v>45571.4</v>
      </c>
      <c r="H249" s="24">
        <v>604.351</v>
      </c>
    </row>
    <row r="250" spans="3:8" x14ac:dyDescent="0.15">
      <c r="C250" s="8"/>
      <c r="D250" s="6">
        <v>33500</v>
      </c>
      <c r="E250" s="6">
        <v>517.62599999999998</v>
      </c>
      <c r="F250" s="7">
        <v>35124</v>
      </c>
      <c r="G250" s="24">
        <v>50714.200000000004</v>
      </c>
      <c r="H250" s="24">
        <v>608.54200000000003</v>
      </c>
    </row>
    <row r="251" spans="3:8" x14ac:dyDescent="0.15">
      <c r="C251" s="9" t="s">
        <v>31</v>
      </c>
      <c r="D251" s="6">
        <v>35357.1</v>
      </c>
      <c r="E251" s="6">
        <v>534.07399999999996</v>
      </c>
      <c r="F251" s="7">
        <v>35155</v>
      </c>
      <c r="G251" s="24">
        <v>48357.1</v>
      </c>
      <c r="H251" s="24">
        <v>613.35900000000004</v>
      </c>
    </row>
    <row r="252" spans="3:8" x14ac:dyDescent="0.15">
      <c r="C252" s="8"/>
      <c r="D252" s="6">
        <v>36428.5</v>
      </c>
      <c r="E252" s="6">
        <v>533.90300000000002</v>
      </c>
      <c r="F252" s="7">
        <v>35185</v>
      </c>
      <c r="G252" s="24">
        <v>47857.1</v>
      </c>
      <c r="H252" s="24">
        <v>621.59799999999996</v>
      </c>
    </row>
    <row r="253" spans="3:8" x14ac:dyDescent="0.15">
      <c r="C253" s="8"/>
      <c r="D253" s="6">
        <v>42000</v>
      </c>
      <c r="E253" s="6">
        <v>555.31100000000004</v>
      </c>
      <c r="F253" s="7">
        <v>35216</v>
      </c>
      <c r="G253" s="24">
        <v>43571.4</v>
      </c>
      <c r="H253" s="24">
        <v>635.803</v>
      </c>
    </row>
    <row r="254" spans="3:8" x14ac:dyDescent="0.15">
      <c r="C254" s="8"/>
      <c r="D254" s="6">
        <v>42142.8</v>
      </c>
      <c r="E254" s="6">
        <v>552.54600000000005</v>
      </c>
      <c r="F254" s="7">
        <v>35246</v>
      </c>
      <c r="G254" s="24">
        <v>43857.1</v>
      </c>
      <c r="H254" s="24">
        <v>637.23800000000006</v>
      </c>
    </row>
    <row r="255" spans="3:8" x14ac:dyDescent="0.15">
      <c r="C255" s="8"/>
      <c r="D255" s="6">
        <v>44714.2</v>
      </c>
      <c r="E255" s="6">
        <v>575.22799999999995</v>
      </c>
      <c r="F255" s="7">
        <v>35277</v>
      </c>
      <c r="G255" s="24">
        <v>44142.8</v>
      </c>
      <c r="H255" s="24">
        <v>608.08600000000001</v>
      </c>
    </row>
    <row r="256" spans="3:8" x14ac:dyDescent="0.15">
      <c r="C256" s="8"/>
      <c r="D256" s="6">
        <v>45857.1</v>
      </c>
      <c r="E256" s="6">
        <v>585.26199999999994</v>
      </c>
      <c r="F256" s="7">
        <v>35308</v>
      </c>
      <c r="G256" s="24">
        <v>44714.200000000004</v>
      </c>
      <c r="H256" s="24">
        <v>619.52599999999995</v>
      </c>
    </row>
    <row r="257" spans="3:8" x14ac:dyDescent="0.15">
      <c r="C257" s="8"/>
      <c r="D257" s="6">
        <v>45571.4</v>
      </c>
      <c r="E257" s="6">
        <v>604.351</v>
      </c>
      <c r="F257" s="7">
        <v>35338</v>
      </c>
      <c r="G257" s="24">
        <v>45928.5</v>
      </c>
      <c r="H257" s="24">
        <v>653.08799999999997</v>
      </c>
    </row>
    <row r="258" spans="3:8" x14ac:dyDescent="0.15">
      <c r="C258" s="8"/>
      <c r="D258" s="6">
        <v>50714.2</v>
      </c>
      <c r="E258" s="6">
        <v>608.54200000000003</v>
      </c>
      <c r="F258" s="7">
        <v>35369</v>
      </c>
      <c r="G258" s="24">
        <v>46285.700000000004</v>
      </c>
      <c r="H258" s="24">
        <v>670.15300000000002</v>
      </c>
    </row>
    <row r="259" spans="3:8" x14ac:dyDescent="0.15">
      <c r="C259" s="8"/>
      <c r="D259" s="6">
        <v>48357.1</v>
      </c>
      <c r="E259" s="6">
        <v>613.35900000000004</v>
      </c>
      <c r="F259" s="7">
        <v>35399</v>
      </c>
      <c r="G259" s="24">
        <v>47428.5</v>
      </c>
      <c r="H259" s="24">
        <v>719.327</v>
      </c>
    </row>
    <row r="260" spans="3:8" x14ac:dyDescent="0.15">
      <c r="C260" s="8"/>
      <c r="D260" s="6">
        <v>47857.1</v>
      </c>
      <c r="E260" s="6">
        <v>621.59799999999996</v>
      </c>
      <c r="F260" s="7">
        <v>35430</v>
      </c>
      <c r="G260" s="24">
        <v>48714.200000000004</v>
      </c>
      <c r="H260" s="24">
        <v>703.85699999999997</v>
      </c>
    </row>
    <row r="261" spans="3:8" x14ac:dyDescent="0.15">
      <c r="C261" s="8"/>
      <c r="D261" s="6">
        <v>43571.4</v>
      </c>
      <c r="E261" s="6">
        <v>635.803</v>
      </c>
      <c r="F261" s="7">
        <v>35461</v>
      </c>
      <c r="G261" s="24">
        <v>49714.200000000004</v>
      </c>
      <c r="H261" s="24">
        <v>747.01599999999996</v>
      </c>
    </row>
    <row r="262" spans="3:8" x14ac:dyDescent="0.15">
      <c r="C262" s="8"/>
      <c r="D262" s="6">
        <v>43857.1</v>
      </c>
      <c r="E262" s="6">
        <v>637.23800000000006</v>
      </c>
      <c r="F262" s="7">
        <v>35489</v>
      </c>
      <c r="G262" s="24">
        <v>50714.200000000004</v>
      </c>
      <c r="H262" s="24">
        <v>751.44399999999996</v>
      </c>
    </row>
    <row r="263" spans="3:8" x14ac:dyDescent="0.15">
      <c r="C263" s="9" t="s">
        <v>30</v>
      </c>
      <c r="D263" s="6">
        <v>44142.8</v>
      </c>
      <c r="E263" s="6">
        <v>608.08600000000001</v>
      </c>
      <c r="F263" s="7">
        <v>35520</v>
      </c>
      <c r="G263" s="24">
        <v>51714.200000000004</v>
      </c>
      <c r="H263" s="24">
        <v>719.42200000000003</v>
      </c>
    </row>
    <row r="264" spans="3:8" x14ac:dyDescent="0.15">
      <c r="C264" s="8"/>
      <c r="D264" s="6">
        <v>44714.2</v>
      </c>
      <c r="E264" s="6">
        <v>619.52599999999995</v>
      </c>
      <c r="F264" s="7">
        <v>35550</v>
      </c>
      <c r="G264" s="24">
        <v>54285.700000000004</v>
      </c>
      <c r="H264" s="24">
        <v>761.44</v>
      </c>
    </row>
    <row r="265" spans="3:8" x14ac:dyDescent="0.15">
      <c r="C265" s="8"/>
      <c r="D265" s="6">
        <v>45928.5</v>
      </c>
      <c r="E265" s="6">
        <v>653.08799999999997</v>
      </c>
      <c r="F265" s="7">
        <v>35581</v>
      </c>
      <c r="G265" s="24">
        <v>61428.5</v>
      </c>
      <c r="H265" s="24">
        <v>806.04300000000001</v>
      </c>
    </row>
    <row r="266" spans="3:8" x14ac:dyDescent="0.15">
      <c r="C266" s="8"/>
      <c r="D266" s="6">
        <v>46285.7</v>
      </c>
      <c r="E266" s="6">
        <v>670.15300000000002</v>
      </c>
      <c r="F266" s="7">
        <v>35611</v>
      </c>
      <c r="G266" s="24">
        <v>67428.5</v>
      </c>
      <c r="H266" s="24">
        <v>841.0680000000001</v>
      </c>
    </row>
    <row r="267" spans="3:8" x14ac:dyDescent="0.15">
      <c r="C267" s="8"/>
      <c r="D267" s="6">
        <v>47428.5</v>
      </c>
      <c r="E267" s="6">
        <v>719.327</v>
      </c>
      <c r="F267" s="7">
        <v>35642</v>
      </c>
      <c r="G267" s="24">
        <v>67428.5</v>
      </c>
      <c r="H267" s="24">
        <v>906.77499999999998</v>
      </c>
    </row>
    <row r="268" spans="3:8" x14ac:dyDescent="0.15">
      <c r="C268" s="8"/>
      <c r="D268" s="6">
        <v>48714.2</v>
      </c>
      <c r="E268" s="6">
        <v>703.85699999999997</v>
      </c>
      <c r="F268" s="7">
        <v>35673</v>
      </c>
      <c r="G268" s="24">
        <v>59285.700000000004</v>
      </c>
      <c r="H268" s="24">
        <v>854.68399999999997</v>
      </c>
    </row>
    <row r="269" spans="3:8" x14ac:dyDescent="0.15">
      <c r="C269" s="8"/>
      <c r="D269" s="6">
        <v>49714.2</v>
      </c>
      <c r="E269" s="6">
        <v>747.01599999999996</v>
      </c>
      <c r="F269" s="7">
        <v>35703</v>
      </c>
      <c r="G269" s="24">
        <v>64000</v>
      </c>
      <c r="H269" s="24">
        <v>900.11400000000015</v>
      </c>
    </row>
    <row r="270" spans="3:8" x14ac:dyDescent="0.15">
      <c r="C270" s="8"/>
      <c r="D270" s="6">
        <v>50714.2</v>
      </c>
      <c r="E270" s="6">
        <v>751.44399999999996</v>
      </c>
      <c r="F270" s="7">
        <v>35734</v>
      </c>
      <c r="G270" s="24">
        <v>62428.5</v>
      </c>
      <c r="H270" s="24">
        <v>869.08</v>
      </c>
    </row>
    <row r="271" spans="3:8" x14ac:dyDescent="0.15">
      <c r="C271" s="8"/>
      <c r="D271" s="6">
        <v>51714.2</v>
      </c>
      <c r="E271" s="6">
        <v>719.42200000000003</v>
      </c>
      <c r="F271" s="7">
        <v>35764</v>
      </c>
      <c r="G271" s="24">
        <v>64714.200000000004</v>
      </c>
      <c r="H271" s="24">
        <v>907.82899999999995</v>
      </c>
    </row>
    <row r="272" spans="3:8" x14ac:dyDescent="0.15">
      <c r="C272" s="8"/>
      <c r="D272" s="6">
        <v>54285.7</v>
      </c>
      <c r="E272" s="6">
        <v>761.44</v>
      </c>
      <c r="F272" s="7">
        <v>35795</v>
      </c>
      <c r="G272" s="24">
        <v>65714.2</v>
      </c>
      <c r="H272" s="24">
        <v>922.1110000000001</v>
      </c>
    </row>
    <row r="273" spans="3:8" x14ac:dyDescent="0.15">
      <c r="C273" s="8"/>
      <c r="D273" s="6">
        <v>61428.5</v>
      </c>
      <c r="E273" s="6">
        <v>806.04300000000001</v>
      </c>
      <c r="F273" s="7">
        <v>35826</v>
      </c>
      <c r="G273" s="24">
        <v>71857.100000000006</v>
      </c>
      <c r="H273" s="24">
        <v>931.47100000000012</v>
      </c>
    </row>
    <row r="274" spans="3:8" x14ac:dyDescent="0.15">
      <c r="C274" s="8"/>
      <c r="D274" s="6">
        <v>67428.5</v>
      </c>
      <c r="E274" s="6">
        <v>841.06799999999998</v>
      </c>
      <c r="F274" s="7">
        <v>35854</v>
      </c>
      <c r="G274" s="24">
        <v>79714.2</v>
      </c>
      <c r="H274" s="24">
        <v>997.09199999999998</v>
      </c>
    </row>
    <row r="275" spans="3:8" x14ac:dyDescent="0.15">
      <c r="C275" s="9" t="s">
        <v>29</v>
      </c>
      <c r="D275" s="6">
        <v>67428.5</v>
      </c>
      <c r="E275" s="6">
        <v>906.77499999999998</v>
      </c>
      <c r="F275" s="7">
        <v>35885</v>
      </c>
      <c r="G275" s="24">
        <v>96000</v>
      </c>
      <c r="H275" s="24">
        <v>1046.8900000000001</v>
      </c>
    </row>
    <row r="276" spans="3:8" x14ac:dyDescent="0.15">
      <c r="C276" s="8"/>
      <c r="D276" s="6">
        <v>59285.7</v>
      </c>
      <c r="E276" s="6">
        <v>854.68399999999997</v>
      </c>
      <c r="F276" s="7">
        <v>35915</v>
      </c>
      <c r="G276" s="24">
        <v>98000</v>
      </c>
      <c r="H276" s="24">
        <v>1056.3900000000001</v>
      </c>
    </row>
    <row r="277" spans="3:8" x14ac:dyDescent="0.15">
      <c r="C277" s="8"/>
      <c r="D277" s="6">
        <v>64000</v>
      </c>
      <c r="E277" s="6">
        <v>900.11400000000003</v>
      </c>
      <c r="F277" s="7">
        <v>35946</v>
      </c>
      <c r="G277" s="24">
        <v>101000</v>
      </c>
      <c r="H277" s="24">
        <v>1036.5</v>
      </c>
    </row>
    <row r="278" spans="3:8" x14ac:dyDescent="0.15">
      <c r="C278" s="8"/>
      <c r="D278" s="6">
        <v>62428.5</v>
      </c>
      <c r="E278" s="6">
        <v>869.08</v>
      </c>
      <c r="F278" s="7">
        <v>35976</v>
      </c>
      <c r="G278" s="24">
        <v>111864</v>
      </c>
      <c r="H278" s="24">
        <v>1077.3800000000001</v>
      </c>
    </row>
    <row r="279" spans="3:8" x14ac:dyDescent="0.15">
      <c r="C279" s="8"/>
      <c r="D279" s="6">
        <v>64714.2</v>
      </c>
      <c r="E279" s="6">
        <v>907.82899999999995</v>
      </c>
      <c r="F279" s="7">
        <v>36007</v>
      </c>
      <c r="G279" s="24">
        <v>100150</v>
      </c>
      <c r="H279" s="24">
        <v>1064.8699999999999</v>
      </c>
    </row>
    <row r="280" spans="3:8" x14ac:dyDescent="0.15">
      <c r="C280" s="8"/>
      <c r="D280" s="6">
        <v>65714.2</v>
      </c>
      <c r="E280" s="6">
        <v>922.11099999999999</v>
      </c>
      <c r="F280" s="7">
        <v>36038</v>
      </c>
      <c r="G280" s="24">
        <v>86428.5</v>
      </c>
      <c r="H280" s="24">
        <v>909.6160000000001</v>
      </c>
    </row>
    <row r="281" spans="3:8" x14ac:dyDescent="0.15">
      <c r="C281" s="8"/>
      <c r="D281" s="6">
        <v>71857.100000000006</v>
      </c>
      <c r="E281" s="6">
        <v>931.471</v>
      </c>
      <c r="F281" s="7">
        <v>36068</v>
      </c>
      <c r="G281" s="24">
        <v>85142.8</v>
      </c>
      <c r="H281" s="24">
        <v>966.37199999999996</v>
      </c>
    </row>
    <row r="282" spans="3:8" x14ac:dyDescent="0.15">
      <c r="C282" s="8"/>
      <c r="D282" s="6">
        <v>79714.2</v>
      </c>
      <c r="E282" s="6">
        <v>997.09199999999998</v>
      </c>
      <c r="F282" s="7">
        <v>36099</v>
      </c>
      <c r="G282" s="24">
        <v>92142.8</v>
      </c>
      <c r="H282" s="24">
        <v>1043.96</v>
      </c>
    </row>
    <row r="283" spans="3:8" x14ac:dyDescent="0.15">
      <c r="C283" s="8"/>
      <c r="D283" s="6">
        <v>96000</v>
      </c>
      <c r="E283" s="6">
        <v>1046.8900000000001</v>
      </c>
      <c r="F283" s="7">
        <v>36129</v>
      </c>
      <c r="G283" s="24">
        <v>97000</v>
      </c>
      <c r="H283" s="24">
        <v>1105.69</v>
      </c>
    </row>
    <row r="284" spans="3:8" x14ac:dyDescent="0.15">
      <c r="C284" s="8"/>
      <c r="D284" s="6">
        <v>98000</v>
      </c>
      <c r="E284" s="6">
        <v>1056.3900000000001</v>
      </c>
      <c r="F284" s="7">
        <v>36160</v>
      </c>
      <c r="G284" s="24">
        <v>100000</v>
      </c>
      <c r="H284" s="24">
        <v>1168.02</v>
      </c>
    </row>
    <row r="285" spans="3:8" x14ac:dyDescent="0.15">
      <c r="C285" s="8"/>
      <c r="D285" s="6">
        <v>101000</v>
      </c>
      <c r="E285" s="6">
        <v>1036.5</v>
      </c>
      <c r="F285" s="7">
        <v>36191</v>
      </c>
      <c r="G285" s="24">
        <v>92857.1</v>
      </c>
      <c r="H285" s="24">
        <v>1215.92</v>
      </c>
    </row>
    <row r="286" spans="3:8" x14ac:dyDescent="0.15">
      <c r="C286" s="8"/>
      <c r="D286" s="6">
        <v>111864</v>
      </c>
      <c r="E286" s="6">
        <v>1077.3800000000001</v>
      </c>
      <c r="F286" s="7">
        <v>36219</v>
      </c>
      <c r="G286" s="24">
        <v>101571</v>
      </c>
      <c r="H286" s="24">
        <v>1176.67</v>
      </c>
    </row>
    <row r="287" spans="3:8" x14ac:dyDescent="0.15">
      <c r="C287" s="9" t="s">
        <v>28</v>
      </c>
      <c r="D287" s="6">
        <v>100150</v>
      </c>
      <c r="E287" s="6">
        <v>1064.8699999999999</v>
      </c>
      <c r="F287" s="7">
        <v>36250</v>
      </c>
      <c r="G287" s="24">
        <v>102000</v>
      </c>
      <c r="H287" s="24">
        <v>1222.32</v>
      </c>
    </row>
    <row r="288" spans="3:8" x14ac:dyDescent="0.15">
      <c r="C288" s="8"/>
      <c r="D288" s="6">
        <v>86428.5</v>
      </c>
      <c r="E288" s="6">
        <v>909.61599999999999</v>
      </c>
      <c r="F288" s="7">
        <v>36280</v>
      </c>
      <c r="G288" s="24">
        <v>109142</v>
      </c>
      <c r="H288" s="24">
        <v>1268.7</v>
      </c>
    </row>
    <row r="289" spans="3:12" x14ac:dyDescent="0.15">
      <c r="C289" s="8"/>
      <c r="D289" s="6">
        <v>85142.8</v>
      </c>
      <c r="E289" s="6">
        <v>966.37199999999996</v>
      </c>
      <c r="F289" s="7">
        <v>36311</v>
      </c>
      <c r="G289" s="24">
        <v>102857</v>
      </c>
      <c r="H289" s="24">
        <v>1237.02</v>
      </c>
    </row>
    <row r="290" spans="3:12" x14ac:dyDescent="0.15">
      <c r="C290" s="8"/>
      <c r="D290" s="6">
        <v>92142.8</v>
      </c>
      <c r="E290" s="6">
        <v>1043.96</v>
      </c>
      <c r="F290" s="7">
        <v>36341</v>
      </c>
      <c r="G290" s="24">
        <v>98428.5</v>
      </c>
      <c r="H290" s="24">
        <v>1304.3599999999999</v>
      </c>
    </row>
    <row r="291" spans="3:12" x14ac:dyDescent="0.15">
      <c r="C291" s="8"/>
      <c r="D291" s="6">
        <v>97000</v>
      </c>
      <c r="E291" s="6">
        <v>1105.69</v>
      </c>
      <c r="F291" s="7">
        <v>36372</v>
      </c>
      <c r="G291" s="24">
        <v>96864.2</v>
      </c>
      <c r="H291" s="24">
        <v>1262.56</v>
      </c>
    </row>
    <row r="292" spans="3:12" x14ac:dyDescent="0.15">
      <c r="C292" s="8"/>
      <c r="D292" s="6">
        <v>100000</v>
      </c>
      <c r="E292" s="6">
        <v>1168.02</v>
      </c>
      <c r="F292" s="7">
        <v>36403</v>
      </c>
      <c r="G292" s="24">
        <v>91714.2</v>
      </c>
      <c r="H292" s="24">
        <v>1254.6600000000001</v>
      </c>
    </row>
    <row r="293" spans="3:12" x14ac:dyDescent="0.15">
      <c r="C293" s="8"/>
      <c r="D293" s="6">
        <v>92857.1</v>
      </c>
      <c r="E293" s="6">
        <v>1215.92</v>
      </c>
      <c r="F293" s="7">
        <v>36433</v>
      </c>
      <c r="G293" s="24">
        <v>78571.399999999994</v>
      </c>
      <c r="H293" s="24">
        <v>1218.8399999999999</v>
      </c>
    </row>
    <row r="294" spans="3:12" x14ac:dyDescent="0.15">
      <c r="C294" s="8"/>
      <c r="D294" s="6">
        <v>101571</v>
      </c>
      <c r="E294" s="6">
        <v>1176.67</v>
      </c>
      <c r="F294" s="7">
        <v>36464</v>
      </c>
      <c r="G294" s="24">
        <v>91285.7</v>
      </c>
      <c r="H294" s="24">
        <v>1295.06</v>
      </c>
    </row>
    <row r="295" spans="3:12" x14ac:dyDescent="0.15">
      <c r="C295" s="8"/>
      <c r="D295" s="6">
        <v>102000</v>
      </c>
      <c r="E295" s="6">
        <v>1222.32</v>
      </c>
      <c r="F295" s="7">
        <v>36494</v>
      </c>
      <c r="G295" s="24">
        <v>81857.100000000006</v>
      </c>
      <c r="H295" s="24">
        <v>1319.75</v>
      </c>
    </row>
    <row r="296" spans="3:12" x14ac:dyDescent="0.15">
      <c r="C296" s="8"/>
      <c r="D296" s="6">
        <v>109142</v>
      </c>
      <c r="E296" s="6">
        <v>1268.7</v>
      </c>
      <c r="F296" s="7">
        <v>36525</v>
      </c>
      <c r="G296" s="24">
        <v>80142.8</v>
      </c>
      <c r="H296" s="24">
        <v>1396.09</v>
      </c>
    </row>
    <row r="297" spans="3:12" x14ac:dyDescent="0.15">
      <c r="C297" s="8"/>
      <c r="D297" s="6">
        <v>102857</v>
      </c>
      <c r="E297" s="6">
        <v>1237.02</v>
      </c>
      <c r="F297" s="7">
        <v>36556</v>
      </c>
      <c r="G297" s="24">
        <v>73142.8</v>
      </c>
      <c r="H297" s="24">
        <v>1325.02</v>
      </c>
    </row>
    <row r="298" spans="3:12" x14ac:dyDescent="0.15">
      <c r="C298" s="8"/>
      <c r="D298" s="6">
        <v>98428.5</v>
      </c>
      <c r="E298" s="6">
        <v>1304.3599999999999</v>
      </c>
      <c r="F298" s="7">
        <v>36585</v>
      </c>
      <c r="G298" s="24">
        <v>62857.1</v>
      </c>
      <c r="H298" s="24">
        <v>1298.3800000000001</v>
      </c>
    </row>
    <row r="299" spans="3:12" x14ac:dyDescent="0.15">
      <c r="C299" s="9" t="s">
        <v>27</v>
      </c>
      <c r="D299" s="6">
        <v>96864.2</v>
      </c>
      <c r="E299" s="6">
        <v>1262.56</v>
      </c>
      <c r="F299" s="7">
        <v>36616</v>
      </c>
      <c r="G299" s="24">
        <v>81714.2</v>
      </c>
      <c r="H299" s="24">
        <v>1423.96</v>
      </c>
    </row>
    <row r="300" spans="3:12" x14ac:dyDescent="0.15">
      <c r="C300" s="8"/>
      <c r="D300" s="6">
        <v>91714.2</v>
      </c>
      <c r="E300" s="6">
        <v>1254.6600000000001</v>
      </c>
      <c r="F300" s="7">
        <v>36646</v>
      </c>
      <c r="G300" s="24">
        <v>84714.2</v>
      </c>
      <c r="H300" s="24">
        <v>1380.1100000000001</v>
      </c>
    </row>
    <row r="301" spans="3:12" x14ac:dyDescent="0.15">
      <c r="C301" s="8"/>
      <c r="D301" s="6">
        <v>78571.399999999994</v>
      </c>
      <c r="E301" s="6">
        <v>1218.8399999999999</v>
      </c>
      <c r="F301" s="7">
        <v>36677</v>
      </c>
      <c r="G301" s="24">
        <v>83714.2</v>
      </c>
      <c r="H301" s="24">
        <v>1349.8600000000001</v>
      </c>
    </row>
    <row r="302" spans="3:12" x14ac:dyDescent="0.15">
      <c r="C302" s="8"/>
      <c r="D302" s="6">
        <v>91285.7</v>
      </c>
      <c r="E302" s="6">
        <v>1295.06</v>
      </c>
      <c r="F302" s="7">
        <v>36707</v>
      </c>
      <c r="G302" s="24">
        <v>76857.100000000006</v>
      </c>
      <c r="H302" s="24">
        <v>1382.17</v>
      </c>
    </row>
    <row r="303" spans="3:12" x14ac:dyDescent="0.15">
      <c r="C303" s="8"/>
      <c r="D303" s="6">
        <v>81857.100000000006</v>
      </c>
      <c r="E303" s="6">
        <v>1319.75</v>
      </c>
      <c r="F303" s="7">
        <v>36738</v>
      </c>
      <c r="G303" s="24">
        <v>78714.2</v>
      </c>
      <c r="H303" s="24">
        <v>1359.58</v>
      </c>
      <c r="I303" s="2">
        <v>100</v>
      </c>
      <c r="J303" s="2">
        <v>100</v>
      </c>
    </row>
    <row r="304" spans="3:12" x14ac:dyDescent="0.15">
      <c r="C304" s="8"/>
      <c r="D304" s="6">
        <v>80142.8</v>
      </c>
      <c r="E304" s="6">
        <v>1396.09</v>
      </c>
      <c r="F304" s="7">
        <v>36769</v>
      </c>
      <c r="G304" s="24">
        <v>82428.5</v>
      </c>
      <c r="H304" s="24">
        <v>1442.1100000000001</v>
      </c>
      <c r="I304" s="2">
        <f>I303*(1+K304)</f>
        <v>104.71871657210517</v>
      </c>
      <c r="J304" s="2">
        <f>J303*(1+L304)</f>
        <v>106.07025699112963</v>
      </c>
      <c r="K304" s="139">
        <f>G304/G303-1</f>
        <v>4.7187165721051638E-2</v>
      </c>
      <c r="L304" s="139">
        <f>H304/H303-1</f>
        <v>6.0702569911296189E-2</v>
      </c>
    </row>
    <row r="305" spans="3:12" x14ac:dyDescent="0.15">
      <c r="C305" s="8"/>
      <c r="D305" s="6">
        <v>73142.8</v>
      </c>
      <c r="E305" s="6">
        <v>1325.02</v>
      </c>
      <c r="F305" s="7">
        <v>36799</v>
      </c>
      <c r="G305" s="24">
        <v>92000</v>
      </c>
      <c r="H305" s="24">
        <v>1364.98</v>
      </c>
      <c r="I305" s="2">
        <f t="shared" ref="I305:I368" si="0">I304*(1+K305)</f>
        <v>116.87853017625791</v>
      </c>
      <c r="J305" s="2">
        <f t="shared" ref="J305:J368" si="1">J304*(1+L305)</f>
        <v>100.39718148251667</v>
      </c>
      <c r="K305" s="139">
        <f t="shared" ref="K305:K368" si="2">G305/G304-1</f>
        <v>0.11611881812722546</v>
      </c>
      <c r="L305" s="139">
        <f t="shared" ref="L305:L368" si="3">H305/H304-1</f>
        <v>-5.3484130891540915E-2</v>
      </c>
    </row>
    <row r="306" spans="3:12" x14ac:dyDescent="0.15">
      <c r="C306" s="8"/>
      <c r="D306" s="6">
        <v>62857.1</v>
      </c>
      <c r="E306" s="6">
        <v>1298.3800000000001</v>
      </c>
      <c r="F306" s="7">
        <v>36830</v>
      </c>
      <c r="G306" s="24">
        <v>91000</v>
      </c>
      <c r="H306" s="24">
        <v>1358.22</v>
      </c>
      <c r="I306" s="2">
        <f t="shared" si="0"/>
        <v>115.60811136999423</v>
      </c>
      <c r="J306" s="2">
        <f t="shared" si="1"/>
        <v>99.89996910810693</v>
      </c>
      <c r="K306" s="139">
        <f t="shared" si="2"/>
        <v>-1.0869565217391353E-2</v>
      </c>
      <c r="L306" s="139">
        <f t="shared" si="3"/>
        <v>-4.9524535158024241E-3</v>
      </c>
    </row>
    <row r="307" spans="3:12" x14ac:dyDescent="0.15">
      <c r="C307" s="8"/>
      <c r="D307" s="6">
        <v>81714.2</v>
      </c>
      <c r="E307" s="6">
        <v>1423.96</v>
      </c>
      <c r="F307" s="7">
        <v>36860</v>
      </c>
      <c r="G307" s="24">
        <v>94142.8</v>
      </c>
      <c r="H307" s="24">
        <v>1249.47</v>
      </c>
      <c r="I307" s="2">
        <f t="shared" si="0"/>
        <v>119.60078359431972</v>
      </c>
      <c r="J307" s="2">
        <f t="shared" si="1"/>
        <v>91.901175362979757</v>
      </c>
      <c r="K307" s="139">
        <f t="shared" si="2"/>
        <v>3.4536263736263839E-2</v>
      </c>
      <c r="L307" s="139">
        <f t="shared" si="3"/>
        <v>-8.0068030216018049E-2</v>
      </c>
    </row>
    <row r="308" spans="3:12" x14ac:dyDescent="0.15">
      <c r="C308" s="8"/>
      <c r="D308" s="6">
        <v>84714.2</v>
      </c>
      <c r="E308" s="6">
        <v>1380.11</v>
      </c>
      <c r="F308" s="7">
        <v>36891</v>
      </c>
      <c r="G308" s="24">
        <v>101428</v>
      </c>
      <c r="H308" s="24">
        <v>1254.54</v>
      </c>
      <c r="I308" s="2">
        <f t="shared" si="0"/>
        <v>128.85603868171182</v>
      </c>
      <c r="J308" s="2">
        <f t="shared" si="1"/>
        <v>92.274084643787049</v>
      </c>
      <c r="K308" s="139">
        <f t="shared" si="2"/>
        <v>7.7384568973941636E-2</v>
      </c>
      <c r="L308" s="139">
        <f t="shared" si="3"/>
        <v>4.0577204734806305E-3</v>
      </c>
    </row>
    <row r="309" spans="3:12" x14ac:dyDescent="0.15">
      <c r="C309" s="8"/>
      <c r="D309" s="6">
        <v>83714.2</v>
      </c>
      <c r="E309" s="6">
        <v>1349.86</v>
      </c>
      <c r="F309" s="7">
        <v>36922</v>
      </c>
      <c r="G309" s="24">
        <v>97714.2</v>
      </c>
      <c r="H309" s="24">
        <v>1297.99</v>
      </c>
      <c r="I309" s="2">
        <f t="shared" si="0"/>
        <v>124.13795731900979</v>
      </c>
      <c r="J309" s="2">
        <f t="shared" si="1"/>
        <v>95.469924535518317</v>
      </c>
      <c r="K309" s="139">
        <f t="shared" si="2"/>
        <v>-3.6615135859920378E-2</v>
      </c>
      <c r="L309" s="139">
        <f t="shared" si="3"/>
        <v>3.4634208554529922E-2</v>
      </c>
    </row>
    <row r="310" spans="3:12" x14ac:dyDescent="0.15">
      <c r="C310" s="8"/>
      <c r="D310" s="6">
        <v>76857.100000000006</v>
      </c>
      <c r="E310" s="6">
        <v>1382.17</v>
      </c>
      <c r="F310" s="7">
        <v>36950</v>
      </c>
      <c r="G310" s="24">
        <v>100428</v>
      </c>
      <c r="H310" s="24">
        <v>1178.2</v>
      </c>
      <c r="I310" s="2">
        <f t="shared" si="0"/>
        <v>127.58561987544816</v>
      </c>
      <c r="J310" s="2">
        <f t="shared" si="1"/>
        <v>86.659115315023755</v>
      </c>
      <c r="K310" s="139">
        <f t="shared" si="2"/>
        <v>2.7772831379676788E-2</v>
      </c>
      <c r="L310" s="139">
        <f t="shared" si="3"/>
        <v>-9.2288846601283447E-2</v>
      </c>
    </row>
    <row r="311" spans="3:12" x14ac:dyDescent="0.15">
      <c r="C311" s="9" t="s">
        <v>26</v>
      </c>
      <c r="D311" s="6">
        <v>78714.2</v>
      </c>
      <c r="E311" s="6">
        <v>1359.58</v>
      </c>
      <c r="F311" s="7">
        <v>36981</v>
      </c>
      <c r="G311" s="24">
        <v>93500</v>
      </c>
      <c r="H311" s="24">
        <v>1102.55</v>
      </c>
      <c r="I311" s="2">
        <f t="shared" si="0"/>
        <v>118.78415838565344</v>
      </c>
      <c r="J311" s="2">
        <f t="shared" si="1"/>
        <v>81.094896953470922</v>
      </c>
      <c r="K311" s="139">
        <f t="shared" si="2"/>
        <v>-6.8984745290158078E-2</v>
      </c>
      <c r="L311" s="139">
        <f t="shared" si="3"/>
        <v>-6.4208114072313749E-2</v>
      </c>
    </row>
    <row r="312" spans="3:12" x14ac:dyDescent="0.15">
      <c r="C312" s="8"/>
      <c r="D312" s="6">
        <v>82428.5</v>
      </c>
      <c r="E312" s="6">
        <v>1442.11</v>
      </c>
      <c r="F312" s="7">
        <v>37011</v>
      </c>
      <c r="G312" s="24">
        <v>97142.8</v>
      </c>
      <c r="H312" s="24">
        <v>1187.24</v>
      </c>
      <c r="I312" s="2">
        <f t="shared" si="0"/>
        <v>123.41204001311075</v>
      </c>
      <c r="J312" s="2">
        <f t="shared" si="1"/>
        <v>87.32402653760721</v>
      </c>
      <c r="K312" s="139">
        <f t="shared" si="2"/>
        <v>3.8960427807486653E-2</v>
      </c>
      <c r="L312" s="139">
        <f t="shared" si="3"/>
        <v>7.6812842954968152E-2</v>
      </c>
    </row>
    <row r="313" spans="3:12" x14ac:dyDescent="0.15">
      <c r="C313" s="8"/>
      <c r="D313" s="6">
        <v>92000</v>
      </c>
      <c r="E313" s="6">
        <v>1364.98</v>
      </c>
      <c r="F313" s="7">
        <v>37042</v>
      </c>
      <c r="G313" s="24">
        <v>98142.8</v>
      </c>
      <c r="H313" s="24">
        <v>1193.29</v>
      </c>
      <c r="I313" s="2">
        <f t="shared" si="0"/>
        <v>124.68245881937442</v>
      </c>
      <c r="J313" s="2">
        <f t="shared" si="1"/>
        <v>87.769016902278651</v>
      </c>
      <c r="K313" s="139">
        <f t="shared" si="2"/>
        <v>1.0294123702425662E-2</v>
      </c>
      <c r="L313" s="139">
        <f t="shared" si="3"/>
        <v>5.0958525656144005E-3</v>
      </c>
    </row>
    <row r="314" spans="3:12" x14ac:dyDescent="0.15">
      <c r="C314" s="8"/>
      <c r="D314" s="6">
        <v>91000</v>
      </c>
      <c r="E314" s="6">
        <v>1358.22</v>
      </c>
      <c r="F314" s="7">
        <v>37072</v>
      </c>
      <c r="G314" s="24">
        <v>99142.8</v>
      </c>
      <c r="H314" s="24">
        <v>1163.45</v>
      </c>
      <c r="I314" s="2">
        <f t="shared" si="0"/>
        <v>125.9528776256381</v>
      </c>
      <c r="J314" s="2">
        <f t="shared" si="1"/>
        <v>85.574221450742158</v>
      </c>
      <c r="K314" s="139">
        <f t="shared" si="2"/>
        <v>1.0189234462436358E-2</v>
      </c>
      <c r="L314" s="139">
        <f t="shared" si="3"/>
        <v>-2.500649464924698E-2</v>
      </c>
    </row>
    <row r="315" spans="3:12" x14ac:dyDescent="0.15">
      <c r="C315" s="8"/>
      <c r="D315" s="6">
        <v>94142.8</v>
      </c>
      <c r="E315" s="6">
        <v>1249.47</v>
      </c>
      <c r="F315" s="7">
        <v>37103</v>
      </c>
      <c r="G315" s="24">
        <v>98857.1</v>
      </c>
      <c r="H315" s="24">
        <v>1150.92</v>
      </c>
      <c r="I315" s="2">
        <f t="shared" si="0"/>
        <v>125.58991897268857</v>
      </c>
      <c r="J315" s="2">
        <f t="shared" si="1"/>
        <v>84.652613307050729</v>
      </c>
      <c r="K315" s="139">
        <f t="shared" si="2"/>
        <v>-2.8817019491077511E-3</v>
      </c>
      <c r="L315" s="139">
        <f t="shared" si="3"/>
        <v>-1.0769693583738027E-2</v>
      </c>
    </row>
    <row r="316" spans="3:12" x14ac:dyDescent="0.15">
      <c r="C316" s="8"/>
      <c r="D316" s="6">
        <v>101428</v>
      </c>
      <c r="E316" s="6">
        <v>1254.54</v>
      </c>
      <c r="F316" s="7">
        <v>37134</v>
      </c>
      <c r="G316" s="24">
        <v>99142.8</v>
      </c>
      <c r="H316" s="24">
        <v>1077.1300000000001</v>
      </c>
      <c r="I316" s="2">
        <f t="shared" si="0"/>
        <v>125.9528776256381</v>
      </c>
      <c r="J316" s="2">
        <f t="shared" si="1"/>
        <v>79.225201900586967</v>
      </c>
      <c r="K316" s="139">
        <f t="shared" si="2"/>
        <v>2.8900301546372908E-3</v>
      </c>
      <c r="L316" s="139">
        <f t="shared" si="3"/>
        <v>-6.4113926250304099E-2</v>
      </c>
    </row>
    <row r="317" spans="3:12" x14ac:dyDescent="0.15">
      <c r="C317" s="8"/>
      <c r="D317" s="6">
        <v>97714.2</v>
      </c>
      <c r="E317" s="6">
        <v>1297.99</v>
      </c>
      <c r="F317" s="7">
        <v>37164</v>
      </c>
      <c r="G317" s="24">
        <v>100000</v>
      </c>
      <c r="H317" s="24">
        <v>989.11</v>
      </c>
      <c r="I317" s="2">
        <f t="shared" si="0"/>
        <v>127.04188062636732</v>
      </c>
      <c r="J317" s="2">
        <f t="shared" si="1"/>
        <v>72.751143735565407</v>
      </c>
      <c r="K317" s="139">
        <f t="shared" si="2"/>
        <v>8.6461144934377732E-3</v>
      </c>
      <c r="L317" s="139">
        <f t="shared" si="3"/>
        <v>-8.1717155775068995E-2</v>
      </c>
    </row>
    <row r="318" spans="3:12" x14ac:dyDescent="0.15">
      <c r="C318" s="8"/>
      <c r="D318" s="6">
        <v>100428</v>
      </c>
      <c r="E318" s="6">
        <v>1178.2</v>
      </c>
      <c r="F318" s="7">
        <v>37195</v>
      </c>
      <c r="G318" s="24">
        <v>101714</v>
      </c>
      <c r="H318" s="24">
        <v>1007.01</v>
      </c>
      <c r="I318" s="2">
        <f t="shared" si="0"/>
        <v>129.21937846030323</v>
      </c>
      <c r="J318" s="2">
        <f t="shared" si="1"/>
        <v>74.067726797981734</v>
      </c>
      <c r="K318" s="139">
        <f t="shared" si="2"/>
        <v>1.7139999999999933E-2</v>
      </c>
      <c r="L318" s="139">
        <f t="shared" si="3"/>
        <v>1.8097077170385445E-2</v>
      </c>
    </row>
    <row r="319" spans="3:12" x14ac:dyDescent="0.15">
      <c r="C319" s="8"/>
      <c r="D319" s="6">
        <v>93500</v>
      </c>
      <c r="E319" s="6">
        <v>1102.55</v>
      </c>
      <c r="F319" s="7">
        <v>37225</v>
      </c>
      <c r="G319" s="24">
        <v>100000</v>
      </c>
      <c r="H319" s="24">
        <v>1082.71</v>
      </c>
      <c r="I319" s="2">
        <f t="shared" si="0"/>
        <v>127.04188062636729</v>
      </c>
      <c r="J319" s="2">
        <f t="shared" si="1"/>
        <v>79.63562276585418</v>
      </c>
      <c r="K319" s="139">
        <f t="shared" si="2"/>
        <v>-1.6851170930255455E-2</v>
      </c>
      <c r="L319" s="139">
        <f t="shared" si="3"/>
        <v>7.517303701055611E-2</v>
      </c>
    </row>
    <row r="320" spans="3:12" x14ac:dyDescent="0.15">
      <c r="C320" s="8"/>
      <c r="D320" s="6">
        <v>97142.8</v>
      </c>
      <c r="E320" s="6">
        <v>1187.24</v>
      </c>
      <c r="F320" s="7">
        <v>37256</v>
      </c>
      <c r="G320" s="24">
        <v>108000</v>
      </c>
      <c r="H320" s="24">
        <v>1090.9100000000001</v>
      </c>
      <c r="I320" s="2">
        <f t="shared" si="0"/>
        <v>137.20523107647668</v>
      </c>
      <c r="J320" s="2">
        <f t="shared" si="1"/>
        <v>80.238750202268363</v>
      </c>
      <c r="K320" s="139">
        <f t="shared" si="2"/>
        <v>8.0000000000000071E-2</v>
      </c>
      <c r="L320" s="139">
        <f t="shared" si="3"/>
        <v>7.5735884955343558E-3</v>
      </c>
    </row>
    <row r="321" spans="3:12" x14ac:dyDescent="0.15">
      <c r="C321" s="8"/>
      <c r="D321" s="6">
        <v>98142.8</v>
      </c>
      <c r="E321" s="6">
        <v>1193.29</v>
      </c>
      <c r="F321" s="7">
        <v>37287</v>
      </c>
      <c r="G321" s="24">
        <v>105571</v>
      </c>
      <c r="H321" s="24">
        <v>1073.92</v>
      </c>
      <c r="I321" s="2">
        <f t="shared" si="0"/>
        <v>134.11938379606221</v>
      </c>
      <c r="J321" s="2">
        <f t="shared" si="1"/>
        <v>78.989099574868732</v>
      </c>
      <c r="K321" s="139">
        <f t="shared" si="2"/>
        <v>-2.2490740740740756E-2</v>
      </c>
      <c r="L321" s="139">
        <f t="shared" si="3"/>
        <v>-1.557415368820525E-2</v>
      </c>
    </row>
    <row r="322" spans="3:12" x14ac:dyDescent="0.15">
      <c r="C322" s="8"/>
      <c r="D322" s="6">
        <v>99142.8</v>
      </c>
      <c r="E322" s="6">
        <v>1163.45</v>
      </c>
      <c r="F322" s="7">
        <v>37315</v>
      </c>
      <c r="G322" s="24">
        <v>104285</v>
      </c>
      <c r="H322" s="24">
        <v>1051.6199999999999</v>
      </c>
      <c r="I322" s="2">
        <f t="shared" si="0"/>
        <v>132.48562521120712</v>
      </c>
      <c r="J322" s="2">
        <f t="shared" si="1"/>
        <v>77.348887156327706</v>
      </c>
      <c r="K322" s="139">
        <f t="shared" si="2"/>
        <v>-1.2181375567153818E-2</v>
      </c>
      <c r="L322" s="139">
        <f t="shared" si="3"/>
        <v>-2.0765047675804671E-2</v>
      </c>
    </row>
    <row r="323" spans="3:12" x14ac:dyDescent="0.15">
      <c r="C323" s="9" t="s">
        <v>25</v>
      </c>
      <c r="D323" s="6">
        <v>98857.1</v>
      </c>
      <c r="E323" s="6">
        <v>1150.92</v>
      </c>
      <c r="F323" s="7">
        <v>37346</v>
      </c>
      <c r="G323" s="24">
        <v>101571</v>
      </c>
      <c r="H323" s="24">
        <v>1090.26</v>
      </c>
      <c r="I323" s="2">
        <f t="shared" si="0"/>
        <v>129.03770857100753</v>
      </c>
      <c r="J323" s="2">
        <f t="shared" si="1"/>
        <v>80.190941320113581</v>
      </c>
      <c r="K323" s="139">
        <f t="shared" si="2"/>
        <v>-2.6024835786546463E-2</v>
      </c>
      <c r="L323" s="139">
        <f t="shared" si="3"/>
        <v>3.6743310321218692E-2</v>
      </c>
    </row>
    <row r="324" spans="3:12" x14ac:dyDescent="0.15">
      <c r="C324" s="8"/>
      <c r="D324" s="6">
        <v>99142.8</v>
      </c>
      <c r="E324" s="6">
        <v>1077.1300000000001</v>
      </c>
      <c r="F324" s="7">
        <v>37376</v>
      </c>
      <c r="G324" s="24">
        <v>104928</v>
      </c>
      <c r="H324" s="24">
        <v>1023.2900000000002</v>
      </c>
      <c r="I324" s="2">
        <f t="shared" si="0"/>
        <v>133.30250450363468</v>
      </c>
      <c r="J324" s="2">
        <f t="shared" si="1"/>
        <v>75.265155415643093</v>
      </c>
      <c r="K324" s="139">
        <f t="shared" si="2"/>
        <v>3.3050772366128189E-2</v>
      </c>
      <c r="L324" s="139">
        <f t="shared" si="3"/>
        <v>-6.1425714967071943E-2</v>
      </c>
    </row>
    <row r="325" spans="3:12" x14ac:dyDescent="0.15">
      <c r="C325" s="8"/>
      <c r="D325" s="6">
        <v>100000</v>
      </c>
      <c r="E325" s="6">
        <v>989.11</v>
      </c>
      <c r="F325" s="7">
        <v>37407</v>
      </c>
      <c r="G325" s="24">
        <v>106571</v>
      </c>
      <c r="H325" s="24">
        <v>1014</v>
      </c>
      <c r="I325" s="2">
        <f t="shared" si="0"/>
        <v>135.38980260232591</v>
      </c>
      <c r="J325" s="2">
        <f t="shared" si="1"/>
        <v>74.581856161461644</v>
      </c>
      <c r="K325" s="139">
        <f t="shared" si="2"/>
        <v>1.5658356206160517E-2</v>
      </c>
      <c r="L325" s="139">
        <f t="shared" si="3"/>
        <v>-9.0785603299163853E-3</v>
      </c>
    </row>
    <row r="326" spans="3:12" x14ac:dyDescent="0.15">
      <c r="C326" s="8"/>
      <c r="D326" s="6">
        <v>101714</v>
      </c>
      <c r="E326" s="6">
        <v>1007.01</v>
      </c>
      <c r="F326" s="7">
        <v>37437</v>
      </c>
      <c r="G326" s="24">
        <v>95428.5</v>
      </c>
      <c r="H326" s="24">
        <v>940.52599999999995</v>
      </c>
      <c r="I326" s="2">
        <f t="shared" si="0"/>
        <v>121.23416105353294</v>
      </c>
      <c r="J326" s="2">
        <f t="shared" si="1"/>
        <v>69.177687226937735</v>
      </c>
      <c r="K326" s="139">
        <f t="shared" si="2"/>
        <v>-0.10455471000553618</v>
      </c>
      <c r="L326" s="139">
        <f t="shared" si="3"/>
        <v>-7.2459566074950743E-2</v>
      </c>
    </row>
    <row r="327" spans="3:12" x14ac:dyDescent="0.15">
      <c r="C327" s="8"/>
      <c r="D327" s="6">
        <v>100000</v>
      </c>
      <c r="E327" s="6">
        <v>1082.71</v>
      </c>
      <c r="F327" s="7">
        <v>37468</v>
      </c>
      <c r="G327" s="24">
        <v>97571.400000000009</v>
      </c>
      <c r="H327" s="24">
        <v>866.22900000000016</v>
      </c>
      <c r="I327" s="2">
        <f t="shared" si="0"/>
        <v>123.95654151347537</v>
      </c>
      <c r="J327" s="2">
        <f t="shared" si="1"/>
        <v>63.712984892393258</v>
      </c>
      <c r="K327" s="139">
        <f t="shared" si="2"/>
        <v>2.2455555730206411E-2</v>
      </c>
      <c r="L327" s="139">
        <f t="shared" si="3"/>
        <v>-7.8995158028592249E-2</v>
      </c>
    </row>
    <row r="328" spans="3:12" x14ac:dyDescent="0.15">
      <c r="C328" s="8"/>
      <c r="D328" s="6">
        <v>108000</v>
      </c>
      <c r="E328" s="6">
        <v>1090.9100000000001</v>
      </c>
      <c r="F328" s="7">
        <v>37499</v>
      </c>
      <c r="G328" s="24">
        <v>104285</v>
      </c>
      <c r="H328" s="24">
        <v>870.45800000000008</v>
      </c>
      <c r="I328" s="2">
        <f t="shared" si="0"/>
        <v>132.48562521120718</v>
      </c>
      <c r="J328" s="2">
        <f t="shared" si="1"/>
        <v>64.024036834904919</v>
      </c>
      <c r="K328" s="139">
        <f t="shared" si="2"/>
        <v>6.8807047966924717E-2</v>
      </c>
      <c r="L328" s="139">
        <f t="shared" si="3"/>
        <v>4.8820808354372858E-3</v>
      </c>
    </row>
    <row r="329" spans="3:12" x14ac:dyDescent="0.15">
      <c r="C329" s="8"/>
      <c r="D329" s="6">
        <v>105571</v>
      </c>
      <c r="E329" s="6">
        <v>1073.92</v>
      </c>
      <c r="F329" s="7">
        <v>37529</v>
      </c>
      <c r="G329" s="24">
        <v>105571</v>
      </c>
      <c r="H329" s="24">
        <v>774.68600000000004</v>
      </c>
      <c r="I329" s="2">
        <f t="shared" si="0"/>
        <v>134.11938379606227</v>
      </c>
      <c r="J329" s="2">
        <f t="shared" si="1"/>
        <v>56.979802586092781</v>
      </c>
      <c r="K329" s="139">
        <f t="shared" si="2"/>
        <v>1.2331591312269241E-2</v>
      </c>
      <c r="L329" s="139">
        <f t="shared" si="3"/>
        <v>-0.11002483749933945</v>
      </c>
    </row>
    <row r="330" spans="3:12" x14ac:dyDescent="0.15">
      <c r="C330" s="8"/>
      <c r="D330" s="6">
        <v>104285</v>
      </c>
      <c r="E330" s="6">
        <v>1051.6199999999999</v>
      </c>
      <c r="F330" s="7">
        <v>37560</v>
      </c>
      <c r="G330" s="24">
        <v>105985</v>
      </c>
      <c r="H330" s="24">
        <v>841.65700000000004</v>
      </c>
      <c r="I330" s="2">
        <f t="shared" si="0"/>
        <v>134.64533718185544</v>
      </c>
      <c r="J330" s="2">
        <f t="shared" si="1"/>
        <v>61.90566204268967</v>
      </c>
      <c r="K330" s="139">
        <f t="shared" si="2"/>
        <v>3.921531481183349E-3</v>
      </c>
      <c r="L330" s="139">
        <f t="shared" si="3"/>
        <v>8.644921942567696E-2</v>
      </c>
    </row>
    <row r="331" spans="3:12" x14ac:dyDescent="0.15">
      <c r="C331" s="8"/>
      <c r="D331" s="6">
        <v>101571</v>
      </c>
      <c r="E331" s="6">
        <v>1090.26</v>
      </c>
      <c r="F331" s="7">
        <v>37590</v>
      </c>
      <c r="G331" s="24">
        <v>103285</v>
      </c>
      <c r="H331" s="24">
        <v>889.69</v>
      </c>
      <c r="I331" s="2">
        <f t="shared" si="0"/>
        <v>131.21520640494353</v>
      </c>
      <c r="J331" s="2">
        <f t="shared" si="1"/>
        <v>65.438591329675361</v>
      </c>
      <c r="K331" s="139">
        <f t="shared" si="2"/>
        <v>-2.5475303108930536E-2</v>
      </c>
      <c r="L331" s="139">
        <f t="shared" si="3"/>
        <v>5.7069566343534328E-2</v>
      </c>
    </row>
    <row r="332" spans="3:12" x14ac:dyDescent="0.15">
      <c r="C332" s="8"/>
      <c r="D332" s="6">
        <v>104928</v>
      </c>
      <c r="E332" s="6">
        <v>1023.29</v>
      </c>
      <c r="F332" s="7">
        <v>37621</v>
      </c>
      <c r="G332" s="24">
        <v>103928</v>
      </c>
      <c r="H332" s="24">
        <v>836.01300000000003</v>
      </c>
      <c r="I332" s="2">
        <f t="shared" si="0"/>
        <v>132.03208569737109</v>
      </c>
      <c r="J332" s="2">
        <f t="shared" si="1"/>
        <v>61.490533841333374</v>
      </c>
      <c r="K332" s="139">
        <f t="shared" si="2"/>
        <v>6.2254925691049845E-3</v>
      </c>
      <c r="L332" s="139">
        <f t="shared" si="3"/>
        <v>-6.0332250559183564E-2</v>
      </c>
    </row>
    <row r="333" spans="3:12" x14ac:dyDescent="0.15">
      <c r="C333" s="8"/>
      <c r="D333" s="6">
        <v>106571</v>
      </c>
      <c r="E333" s="6">
        <v>1014</v>
      </c>
      <c r="F333" s="7">
        <v>37652</v>
      </c>
      <c r="G333" s="24">
        <v>96571.400000000009</v>
      </c>
      <c r="H333" s="24">
        <v>813.09300000000007</v>
      </c>
      <c r="I333" s="2">
        <f t="shared" si="0"/>
        <v>122.68612270721177</v>
      </c>
      <c r="J333" s="2">
        <f t="shared" si="1"/>
        <v>59.804719104429331</v>
      </c>
      <c r="K333" s="139">
        <f t="shared" si="2"/>
        <v>-7.0785543838041587E-2</v>
      </c>
      <c r="L333" s="139">
        <f t="shared" si="3"/>
        <v>-2.7415841619687686E-2</v>
      </c>
    </row>
    <row r="334" spans="3:12" x14ac:dyDescent="0.15">
      <c r="C334" s="8"/>
      <c r="D334" s="6">
        <v>95428.5</v>
      </c>
      <c r="E334" s="6">
        <v>940.52599999999995</v>
      </c>
      <c r="F334" s="7">
        <v>37680</v>
      </c>
      <c r="G334" s="24">
        <v>88142.8</v>
      </c>
      <c r="H334" s="24">
        <v>799.26800000000003</v>
      </c>
      <c r="I334" s="2">
        <f t="shared" si="0"/>
        <v>111.97827075673776</v>
      </c>
      <c r="J334" s="2">
        <f t="shared" si="1"/>
        <v>58.787860957060289</v>
      </c>
      <c r="K334" s="139">
        <f t="shared" si="2"/>
        <v>-8.7278428188884094E-2</v>
      </c>
      <c r="L334" s="139">
        <f t="shared" si="3"/>
        <v>-1.70029750594336E-2</v>
      </c>
    </row>
    <row r="335" spans="3:12" x14ac:dyDescent="0.15">
      <c r="C335" s="9" t="s">
        <v>24</v>
      </c>
      <c r="D335" s="6">
        <v>97571.4</v>
      </c>
      <c r="E335" s="6">
        <v>866.22900000000004</v>
      </c>
      <c r="F335" s="7">
        <v>37711</v>
      </c>
      <c r="G335" s="24">
        <v>91142.8</v>
      </c>
      <c r="H335" s="24">
        <v>805.94800000000009</v>
      </c>
      <c r="I335" s="2">
        <f t="shared" si="0"/>
        <v>115.78952717552879</v>
      </c>
      <c r="J335" s="2">
        <f t="shared" si="1"/>
        <v>59.27918916135868</v>
      </c>
      <c r="K335" s="139">
        <f t="shared" si="2"/>
        <v>3.4035678467214669E-2</v>
      </c>
      <c r="L335" s="139">
        <f t="shared" si="3"/>
        <v>8.3576472472313146E-3</v>
      </c>
    </row>
    <row r="336" spans="3:12" x14ac:dyDescent="0.15">
      <c r="C336" s="8"/>
      <c r="D336" s="6">
        <v>104285</v>
      </c>
      <c r="E336" s="6">
        <v>870.45799999999997</v>
      </c>
      <c r="F336" s="7">
        <v>37741</v>
      </c>
      <c r="G336" s="24">
        <v>99735.7</v>
      </c>
      <c r="H336" s="24">
        <v>871.26499999999999</v>
      </c>
      <c r="I336" s="2">
        <f t="shared" si="0"/>
        <v>126.70610893587191</v>
      </c>
      <c r="J336" s="2">
        <f t="shared" si="1"/>
        <v>64.083393400903248</v>
      </c>
      <c r="K336" s="139">
        <f t="shared" si="2"/>
        <v>9.4279526194060326E-2</v>
      </c>
      <c r="L336" s="139">
        <f t="shared" si="3"/>
        <v>8.1043690163633331E-2</v>
      </c>
    </row>
    <row r="337" spans="3:12" x14ac:dyDescent="0.15">
      <c r="C337" s="8"/>
      <c r="D337" s="6">
        <v>105571</v>
      </c>
      <c r="E337" s="6">
        <v>774.68600000000004</v>
      </c>
      <c r="F337" s="7">
        <v>37772</v>
      </c>
      <c r="G337" s="24">
        <v>101428</v>
      </c>
      <c r="H337" s="24">
        <v>915.61199999999997</v>
      </c>
      <c r="I337" s="2">
        <f t="shared" si="0"/>
        <v>128.85603868171194</v>
      </c>
      <c r="J337" s="2">
        <f t="shared" si="1"/>
        <v>67.345209550008107</v>
      </c>
      <c r="K337" s="139">
        <f t="shared" si="2"/>
        <v>1.6967846017023058E-2</v>
      </c>
      <c r="L337" s="139">
        <f t="shared" si="3"/>
        <v>5.0899554096629496E-2</v>
      </c>
    </row>
    <row r="338" spans="3:12" x14ac:dyDescent="0.15">
      <c r="C338" s="8"/>
      <c r="D338" s="6">
        <v>105985</v>
      </c>
      <c r="E338" s="6">
        <v>841.65700000000004</v>
      </c>
      <c r="F338" s="7">
        <v>37802</v>
      </c>
      <c r="G338" s="24">
        <v>103571</v>
      </c>
      <c r="H338" s="24">
        <v>925.97799999999995</v>
      </c>
      <c r="I338" s="2">
        <f t="shared" si="0"/>
        <v>131.578546183535</v>
      </c>
      <c r="J338" s="2">
        <f t="shared" si="1"/>
        <v>68.107650892187309</v>
      </c>
      <c r="K338" s="139">
        <f t="shared" si="2"/>
        <v>2.11282880466932E-2</v>
      </c>
      <c r="L338" s="139">
        <f t="shared" si="3"/>
        <v>1.1321389409487903E-2</v>
      </c>
    </row>
    <row r="339" spans="3:12" x14ac:dyDescent="0.15">
      <c r="C339" s="8"/>
      <c r="D339" s="6">
        <v>103285</v>
      </c>
      <c r="E339" s="6">
        <v>889.69</v>
      </c>
      <c r="F339" s="7">
        <v>37833</v>
      </c>
      <c r="G339" s="24">
        <v>102871</v>
      </c>
      <c r="H339" s="24">
        <v>941.00099999999998</v>
      </c>
      <c r="I339" s="2">
        <f t="shared" si="0"/>
        <v>130.68925301915041</v>
      </c>
      <c r="J339" s="2">
        <f t="shared" si="1"/>
        <v>69.212624486973937</v>
      </c>
      <c r="K339" s="139">
        <f t="shared" si="2"/>
        <v>-6.7586486564772397E-3</v>
      </c>
      <c r="L339" s="139">
        <f t="shared" si="3"/>
        <v>1.6223927566313634E-2</v>
      </c>
    </row>
    <row r="340" spans="3:12" x14ac:dyDescent="0.15">
      <c r="C340" s="8"/>
      <c r="D340" s="6">
        <v>103928</v>
      </c>
      <c r="E340" s="6">
        <v>836.01300000000003</v>
      </c>
      <c r="F340" s="7">
        <v>37864</v>
      </c>
      <c r="G340" s="24">
        <v>108250</v>
      </c>
      <c r="H340" s="24">
        <v>957.82</v>
      </c>
      <c r="I340" s="2">
        <f t="shared" si="0"/>
        <v>137.52283577804272</v>
      </c>
      <c r="J340" s="2">
        <f t="shared" si="1"/>
        <v>70.449697700760552</v>
      </c>
      <c r="K340" s="139">
        <f t="shared" si="2"/>
        <v>5.2288788871499348E-2</v>
      </c>
      <c r="L340" s="139">
        <f t="shared" si="3"/>
        <v>1.7873519794346704E-2</v>
      </c>
    </row>
    <row r="341" spans="3:12" x14ac:dyDescent="0.15">
      <c r="C341" s="8"/>
      <c r="D341" s="6">
        <v>96571.4</v>
      </c>
      <c r="E341" s="6">
        <v>813.09299999999996</v>
      </c>
      <c r="F341" s="7">
        <v>37894</v>
      </c>
      <c r="G341" s="24">
        <v>107142</v>
      </c>
      <c r="H341" s="24">
        <v>946.37900000000013</v>
      </c>
      <c r="I341" s="2">
        <f t="shared" si="0"/>
        <v>136.11521174070256</v>
      </c>
      <c r="J341" s="2">
        <f t="shared" si="1"/>
        <v>69.608187822709993</v>
      </c>
      <c r="K341" s="139">
        <f t="shared" si="2"/>
        <v>-1.0235565819861403E-2</v>
      </c>
      <c r="L341" s="139">
        <f t="shared" si="3"/>
        <v>-1.1944833058403326E-2</v>
      </c>
    </row>
    <row r="342" spans="3:12" x14ac:dyDescent="0.15">
      <c r="C342" s="8"/>
      <c r="D342" s="6">
        <v>88142.8</v>
      </c>
      <c r="E342" s="6">
        <v>799.26800000000003</v>
      </c>
      <c r="F342" s="7">
        <v>37925</v>
      </c>
      <c r="G342" s="24">
        <v>111157</v>
      </c>
      <c r="H342" s="24">
        <v>998.39400000000001</v>
      </c>
      <c r="I342" s="2">
        <f t="shared" si="0"/>
        <v>141.21594324785121</v>
      </c>
      <c r="J342" s="2">
        <f t="shared" si="1"/>
        <v>73.434001676988515</v>
      </c>
      <c r="K342" s="139">
        <f t="shared" si="2"/>
        <v>3.7473633122398375E-2</v>
      </c>
      <c r="L342" s="139">
        <f t="shared" si="3"/>
        <v>5.4962124053893779E-2</v>
      </c>
    </row>
    <row r="343" spans="3:12" x14ac:dyDescent="0.15">
      <c r="C343" s="8"/>
      <c r="D343" s="6">
        <v>91142.8</v>
      </c>
      <c r="E343" s="6">
        <v>805.94799999999998</v>
      </c>
      <c r="F343" s="7">
        <v>37955</v>
      </c>
      <c r="G343" s="24">
        <v>119642</v>
      </c>
      <c r="H343" s="24">
        <v>1005.51</v>
      </c>
      <c r="I343" s="2">
        <f t="shared" si="0"/>
        <v>151.99544681899849</v>
      </c>
      <c r="J343" s="2">
        <f t="shared" si="1"/>
        <v>73.957398608393802</v>
      </c>
      <c r="K343" s="139">
        <f t="shared" si="2"/>
        <v>7.6333474275124269E-2</v>
      </c>
      <c r="L343" s="139">
        <f t="shared" si="3"/>
        <v>7.1274466793671554E-3</v>
      </c>
    </row>
    <row r="344" spans="3:12" x14ac:dyDescent="0.15">
      <c r="C344" s="8"/>
      <c r="D344" s="6">
        <v>99735.7</v>
      </c>
      <c r="E344" s="6">
        <v>871.26499999999999</v>
      </c>
      <c r="F344" s="7">
        <v>37986</v>
      </c>
      <c r="G344" s="24">
        <v>120357</v>
      </c>
      <c r="H344" s="24">
        <v>1056.55</v>
      </c>
      <c r="I344" s="2">
        <f t="shared" si="0"/>
        <v>152.90379626547701</v>
      </c>
      <c r="J344" s="2">
        <f t="shared" si="1"/>
        <v>77.71149913944015</v>
      </c>
      <c r="K344" s="139">
        <f t="shared" si="2"/>
        <v>5.9761622172815887E-3</v>
      </c>
      <c r="L344" s="139">
        <f t="shared" si="3"/>
        <v>5.076031068810849E-2</v>
      </c>
    </row>
    <row r="345" spans="3:12" x14ac:dyDescent="0.15">
      <c r="C345" s="8"/>
      <c r="D345" s="6">
        <v>101428</v>
      </c>
      <c r="E345" s="6">
        <v>915.61199999999997</v>
      </c>
      <c r="F345" s="7">
        <v>38017</v>
      </c>
      <c r="G345" s="24">
        <v>127842</v>
      </c>
      <c r="H345" s="24">
        <v>1074.81</v>
      </c>
      <c r="I345" s="2">
        <f t="shared" si="0"/>
        <v>162.41288103036061</v>
      </c>
      <c r="J345" s="2">
        <f t="shared" si="1"/>
        <v>79.054560967357588</v>
      </c>
      <c r="K345" s="139">
        <f t="shared" si="2"/>
        <v>6.2189984795234077E-2</v>
      </c>
      <c r="L345" s="139">
        <f t="shared" si="3"/>
        <v>1.7282665278500753E-2</v>
      </c>
    </row>
    <row r="346" spans="3:12" x14ac:dyDescent="0.15">
      <c r="C346" s="8"/>
      <c r="D346" s="6">
        <v>103571</v>
      </c>
      <c r="E346" s="6">
        <v>925.97799999999995</v>
      </c>
      <c r="F346" s="7">
        <v>38046</v>
      </c>
      <c r="G346" s="24">
        <v>135000</v>
      </c>
      <c r="H346" s="24">
        <v>1087.93</v>
      </c>
      <c r="I346" s="2">
        <f t="shared" si="0"/>
        <v>171.506538845596</v>
      </c>
      <c r="J346" s="2">
        <f t="shared" si="1"/>
        <v>80.01956486562031</v>
      </c>
      <c r="K346" s="139">
        <f t="shared" si="2"/>
        <v>5.599098887689502E-2</v>
      </c>
      <c r="L346" s="139">
        <f t="shared" si="3"/>
        <v>1.2206808645249145E-2</v>
      </c>
    </row>
    <row r="347" spans="3:12" x14ac:dyDescent="0.15">
      <c r="C347" s="9" t="s">
        <v>23</v>
      </c>
      <c r="D347" s="6">
        <v>102871</v>
      </c>
      <c r="E347" s="6">
        <v>941.00099999999998</v>
      </c>
      <c r="F347" s="7">
        <v>38077</v>
      </c>
      <c r="G347" s="24">
        <v>133285</v>
      </c>
      <c r="H347" s="24">
        <v>1070.1300000000001</v>
      </c>
      <c r="I347" s="2">
        <f t="shared" si="0"/>
        <v>169.3277705928538</v>
      </c>
      <c r="J347" s="2">
        <f t="shared" si="1"/>
        <v>78.71033701584318</v>
      </c>
      <c r="K347" s="139">
        <f t="shared" si="2"/>
        <v>-1.2703703703703662E-2</v>
      </c>
      <c r="L347" s="139">
        <f t="shared" si="3"/>
        <v>-1.6361346777825747E-2</v>
      </c>
    </row>
    <row r="348" spans="3:12" x14ac:dyDescent="0.15">
      <c r="C348" s="8"/>
      <c r="D348" s="6">
        <v>108250</v>
      </c>
      <c r="E348" s="6">
        <v>957.82</v>
      </c>
      <c r="F348" s="7">
        <v>38107</v>
      </c>
      <c r="G348" s="24">
        <v>133414</v>
      </c>
      <c r="H348" s="24">
        <v>1052.1600000000001</v>
      </c>
      <c r="I348" s="2">
        <f t="shared" si="0"/>
        <v>169.49165461886182</v>
      </c>
      <c r="J348" s="2">
        <f t="shared" si="1"/>
        <v>77.3886053045794</v>
      </c>
      <c r="K348" s="139">
        <f t="shared" si="2"/>
        <v>9.6785084593165038E-4</v>
      </c>
      <c r="L348" s="139">
        <f t="shared" si="3"/>
        <v>-1.6792352331025273E-2</v>
      </c>
    </row>
    <row r="349" spans="3:12" x14ac:dyDescent="0.15">
      <c r="C349" s="8"/>
      <c r="D349" s="6">
        <v>107142</v>
      </c>
      <c r="E349" s="6">
        <v>946.37900000000002</v>
      </c>
      <c r="F349" s="7">
        <v>38138</v>
      </c>
      <c r="G349" s="24">
        <v>127142</v>
      </c>
      <c r="H349" s="24">
        <v>1064.8800000000001</v>
      </c>
      <c r="I349" s="2">
        <f t="shared" si="0"/>
        <v>161.52358786597605</v>
      </c>
      <c r="J349" s="2">
        <f t="shared" si="1"/>
        <v>78.324188352285319</v>
      </c>
      <c r="K349" s="139">
        <f t="shared" si="2"/>
        <v>-4.7011558007405529E-2</v>
      </c>
      <c r="L349" s="139">
        <f t="shared" si="3"/>
        <v>1.2089416058394198E-2</v>
      </c>
    </row>
    <row r="350" spans="3:12" x14ac:dyDescent="0.15">
      <c r="C350" s="8"/>
      <c r="D350" s="6">
        <v>111157</v>
      </c>
      <c r="E350" s="6">
        <v>998.39400000000001</v>
      </c>
      <c r="F350" s="7">
        <v>38168</v>
      </c>
      <c r="G350" s="24">
        <v>127071</v>
      </c>
      <c r="H350" s="24">
        <v>1084.03</v>
      </c>
      <c r="I350" s="2">
        <f t="shared" si="0"/>
        <v>161.43338813073134</v>
      </c>
      <c r="J350" s="2">
        <f t="shared" si="1"/>
        <v>79.732711572691613</v>
      </c>
      <c r="K350" s="139">
        <f t="shared" si="2"/>
        <v>-5.5843073099370866E-4</v>
      </c>
      <c r="L350" s="139">
        <f t="shared" si="3"/>
        <v>1.7983246938622077E-2</v>
      </c>
    </row>
    <row r="351" spans="3:12" x14ac:dyDescent="0.15">
      <c r="C351" s="8"/>
      <c r="D351" s="6">
        <v>119642</v>
      </c>
      <c r="E351" s="6">
        <v>1005.51</v>
      </c>
      <c r="F351" s="7">
        <v>38199</v>
      </c>
      <c r="G351" s="24">
        <v>124642</v>
      </c>
      <c r="H351" s="24">
        <v>1046.8599999999999</v>
      </c>
      <c r="I351" s="2">
        <f t="shared" si="0"/>
        <v>158.34754085031688</v>
      </c>
      <c r="J351" s="2">
        <f t="shared" si="1"/>
        <v>76.99877903470194</v>
      </c>
      <c r="K351" s="139">
        <f t="shared" si="2"/>
        <v>-1.9115297746928883E-2</v>
      </c>
      <c r="L351" s="139">
        <f t="shared" si="3"/>
        <v>-3.4288718946892671E-2</v>
      </c>
    </row>
    <row r="352" spans="3:12" x14ac:dyDescent="0.15">
      <c r="C352" s="8"/>
      <c r="D352" s="6">
        <v>120357</v>
      </c>
      <c r="E352" s="6">
        <v>1056.55</v>
      </c>
      <c r="F352" s="7">
        <v>38230</v>
      </c>
      <c r="G352" s="24">
        <v>124285</v>
      </c>
      <c r="H352" s="24">
        <v>1049.25</v>
      </c>
      <c r="I352" s="2">
        <f t="shared" si="0"/>
        <v>157.89400133648076</v>
      </c>
      <c r="J352" s="2">
        <f t="shared" si="1"/>
        <v>77.174568616778771</v>
      </c>
      <c r="K352" s="139">
        <f t="shared" si="2"/>
        <v>-2.864203077614258E-3</v>
      </c>
      <c r="L352" s="139">
        <f t="shared" si="3"/>
        <v>2.2830177865236223E-3</v>
      </c>
    </row>
    <row r="353" spans="3:16" x14ac:dyDescent="0.15">
      <c r="C353" s="8"/>
      <c r="D353" s="6">
        <v>127842</v>
      </c>
      <c r="E353" s="6">
        <v>1074.81</v>
      </c>
      <c r="F353" s="7">
        <v>38260</v>
      </c>
      <c r="G353" s="24">
        <v>123785</v>
      </c>
      <c r="H353" s="24">
        <v>1059.08</v>
      </c>
      <c r="I353" s="2">
        <f t="shared" si="0"/>
        <v>157.2587919333489</v>
      </c>
      <c r="J353" s="2">
        <f t="shared" si="1"/>
        <v>77.897586019211872</v>
      </c>
      <c r="K353" s="139">
        <f t="shared" si="2"/>
        <v>-4.0230116265036475E-3</v>
      </c>
      <c r="L353" s="139">
        <f t="shared" si="3"/>
        <v>9.3685966166308088E-3</v>
      </c>
    </row>
    <row r="354" spans="3:16" x14ac:dyDescent="0.15">
      <c r="C354" s="8"/>
      <c r="D354" s="6">
        <v>135000</v>
      </c>
      <c r="E354" s="6">
        <v>1087.93</v>
      </c>
      <c r="F354" s="7">
        <v>38291</v>
      </c>
      <c r="G354" s="24">
        <v>120357</v>
      </c>
      <c r="H354" s="24">
        <v>1073.92</v>
      </c>
      <c r="I354" s="2">
        <f t="shared" si="0"/>
        <v>152.90379626547704</v>
      </c>
      <c r="J354" s="2">
        <f t="shared" si="1"/>
        <v>78.989099574868774</v>
      </c>
      <c r="K354" s="139">
        <f t="shared" si="2"/>
        <v>-2.7693177687118764E-2</v>
      </c>
      <c r="L354" s="139">
        <f t="shared" si="3"/>
        <v>1.4012161498659248E-2</v>
      </c>
    </row>
    <row r="355" spans="3:16" x14ac:dyDescent="0.15">
      <c r="C355" s="8"/>
      <c r="D355" s="6">
        <v>133285</v>
      </c>
      <c r="E355" s="6">
        <v>1070.1300000000001</v>
      </c>
      <c r="F355" s="7">
        <v>38321</v>
      </c>
      <c r="G355" s="24">
        <v>119571</v>
      </c>
      <c r="H355" s="24">
        <v>1115.3699999999999</v>
      </c>
      <c r="I355" s="2">
        <f t="shared" si="0"/>
        <v>151.90524708375378</v>
      </c>
      <c r="J355" s="2">
        <f t="shared" si="1"/>
        <v>82.037835213816081</v>
      </c>
      <c r="K355" s="139">
        <f t="shared" si="2"/>
        <v>-6.5305715496398742E-3</v>
      </c>
      <c r="L355" s="139">
        <f t="shared" si="3"/>
        <v>3.8596915971394363E-2</v>
      </c>
    </row>
    <row r="356" spans="3:16" x14ac:dyDescent="0.15">
      <c r="C356" s="8"/>
      <c r="D356" s="6">
        <v>133414</v>
      </c>
      <c r="E356" s="6">
        <v>1052.1600000000001</v>
      </c>
      <c r="F356" s="7">
        <v>38352</v>
      </c>
      <c r="G356" s="24">
        <v>125571</v>
      </c>
      <c r="H356" s="24">
        <v>1151.57</v>
      </c>
      <c r="I356" s="2">
        <f t="shared" si="0"/>
        <v>159.52775992133581</v>
      </c>
      <c r="J356" s="2">
        <f t="shared" si="1"/>
        <v>84.700422189205554</v>
      </c>
      <c r="K356" s="139">
        <f t="shared" si="2"/>
        <v>5.0179391323983191E-2</v>
      </c>
      <c r="L356" s="139">
        <f t="shared" si="3"/>
        <v>3.2455597694038829E-2</v>
      </c>
    </row>
    <row r="357" spans="3:16" x14ac:dyDescent="0.15">
      <c r="C357" s="8"/>
      <c r="D357" s="6">
        <v>127142</v>
      </c>
      <c r="E357" s="6">
        <v>1064.8800000000001</v>
      </c>
      <c r="F357" s="7">
        <v>38383</v>
      </c>
      <c r="G357" s="24">
        <v>128428</v>
      </c>
      <c r="H357" s="24">
        <v>1122.45</v>
      </c>
      <c r="I357" s="2">
        <f t="shared" si="0"/>
        <v>163.15734645083114</v>
      </c>
      <c r="J357" s="2">
        <f t="shared" si="1"/>
        <v>82.558584268671282</v>
      </c>
      <c r="K357" s="139">
        <f t="shared" si="2"/>
        <v>2.2752068550859761E-2</v>
      </c>
      <c r="L357" s="139">
        <f t="shared" si="3"/>
        <v>-2.5287216582578487E-2</v>
      </c>
    </row>
    <row r="358" spans="3:16" x14ac:dyDescent="0.15">
      <c r="C358" s="8"/>
      <c r="D358" s="6">
        <v>127071</v>
      </c>
      <c r="E358" s="6">
        <v>1084.03</v>
      </c>
      <c r="F358" s="7">
        <v>38411</v>
      </c>
      <c r="G358" s="24">
        <v>128857</v>
      </c>
      <c r="H358" s="24">
        <v>1143.67</v>
      </c>
      <c r="I358" s="2">
        <f t="shared" si="0"/>
        <v>163.70235611871826</v>
      </c>
      <c r="J358" s="2">
        <f t="shared" si="1"/>
        <v>84.119360390708977</v>
      </c>
      <c r="K358" s="139">
        <f t="shared" si="2"/>
        <v>3.3403930607032173E-3</v>
      </c>
      <c r="L358" s="139">
        <f t="shared" si="3"/>
        <v>1.890507372266037E-2</v>
      </c>
    </row>
    <row r="359" spans="3:16" x14ac:dyDescent="0.15">
      <c r="C359" s="9" t="s">
        <v>22</v>
      </c>
      <c r="D359" s="6">
        <v>124642</v>
      </c>
      <c r="E359" s="6">
        <v>1046.8599999999999</v>
      </c>
      <c r="F359" s="7">
        <v>38442</v>
      </c>
      <c r="G359" s="24">
        <v>124285</v>
      </c>
      <c r="H359" s="24">
        <v>1121.8</v>
      </c>
      <c r="I359" s="2">
        <f t="shared" si="0"/>
        <v>157.89400133648073</v>
      </c>
      <c r="J359" s="2">
        <f t="shared" si="1"/>
        <v>82.510775386516499</v>
      </c>
      <c r="K359" s="139">
        <f t="shared" si="2"/>
        <v>-3.5481192329481548E-2</v>
      </c>
      <c r="L359" s="139">
        <f t="shared" si="3"/>
        <v>-1.9122649015887561E-2</v>
      </c>
    </row>
    <row r="360" spans="3:16" x14ac:dyDescent="0.15">
      <c r="C360" s="8"/>
      <c r="D360" s="6">
        <v>124285</v>
      </c>
      <c r="E360" s="6">
        <v>1049.25</v>
      </c>
      <c r="F360" s="7">
        <v>38472</v>
      </c>
      <c r="G360" s="24">
        <v>120500</v>
      </c>
      <c r="H360" s="24">
        <v>1099.24</v>
      </c>
      <c r="I360" s="2">
        <f t="shared" si="0"/>
        <v>153.08546615477272</v>
      </c>
      <c r="J360" s="2">
        <f t="shared" si="1"/>
        <v>80.85143941511356</v>
      </c>
      <c r="K360" s="139">
        <f t="shared" si="2"/>
        <v>-3.0454198012632272E-2</v>
      </c>
      <c r="L360" s="139">
        <f t="shared" si="3"/>
        <v>-2.0110536637546805E-2</v>
      </c>
    </row>
    <row r="361" spans="3:16" x14ac:dyDescent="0.15">
      <c r="C361" s="8"/>
      <c r="D361" s="6">
        <v>123785</v>
      </c>
      <c r="E361" s="6">
        <v>1059.08</v>
      </c>
      <c r="F361" s="7">
        <v>38503</v>
      </c>
      <c r="G361" s="24">
        <v>120142</v>
      </c>
      <c r="H361" s="24">
        <v>1132.17</v>
      </c>
      <c r="I361" s="2">
        <f t="shared" si="0"/>
        <v>152.63065622213031</v>
      </c>
      <c r="J361" s="2">
        <f t="shared" si="1"/>
        <v>83.27351093720128</v>
      </c>
      <c r="K361" s="139">
        <f t="shared" si="2"/>
        <v>-2.9709543568464669E-3</v>
      </c>
      <c r="L361" s="139">
        <f t="shared" si="3"/>
        <v>2.995706124231301E-2</v>
      </c>
    </row>
    <row r="362" spans="3:16" x14ac:dyDescent="0.15">
      <c r="C362" s="8"/>
      <c r="D362" s="6">
        <v>120357</v>
      </c>
      <c r="E362" s="6">
        <v>1073.92</v>
      </c>
      <c r="F362" s="7">
        <v>38533</v>
      </c>
      <c r="G362" s="24">
        <v>119285</v>
      </c>
      <c r="H362" s="24">
        <v>1132.01</v>
      </c>
      <c r="I362" s="2">
        <f t="shared" si="0"/>
        <v>151.54190730516234</v>
      </c>
      <c r="J362" s="2">
        <f t="shared" si="1"/>
        <v>83.261742596978564</v>
      </c>
      <c r="K362" s="139">
        <f t="shared" si="2"/>
        <v>-7.133225682941835E-3</v>
      </c>
      <c r="L362" s="139">
        <f t="shared" si="3"/>
        <v>-1.4132153298540562E-4</v>
      </c>
    </row>
    <row r="363" spans="3:16" x14ac:dyDescent="0.15">
      <c r="C363" s="8"/>
      <c r="D363" s="6">
        <v>119571</v>
      </c>
      <c r="E363" s="6">
        <v>1115.3699999999999</v>
      </c>
      <c r="F363" s="7">
        <v>38564</v>
      </c>
      <c r="G363" s="24">
        <v>119285</v>
      </c>
      <c r="H363" s="24">
        <v>1172.72</v>
      </c>
      <c r="I363" s="2">
        <f t="shared" si="0"/>
        <v>151.54190730516234</v>
      </c>
      <c r="J363" s="2">
        <f t="shared" si="1"/>
        <v>86.256049662395824</v>
      </c>
      <c r="K363" s="139">
        <f t="shared" si="2"/>
        <v>0</v>
      </c>
      <c r="L363" s="139">
        <f t="shared" si="3"/>
        <v>3.5962579835867148E-2</v>
      </c>
    </row>
    <row r="364" spans="3:16" x14ac:dyDescent="0.15">
      <c r="C364" s="8"/>
      <c r="D364" s="6">
        <v>125571</v>
      </c>
      <c r="E364" s="6">
        <v>1151.57</v>
      </c>
      <c r="F364" s="7">
        <v>38595</v>
      </c>
      <c r="G364" s="24">
        <v>118785</v>
      </c>
      <c r="H364" s="24">
        <v>1159.56</v>
      </c>
      <c r="I364" s="2">
        <f t="shared" si="0"/>
        <v>150.90669790203049</v>
      </c>
      <c r="J364" s="2">
        <f t="shared" si="1"/>
        <v>85.288103679077437</v>
      </c>
      <c r="K364" s="139">
        <f t="shared" si="2"/>
        <v>-4.191641866118978E-3</v>
      </c>
      <c r="L364" s="139">
        <f t="shared" si="3"/>
        <v>-1.1221775018759872E-2</v>
      </c>
      <c r="O364" s="139"/>
      <c r="P364" s="139"/>
    </row>
    <row r="365" spans="3:16" x14ac:dyDescent="0.15">
      <c r="C365" s="8"/>
      <c r="D365" s="6">
        <v>128428</v>
      </c>
      <c r="E365" s="6">
        <v>1122.45</v>
      </c>
      <c r="F365" s="7">
        <v>38625</v>
      </c>
      <c r="G365" s="24">
        <v>117142</v>
      </c>
      <c r="H365" s="24">
        <v>1167.6199999999999</v>
      </c>
      <c r="I365" s="2">
        <f t="shared" si="0"/>
        <v>148.81939980333928</v>
      </c>
      <c r="J365" s="2">
        <f t="shared" si="1"/>
        <v>85.880933817796745</v>
      </c>
      <c r="K365" s="139">
        <f t="shared" si="2"/>
        <v>-1.3831712758344938E-2</v>
      </c>
      <c r="L365" s="139">
        <f t="shared" si="3"/>
        <v>6.950912415053967E-3</v>
      </c>
      <c r="O365" s="139"/>
      <c r="P365" s="139"/>
    </row>
    <row r="366" spans="3:16" x14ac:dyDescent="0.15">
      <c r="C366" s="8"/>
      <c r="D366" s="6">
        <v>128857</v>
      </c>
      <c r="E366" s="6">
        <v>1143.67</v>
      </c>
      <c r="F366" s="7">
        <v>38656</v>
      </c>
      <c r="G366" s="24">
        <v>122714</v>
      </c>
      <c r="H366" s="24">
        <v>1146.9100000000001</v>
      </c>
      <c r="I366" s="2">
        <f>I365*(1+K366)</f>
        <v>155.89817339184046</v>
      </c>
      <c r="J366" s="2">
        <f t="shared" si="1"/>
        <v>84.357669280218985</v>
      </c>
      <c r="K366" s="139">
        <f t="shared" si="2"/>
        <v>4.7566201703914901E-2</v>
      </c>
      <c r="L366" s="139">
        <f t="shared" si="3"/>
        <v>-1.7736934961716799E-2</v>
      </c>
      <c r="O366" s="139"/>
      <c r="P366" s="139"/>
    </row>
    <row r="367" spans="3:16" x14ac:dyDescent="0.15">
      <c r="C367" s="8"/>
      <c r="D367" s="6">
        <v>124285</v>
      </c>
      <c r="E367" s="6">
        <v>1121.8</v>
      </c>
      <c r="F367" s="7">
        <v>38686</v>
      </c>
      <c r="G367" s="24">
        <v>127700</v>
      </c>
      <c r="H367" s="24">
        <v>1187.26</v>
      </c>
      <c r="I367" s="2">
        <f t="shared" si="0"/>
        <v>162.23248155987113</v>
      </c>
      <c r="J367" s="2">
        <f t="shared" si="1"/>
        <v>87.325497580135135</v>
      </c>
      <c r="K367" s="139">
        <f t="shared" si="2"/>
        <v>4.0631060840653932E-2</v>
      </c>
      <c r="L367" s="139">
        <f t="shared" si="3"/>
        <v>3.5181487649423193E-2</v>
      </c>
      <c r="O367" s="139"/>
      <c r="P367" s="139"/>
    </row>
    <row r="368" spans="3:16" x14ac:dyDescent="0.15">
      <c r="C368" s="8"/>
      <c r="D368" s="6">
        <v>120500</v>
      </c>
      <c r="E368" s="6">
        <v>1099.24</v>
      </c>
      <c r="F368" s="7">
        <v>38717</v>
      </c>
      <c r="G368" s="24">
        <v>126600</v>
      </c>
      <c r="H368" s="24">
        <v>1186.1300000000001</v>
      </c>
      <c r="I368" s="2">
        <f t="shared" si="0"/>
        <v>160.83502087298109</v>
      </c>
      <c r="J368" s="2">
        <f t="shared" si="1"/>
        <v>87.242383677312205</v>
      </c>
      <c r="K368" s="139">
        <f t="shared" si="2"/>
        <v>-8.6139389193422566E-3</v>
      </c>
      <c r="L368" s="139">
        <f t="shared" si="3"/>
        <v>-9.517713053585064E-4</v>
      </c>
      <c r="O368" s="139"/>
      <c r="P368" s="139"/>
    </row>
    <row r="369" spans="3:16" x14ac:dyDescent="0.15">
      <c r="C369" s="8"/>
      <c r="D369" s="6">
        <v>120142</v>
      </c>
      <c r="E369" s="6">
        <v>1132.17</v>
      </c>
      <c r="F369" s="7">
        <v>38748</v>
      </c>
      <c r="G369" s="24">
        <v>127842</v>
      </c>
      <c r="H369" s="24">
        <v>1216.3399999999999</v>
      </c>
      <c r="I369" s="2">
        <f t="shared" ref="I369:I432" si="4">I368*(1+K369)</f>
        <v>162.41288103036055</v>
      </c>
      <c r="J369" s="2">
        <f t="shared" ref="J369:J432" si="5">J368*(1+L369)</f>
        <v>89.464393415613728</v>
      </c>
      <c r="K369" s="139">
        <f t="shared" ref="K369:K432" si="6">G369/G368-1</f>
        <v>9.8104265402843005E-3</v>
      </c>
      <c r="L369" s="139">
        <f t="shared" ref="L369:L432" si="7">H369/H368-1</f>
        <v>2.5469383625740694E-2</v>
      </c>
      <c r="O369" s="139"/>
      <c r="P369" s="139"/>
    </row>
    <row r="370" spans="3:16" x14ac:dyDescent="0.15">
      <c r="C370" s="8"/>
      <c r="D370" s="6">
        <v>119285</v>
      </c>
      <c r="E370" s="6">
        <v>1132.01</v>
      </c>
      <c r="F370" s="7">
        <v>38776</v>
      </c>
      <c r="G370" s="24">
        <v>124000</v>
      </c>
      <c r="H370" s="24">
        <v>1216.8900000000001</v>
      </c>
      <c r="I370" s="2">
        <f>I369*(1+K370)</f>
        <v>157.53193197669552</v>
      </c>
      <c r="J370" s="2">
        <f t="shared" si="5"/>
        <v>89.504847085129327</v>
      </c>
      <c r="K370" s="139">
        <f t="shared" si="6"/>
        <v>-3.0052721327889165E-2</v>
      </c>
      <c r="L370" s="139">
        <f t="shared" si="7"/>
        <v>4.5217620073345621E-4</v>
      </c>
      <c r="O370" s="139"/>
      <c r="P370" s="139"/>
    </row>
    <row r="371" spans="3:16" x14ac:dyDescent="0.15">
      <c r="C371" s="9" t="s">
        <v>21</v>
      </c>
      <c r="D371" s="6">
        <v>119285</v>
      </c>
      <c r="E371" s="6">
        <v>1172.72</v>
      </c>
      <c r="F371" s="7">
        <v>38807</v>
      </c>
      <c r="G371" s="24">
        <v>129071</v>
      </c>
      <c r="H371" s="24">
        <v>1230.3499999999999</v>
      </c>
      <c r="I371" s="2">
        <f t="shared" si="4"/>
        <v>163.97422574325861</v>
      </c>
      <c r="J371" s="2">
        <f t="shared" si="5"/>
        <v>90.494858706365292</v>
      </c>
      <c r="K371" s="139">
        <f t="shared" si="6"/>
        <v>4.0895161290322557E-2</v>
      </c>
      <c r="L371" s="139">
        <f t="shared" si="7"/>
        <v>1.1060983326348195E-2</v>
      </c>
      <c r="O371" s="139"/>
      <c r="P371" s="139"/>
    </row>
    <row r="372" spans="3:16" x14ac:dyDescent="0.15">
      <c r="C372" s="8"/>
      <c r="D372" s="6">
        <v>118785</v>
      </c>
      <c r="E372" s="6">
        <v>1159.56</v>
      </c>
      <c r="F372" s="7">
        <v>38837</v>
      </c>
      <c r="G372" s="24">
        <v>127142</v>
      </c>
      <c r="H372" s="24">
        <v>1245.3499999999999</v>
      </c>
      <c r="I372" s="2">
        <f t="shared" si="4"/>
        <v>161.523587865976</v>
      </c>
      <c r="J372" s="2">
        <f t="shared" si="5"/>
        <v>91.598140602244897</v>
      </c>
      <c r="K372" s="139">
        <f t="shared" si="6"/>
        <v>-1.4945262684878835E-2</v>
      </c>
      <c r="L372" s="139">
        <f t="shared" si="7"/>
        <v>1.2191652781728735E-2</v>
      </c>
      <c r="O372" s="139"/>
      <c r="P372" s="139"/>
    </row>
    <row r="373" spans="3:16" x14ac:dyDescent="0.15">
      <c r="C373" s="8"/>
      <c r="D373" s="6">
        <v>117142</v>
      </c>
      <c r="E373" s="6">
        <v>1167.6199999999999</v>
      </c>
      <c r="F373" s="7">
        <v>38868</v>
      </c>
      <c r="G373" s="24">
        <v>131842</v>
      </c>
      <c r="H373" s="24">
        <v>1206.8499999999999</v>
      </c>
      <c r="I373" s="2">
        <f t="shared" si="4"/>
        <v>167.49455625541526</v>
      </c>
      <c r="J373" s="2">
        <f t="shared" si="5"/>
        <v>88.766383736153898</v>
      </c>
      <c r="K373" s="139">
        <f t="shared" si="6"/>
        <v>3.6966541347469795E-2</v>
      </c>
      <c r="L373" s="139">
        <f t="shared" si="7"/>
        <v>-3.0915003814188768E-2</v>
      </c>
      <c r="O373" s="139"/>
      <c r="P373" s="139"/>
    </row>
    <row r="374" spans="3:16" x14ac:dyDescent="0.15">
      <c r="C374" s="8"/>
      <c r="D374" s="6">
        <v>122714</v>
      </c>
      <c r="E374" s="6">
        <v>1146.9100000000001</v>
      </c>
      <c r="F374" s="7">
        <v>38898</v>
      </c>
      <c r="G374" s="24">
        <v>130941</v>
      </c>
      <c r="H374" s="24">
        <v>1206.95</v>
      </c>
      <c r="I374" s="2">
        <f t="shared" si="4"/>
        <v>166.34990891097169</v>
      </c>
      <c r="J374" s="2">
        <f t="shared" si="5"/>
        <v>88.77373894879311</v>
      </c>
      <c r="K374" s="139">
        <f t="shared" si="6"/>
        <v>-6.8339375919661549E-3</v>
      </c>
      <c r="L374" s="139">
        <f t="shared" si="7"/>
        <v>8.2860338898926855E-5</v>
      </c>
      <c r="O374" s="139"/>
      <c r="P374" s="139"/>
    </row>
    <row r="375" spans="3:16" x14ac:dyDescent="0.15">
      <c r="C375" s="8"/>
      <c r="D375" s="6">
        <v>127700</v>
      </c>
      <c r="E375" s="6">
        <v>1187.26</v>
      </c>
      <c r="F375" s="7">
        <v>38929</v>
      </c>
      <c r="G375" s="24">
        <v>130857</v>
      </c>
      <c r="H375" s="24">
        <v>1213.0899999999999</v>
      </c>
      <c r="I375" s="2">
        <f t="shared" si="4"/>
        <v>166.24319373124553</v>
      </c>
      <c r="J375" s="2">
        <f t="shared" si="5"/>
        <v>89.225349004839813</v>
      </c>
      <c r="K375" s="139">
        <f t="shared" si="6"/>
        <v>-6.415102985314336E-4</v>
      </c>
      <c r="L375" s="139">
        <f t="shared" si="7"/>
        <v>5.0872032809974321E-3</v>
      </c>
      <c r="O375" s="139"/>
      <c r="P375" s="139"/>
    </row>
    <row r="376" spans="3:16" x14ac:dyDescent="0.15">
      <c r="C376" s="8"/>
      <c r="D376" s="6">
        <v>126600</v>
      </c>
      <c r="E376" s="6">
        <v>1186.1300000000001</v>
      </c>
      <c r="F376" s="7">
        <v>38960</v>
      </c>
      <c r="G376" s="24">
        <v>137281</v>
      </c>
      <c r="H376" s="24">
        <v>1238.9000000000001</v>
      </c>
      <c r="I376" s="2">
        <f t="shared" si="4"/>
        <v>174.40436414268339</v>
      </c>
      <c r="J376" s="2">
        <f t="shared" si="5"/>
        <v>91.123729387016681</v>
      </c>
      <c r="K376" s="139">
        <f t="shared" si="6"/>
        <v>4.9091756650389451E-2</v>
      </c>
      <c r="L376" s="139">
        <f t="shared" si="7"/>
        <v>2.1276244961214941E-2</v>
      </c>
      <c r="O376" s="139"/>
      <c r="P376" s="139"/>
    </row>
    <row r="377" spans="3:16" x14ac:dyDescent="0.15">
      <c r="C377" s="8"/>
      <c r="D377" s="6">
        <v>127842</v>
      </c>
      <c r="E377" s="6">
        <v>1216.3399999999999</v>
      </c>
      <c r="F377" s="7">
        <v>38990</v>
      </c>
      <c r="G377" s="24">
        <v>136857</v>
      </c>
      <c r="H377" s="24">
        <v>1269.33</v>
      </c>
      <c r="I377" s="2">
        <f t="shared" si="4"/>
        <v>173.86570656882759</v>
      </c>
      <c r="J377" s="2">
        <f t="shared" si="5"/>
        <v>93.361920593124438</v>
      </c>
      <c r="K377" s="139">
        <f t="shared" si="6"/>
        <v>-3.0885555903584772E-3</v>
      </c>
      <c r="L377" s="139">
        <f t="shared" si="7"/>
        <v>2.4562111550568977E-2</v>
      </c>
      <c r="O377" s="139"/>
      <c r="P377" s="139"/>
    </row>
    <row r="378" spans="3:16" x14ac:dyDescent="0.15">
      <c r="C378" s="8"/>
      <c r="D378" s="6">
        <v>124000</v>
      </c>
      <c r="E378" s="6">
        <v>1216.8900000000001</v>
      </c>
      <c r="F378" s="7">
        <v>39021</v>
      </c>
      <c r="G378" s="24">
        <v>150678</v>
      </c>
      <c r="H378" s="24">
        <v>1309.33</v>
      </c>
      <c r="I378" s="2">
        <f t="shared" si="4"/>
        <v>191.42416489019783</v>
      </c>
      <c r="J378" s="2">
        <f t="shared" si="5"/>
        <v>96.304005648803397</v>
      </c>
      <c r="K378" s="139">
        <f t="shared" si="6"/>
        <v>0.10098862316140211</v>
      </c>
      <c r="L378" s="139">
        <f t="shared" si="7"/>
        <v>3.1512687795923755E-2</v>
      </c>
      <c r="O378" s="139"/>
      <c r="P378" s="139"/>
    </row>
    <row r="379" spans="3:16" x14ac:dyDescent="0.15">
      <c r="C379" s="8"/>
      <c r="D379" s="6">
        <v>129071</v>
      </c>
      <c r="E379" s="6">
        <v>1230.3499999999999</v>
      </c>
      <c r="F379" s="7">
        <v>39051</v>
      </c>
      <c r="G379" s="24">
        <v>153000</v>
      </c>
      <c r="H379" s="24">
        <v>1330.89</v>
      </c>
      <c r="I379" s="2">
        <f t="shared" si="4"/>
        <v>194.37407735834208</v>
      </c>
      <c r="J379" s="2">
        <f t="shared" si="5"/>
        <v>97.889789493814376</v>
      </c>
      <c r="K379" s="139">
        <f t="shared" si="6"/>
        <v>1.5410345239517342E-2</v>
      </c>
      <c r="L379" s="139">
        <f t="shared" si="7"/>
        <v>1.6466437032681025E-2</v>
      </c>
      <c r="O379" s="139"/>
      <c r="P379" s="139"/>
    </row>
    <row r="380" spans="3:16" x14ac:dyDescent="0.15">
      <c r="C380" s="8"/>
      <c r="D380" s="6">
        <v>127142</v>
      </c>
      <c r="E380" s="6">
        <v>1245.3499999999999</v>
      </c>
      <c r="F380" s="7">
        <v>39082</v>
      </c>
      <c r="G380" s="24">
        <v>157128</v>
      </c>
      <c r="H380" s="24">
        <v>1347.68</v>
      </c>
      <c r="I380" s="2">
        <f t="shared" si="4"/>
        <v>199.61836619059852</v>
      </c>
      <c r="J380" s="2">
        <f t="shared" si="5"/>
        <v>99.124729695935628</v>
      </c>
      <c r="K380" s="139">
        <f t="shared" si="6"/>
        <v>2.6980392156862765E-2</v>
      </c>
      <c r="L380" s="139">
        <f t="shared" si="7"/>
        <v>1.2615618120205285E-2</v>
      </c>
      <c r="O380" s="139"/>
      <c r="P380" s="139"/>
    </row>
    <row r="381" spans="3:16" x14ac:dyDescent="0.15">
      <c r="C381" s="8"/>
      <c r="D381" s="6">
        <v>131842</v>
      </c>
      <c r="E381" s="6">
        <v>1206.8499999999999</v>
      </c>
      <c r="F381" s="7">
        <v>39113</v>
      </c>
      <c r="G381" s="24">
        <v>157214</v>
      </c>
      <c r="H381" s="24">
        <v>1366.6200000000001</v>
      </c>
      <c r="I381" s="2">
        <f t="shared" si="4"/>
        <v>199.7276222079372</v>
      </c>
      <c r="J381" s="2">
        <f t="shared" si="5"/>
        <v>100.51780696979962</v>
      </c>
      <c r="K381" s="139">
        <f t="shared" si="6"/>
        <v>5.4732447431393716E-4</v>
      </c>
      <c r="L381" s="139">
        <f t="shared" si="7"/>
        <v>1.4053781313071445E-2</v>
      </c>
      <c r="O381" s="139"/>
      <c r="P381" s="139"/>
    </row>
    <row r="382" spans="3:16" x14ac:dyDescent="0.15">
      <c r="C382" s="8"/>
      <c r="D382" s="6">
        <v>130941</v>
      </c>
      <c r="E382" s="6">
        <v>1206.95</v>
      </c>
      <c r="F382" s="7">
        <v>39141</v>
      </c>
      <c r="G382" s="24">
        <v>151700</v>
      </c>
      <c r="H382" s="24">
        <v>1336.77</v>
      </c>
      <c r="I382" s="2">
        <f t="shared" si="4"/>
        <v>192.72253291019931</v>
      </c>
      <c r="J382" s="2">
        <f t="shared" si="5"/>
        <v>98.322275996999181</v>
      </c>
      <c r="K382" s="139">
        <f t="shared" si="6"/>
        <v>-3.5073212309336355E-2</v>
      </c>
      <c r="L382" s="139">
        <f t="shared" si="7"/>
        <v>-2.1842209246169531E-2</v>
      </c>
      <c r="O382" s="139"/>
      <c r="P382" s="139"/>
    </row>
    <row r="383" spans="3:16" x14ac:dyDescent="0.15">
      <c r="C383" s="9" t="s">
        <v>20</v>
      </c>
      <c r="D383" s="6">
        <v>130857</v>
      </c>
      <c r="E383" s="6">
        <v>1213.0899999999999</v>
      </c>
      <c r="F383" s="7">
        <v>39172</v>
      </c>
      <c r="G383" s="24">
        <v>155700</v>
      </c>
      <c r="H383" s="24">
        <v>1350.1100000000001</v>
      </c>
      <c r="I383" s="2">
        <f t="shared" si="4"/>
        <v>197.80420813525399</v>
      </c>
      <c r="J383" s="2">
        <f t="shared" si="5"/>
        <v>99.303461363068138</v>
      </c>
      <c r="K383" s="139">
        <f t="shared" si="6"/>
        <v>2.6367831245879936E-2</v>
      </c>
      <c r="L383" s="139">
        <f t="shared" si="7"/>
        <v>9.9792784098986509E-3</v>
      </c>
      <c r="O383" s="139"/>
      <c r="P383" s="139"/>
    </row>
    <row r="384" spans="3:16" x14ac:dyDescent="0.15">
      <c r="C384" s="8"/>
      <c r="D384" s="6">
        <v>137281</v>
      </c>
      <c r="E384" s="6">
        <v>1238.9000000000001</v>
      </c>
      <c r="F384" s="7">
        <v>39202</v>
      </c>
      <c r="G384" s="24">
        <v>156000</v>
      </c>
      <c r="H384" s="24">
        <v>1408.56</v>
      </c>
      <c r="I384" s="2">
        <f t="shared" si="4"/>
        <v>198.18533377713308</v>
      </c>
      <c r="J384" s="2">
        <f t="shared" si="5"/>
        <v>103.60258315067902</v>
      </c>
      <c r="K384" s="139">
        <f t="shared" si="6"/>
        <v>1.9267822736031004E-3</v>
      </c>
      <c r="L384" s="139">
        <f t="shared" si="7"/>
        <v>4.3292768737362097E-2</v>
      </c>
      <c r="O384" s="139"/>
      <c r="P384" s="139"/>
    </row>
    <row r="385" spans="3:16" x14ac:dyDescent="0.15">
      <c r="C385" s="8"/>
      <c r="D385" s="6">
        <v>136857</v>
      </c>
      <c r="E385" s="6">
        <v>1269.33</v>
      </c>
      <c r="F385" s="7">
        <v>39233</v>
      </c>
      <c r="G385" s="24">
        <v>156414</v>
      </c>
      <c r="H385" s="24">
        <v>1454.4</v>
      </c>
      <c r="I385" s="2">
        <f t="shared" si="4"/>
        <v>198.71128716292623</v>
      </c>
      <c r="J385" s="2">
        <f t="shared" si="5"/>
        <v>106.97421262448712</v>
      </c>
      <c r="K385" s="139">
        <f t="shared" si="6"/>
        <v>2.6538461538461178E-3</v>
      </c>
      <c r="L385" s="139">
        <f t="shared" si="7"/>
        <v>3.2543874595331479E-2</v>
      </c>
      <c r="O385" s="139"/>
      <c r="P385" s="139"/>
    </row>
    <row r="386" spans="3:16" x14ac:dyDescent="0.15">
      <c r="C386" s="8"/>
      <c r="D386" s="6">
        <v>150678</v>
      </c>
      <c r="E386" s="6">
        <v>1309.33</v>
      </c>
      <c r="F386" s="7">
        <v>39263</v>
      </c>
      <c r="G386" s="24">
        <v>156392</v>
      </c>
      <c r="H386" s="24">
        <v>1428.49</v>
      </c>
      <c r="I386" s="2">
        <f t="shared" si="4"/>
        <v>198.68333794918843</v>
      </c>
      <c r="J386" s="2">
        <f t="shared" si="5"/>
        <v>105.06847702967107</v>
      </c>
      <c r="K386" s="139">
        <f t="shared" si="6"/>
        <v>-1.4065237127114383E-4</v>
      </c>
      <c r="L386" s="139">
        <f t="shared" si="7"/>
        <v>-1.7814906490649096E-2</v>
      </c>
      <c r="O386" s="139"/>
      <c r="P386" s="139"/>
    </row>
    <row r="387" spans="3:16" x14ac:dyDescent="0.15">
      <c r="C387" s="8"/>
      <c r="D387" s="6">
        <v>153000</v>
      </c>
      <c r="E387" s="6">
        <v>1330.89</v>
      </c>
      <c r="F387" s="7">
        <v>39294</v>
      </c>
      <c r="G387" s="24">
        <v>157142</v>
      </c>
      <c r="H387" s="24">
        <v>1382.81</v>
      </c>
      <c r="I387" s="2">
        <f t="shared" si="4"/>
        <v>199.63615205388618</v>
      </c>
      <c r="J387" s="2">
        <f t="shared" si="5"/>
        <v>101.70861589608569</v>
      </c>
      <c r="K387" s="139">
        <f t="shared" si="6"/>
        <v>4.7956417208041557E-3</v>
      </c>
      <c r="L387" s="139">
        <f t="shared" si="7"/>
        <v>-3.1977822735896E-2</v>
      </c>
      <c r="O387" s="139"/>
      <c r="P387" s="139"/>
    </row>
    <row r="388" spans="3:16" x14ac:dyDescent="0.15">
      <c r="C388" s="8"/>
      <c r="D388" s="6">
        <v>157128</v>
      </c>
      <c r="E388" s="6">
        <v>1347.68</v>
      </c>
      <c r="F388" s="7">
        <v>39325</v>
      </c>
      <c r="G388" s="24">
        <v>169128</v>
      </c>
      <c r="H388" s="24">
        <v>1400.59</v>
      </c>
      <c r="I388" s="2">
        <f t="shared" si="4"/>
        <v>214.86339186576257</v>
      </c>
      <c r="J388" s="2">
        <f t="shared" si="5"/>
        <v>103.01637270333499</v>
      </c>
      <c r="K388" s="139">
        <f t="shared" si="6"/>
        <v>7.6274961499789962E-2</v>
      </c>
      <c r="L388" s="139">
        <f t="shared" si="7"/>
        <v>1.2857876353222775E-2</v>
      </c>
      <c r="O388" s="139"/>
      <c r="P388" s="139"/>
    </row>
    <row r="389" spans="3:16" x14ac:dyDescent="0.15">
      <c r="C389" s="8"/>
      <c r="D389" s="6">
        <v>157214</v>
      </c>
      <c r="E389" s="6">
        <v>1366.62</v>
      </c>
      <c r="F389" s="7">
        <v>39355</v>
      </c>
      <c r="G389" s="24">
        <v>169300</v>
      </c>
      <c r="H389" s="24">
        <v>1450.73</v>
      </c>
      <c r="I389" s="2">
        <f t="shared" si="4"/>
        <v>215.0819039004399</v>
      </c>
      <c r="J389" s="2">
        <f t="shared" si="5"/>
        <v>106.70427632062857</v>
      </c>
      <c r="K389" s="139">
        <f t="shared" si="6"/>
        <v>1.0169812213234319E-3</v>
      </c>
      <c r="L389" s="139">
        <f t="shared" si="7"/>
        <v>3.579919890903116E-2</v>
      </c>
      <c r="O389" s="139"/>
      <c r="P389" s="139"/>
    </row>
    <row r="390" spans="3:16" x14ac:dyDescent="0.15">
      <c r="C390" s="8"/>
      <c r="D390" s="6">
        <v>151700</v>
      </c>
      <c r="E390" s="6">
        <v>1336.77</v>
      </c>
      <c r="F390" s="7">
        <v>39386</v>
      </c>
      <c r="G390" s="24">
        <v>189285</v>
      </c>
      <c r="H390" s="24">
        <v>1472.23</v>
      </c>
      <c r="I390" s="2">
        <f t="shared" si="4"/>
        <v>240.47122374361942</v>
      </c>
      <c r="J390" s="2">
        <f t="shared" si="5"/>
        <v>108.28564703805601</v>
      </c>
      <c r="K390" s="139">
        <f t="shared" si="6"/>
        <v>0.11804489072652102</v>
      </c>
      <c r="L390" s="139">
        <f t="shared" si="7"/>
        <v>1.4820125040496901E-2</v>
      </c>
      <c r="O390" s="139"/>
      <c r="P390" s="139"/>
    </row>
    <row r="391" spans="3:16" x14ac:dyDescent="0.15">
      <c r="C391" s="8"/>
      <c r="D391" s="6">
        <v>155700</v>
      </c>
      <c r="E391" s="6">
        <v>1350.11</v>
      </c>
      <c r="F391" s="7">
        <v>39416</v>
      </c>
      <c r="G391" s="24">
        <v>200142</v>
      </c>
      <c r="H391" s="24">
        <v>1407.39</v>
      </c>
      <c r="I391" s="2">
        <f t="shared" si="4"/>
        <v>254.26416072322414</v>
      </c>
      <c r="J391" s="2">
        <f t="shared" si="5"/>
        <v>103.51652716280041</v>
      </c>
      <c r="K391" s="139">
        <f t="shared" si="6"/>
        <v>5.7357952294159631E-2</v>
      </c>
      <c r="L391" s="139">
        <f t="shared" si="7"/>
        <v>-4.4042031476060117E-2</v>
      </c>
      <c r="O391" s="139"/>
      <c r="P391" s="139"/>
    </row>
    <row r="392" spans="3:16" x14ac:dyDescent="0.15">
      <c r="C392" s="8"/>
      <c r="D392" s="6">
        <v>156000</v>
      </c>
      <c r="E392" s="6">
        <v>1408.56</v>
      </c>
      <c r="F392" s="7">
        <v>39447</v>
      </c>
      <c r="G392" s="24">
        <v>202285</v>
      </c>
      <c r="H392" s="24">
        <v>1395.24</v>
      </c>
      <c r="I392" s="2">
        <f t="shared" si="4"/>
        <v>256.98666822504714</v>
      </c>
      <c r="J392" s="2">
        <f t="shared" si="5"/>
        <v>102.62286882713792</v>
      </c>
      <c r="K392" s="139">
        <f t="shared" si="6"/>
        <v>1.0707397747599101E-2</v>
      </c>
      <c r="L392" s="139">
        <f t="shared" si="7"/>
        <v>-8.6330015134398197E-3</v>
      </c>
      <c r="O392" s="139"/>
      <c r="P392" s="139"/>
    </row>
    <row r="393" spans="3:16" x14ac:dyDescent="0.15">
      <c r="C393" s="8"/>
      <c r="D393" s="6">
        <v>156414</v>
      </c>
      <c r="E393" s="6">
        <v>1454.4</v>
      </c>
      <c r="F393" s="7">
        <v>39478</v>
      </c>
      <c r="G393" s="24">
        <v>194285</v>
      </c>
      <c r="H393" s="24">
        <v>1309.9100000000001</v>
      </c>
      <c r="I393" s="2">
        <f t="shared" si="4"/>
        <v>246.82331777493775</v>
      </c>
      <c r="J393" s="2">
        <f t="shared" si="5"/>
        <v>96.346665882110784</v>
      </c>
      <c r="K393" s="139">
        <f t="shared" si="6"/>
        <v>-3.9548162246335616E-2</v>
      </c>
      <c r="L393" s="139">
        <f t="shared" si="7"/>
        <v>-6.1157936985751449E-2</v>
      </c>
      <c r="O393" s="139"/>
      <c r="P393" s="139"/>
    </row>
    <row r="394" spans="3:16" x14ac:dyDescent="0.15">
      <c r="C394" s="8"/>
      <c r="D394" s="6">
        <v>156392</v>
      </c>
      <c r="E394" s="6">
        <v>1428.49</v>
      </c>
      <c r="F394" s="7">
        <v>39507</v>
      </c>
      <c r="G394" s="24">
        <v>200000</v>
      </c>
      <c r="H394" s="24">
        <v>1264.3699999999999</v>
      </c>
      <c r="I394" s="2">
        <f t="shared" si="4"/>
        <v>254.0837612527346</v>
      </c>
      <c r="J394" s="2">
        <f t="shared" si="5"/>
        <v>92.997102046220277</v>
      </c>
      <c r="K394" s="139">
        <f t="shared" si="6"/>
        <v>2.9415549321872403E-2</v>
      </c>
      <c r="L394" s="139">
        <f t="shared" si="7"/>
        <v>-3.4765747265079416E-2</v>
      </c>
      <c r="O394" s="139"/>
      <c r="P394" s="139"/>
    </row>
    <row r="395" spans="3:16" x14ac:dyDescent="0.15">
      <c r="C395" s="9" t="s">
        <v>19</v>
      </c>
      <c r="D395" s="6">
        <v>157142</v>
      </c>
      <c r="E395" s="6">
        <v>1382.81</v>
      </c>
      <c r="F395" s="7">
        <v>39538</v>
      </c>
      <c r="G395" s="24">
        <v>190571</v>
      </c>
      <c r="H395" s="24">
        <v>1256.8399999999999</v>
      </c>
      <c r="I395" s="2">
        <f t="shared" si="4"/>
        <v>242.10498232847442</v>
      </c>
      <c r="J395" s="2">
        <f t="shared" si="5"/>
        <v>92.443254534488716</v>
      </c>
      <c r="K395" s="139">
        <f t="shared" si="6"/>
        <v>-4.7144999999999992E-2</v>
      </c>
      <c r="L395" s="139">
        <f t="shared" si="7"/>
        <v>-5.9555351677119672E-3</v>
      </c>
      <c r="O395" s="139"/>
      <c r="P395" s="139"/>
    </row>
    <row r="396" spans="3:16" x14ac:dyDescent="0.15">
      <c r="C396" s="8"/>
      <c r="D396" s="6">
        <v>169128</v>
      </c>
      <c r="E396" s="6">
        <v>1400.59</v>
      </c>
      <c r="F396" s="7">
        <v>39568</v>
      </c>
      <c r="G396" s="24">
        <v>191214</v>
      </c>
      <c r="H396" s="24">
        <v>1316.6000000000001</v>
      </c>
      <c r="I396" s="2">
        <f t="shared" si="4"/>
        <v>242.92186162090195</v>
      </c>
      <c r="J396" s="2">
        <f t="shared" si="5"/>
        <v>96.838729607673116</v>
      </c>
      <c r="K396" s="139">
        <f t="shared" si="6"/>
        <v>3.374070556380504E-3</v>
      </c>
      <c r="L396" s="139">
        <f t="shared" si="7"/>
        <v>4.7547818338054437E-2</v>
      </c>
      <c r="O396" s="139"/>
      <c r="P396" s="139"/>
    </row>
    <row r="397" spans="3:16" x14ac:dyDescent="0.15">
      <c r="C397" s="8"/>
      <c r="D397" s="6">
        <v>169300</v>
      </c>
      <c r="E397" s="6">
        <v>1450.73</v>
      </c>
      <c r="F397" s="7">
        <v>39599</v>
      </c>
      <c r="G397" s="24">
        <v>192357</v>
      </c>
      <c r="H397" s="24">
        <v>1330.65</v>
      </c>
      <c r="I397" s="2">
        <f t="shared" si="4"/>
        <v>244.3739503164613</v>
      </c>
      <c r="J397" s="2">
        <f t="shared" si="5"/>
        <v>97.87213698348036</v>
      </c>
      <c r="K397" s="139">
        <f t="shared" si="6"/>
        <v>5.9775957827354897E-3</v>
      </c>
      <c r="L397" s="139">
        <f t="shared" si="7"/>
        <v>1.0671426401336781E-2</v>
      </c>
      <c r="O397" s="139"/>
      <c r="P397" s="139"/>
    </row>
    <row r="398" spans="3:16" x14ac:dyDescent="0.15">
      <c r="C398" s="8"/>
      <c r="D398" s="6">
        <v>189285</v>
      </c>
      <c r="E398" s="6">
        <v>1472.23</v>
      </c>
      <c r="F398" s="7">
        <v>39629</v>
      </c>
      <c r="G398" s="24">
        <v>172500</v>
      </c>
      <c r="H398" s="24">
        <v>1216.26</v>
      </c>
      <c r="I398" s="2">
        <f t="shared" si="4"/>
        <v>219.14724408048355</v>
      </c>
      <c r="J398" s="2">
        <f t="shared" si="5"/>
        <v>89.458509245502441</v>
      </c>
      <c r="K398" s="139">
        <f t="shared" si="6"/>
        <v>-0.1032299318454748</v>
      </c>
      <c r="L398" s="139">
        <f t="shared" si="7"/>
        <v>-8.5965505579979729E-2</v>
      </c>
      <c r="O398" s="139"/>
      <c r="P398" s="139"/>
    </row>
    <row r="399" spans="3:16" x14ac:dyDescent="0.15">
      <c r="C399" s="8"/>
      <c r="D399" s="6">
        <v>200142</v>
      </c>
      <c r="E399" s="6">
        <v>1407.39</v>
      </c>
      <c r="F399" s="7">
        <v>39660</v>
      </c>
      <c r="G399" s="24">
        <v>163500</v>
      </c>
      <c r="H399" s="24">
        <v>1204.27</v>
      </c>
      <c r="I399" s="2">
        <f t="shared" si="4"/>
        <v>207.71347482411048</v>
      </c>
      <c r="J399" s="2">
        <f t="shared" si="5"/>
        <v>88.576619250062677</v>
      </c>
      <c r="K399" s="139">
        <f t="shared" si="6"/>
        <v>-5.2173913043478293E-2</v>
      </c>
      <c r="L399" s="139">
        <f t="shared" si="7"/>
        <v>-9.8580895532205393E-3</v>
      </c>
      <c r="O399" s="139"/>
      <c r="P399" s="139"/>
    </row>
    <row r="400" spans="3:16" x14ac:dyDescent="0.15">
      <c r="C400" s="8"/>
      <c r="D400" s="6">
        <v>202285</v>
      </c>
      <c r="E400" s="6">
        <v>1395.24</v>
      </c>
      <c r="F400" s="7">
        <v>39691</v>
      </c>
      <c r="G400" s="24">
        <v>166571</v>
      </c>
      <c r="H400" s="24">
        <v>1218.95</v>
      </c>
      <c r="I400" s="2">
        <f t="shared" si="4"/>
        <v>211.61493097814622</v>
      </c>
      <c r="J400" s="2">
        <f t="shared" si="5"/>
        <v>89.65636446549685</v>
      </c>
      <c r="K400" s="139">
        <f t="shared" si="6"/>
        <v>1.8782874617736978E-2</v>
      </c>
      <c r="L400" s="139">
        <f t="shared" si="7"/>
        <v>1.2189957401579354E-2</v>
      </c>
      <c r="O400" s="139"/>
      <c r="P400" s="139"/>
    </row>
    <row r="401" spans="3:16" x14ac:dyDescent="0.15">
      <c r="C401" s="8"/>
      <c r="D401" s="6">
        <v>194285</v>
      </c>
      <c r="E401" s="6">
        <v>1309.9100000000001</v>
      </c>
      <c r="F401" s="7">
        <v>39721</v>
      </c>
      <c r="G401" s="24">
        <v>186571</v>
      </c>
      <c r="H401" s="24">
        <v>1108.28</v>
      </c>
      <c r="I401" s="2">
        <f t="shared" si="4"/>
        <v>237.02330710341965</v>
      </c>
      <c r="J401" s="2">
        <f t="shared" si="5"/>
        <v>81.516350637697073</v>
      </c>
      <c r="K401" s="139">
        <f t="shared" si="6"/>
        <v>0.12006891955982724</v>
      </c>
      <c r="L401" s="139">
        <f t="shared" si="7"/>
        <v>-9.0791254768448293E-2</v>
      </c>
      <c r="O401" s="139"/>
      <c r="P401" s="139"/>
    </row>
    <row r="402" spans="3:16" x14ac:dyDescent="0.15">
      <c r="C402" s="8"/>
      <c r="D402" s="6">
        <v>200000</v>
      </c>
      <c r="E402" s="6">
        <v>1264.3699999999999</v>
      </c>
      <c r="F402" s="7">
        <v>39752</v>
      </c>
      <c r="G402" s="24">
        <v>164985</v>
      </c>
      <c r="H402" s="24">
        <v>920.51499999999999</v>
      </c>
      <c r="I402" s="2">
        <f t="shared" si="4"/>
        <v>209.60004675141201</v>
      </c>
      <c r="J402" s="2">
        <f t="shared" si="5"/>
        <v>67.705835625708062</v>
      </c>
      <c r="K402" s="139">
        <f t="shared" si="6"/>
        <v>-0.11569858123716981</v>
      </c>
      <c r="L402" s="139">
        <f t="shared" si="7"/>
        <v>-0.16942018262532932</v>
      </c>
      <c r="O402" s="139"/>
      <c r="P402" s="139"/>
    </row>
    <row r="403" spans="3:16" x14ac:dyDescent="0.15">
      <c r="C403" s="8"/>
      <c r="D403" s="6">
        <v>190571</v>
      </c>
      <c r="E403" s="6">
        <v>1256.8399999999999</v>
      </c>
      <c r="F403" s="7">
        <v>39782</v>
      </c>
      <c r="G403" s="24">
        <v>148571</v>
      </c>
      <c r="H403" s="24">
        <v>851.61500000000001</v>
      </c>
      <c r="I403" s="2">
        <f t="shared" si="4"/>
        <v>188.74739246540008</v>
      </c>
      <c r="J403" s="2">
        <f t="shared" si="5"/>
        <v>62.638094117301044</v>
      </c>
      <c r="K403" s="139">
        <f t="shared" si="6"/>
        <v>-9.9487832227172168E-2</v>
      </c>
      <c r="L403" s="139">
        <f t="shared" si="7"/>
        <v>-7.4849404952662346E-2</v>
      </c>
      <c r="O403" s="139"/>
      <c r="P403" s="139"/>
    </row>
    <row r="404" spans="3:16" x14ac:dyDescent="0.15">
      <c r="C404" s="8"/>
      <c r="D404" s="6">
        <v>191214</v>
      </c>
      <c r="E404" s="6">
        <v>1316.6</v>
      </c>
      <c r="F404" s="7">
        <v>39813</v>
      </c>
      <c r="G404" s="24">
        <v>138000</v>
      </c>
      <c r="H404" s="24">
        <v>858.27599999999995</v>
      </c>
      <c r="I404" s="2">
        <f t="shared" si="4"/>
        <v>175.3177952643868</v>
      </c>
      <c r="J404" s="2">
        <f t="shared" si="5"/>
        <v>63.128024831197983</v>
      </c>
      <c r="K404" s="139">
        <f t="shared" si="6"/>
        <v>-7.1151166782211894E-2</v>
      </c>
      <c r="L404" s="139">
        <f t="shared" si="7"/>
        <v>7.8216095301280042E-3</v>
      </c>
      <c r="O404" s="139"/>
      <c r="P404" s="139"/>
    </row>
    <row r="405" spans="3:16" x14ac:dyDescent="0.15">
      <c r="C405" s="8"/>
      <c r="D405" s="6">
        <v>192357</v>
      </c>
      <c r="E405" s="6">
        <v>1330.65</v>
      </c>
      <c r="F405" s="7">
        <v>39844</v>
      </c>
      <c r="G405" s="24">
        <v>127860</v>
      </c>
      <c r="H405" s="24">
        <v>784.75800000000004</v>
      </c>
      <c r="I405" s="2">
        <f t="shared" si="4"/>
        <v>162.43574856887315</v>
      </c>
      <c r="J405" s="2">
        <f t="shared" si="5"/>
        <v>57.720619603112837</v>
      </c>
      <c r="K405" s="139">
        <f t="shared" si="6"/>
        <v>-7.3478260869565215E-2</v>
      </c>
      <c r="L405" s="139">
        <f t="shared" si="7"/>
        <v>-8.5657760440697284E-2</v>
      </c>
      <c r="O405" s="139"/>
      <c r="P405" s="139"/>
    </row>
    <row r="406" spans="3:16" x14ac:dyDescent="0.15">
      <c r="C406" s="8"/>
      <c r="D406" s="6">
        <v>172500</v>
      </c>
      <c r="E406" s="6">
        <v>1216.26</v>
      </c>
      <c r="F406" s="7">
        <v>39872</v>
      </c>
      <c r="G406" s="24">
        <v>112285</v>
      </c>
      <c r="H406" s="24">
        <v>698.48900000000015</v>
      </c>
      <c r="I406" s="2">
        <f t="shared" si="4"/>
        <v>142.64897566131646</v>
      </c>
      <c r="J406" s="2">
        <f t="shared" si="5"/>
        <v>51.375351211403625</v>
      </c>
      <c r="K406" s="139">
        <f t="shared" si="6"/>
        <v>-0.12181292038166747</v>
      </c>
      <c r="L406" s="139">
        <f t="shared" si="7"/>
        <v>-0.10993070475229294</v>
      </c>
      <c r="O406" s="139"/>
      <c r="P406" s="139"/>
    </row>
    <row r="407" spans="3:16" x14ac:dyDescent="0.15">
      <c r="C407" s="9" t="s">
        <v>18</v>
      </c>
      <c r="D407" s="6">
        <v>163500</v>
      </c>
      <c r="E407" s="6">
        <v>1204.27</v>
      </c>
      <c r="F407" s="7">
        <v>39903</v>
      </c>
      <c r="G407" s="24">
        <v>123857</v>
      </c>
      <c r="H407" s="24">
        <v>758.14300000000003</v>
      </c>
      <c r="I407" s="2">
        <f t="shared" si="4"/>
        <v>157.35026208739967</v>
      </c>
      <c r="J407" s="2">
        <f t="shared" si="5"/>
        <v>55.763029759190445</v>
      </c>
      <c r="K407" s="139">
        <f t="shared" si="6"/>
        <v>0.1030591797657745</v>
      </c>
      <c r="L407" s="139">
        <f t="shared" si="7"/>
        <v>8.5404351392792011E-2</v>
      </c>
      <c r="O407" s="139"/>
      <c r="P407" s="139"/>
    </row>
    <row r="408" spans="3:16" x14ac:dyDescent="0.15">
      <c r="C408" s="8"/>
      <c r="D408" s="6">
        <v>166571</v>
      </c>
      <c r="E408" s="6">
        <v>1218.95</v>
      </c>
      <c r="F408" s="7">
        <v>39933</v>
      </c>
      <c r="G408" s="24">
        <v>134285</v>
      </c>
      <c r="H408" s="24">
        <v>829.35100000000011</v>
      </c>
      <c r="I408" s="2">
        <f t="shared" si="4"/>
        <v>170.59818939911722</v>
      </c>
      <c r="J408" s="2">
        <f t="shared" si="5"/>
        <v>61.000529575310139</v>
      </c>
      <c r="K408" s="139">
        <f t="shared" si="6"/>
        <v>8.4193868735719324E-2</v>
      </c>
      <c r="L408" s="139">
        <f t="shared" si="7"/>
        <v>9.3924233291081016E-2</v>
      </c>
      <c r="O408" s="139"/>
      <c r="P408" s="139"/>
    </row>
    <row r="409" spans="3:16" x14ac:dyDescent="0.15">
      <c r="C409" s="8"/>
      <c r="D409" s="6">
        <v>186571</v>
      </c>
      <c r="E409" s="6">
        <v>1108.28</v>
      </c>
      <c r="F409" s="7">
        <v>39964</v>
      </c>
      <c r="G409" s="24">
        <v>130857</v>
      </c>
      <c r="H409" s="24">
        <v>873.375</v>
      </c>
      <c r="I409" s="2">
        <f t="shared" si="4"/>
        <v>166.24319373124533</v>
      </c>
      <c r="J409" s="2">
        <f t="shared" si="5"/>
        <v>64.238588387590397</v>
      </c>
      <c r="K409" s="139">
        <f t="shared" si="6"/>
        <v>-2.552779536061367E-2</v>
      </c>
      <c r="L409" s="139">
        <f t="shared" si="7"/>
        <v>5.3082470510073421E-2</v>
      </c>
      <c r="O409" s="139"/>
      <c r="P409" s="139"/>
    </row>
    <row r="410" spans="3:16" x14ac:dyDescent="0.15">
      <c r="C410" s="8"/>
      <c r="D410" s="6">
        <v>164985</v>
      </c>
      <c r="E410" s="6">
        <v>920.51499999999999</v>
      </c>
      <c r="F410" s="7">
        <v>39994</v>
      </c>
      <c r="G410" s="24">
        <v>128571</v>
      </c>
      <c r="H410" s="24">
        <v>873.54600000000005</v>
      </c>
      <c r="I410" s="2">
        <f t="shared" si="4"/>
        <v>163.33901634012656</v>
      </c>
      <c r="J410" s="2">
        <f t="shared" si="5"/>
        <v>64.251165801203427</v>
      </c>
      <c r="K410" s="139">
        <f t="shared" si="6"/>
        <v>-1.7469451385863977E-2</v>
      </c>
      <c r="L410" s="139">
        <f t="shared" si="7"/>
        <v>1.9579218548737565E-4</v>
      </c>
      <c r="O410" s="139"/>
      <c r="P410" s="139"/>
    </row>
    <row r="411" spans="3:16" x14ac:dyDescent="0.15">
      <c r="C411" s="8"/>
      <c r="D411" s="6">
        <v>148571</v>
      </c>
      <c r="E411" s="6">
        <v>851.61500000000001</v>
      </c>
      <c r="F411" s="7">
        <v>40025</v>
      </c>
      <c r="G411" s="24">
        <v>138571</v>
      </c>
      <c r="H411" s="24">
        <v>938.31200000000001</v>
      </c>
      <c r="I411" s="2">
        <f t="shared" si="4"/>
        <v>176.04320440276331</v>
      </c>
      <c r="J411" s="2">
        <f t="shared" si="5"/>
        <v>69.014842819106022</v>
      </c>
      <c r="K411" s="139">
        <f t="shared" si="6"/>
        <v>7.7778037037901315E-2</v>
      </c>
      <c r="L411" s="139">
        <f t="shared" si="7"/>
        <v>7.4141487683533569E-2</v>
      </c>
      <c r="O411" s="139"/>
      <c r="P411" s="139"/>
    </row>
    <row r="412" spans="3:16" x14ac:dyDescent="0.15">
      <c r="C412" s="8"/>
      <c r="D412" s="6">
        <v>138000</v>
      </c>
      <c r="E412" s="6">
        <v>858.27599999999995</v>
      </c>
      <c r="F412" s="7">
        <v>40056</v>
      </c>
      <c r="G412" s="24">
        <v>144071</v>
      </c>
      <c r="H412" s="24">
        <v>969.80200000000002</v>
      </c>
      <c r="I412" s="2">
        <f t="shared" si="4"/>
        <v>183.03050783721352</v>
      </c>
      <c r="J412" s="2">
        <f t="shared" si="5"/>
        <v>71.330999279189285</v>
      </c>
      <c r="K412" s="139">
        <f t="shared" si="6"/>
        <v>3.969084440467352E-2</v>
      </c>
      <c r="L412" s="139">
        <f t="shared" si="7"/>
        <v>3.3560265668562295E-2</v>
      </c>
      <c r="O412" s="139"/>
      <c r="P412" s="139"/>
    </row>
    <row r="413" spans="3:16" x14ac:dyDescent="0.15">
      <c r="C413" s="8"/>
      <c r="D413" s="6">
        <v>127860</v>
      </c>
      <c r="E413" s="6">
        <v>784.75800000000004</v>
      </c>
      <c r="F413" s="7">
        <v>40086</v>
      </c>
      <c r="G413" s="24">
        <v>144285</v>
      </c>
      <c r="H413" s="24">
        <v>1004.44</v>
      </c>
      <c r="I413" s="2">
        <f t="shared" si="4"/>
        <v>183.30237746175393</v>
      </c>
      <c r="J413" s="2">
        <f t="shared" si="5"/>
        <v>73.878697833154476</v>
      </c>
      <c r="K413" s="139">
        <f t="shared" si="6"/>
        <v>1.4853787368727112E-3</v>
      </c>
      <c r="L413" s="139">
        <f t="shared" si="7"/>
        <v>3.5716568949125671E-2</v>
      </c>
      <c r="O413" s="139"/>
      <c r="P413" s="139"/>
    </row>
    <row r="414" spans="3:16" x14ac:dyDescent="0.15">
      <c r="C414" s="8"/>
      <c r="D414" s="6">
        <v>112285</v>
      </c>
      <c r="E414" s="6">
        <v>698.48900000000003</v>
      </c>
      <c r="F414" s="7">
        <v>40117</v>
      </c>
      <c r="G414" s="24">
        <v>141428</v>
      </c>
      <c r="H414" s="24">
        <v>984.60100000000011</v>
      </c>
      <c r="I414" s="2">
        <f t="shared" si="4"/>
        <v>179.67279093225861</v>
      </c>
      <c r="J414" s="2">
        <f t="shared" si="5"/>
        <v>72.4194971976641</v>
      </c>
      <c r="K414" s="139">
        <f t="shared" si="6"/>
        <v>-1.9801088124198674E-2</v>
      </c>
      <c r="L414" s="139">
        <f t="shared" si="7"/>
        <v>-1.9751304209310594E-2</v>
      </c>
      <c r="O414" s="139"/>
      <c r="P414" s="139"/>
    </row>
    <row r="415" spans="3:16" x14ac:dyDescent="0.15">
      <c r="C415" s="8"/>
      <c r="D415" s="6">
        <v>123857</v>
      </c>
      <c r="E415" s="6">
        <v>758.14300000000003</v>
      </c>
      <c r="F415" s="7">
        <v>40147</v>
      </c>
      <c r="G415" s="24">
        <v>143714</v>
      </c>
      <c r="H415" s="24">
        <v>1041.07</v>
      </c>
      <c r="I415" s="2">
        <f t="shared" si="4"/>
        <v>182.57696832337737</v>
      </c>
      <c r="J415" s="2">
        <f t="shared" si="5"/>
        <v>76.572912222892469</v>
      </c>
      <c r="K415" s="139">
        <f t="shared" si="6"/>
        <v>1.6163701671521924E-2</v>
      </c>
      <c r="L415" s="139">
        <f t="shared" si="7"/>
        <v>5.7352166004299932E-2</v>
      </c>
      <c r="O415" s="139"/>
      <c r="P415" s="139"/>
    </row>
    <row r="416" spans="3:16" x14ac:dyDescent="0.15">
      <c r="C416" s="8"/>
      <c r="D416" s="6">
        <v>134285</v>
      </c>
      <c r="E416" s="6">
        <v>829.351</v>
      </c>
      <c r="F416" s="7">
        <v>40178</v>
      </c>
      <c r="G416" s="24">
        <v>141714</v>
      </c>
      <c r="H416" s="24">
        <v>1059.57</v>
      </c>
      <c r="I416" s="2">
        <f t="shared" si="4"/>
        <v>180.03613071085002</v>
      </c>
      <c r="J416" s="2">
        <f t="shared" si="5"/>
        <v>77.933626561143996</v>
      </c>
      <c r="K416" s="139">
        <f t="shared" si="6"/>
        <v>-1.3916528661090832E-2</v>
      </c>
      <c r="L416" s="139">
        <f t="shared" si="7"/>
        <v>1.7770178758392818E-2</v>
      </c>
      <c r="O416" s="139"/>
      <c r="P416" s="139"/>
    </row>
    <row r="417" spans="3:16" x14ac:dyDescent="0.15">
      <c r="C417" s="8"/>
      <c r="D417" s="6">
        <v>130857</v>
      </c>
      <c r="E417" s="6">
        <v>873.375</v>
      </c>
      <c r="F417" s="7">
        <v>40209</v>
      </c>
      <c r="G417" s="24">
        <v>163714</v>
      </c>
      <c r="H417" s="24">
        <v>1020.4</v>
      </c>
      <c r="I417" s="2">
        <f t="shared" si="4"/>
        <v>207.98534444865078</v>
      </c>
      <c r="J417" s="2">
        <f t="shared" si="5"/>
        <v>75.052589770370375</v>
      </c>
      <c r="K417" s="139">
        <f t="shared" si="6"/>
        <v>0.15524224847227508</v>
      </c>
      <c r="L417" s="139">
        <f t="shared" si="7"/>
        <v>-3.6967826571156159E-2</v>
      </c>
      <c r="O417" s="139"/>
      <c r="P417" s="139"/>
    </row>
    <row r="418" spans="3:16" x14ac:dyDescent="0.15">
      <c r="C418" s="8"/>
      <c r="D418" s="6">
        <v>128571</v>
      </c>
      <c r="E418" s="6">
        <v>873.54600000000005</v>
      </c>
      <c r="F418" s="7">
        <v>40237</v>
      </c>
      <c r="G418" s="24">
        <v>171142</v>
      </c>
      <c r="H418" s="24">
        <v>1049.49</v>
      </c>
      <c r="I418" s="2">
        <f t="shared" si="4"/>
        <v>217.42201534157735</v>
      </c>
      <c r="J418" s="2">
        <f t="shared" si="5"/>
        <v>77.192221127112902</v>
      </c>
      <c r="K418" s="139">
        <f t="shared" si="6"/>
        <v>4.5371806931600256E-2</v>
      </c>
      <c r="L418" s="139">
        <f t="shared" si="7"/>
        <v>2.8508428067424596E-2</v>
      </c>
      <c r="O418" s="139"/>
      <c r="P418" s="139"/>
    </row>
    <row r="419" spans="3:16" x14ac:dyDescent="0.15">
      <c r="C419" s="9" t="s">
        <v>17</v>
      </c>
      <c r="D419" s="6">
        <v>138571</v>
      </c>
      <c r="E419" s="6">
        <v>938.31200000000001</v>
      </c>
      <c r="F419" s="7">
        <v>40268</v>
      </c>
      <c r="G419" s="24">
        <v>174000</v>
      </c>
      <c r="H419" s="24">
        <v>1111.2</v>
      </c>
      <c r="I419" s="2">
        <f t="shared" si="4"/>
        <v>221.05287228987891</v>
      </c>
      <c r="J419" s="2">
        <f t="shared" si="5"/>
        <v>81.731122846761636</v>
      </c>
      <c r="K419" s="139">
        <f t="shared" si="6"/>
        <v>1.6699582802584878E-2</v>
      </c>
      <c r="L419" s="139">
        <f t="shared" si="7"/>
        <v>5.8799988565874983E-2</v>
      </c>
      <c r="O419" s="139"/>
      <c r="P419" s="139"/>
    </row>
    <row r="420" spans="3:16" x14ac:dyDescent="0.15">
      <c r="C420" s="8"/>
      <c r="D420" s="6">
        <v>144071</v>
      </c>
      <c r="E420" s="6">
        <v>969.80200000000002</v>
      </c>
      <c r="F420" s="7">
        <v>40298</v>
      </c>
      <c r="G420" s="24">
        <v>164750</v>
      </c>
      <c r="H420" s="24">
        <v>1127.5999999999999</v>
      </c>
      <c r="I420" s="2">
        <f t="shared" si="4"/>
        <v>209.30149833193994</v>
      </c>
      <c r="J420" s="2">
        <f t="shared" si="5"/>
        <v>82.937377719590003</v>
      </c>
      <c r="K420" s="139">
        <f t="shared" si="6"/>
        <v>-5.3160919540229834E-2</v>
      </c>
      <c r="L420" s="139">
        <f t="shared" si="7"/>
        <v>1.4758819294456327E-2</v>
      </c>
      <c r="O420" s="139"/>
      <c r="P420" s="139"/>
    </row>
    <row r="421" spans="3:16" x14ac:dyDescent="0.15">
      <c r="C421" s="8"/>
      <c r="D421" s="6">
        <v>144285</v>
      </c>
      <c r="E421" s="6">
        <v>1004.44</v>
      </c>
      <c r="F421" s="7">
        <v>40329</v>
      </c>
      <c r="G421" s="24">
        <v>151300</v>
      </c>
      <c r="H421" s="24">
        <v>1035.1600000000001</v>
      </c>
      <c r="I421" s="2">
        <f t="shared" si="4"/>
        <v>192.21436538769356</v>
      </c>
      <c r="J421" s="2">
        <f t="shared" si="5"/>
        <v>76.138219155915934</v>
      </c>
      <c r="K421" s="139">
        <f t="shared" si="6"/>
        <v>-8.1638846737481008E-2</v>
      </c>
      <c r="L421" s="139">
        <f t="shared" si="7"/>
        <v>-8.1979425328130406E-2</v>
      </c>
      <c r="O421" s="139"/>
      <c r="P421" s="139"/>
    </row>
    <row r="422" spans="3:16" x14ac:dyDescent="0.15">
      <c r="C422" s="8"/>
      <c r="D422" s="6">
        <v>141428</v>
      </c>
      <c r="E422" s="6">
        <v>984.601</v>
      </c>
      <c r="F422" s="7">
        <v>40359</v>
      </c>
      <c r="G422" s="24">
        <v>171428</v>
      </c>
      <c r="H422" s="24">
        <v>979.39</v>
      </c>
      <c r="I422" s="2">
        <f t="shared" si="4"/>
        <v>217.78535512016873</v>
      </c>
      <c r="J422" s="2">
        <f t="shared" si="5"/>
        <v>72.036217067035523</v>
      </c>
      <c r="K422" s="139">
        <f t="shared" si="6"/>
        <v>0.13303370786516844</v>
      </c>
      <c r="L422" s="139">
        <f t="shared" si="7"/>
        <v>-5.3875729355848501E-2</v>
      </c>
      <c r="O422" s="139"/>
      <c r="P422" s="139"/>
    </row>
    <row r="423" spans="3:16" x14ac:dyDescent="0.15">
      <c r="C423" s="8"/>
      <c r="D423" s="6">
        <v>143714</v>
      </c>
      <c r="E423" s="6">
        <v>1041.07</v>
      </c>
      <c r="F423" s="7">
        <v>40390</v>
      </c>
      <c r="G423" s="24">
        <v>167142</v>
      </c>
      <c r="H423" s="24">
        <v>1046.75</v>
      </c>
      <c r="I423" s="2">
        <f t="shared" si="4"/>
        <v>212.34034011652264</v>
      </c>
      <c r="J423" s="2">
        <f t="shared" si="5"/>
        <v>76.990688300798894</v>
      </c>
      <c r="K423" s="139">
        <f t="shared" si="6"/>
        <v>-2.5001750005833379E-2</v>
      </c>
      <c r="L423" s="139">
        <f t="shared" si="7"/>
        <v>6.8777504364961883E-2</v>
      </c>
      <c r="M423" s="2">
        <v>100</v>
      </c>
      <c r="N423" s="2">
        <v>100</v>
      </c>
    </row>
    <row r="424" spans="3:16" x14ac:dyDescent="0.15">
      <c r="C424" s="8"/>
      <c r="D424" s="6">
        <v>141714</v>
      </c>
      <c r="E424" s="6">
        <v>1059.57</v>
      </c>
      <c r="F424" s="7">
        <v>40421</v>
      </c>
      <c r="G424" s="24">
        <v>169535</v>
      </c>
      <c r="H424" s="24">
        <v>997.08300000000008</v>
      </c>
      <c r="I424" s="2">
        <f t="shared" si="4"/>
        <v>215.3804523199116</v>
      </c>
      <c r="J424" s="2">
        <f t="shared" si="5"/>
        <v>73.33757483928872</v>
      </c>
      <c r="K424" s="139">
        <f t="shared" si="6"/>
        <v>1.431716743846545E-2</v>
      </c>
      <c r="L424" s="139">
        <f t="shared" si="7"/>
        <v>-4.744877000238823E-2</v>
      </c>
      <c r="M424" s="2">
        <f t="shared" ref="M424:N428" si="8">M423*(1+O424)</f>
        <v>101.43171674384655</v>
      </c>
      <c r="N424" s="2">
        <f t="shared" si="8"/>
        <v>95.25512299976117</v>
      </c>
      <c r="O424" s="139">
        <f t="shared" ref="O424:P428" si="9">K424</f>
        <v>1.431716743846545E-2</v>
      </c>
      <c r="P424" s="139">
        <f t="shared" si="9"/>
        <v>-4.744877000238823E-2</v>
      </c>
    </row>
    <row r="425" spans="3:16" x14ac:dyDescent="0.15">
      <c r="C425" s="8"/>
      <c r="D425" s="6">
        <v>163714</v>
      </c>
      <c r="E425" s="6">
        <v>1020.4</v>
      </c>
      <c r="F425" s="7">
        <v>40451</v>
      </c>
      <c r="G425" s="24">
        <v>177857</v>
      </c>
      <c r="H425" s="24">
        <v>1084.3699999999999</v>
      </c>
      <c r="I425" s="2">
        <f t="shared" si="4"/>
        <v>225.95287762563785</v>
      </c>
      <c r="J425" s="2">
        <f t="shared" si="5"/>
        <v>79.757719295664955</v>
      </c>
      <c r="K425" s="139">
        <f t="shared" si="6"/>
        <v>4.9087209130857845E-2</v>
      </c>
      <c r="L425" s="139">
        <f t="shared" si="7"/>
        <v>8.754236106723301E-2</v>
      </c>
      <c r="M425" s="2">
        <f t="shared" si="8"/>
        <v>106.41071663615368</v>
      </c>
      <c r="N425" s="2">
        <f t="shared" si="8"/>
        <v>103.59398137090996</v>
      </c>
      <c r="O425" s="139">
        <f t="shared" si="9"/>
        <v>4.9087209130857845E-2</v>
      </c>
      <c r="P425" s="139">
        <f t="shared" si="9"/>
        <v>8.754236106723301E-2</v>
      </c>
    </row>
    <row r="426" spans="3:16" x14ac:dyDescent="0.15">
      <c r="C426" s="8"/>
      <c r="D426" s="6">
        <v>171142</v>
      </c>
      <c r="E426" s="6">
        <v>1049.49</v>
      </c>
      <c r="F426" s="7">
        <v>40482</v>
      </c>
      <c r="G426" s="24">
        <v>170428</v>
      </c>
      <c r="H426" s="24">
        <v>1124.3399999999999</v>
      </c>
      <c r="I426" s="2">
        <f t="shared" si="4"/>
        <v>216.51493631390503</v>
      </c>
      <c r="J426" s="2">
        <f t="shared" si="5"/>
        <v>82.697597787552169</v>
      </c>
      <c r="K426" s="139">
        <f t="shared" si="6"/>
        <v>-4.1769511461455022E-2</v>
      </c>
      <c r="L426" s="139">
        <f t="shared" si="7"/>
        <v>3.6860112323284566E-2</v>
      </c>
      <c r="M426" s="2">
        <f t="shared" si="8"/>
        <v>101.96599298799822</v>
      </c>
      <c r="N426" s="2">
        <f t="shared" si="8"/>
        <v>107.41246716025795</v>
      </c>
      <c r="O426" s="139">
        <f t="shared" si="9"/>
        <v>-4.1769511461455022E-2</v>
      </c>
      <c r="P426" s="139">
        <f t="shared" si="9"/>
        <v>3.6860112323284566E-2</v>
      </c>
    </row>
    <row r="427" spans="3:16" x14ac:dyDescent="0.15">
      <c r="C427" s="8"/>
      <c r="D427" s="6">
        <v>174000</v>
      </c>
      <c r="E427" s="6">
        <v>1111.2</v>
      </c>
      <c r="F427" s="7">
        <v>40512</v>
      </c>
      <c r="G427" s="24">
        <v>171714</v>
      </c>
      <c r="H427" s="24">
        <v>1121.76</v>
      </c>
      <c r="I427" s="2">
        <f t="shared" si="4"/>
        <v>218.14869489876008</v>
      </c>
      <c r="J427" s="2">
        <f t="shared" si="5"/>
        <v>82.507833301460877</v>
      </c>
      <c r="K427" s="139">
        <f t="shared" si="6"/>
        <v>7.5457084516628026E-3</v>
      </c>
      <c r="L427" s="139">
        <f t="shared" si="7"/>
        <v>-2.2946795453332447E-3</v>
      </c>
      <c r="M427" s="2">
        <f t="shared" si="8"/>
        <v>102.73539864306994</v>
      </c>
      <c r="N427" s="2">
        <f t="shared" si="8"/>
        <v>107.16598996895152</v>
      </c>
      <c r="O427" s="139">
        <f t="shared" si="9"/>
        <v>7.5457084516628026E-3</v>
      </c>
      <c r="P427" s="139">
        <f t="shared" si="9"/>
        <v>-2.2946795453332447E-3</v>
      </c>
    </row>
    <row r="428" spans="3:16" x14ac:dyDescent="0.15">
      <c r="C428" s="8"/>
      <c r="D428" s="6">
        <v>164750</v>
      </c>
      <c r="E428" s="6">
        <v>1127.5999999999999</v>
      </c>
      <c r="F428" s="7">
        <v>40543</v>
      </c>
      <c r="G428" s="24">
        <v>172071</v>
      </c>
      <c r="H428" s="24">
        <v>1195.01</v>
      </c>
      <c r="I428" s="2">
        <f t="shared" si="4"/>
        <v>218.60223441259623</v>
      </c>
      <c r="J428" s="2">
        <f t="shared" si="5"/>
        <v>87.895526559672987</v>
      </c>
      <c r="K428" s="139">
        <f t="shared" si="6"/>
        <v>2.079038401062272E-3</v>
      </c>
      <c r="L428" s="139">
        <f t="shared" si="7"/>
        <v>6.5299172728569443E-2</v>
      </c>
      <c r="M428" s="2">
        <f t="shared" si="8"/>
        <v>102.94898948199733</v>
      </c>
      <c r="N428" s="2">
        <f t="shared" si="8"/>
        <v>114.16384045856223</v>
      </c>
      <c r="O428" s="139">
        <f t="shared" si="9"/>
        <v>2.079038401062272E-3</v>
      </c>
      <c r="P428" s="139">
        <f t="shared" si="9"/>
        <v>6.5299172728569443E-2</v>
      </c>
    </row>
    <row r="429" spans="3:16" x14ac:dyDescent="0.15">
      <c r="C429" s="8"/>
      <c r="D429" s="6">
        <v>151300</v>
      </c>
      <c r="E429" s="6">
        <v>1035.1600000000001</v>
      </c>
      <c r="F429" s="7">
        <v>40574</v>
      </c>
      <c r="G429" s="24">
        <v>174892</v>
      </c>
      <c r="H429" s="24">
        <v>1222.08</v>
      </c>
      <c r="I429" s="2">
        <f t="shared" si="4"/>
        <v>222.18608586506605</v>
      </c>
      <c r="J429" s="2">
        <f t="shared" si="5"/>
        <v>89.886582621103727</v>
      </c>
      <c r="K429" s="139">
        <f t="shared" si="6"/>
        <v>1.6394395336808643E-2</v>
      </c>
      <c r="L429" s="139">
        <f t="shared" si="7"/>
        <v>2.2652530104350532E-2</v>
      </c>
      <c r="M429" s="2">
        <f t="shared" ref="M429:M483" si="10">M428*(1+O429)</f>
        <v>104.63677591509015</v>
      </c>
      <c r="N429" s="2">
        <f t="shared" ref="N429:N483" si="11">N428*(1+P429)</f>
        <v>116.74994029137808</v>
      </c>
      <c r="O429" s="139">
        <f t="shared" ref="O429:O483" si="12">K429</f>
        <v>1.6394395336808643E-2</v>
      </c>
      <c r="P429" s="139">
        <f t="shared" ref="P429:P483" si="13">L429</f>
        <v>2.2652530104350532E-2</v>
      </c>
    </row>
    <row r="430" spans="3:16" x14ac:dyDescent="0.15">
      <c r="C430" s="8"/>
      <c r="D430" s="6">
        <v>171428</v>
      </c>
      <c r="E430" s="6">
        <v>979.39</v>
      </c>
      <c r="F430" s="7">
        <v>40602</v>
      </c>
      <c r="G430" s="24">
        <v>187571</v>
      </c>
      <c r="H430" s="24">
        <v>1261.1300000000001</v>
      </c>
      <c r="I430" s="2">
        <f t="shared" si="4"/>
        <v>238.29372590968313</v>
      </c>
      <c r="J430" s="2">
        <f t="shared" si="5"/>
        <v>92.758793156710325</v>
      </c>
      <c r="K430" s="139">
        <f t="shared" si="6"/>
        <v>7.2496169064336868E-2</v>
      </c>
      <c r="L430" s="139">
        <f t="shared" si="7"/>
        <v>3.1953718250851137E-2</v>
      </c>
      <c r="M430" s="2">
        <f t="shared" si="10"/>
        <v>112.22254131217767</v>
      </c>
      <c r="N430" s="2">
        <f t="shared" si="11"/>
        <v>120.48053498925248</v>
      </c>
      <c r="O430" s="139">
        <f t="shared" si="12"/>
        <v>7.2496169064336868E-2</v>
      </c>
      <c r="P430" s="139">
        <f t="shared" si="13"/>
        <v>3.1953718250851137E-2</v>
      </c>
    </row>
    <row r="431" spans="3:16" x14ac:dyDescent="0.15">
      <c r="C431" s="9" t="s">
        <v>16</v>
      </c>
      <c r="D431" s="6">
        <v>167142</v>
      </c>
      <c r="E431" s="6">
        <v>1046.75</v>
      </c>
      <c r="F431" s="7">
        <v>40633</v>
      </c>
      <c r="G431" s="24">
        <v>179000</v>
      </c>
      <c r="H431" s="24">
        <v>1259.81</v>
      </c>
      <c r="I431" s="2">
        <f t="shared" si="4"/>
        <v>227.40496632119721</v>
      </c>
      <c r="J431" s="2">
        <f t="shared" si="5"/>
        <v>92.661704349872906</v>
      </c>
      <c r="K431" s="139">
        <f t="shared" si="6"/>
        <v>-4.5694696941424806E-2</v>
      </c>
      <c r="L431" s="139">
        <f t="shared" si="7"/>
        <v>-1.046680358091634E-3</v>
      </c>
      <c r="M431" s="2">
        <f t="shared" si="10"/>
        <v>107.09456629692119</v>
      </c>
      <c r="N431" s="2">
        <f t="shared" si="11"/>
        <v>120.35443037974686</v>
      </c>
      <c r="O431" s="139">
        <f t="shared" si="12"/>
        <v>-4.5694696941424806E-2</v>
      </c>
      <c r="P431" s="139">
        <f t="shared" si="13"/>
        <v>-1.046680358091634E-3</v>
      </c>
    </row>
    <row r="432" spans="3:16" x14ac:dyDescent="0.15">
      <c r="C432" s="8"/>
      <c r="D432" s="6">
        <v>169535</v>
      </c>
      <c r="E432" s="6">
        <v>997.08299999999997</v>
      </c>
      <c r="F432" s="7">
        <v>40663</v>
      </c>
      <c r="G432" s="24">
        <v>178214</v>
      </c>
      <c r="H432" s="24">
        <v>1295.71</v>
      </c>
      <c r="I432" s="2">
        <f t="shared" si="4"/>
        <v>226.40641713947394</v>
      </c>
      <c r="J432" s="2">
        <f t="shared" si="5"/>
        <v>95.302225687344773</v>
      </c>
      <c r="K432" s="139">
        <f t="shared" si="6"/>
        <v>-4.3910614525140002E-3</v>
      </c>
      <c r="L432" s="139">
        <f t="shared" si="7"/>
        <v>2.8496360562306977E-2</v>
      </c>
      <c r="M432" s="2">
        <f t="shared" si="10"/>
        <v>106.62430747508107</v>
      </c>
      <c r="N432" s="2">
        <f t="shared" si="11"/>
        <v>123.7840936231192</v>
      </c>
      <c r="O432" s="139">
        <f t="shared" si="12"/>
        <v>-4.3910614525140002E-3</v>
      </c>
      <c r="P432" s="139">
        <f t="shared" si="13"/>
        <v>2.8496360562306977E-2</v>
      </c>
    </row>
    <row r="433" spans="3:16" x14ac:dyDescent="0.15">
      <c r="C433" s="8"/>
      <c r="D433" s="6">
        <v>177857</v>
      </c>
      <c r="E433" s="6">
        <v>1084.3699999999999</v>
      </c>
      <c r="F433" s="7">
        <v>40694</v>
      </c>
      <c r="G433" s="24">
        <v>169678</v>
      </c>
      <c r="H433" s="24">
        <v>1278.22</v>
      </c>
      <c r="I433" s="2">
        <f t="shared" ref="I433:I483" si="14">I432*(1+K433)</f>
        <v>215.56212220920725</v>
      </c>
      <c r="J433" s="2">
        <f t="shared" ref="J433:J483" si="15">J432*(1+L433)</f>
        <v>94.01579899674914</v>
      </c>
      <c r="K433" s="139">
        <f t="shared" ref="K433:K483" si="16">G433/G432-1</f>
        <v>-4.7897471579112727E-2</v>
      </c>
      <c r="L433" s="139">
        <f t="shared" ref="L433:L483" si="17">H433/H432-1</f>
        <v>-1.3498390843630137E-2</v>
      </c>
      <c r="M433" s="2">
        <f t="shared" si="10"/>
        <v>101.51727273815079</v>
      </c>
      <c r="N433" s="2">
        <f t="shared" si="11"/>
        <v>122.11320754716984</v>
      </c>
      <c r="O433" s="139">
        <f t="shared" si="12"/>
        <v>-4.7897471579112727E-2</v>
      </c>
      <c r="P433" s="139">
        <f t="shared" si="13"/>
        <v>-1.3498390843630137E-2</v>
      </c>
    </row>
    <row r="434" spans="3:16" x14ac:dyDescent="0.15">
      <c r="C434" s="8"/>
      <c r="D434" s="6">
        <v>170428</v>
      </c>
      <c r="E434" s="6">
        <v>1124.3399999999999</v>
      </c>
      <c r="F434" s="7">
        <v>40724</v>
      </c>
      <c r="G434" s="24">
        <v>165864</v>
      </c>
      <c r="H434" s="24">
        <v>1254.8800000000001</v>
      </c>
      <c r="I434" s="2">
        <f t="shared" si="14"/>
        <v>210.71674488211761</v>
      </c>
      <c r="J434" s="2">
        <f t="shared" si="15"/>
        <v>92.299092366760462</v>
      </c>
      <c r="K434" s="139">
        <f t="shared" si="16"/>
        <v>-2.2477869847593701E-2</v>
      </c>
      <c r="L434" s="139">
        <f t="shared" si="17"/>
        <v>-1.825976748916458E-2</v>
      </c>
      <c r="M434" s="2">
        <f t="shared" si="10"/>
        <v>99.235380694259973</v>
      </c>
      <c r="N434" s="2">
        <f t="shared" si="11"/>
        <v>119.88344877000242</v>
      </c>
      <c r="O434" s="139">
        <f t="shared" si="12"/>
        <v>-2.2477869847593701E-2</v>
      </c>
      <c r="P434" s="139">
        <f t="shared" si="13"/>
        <v>-1.825976748916458E-2</v>
      </c>
    </row>
    <row r="435" spans="3:16" x14ac:dyDescent="0.15">
      <c r="C435" s="8"/>
      <c r="D435" s="6">
        <v>171714</v>
      </c>
      <c r="E435" s="6">
        <v>1121.76</v>
      </c>
      <c r="F435" s="7">
        <v>40755</v>
      </c>
      <c r="G435" s="24">
        <v>159285</v>
      </c>
      <c r="H435" s="24">
        <v>1227.93</v>
      </c>
      <c r="I435" s="2">
        <f t="shared" si="14"/>
        <v>202.3586595557089</v>
      </c>
      <c r="J435" s="2">
        <f t="shared" si="15"/>
        <v>90.316862560496759</v>
      </c>
      <c r="K435" s="139">
        <f t="shared" si="16"/>
        <v>-3.9665026768919143E-2</v>
      </c>
      <c r="L435" s="139">
        <f t="shared" si="17"/>
        <v>-2.147615708274897E-2</v>
      </c>
      <c r="M435" s="2">
        <f t="shared" si="10"/>
        <v>95.299206662598266</v>
      </c>
      <c r="N435" s="2">
        <f t="shared" si="11"/>
        <v>117.30881299259616</v>
      </c>
      <c r="O435" s="139">
        <f t="shared" si="12"/>
        <v>-3.9665026768919143E-2</v>
      </c>
      <c r="P435" s="139">
        <f t="shared" si="13"/>
        <v>-2.147615708274897E-2</v>
      </c>
    </row>
    <row r="436" spans="3:16" x14ac:dyDescent="0.15">
      <c r="C436" s="8"/>
      <c r="D436" s="6">
        <v>172071</v>
      </c>
      <c r="E436" s="6">
        <v>1195.01</v>
      </c>
      <c r="F436" s="7">
        <v>40786</v>
      </c>
      <c r="G436" s="24">
        <v>156812</v>
      </c>
      <c r="H436" s="24">
        <v>1158.2</v>
      </c>
      <c r="I436" s="2">
        <f t="shared" si="14"/>
        <v>199.21691384781883</v>
      </c>
      <c r="J436" s="2">
        <f t="shared" si="15"/>
        <v>85.18807278718441</v>
      </c>
      <c r="K436" s="139">
        <f t="shared" si="16"/>
        <v>-1.5525630159776482E-2</v>
      </c>
      <c r="L436" s="139">
        <f t="shared" si="17"/>
        <v>-5.6786624644727279E-2</v>
      </c>
      <c r="M436" s="2">
        <f t="shared" si="10"/>
        <v>93.819626425434663</v>
      </c>
      <c r="N436" s="2">
        <f t="shared" si="11"/>
        <v>110.64724146166709</v>
      </c>
      <c r="O436" s="139">
        <f t="shared" si="12"/>
        <v>-1.5525630159776482E-2</v>
      </c>
      <c r="P436" s="139">
        <f t="shared" si="13"/>
        <v>-5.6786624644727279E-2</v>
      </c>
    </row>
    <row r="437" spans="3:16" x14ac:dyDescent="0.15">
      <c r="C437" s="8"/>
      <c r="D437" s="6">
        <v>174892</v>
      </c>
      <c r="E437" s="6">
        <v>1222.08</v>
      </c>
      <c r="F437" s="7">
        <v>40816</v>
      </c>
      <c r="G437" s="24">
        <v>152571</v>
      </c>
      <c r="H437" s="24">
        <v>1075.08</v>
      </c>
      <c r="I437" s="2">
        <f t="shared" si="14"/>
        <v>193.82906769045459</v>
      </c>
      <c r="J437" s="2">
        <f t="shared" si="15"/>
        <v>79.074420041483521</v>
      </c>
      <c r="K437" s="139">
        <f t="shared" si="16"/>
        <v>-2.704512409764559E-2</v>
      </c>
      <c r="L437" s="139">
        <f t="shared" si="17"/>
        <v>-7.1766534277326932E-2</v>
      </c>
      <c r="M437" s="2">
        <f t="shared" si="10"/>
        <v>91.282262985964039</v>
      </c>
      <c r="N437" s="2">
        <f t="shared" si="11"/>
        <v>102.7064724146167</v>
      </c>
      <c r="O437" s="139">
        <f t="shared" si="12"/>
        <v>-2.704512409764559E-2</v>
      </c>
      <c r="P437" s="139">
        <f t="shared" si="13"/>
        <v>-7.1766534277326932E-2</v>
      </c>
    </row>
    <row r="438" spans="3:16" x14ac:dyDescent="0.15">
      <c r="C438" s="8"/>
      <c r="D438" s="6">
        <v>187571</v>
      </c>
      <c r="E438" s="6">
        <v>1261.1300000000001</v>
      </c>
      <c r="F438" s="7">
        <v>40847</v>
      </c>
      <c r="G438" s="24">
        <v>167071</v>
      </c>
      <c r="H438" s="24">
        <v>1190.8900000000001</v>
      </c>
      <c r="I438" s="2">
        <f t="shared" si="14"/>
        <v>212.25014038127784</v>
      </c>
      <c r="J438" s="2">
        <f t="shared" si="15"/>
        <v>87.592491798938056</v>
      </c>
      <c r="K438" s="139">
        <f t="shared" si="16"/>
        <v>9.5037720143408722E-2</v>
      </c>
      <c r="L438" s="139">
        <f t="shared" si="17"/>
        <v>0.10772221602113352</v>
      </c>
      <c r="M438" s="2">
        <f t="shared" si="10"/>
        <v>99.957521149681128</v>
      </c>
      <c r="N438" s="2">
        <f t="shared" si="11"/>
        <v>113.77024122283262</v>
      </c>
      <c r="O438" s="139">
        <f t="shared" si="12"/>
        <v>9.5037720143408722E-2</v>
      </c>
      <c r="P438" s="139">
        <f t="shared" si="13"/>
        <v>0.10772221602113352</v>
      </c>
    </row>
    <row r="439" spans="3:16" x14ac:dyDescent="0.15">
      <c r="C439" s="8"/>
      <c r="D439" s="6">
        <v>179000</v>
      </c>
      <c r="E439" s="6">
        <v>1259.81</v>
      </c>
      <c r="F439" s="7">
        <v>40877</v>
      </c>
      <c r="G439" s="24">
        <v>169285</v>
      </c>
      <c r="H439" s="24">
        <v>1184.8699999999999</v>
      </c>
      <c r="I439" s="2">
        <f t="shared" si="14"/>
        <v>215.06284761834561</v>
      </c>
      <c r="J439" s="2">
        <f t="shared" si="15"/>
        <v>87.149707998058361</v>
      </c>
      <c r="K439" s="139">
        <f t="shared" si="16"/>
        <v>1.3251851009451032E-2</v>
      </c>
      <c r="L439" s="139">
        <f t="shared" si="17"/>
        <v>-5.0550428670995684E-3</v>
      </c>
      <c r="M439" s="2">
        <f t="shared" si="10"/>
        <v>101.28214332723076</v>
      </c>
      <c r="N439" s="2">
        <f t="shared" si="11"/>
        <v>113.19512777645095</v>
      </c>
      <c r="O439" s="139">
        <f t="shared" si="12"/>
        <v>1.3251851009451032E-2</v>
      </c>
      <c r="P439" s="139">
        <f t="shared" si="13"/>
        <v>-5.0550428670995684E-3</v>
      </c>
    </row>
    <row r="440" spans="3:16" x14ac:dyDescent="0.15">
      <c r="C440" s="8"/>
      <c r="D440" s="6">
        <v>178214</v>
      </c>
      <c r="E440" s="6">
        <v>1295.71</v>
      </c>
      <c r="F440" s="7">
        <v>40908</v>
      </c>
      <c r="G440" s="24">
        <v>163935</v>
      </c>
      <c r="H440" s="24">
        <v>1194.98</v>
      </c>
      <c r="I440" s="2">
        <f t="shared" si="14"/>
        <v>208.26610700483499</v>
      </c>
      <c r="J440" s="2">
        <f t="shared" si="15"/>
        <v>87.893319995881228</v>
      </c>
      <c r="K440" s="139">
        <f t="shared" si="16"/>
        <v>-3.1603508875564845E-2</v>
      </c>
      <c r="L440" s="139">
        <f t="shared" si="17"/>
        <v>8.5325816334282933E-3</v>
      </c>
      <c r="M440" s="2">
        <f t="shared" si="10"/>
        <v>98.08127221165239</v>
      </c>
      <c r="N440" s="2">
        <f t="shared" si="11"/>
        <v>114.16097444470986</v>
      </c>
      <c r="O440" s="139">
        <f t="shared" si="12"/>
        <v>-3.1603508875564845E-2</v>
      </c>
      <c r="P440" s="139">
        <f t="shared" si="13"/>
        <v>8.5325816334282933E-3</v>
      </c>
    </row>
    <row r="441" spans="3:16" x14ac:dyDescent="0.15">
      <c r="C441" s="8"/>
      <c r="D441" s="6">
        <v>169678</v>
      </c>
      <c r="E441" s="6">
        <v>1278.22</v>
      </c>
      <c r="F441" s="7">
        <v>40939</v>
      </c>
      <c r="G441" s="24">
        <v>168464</v>
      </c>
      <c r="H441" s="24">
        <v>1247.06</v>
      </c>
      <c r="I441" s="2">
        <f t="shared" si="14"/>
        <v>214.01983377840315</v>
      </c>
      <c r="J441" s="2">
        <f t="shared" si="15"/>
        <v>91.723914738375242</v>
      </c>
      <c r="K441" s="139">
        <f t="shared" si="16"/>
        <v>2.7626803306188386E-2</v>
      </c>
      <c r="L441" s="139">
        <f t="shared" si="17"/>
        <v>4.3582319369361855E-2</v>
      </c>
      <c r="M441" s="2">
        <f t="shared" si="10"/>
        <v>100.79094422706443</v>
      </c>
      <c r="N441" s="2">
        <f t="shared" si="11"/>
        <v>119.13637449247676</v>
      </c>
      <c r="O441" s="139">
        <f t="shared" si="12"/>
        <v>2.7626803306188386E-2</v>
      </c>
      <c r="P441" s="139">
        <f t="shared" si="13"/>
        <v>4.3582319369361855E-2</v>
      </c>
    </row>
    <row r="442" spans="3:16" x14ac:dyDescent="0.15">
      <c r="C442" s="8"/>
      <c r="D442" s="6">
        <v>165864</v>
      </c>
      <c r="E442" s="6">
        <v>1254.8800000000001</v>
      </c>
      <c r="F442" s="7">
        <v>40968</v>
      </c>
      <c r="G442" s="24">
        <v>168477</v>
      </c>
      <c r="H442" s="24">
        <v>1297.68</v>
      </c>
      <c r="I442" s="2">
        <f t="shared" si="14"/>
        <v>214.03634922288458</v>
      </c>
      <c r="J442" s="2">
        <f t="shared" si="15"/>
        <v>95.447123376336975</v>
      </c>
      <c r="K442" s="139">
        <f t="shared" si="16"/>
        <v>7.7167822205348457E-5</v>
      </c>
      <c r="L442" s="139">
        <f t="shared" si="17"/>
        <v>4.0591471140121627E-2</v>
      </c>
      <c r="M442" s="2">
        <f t="shared" si="10"/>
        <v>100.79872204472845</v>
      </c>
      <c r="N442" s="2">
        <f t="shared" si="11"/>
        <v>123.97229519942685</v>
      </c>
      <c r="O442" s="139">
        <f t="shared" si="12"/>
        <v>7.7167822205348457E-5</v>
      </c>
      <c r="P442" s="139">
        <f t="shared" si="13"/>
        <v>4.0591471140121627E-2</v>
      </c>
    </row>
    <row r="443" spans="3:16" x14ac:dyDescent="0.15">
      <c r="C443" s="9" t="s">
        <v>15</v>
      </c>
      <c r="D443" s="6">
        <v>159285</v>
      </c>
      <c r="E443" s="6">
        <v>1227.93</v>
      </c>
      <c r="F443" s="7">
        <v>40999</v>
      </c>
      <c r="G443" s="24">
        <v>174142</v>
      </c>
      <c r="H443" s="24">
        <v>1338.34</v>
      </c>
      <c r="I443" s="2">
        <f t="shared" si="14"/>
        <v>221.23327176036827</v>
      </c>
      <c r="J443" s="2">
        <f t="shared" si="15"/>
        <v>98.437752835434623</v>
      </c>
      <c r="K443" s="139">
        <f t="shared" si="16"/>
        <v>3.3624767772455488E-2</v>
      </c>
      <c r="L443" s="139">
        <f t="shared" si="17"/>
        <v>3.1332840145490204E-2</v>
      </c>
      <c r="M443" s="2">
        <f t="shared" si="10"/>
        <v>104.18805566524273</v>
      </c>
      <c r="N443" s="2">
        <f t="shared" si="11"/>
        <v>127.85669930738001</v>
      </c>
      <c r="O443" s="139">
        <f t="shared" si="12"/>
        <v>3.3624767772455488E-2</v>
      </c>
      <c r="P443" s="139">
        <f t="shared" si="13"/>
        <v>3.1332840145490204E-2</v>
      </c>
    </row>
    <row r="444" spans="3:16" x14ac:dyDescent="0.15">
      <c r="C444" s="8"/>
      <c r="D444" s="6">
        <v>156812</v>
      </c>
      <c r="E444" s="6">
        <v>1158.2</v>
      </c>
      <c r="F444" s="7">
        <v>41029</v>
      </c>
      <c r="G444" s="24">
        <v>172571</v>
      </c>
      <c r="H444" s="24">
        <v>1328.3</v>
      </c>
      <c r="I444" s="2">
        <f t="shared" si="14"/>
        <v>219.23744381572806</v>
      </c>
      <c r="J444" s="2">
        <f t="shared" si="15"/>
        <v>97.699289486459207</v>
      </c>
      <c r="K444" s="139">
        <f t="shared" si="16"/>
        <v>-9.021373361968954E-3</v>
      </c>
      <c r="L444" s="139">
        <f t="shared" si="17"/>
        <v>-7.5018306259992951E-3</v>
      </c>
      <c r="M444" s="2">
        <f t="shared" si="10"/>
        <v>103.24813631522898</v>
      </c>
      <c r="N444" s="2">
        <f t="shared" si="11"/>
        <v>126.89754000477673</v>
      </c>
      <c r="O444" s="139">
        <f t="shared" si="12"/>
        <v>-9.021373361968954E-3</v>
      </c>
      <c r="P444" s="139">
        <f t="shared" si="13"/>
        <v>-7.5018306259992951E-3</v>
      </c>
    </row>
    <row r="445" spans="3:16" x14ac:dyDescent="0.15">
      <c r="C445" s="8"/>
      <c r="D445" s="6">
        <v>152571</v>
      </c>
      <c r="E445" s="6">
        <v>1075.08</v>
      </c>
      <c r="F445" s="7">
        <v>41060</v>
      </c>
      <c r="G445" s="24">
        <v>169785</v>
      </c>
      <c r="H445" s="24">
        <v>1245.08</v>
      </c>
      <c r="I445" s="2">
        <f t="shared" si="14"/>
        <v>215.69805702147747</v>
      </c>
      <c r="J445" s="2">
        <f t="shared" si="15"/>
        <v>91.57828152811912</v>
      </c>
      <c r="K445" s="139">
        <f t="shared" si="16"/>
        <v>-1.6144079828012803E-2</v>
      </c>
      <c r="L445" s="139">
        <f t="shared" si="17"/>
        <v>-6.2651509448166887E-2</v>
      </c>
      <c r="M445" s="2">
        <f t="shared" si="10"/>
        <v>101.58129016046237</v>
      </c>
      <c r="N445" s="2">
        <f t="shared" si="11"/>
        <v>118.94721757821833</v>
      </c>
      <c r="O445" s="139">
        <f t="shared" si="12"/>
        <v>-1.6144079828012803E-2</v>
      </c>
      <c r="P445" s="139">
        <f t="shared" si="13"/>
        <v>-6.2651509448166887E-2</v>
      </c>
    </row>
    <row r="446" spans="3:16" x14ac:dyDescent="0.15">
      <c r="C446" s="8"/>
      <c r="D446" s="6">
        <v>167071</v>
      </c>
      <c r="E446" s="6">
        <v>1190.8900000000001</v>
      </c>
      <c r="F446" s="7">
        <v>41090</v>
      </c>
      <c r="G446" s="24">
        <v>178492</v>
      </c>
      <c r="H446" s="24">
        <v>1294.33</v>
      </c>
      <c r="I446" s="2">
        <f t="shared" si="14"/>
        <v>226.75959356761524</v>
      </c>
      <c r="J446" s="2">
        <f t="shared" si="15"/>
        <v>95.200723752923849</v>
      </c>
      <c r="K446" s="139">
        <f t="shared" si="16"/>
        <v>5.128250434372883E-2</v>
      </c>
      <c r="L446" s="139">
        <f t="shared" si="17"/>
        <v>3.9555691200565457E-2</v>
      </c>
      <c r="M446" s="2">
        <f t="shared" si="10"/>
        <v>106.79063311435786</v>
      </c>
      <c r="N446" s="2">
        <f t="shared" si="11"/>
        <v>123.65225698590881</v>
      </c>
      <c r="O446" s="139">
        <f t="shared" si="12"/>
        <v>5.128250434372883E-2</v>
      </c>
      <c r="P446" s="139">
        <f t="shared" si="13"/>
        <v>3.9555691200565457E-2</v>
      </c>
    </row>
    <row r="447" spans="3:16" x14ac:dyDescent="0.15">
      <c r="C447" s="8"/>
      <c r="D447" s="6">
        <v>169285</v>
      </c>
      <c r="E447" s="6">
        <v>1184.8699999999999</v>
      </c>
      <c r="F447" s="7">
        <v>41121</v>
      </c>
      <c r="G447" s="24">
        <v>182064</v>
      </c>
      <c r="H447" s="24">
        <v>1310.6400000000001</v>
      </c>
      <c r="I447" s="2">
        <f t="shared" si="14"/>
        <v>231.29752954358909</v>
      </c>
      <c r="J447" s="2">
        <f t="shared" si="15"/>
        <v>96.400358934376953</v>
      </c>
      <c r="K447" s="139">
        <f t="shared" si="16"/>
        <v>2.0012101382695047E-2</v>
      </c>
      <c r="L447" s="139">
        <f t="shared" si="17"/>
        <v>1.2601114089915377E-2</v>
      </c>
      <c r="M447" s="2">
        <f t="shared" si="10"/>
        <v>108.92773809096458</v>
      </c>
      <c r="N447" s="2">
        <f t="shared" si="11"/>
        <v>125.21041318366377</v>
      </c>
      <c r="O447" s="139">
        <f t="shared" si="12"/>
        <v>2.0012101382695047E-2</v>
      </c>
      <c r="P447" s="139">
        <f t="shared" si="13"/>
        <v>1.2601114089915377E-2</v>
      </c>
    </row>
    <row r="448" spans="3:16" x14ac:dyDescent="0.15">
      <c r="C448" s="8"/>
      <c r="D448" s="6">
        <v>163935</v>
      </c>
      <c r="E448" s="6">
        <v>1194.98</v>
      </c>
      <c r="F448" s="7">
        <v>41152</v>
      </c>
      <c r="G448" s="24">
        <v>180799</v>
      </c>
      <c r="H448" s="24">
        <v>1336.54</v>
      </c>
      <c r="I448" s="2">
        <f t="shared" si="14"/>
        <v>229.69044975366555</v>
      </c>
      <c r="J448" s="2">
        <f t="shared" si="15"/>
        <v>98.305359007929084</v>
      </c>
      <c r="K448" s="139">
        <f t="shared" si="16"/>
        <v>-6.9481061604710348E-3</v>
      </c>
      <c r="L448" s="139">
        <f t="shared" si="17"/>
        <v>1.9761337972288295E-2</v>
      </c>
      <c r="M448" s="2">
        <f t="shared" si="10"/>
        <v>108.17089660288858</v>
      </c>
      <c r="N448" s="2">
        <f t="shared" si="11"/>
        <v>127.68473847623602</v>
      </c>
      <c r="O448" s="139">
        <f t="shared" si="12"/>
        <v>-6.9481061604710348E-3</v>
      </c>
      <c r="P448" s="139">
        <f t="shared" si="13"/>
        <v>1.9761337972288295E-2</v>
      </c>
    </row>
    <row r="449" spans="3:16" x14ac:dyDescent="0.15">
      <c r="C449" s="8"/>
      <c r="D449" s="6">
        <v>168464</v>
      </c>
      <c r="E449" s="6">
        <v>1247.06</v>
      </c>
      <c r="F449" s="7">
        <v>41182</v>
      </c>
      <c r="G449" s="24">
        <v>189571</v>
      </c>
      <c r="H449" s="24">
        <v>1368.93</v>
      </c>
      <c r="I449" s="2">
        <f t="shared" si="14"/>
        <v>240.83456352221049</v>
      </c>
      <c r="J449" s="2">
        <f t="shared" si="15"/>
        <v>100.68771238176514</v>
      </c>
      <c r="K449" s="139">
        <f t="shared" si="16"/>
        <v>4.8517967466634282E-2</v>
      </c>
      <c r="L449" s="139">
        <f t="shared" si="17"/>
        <v>2.4234216708815426E-2</v>
      </c>
      <c r="M449" s="2">
        <f t="shared" si="10"/>
        <v>113.41912864510418</v>
      </c>
      <c r="N449" s="2">
        <f t="shared" si="11"/>
        <v>130.77907809887753</v>
      </c>
      <c r="O449" s="139">
        <f t="shared" si="12"/>
        <v>4.8517967466634282E-2</v>
      </c>
      <c r="P449" s="139">
        <f t="shared" si="13"/>
        <v>2.4234216708815426E-2</v>
      </c>
    </row>
    <row r="450" spans="3:16" x14ac:dyDescent="0.15">
      <c r="C450" s="8"/>
      <c r="D450" s="6">
        <v>168477</v>
      </c>
      <c r="E450" s="6">
        <v>1297.68</v>
      </c>
      <c r="F450" s="7">
        <v>41213</v>
      </c>
      <c r="G450" s="24">
        <v>185007</v>
      </c>
      <c r="H450" s="24">
        <v>1341.84</v>
      </c>
      <c r="I450" s="2">
        <f t="shared" si="14"/>
        <v>235.03637209042307</v>
      </c>
      <c r="J450" s="2">
        <f t="shared" si="15"/>
        <v>98.695185277806544</v>
      </c>
      <c r="K450" s="139">
        <f t="shared" si="16"/>
        <v>-2.4075412378475658E-2</v>
      </c>
      <c r="L450" s="139">
        <f t="shared" si="17"/>
        <v>-1.9789178409414743E-2</v>
      </c>
      <c r="M450" s="2">
        <f t="shared" si="10"/>
        <v>110.68851635136592</v>
      </c>
      <c r="N450" s="2">
        <f t="shared" si="11"/>
        <v>128.19106759016006</v>
      </c>
      <c r="O450" s="139">
        <f t="shared" si="12"/>
        <v>-2.4075412378475658E-2</v>
      </c>
      <c r="P450" s="139">
        <f t="shared" si="13"/>
        <v>-1.9789178409414743E-2</v>
      </c>
    </row>
    <row r="451" spans="3:16" x14ac:dyDescent="0.15">
      <c r="C451" s="8"/>
      <c r="D451" s="6">
        <v>174142</v>
      </c>
      <c r="E451" s="6">
        <v>1338.34</v>
      </c>
      <c r="F451" s="7">
        <v>41243</v>
      </c>
      <c r="G451" s="24">
        <v>188451</v>
      </c>
      <c r="H451" s="24">
        <v>1345.66</v>
      </c>
      <c r="I451" s="2">
        <f t="shared" si="14"/>
        <v>239.41169445919516</v>
      </c>
      <c r="J451" s="2">
        <f t="shared" si="15"/>
        <v>98.976154400623884</v>
      </c>
      <c r="K451" s="139">
        <f t="shared" si="16"/>
        <v>1.8615511845497812E-2</v>
      </c>
      <c r="L451" s="139">
        <f t="shared" si="17"/>
        <v>2.8468371787992997E-3</v>
      </c>
      <c r="M451" s="2">
        <f t="shared" si="10"/>
        <v>112.74903973866535</v>
      </c>
      <c r="N451" s="2">
        <f t="shared" si="11"/>
        <v>128.55600668736571</v>
      </c>
      <c r="O451" s="139">
        <f t="shared" si="12"/>
        <v>1.8615511845497812E-2</v>
      </c>
      <c r="P451" s="139">
        <f t="shared" si="13"/>
        <v>2.8468371787992997E-3</v>
      </c>
    </row>
    <row r="452" spans="3:16" x14ac:dyDescent="0.15">
      <c r="C452" s="8"/>
      <c r="D452" s="6">
        <v>172571</v>
      </c>
      <c r="E452" s="6">
        <v>1328.3</v>
      </c>
      <c r="F452" s="7">
        <v>41274</v>
      </c>
      <c r="G452" s="24">
        <v>191514</v>
      </c>
      <c r="H452" s="24">
        <v>1355.17</v>
      </c>
      <c r="I452" s="2">
        <f t="shared" si="14"/>
        <v>243.30298726278082</v>
      </c>
      <c r="J452" s="2">
        <f t="shared" si="15"/>
        <v>99.675635122611567</v>
      </c>
      <c r="K452" s="139">
        <f t="shared" si="16"/>
        <v>1.6253561933871508E-2</v>
      </c>
      <c r="L452" s="139">
        <f t="shared" si="17"/>
        <v>7.0671640681896353E-3</v>
      </c>
      <c r="M452" s="2">
        <f t="shared" si="10"/>
        <v>114.58161323904228</v>
      </c>
      <c r="N452" s="2">
        <f t="shared" si="11"/>
        <v>129.46453307857661</v>
      </c>
      <c r="O452" s="139">
        <f t="shared" si="12"/>
        <v>1.6253561933871508E-2</v>
      </c>
      <c r="P452" s="139">
        <f t="shared" si="13"/>
        <v>7.0671640681896353E-3</v>
      </c>
    </row>
    <row r="453" spans="3:16" x14ac:dyDescent="0.15">
      <c r="C453" s="8"/>
      <c r="D453" s="6">
        <v>169785</v>
      </c>
      <c r="E453" s="6">
        <v>1245.08</v>
      </c>
      <c r="F453" s="7">
        <v>41305</v>
      </c>
      <c r="G453" s="24">
        <v>208392</v>
      </c>
      <c r="H453" s="24">
        <v>1423.51</v>
      </c>
      <c r="I453" s="2">
        <f t="shared" si="14"/>
        <v>264.74511587489911</v>
      </c>
      <c r="J453" s="2">
        <f t="shared" si="15"/>
        <v>104.70218744023907</v>
      </c>
      <c r="K453" s="139">
        <f t="shared" si="16"/>
        <v>8.8129327359879772E-2</v>
      </c>
      <c r="L453" s="139">
        <f t="shared" si="17"/>
        <v>5.0429097456407668E-2</v>
      </c>
      <c r="M453" s="2">
        <f t="shared" si="10"/>
        <v>124.67961374160897</v>
      </c>
      <c r="N453" s="2">
        <f t="shared" si="11"/>
        <v>135.99331263434445</v>
      </c>
      <c r="O453" s="139">
        <f t="shared" si="12"/>
        <v>8.8129327359879772E-2</v>
      </c>
      <c r="P453" s="139">
        <f t="shared" si="13"/>
        <v>5.0429097456407668E-2</v>
      </c>
    </row>
    <row r="454" spans="3:16" x14ac:dyDescent="0.15">
      <c r="C454" s="8"/>
      <c r="D454" s="6">
        <v>178492</v>
      </c>
      <c r="E454" s="6">
        <v>1294.33</v>
      </c>
      <c r="F454" s="7">
        <v>41333</v>
      </c>
      <c r="G454" s="24">
        <v>218000</v>
      </c>
      <c r="H454" s="24">
        <v>1439.26</v>
      </c>
      <c r="I454" s="2">
        <f t="shared" si="14"/>
        <v>276.95129976548043</v>
      </c>
      <c r="J454" s="2">
        <f t="shared" si="15"/>
        <v>105.86063343091266</v>
      </c>
      <c r="K454" s="139">
        <f t="shared" si="16"/>
        <v>4.6105416714653069E-2</v>
      </c>
      <c r="L454" s="139">
        <f t="shared" si="17"/>
        <v>1.1064200462237661E-2</v>
      </c>
      <c r="M454" s="2">
        <f t="shared" si="10"/>
        <v>130.42801928898785</v>
      </c>
      <c r="N454" s="2">
        <f t="shared" si="11"/>
        <v>137.49796990685459</v>
      </c>
      <c r="O454" s="139">
        <f t="shared" si="12"/>
        <v>4.6105416714653069E-2</v>
      </c>
      <c r="P454" s="139">
        <f t="shared" si="13"/>
        <v>1.1064200462237661E-2</v>
      </c>
    </row>
    <row r="455" spans="3:16" x14ac:dyDescent="0.15">
      <c r="C455" s="9" t="s">
        <v>14</v>
      </c>
      <c r="D455" s="6">
        <v>182064</v>
      </c>
      <c r="E455" s="6">
        <v>1310.6400000000001</v>
      </c>
      <c r="F455" s="7">
        <v>41364</v>
      </c>
      <c r="G455" s="24">
        <v>223257</v>
      </c>
      <c r="H455" s="24">
        <v>1491.05</v>
      </c>
      <c r="I455" s="2">
        <f t="shared" si="14"/>
        <v>283.62989143000851</v>
      </c>
      <c r="J455" s="2">
        <f t="shared" si="15"/>
        <v>109.66989805675298</v>
      </c>
      <c r="K455" s="139">
        <f t="shared" si="16"/>
        <v>2.4114678899082476E-2</v>
      </c>
      <c r="L455" s="139">
        <f t="shared" si="17"/>
        <v>3.5983769437071711E-2</v>
      </c>
      <c r="M455" s="2">
        <f t="shared" si="10"/>
        <v>133.57324909358513</v>
      </c>
      <c r="N455" s="2">
        <f t="shared" si="11"/>
        <v>142.44566515404827</v>
      </c>
      <c r="O455" s="139">
        <f t="shared" si="12"/>
        <v>2.4114678899082476E-2</v>
      </c>
      <c r="P455" s="139">
        <f t="shared" si="13"/>
        <v>3.5983769437071711E-2</v>
      </c>
    </row>
    <row r="456" spans="3:16" x14ac:dyDescent="0.15">
      <c r="C456" s="8"/>
      <c r="D456" s="6">
        <v>180799</v>
      </c>
      <c r="E456" s="6">
        <v>1336.54</v>
      </c>
      <c r="F456" s="7">
        <v>41394</v>
      </c>
      <c r="G456" s="24">
        <v>227142</v>
      </c>
      <c r="H456" s="24">
        <v>1518.02</v>
      </c>
      <c r="I456" s="2">
        <f t="shared" si="14"/>
        <v>288.56546849234286</v>
      </c>
      <c r="J456" s="2">
        <f t="shared" si="15"/>
        <v>111.65359890554454</v>
      </c>
      <c r="K456" s="139">
        <f t="shared" si="16"/>
        <v>1.7401470054690282E-2</v>
      </c>
      <c r="L456" s="139">
        <f t="shared" si="17"/>
        <v>1.8087924616880802E-2</v>
      </c>
      <c r="M456" s="2">
        <f t="shared" si="10"/>
        <v>135.89761998779485</v>
      </c>
      <c r="N456" s="2">
        <f t="shared" si="11"/>
        <v>145.02221160735613</v>
      </c>
      <c r="O456" s="139">
        <f t="shared" si="12"/>
        <v>1.7401470054690282E-2</v>
      </c>
      <c r="P456" s="139">
        <f t="shared" si="13"/>
        <v>1.8087924616880802E-2</v>
      </c>
    </row>
    <row r="457" spans="3:16" x14ac:dyDescent="0.15">
      <c r="C457" s="8"/>
      <c r="D457" s="6">
        <v>189571</v>
      </c>
      <c r="E457" s="6">
        <v>1368.93</v>
      </c>
      <c r="F457" s="7">
        <v>41425</v>
      </c>
      <c r="G457" s="24">
        <v>244714</v>
      </c>
      <c r="H457" s="24">
        <v>1549.54</v>
      </c>
      <c r="I457" s="2">
        <f t="shared" si="14"/>
        <v>310.88926775600811</v>
      </c>
      <c r="J457" s="2">
        <f t="shared" si="15"/>
        <v>113.97196192941956</v>
      </c>
      <c r="K457" s="139">
        <f t="shared" si="16"/>
        <v>7.7361298218735497E-2</v>
      </c>
      <c r="L457" s="139">
        <f t="shared" si="17"/>
        <v>2.0763889803823377E-2</v>
      </c>
      <c r="M457" s="2">
        <f t="shared" si="10"/>
        <v>146.41083629488705</v>
      </c>
      <c r="N457" s="2">
        <f t="shared" si="11"/>
        <v>148.03343682827801</v>
      </c>
      <c r="O457" s="139">
        <f t="shared" si="12"/>
        <v>7.7361298218735497E-2</v>
      </c>
      <c r="P457" s="139">
        <f t="shared" si="13"/>
        <v>2.0763889803823377E-2</v>
      </c>
    </row>
    <row r="458" spans="3:16" x14ac:dyDescent="0.15">
      <c r="C458" s="8"/>
      <c r="D458" s="6">
        <v>185007</v>
      </c>
      <c r="E458" s="6">
        <v>1341.84</v>
      </c>
      <c r="F458" s="7">
        <v>41455</v>
      </c>
      <c r="G458" s="24">
        <v>240857</v>
      </c>
      <c r="H458" s="24">
        <v>1526.3</v>
      </c>
      <c r="I458" s="2">
        <f t="shared" si="14"/>
        <v>305.98926242024913</v>
      </c>
      <c r="J458" s="2">
        <f t="shared" si="15"/>
        <v>112.26261051207008</v>
      </c>
      <c r="K458" s="139">
        <f t="shared" si="16"/>
        <v>-1.5761255996796231E-2</v>
      </c>
      <c r="L458" s="139">
        <f t="shared" si="17"/>
        <v>-1.4997999406275442E-2</v>
      </c>
      <c r="M458" s="2">
        <f t="shared" si="10"/>
        <v>144.10321762333831</v>
      </c>
      <c r="N458" s="2">
        <f t="shared" si="11"/>
        <v>145.8132314306186</v>
      </c>
      <c r="O458" s="139">
        <f t="shared" si="12"/>
        <v>-1.5761255996796231E-2</v>
      </c>
      <c r="P458" s="139">
        <f t="shared" si="13"/>
        <v>-1.4997999406275442E-2</v>
      </c>
    </row>
    <row r="459" spans="3:16" x14ac:dyDescent="0.15">
      <c r="C459" s="8"/>
      <c r="D459" s="6">
        <v>188451</v>
      </c>
      <c r="E459" s="6">
        <v>1345.66</v>
      </c>
      <c r="F459" s="7">
        <v>41486</v>
      </c>
      <c r="G459" s="24">
        <v>248428</v>
      </c>
      <c r="H459" s="24">
        <v>1601.79</v>
      </c>
      <c r="I459" s="2">
        <f t="shared" si="14"/>
        <v>315.60760320247135</v>
      </c>
      <c r="J459" s="2">
        <f t="shared" si="15"/>
        <v>117.81506053340021</v>
      </c>
      <c r="K459" s="139">
        <f t="shared" si="16"/>
        <v>3.1433589225141834E-2</v>
      </c>
      <c r="L459" s="139">
        <f t="shared" si="17"/>
        <v>4.9459477167005161E-2</v>
      </c>
      <c r="M459" s="2">
        <f t="shared" si="10"/>
        <v>148.63289897213156</v>
      </c>
      <c r="N459" s="2">
        <f t="shared" si="11"/>
        <v>153.02507762120851</v>
      </c>
      <c r="O459" s="139">
        <f t="shared" si="12"/>
        <v>3.1433589225141834E-2</v>
      </c>
      <c r="P459" s="139">
        <f t="shared" si="13"/>
        <v>4.9459477167005161E-2</v>
      </c>
    </row>
    <row r="460" spans="3:16" x14ac:dyDescent="0.15">
      <c r="C460" s="8"/>
      <c r="D460" s="6">
        <v>191514</v>
      </c>
      <c r="E460" s="6">
        <v>1355.17</v>
      </c>
      <c r="F460" s="7">
        <v>41517</v>
      </c>
      <c r="G460" s="24">
        <v>238642</v>
      </c>
      <c r="H460" s="24">
        <v>1551.66</v>
      </c>
      <c r="I460" s="2">
        <f t="shared" si="14"/>
        <v>303.17528476437508</v>
      </c>
      <c r="J460" s="2">
        <f t="shared" si="15"/>
        <v>114.12789243737056</v>
      </c>
      <c r="K460" s="139">
        <f t="shared" si="16"/>
        <v>-3.9391694978021752E-2</v>
      </c>
      <c r="L460" s="139">
        <f t="shared" si="17"/>
        <v>-3.1296237334481947E-2</v>
      </c>
      <c r="M460" s="2">
        <f t="shared" si="10"/>
        <v>142.77799715212223</v>
      </c>
      <c r="N460" s="2">
        <f t="shared" si="11"/>
        <v>148.23596847384763</v>
      </c>
      <c r="O460" s="139">
        <f t="shared" si="12"/>
        <v>-3.9391694978021752E-2</v>
      </c>
      <c r="P460" s="139">
        <f t="shared" si="13"/>
        <v>-3.1296237334481947E-2</v>
      </c>
    </row>
    <row r="461" spans="3:16" x14ac:dyDescent="0.15">
      <c r="C461" s="8"/>
      <c r="D461" s="6">
        <v>208392</v>
      </c>
      <c r="E461" s="6">
        <v>1423.51</v>
      </c>
      <c r="F461" s="7">
        <v>41547</v>
      </c>
      <c r="G461" s="24">
        <v>243442</v>
      </c>
      <c r="H461" s="24">
        <v>1597.82</v>
      </c>
      <c r="I461" s="2">
        <f t="shared" si="14"/>
        <v>309.27329503444071</v>
      </c>
      <c r="J461" s="2">
        <f t="shared" si="15"/>
        <v>117.52305859162408</v>
      </c>
      <c r="K461" s="139">
        <f t="shared" si="16"/>
        <v>2.011381064523432E-2</v>
      </c>
      <c r="L461" s="139">
        <f t="shared" si="17"/>
        <v>2.9748785172009296E-2</v>
      </c>
      <c r="M461" s="2">
        <f t="shared" si="10"/>
        <v>145.6498067511458</v>
      </c>
      <c r="N461" s="2">
        <f t="shared" si="11"/>
        <v>152.64580845474086</v>
      </c>
      <c r="O461" s="139">
        <f t="shared" si="12"/>
        <v>2.011381064523432E-2</v>
      </c>
      <c r="P461" s="139">
        <f t="shared" si="13"/>
        <v>2.9748785172009296E-2</v>
      </c>
    </row>
    <row r="462" spans="3:16" x14ac:dyDescent="0.15">
      <c r="C462" s="8"/>
      <c r="D462" s="6">
        <v>218000</v>
      </c>
      <c r="E462" s="6">
        <v>1439.26</v>
      </c>
      <c r="F462" s="7">
        <v>41578</v>
      </c>
      <c r="G462" s="24">
        <v>247135</v>
      </c>
      <c r="H462" s="24">
        <v>1669.08</v>
      </c>
      <c r="I462" s="2">
        <f t="shared" si="14"/>
        <v>313.96495168597244</v>
      </c>
      <c r="J462" s="2">
        <f t="shared" si="15"/>
        <v>122.76438311831616</v>
      </c>
      <c r="K462" s="139">
        <f t="shared" si="16"/>
        <v>1.5169937808594991E-2</v>
      </c>
      <c r="L462" s="139">
        <f t="shared" si="17"/>
        <v>4.4598265136248205E-2</v>
      </c>
      <c r="M462" s="2">
        <f t="shared" si="10"/>
        <v>147.85930526139455</v>
      </c>
      <c r="N462" s="2">
        <f t="shared" si="11"/>
        <v>159.45354669214234</v>
      </c>
      <c r="O462" s="139">
        <f t="shared" si="12"/>
        <v>1.5169937808594991E-2</v>
      </c>
      <c r="P462" s="139">
        <f t="shared" si="13"/>
        <v>4.4598265136248205E-2</v>
      </c>
    </row>
    <row r="463" spans="3:16" x14ac:dyDescent="0.15">
      <c r="C463" s="8"/>
      <c r="D463" s="6">
        <v>223257</v>
      </c>
      <c r="E463" s="6">
        <v>1491.05</v>
      </c>
      <c r="F463" s="7">
        <v>41608</v>
      </c>
      <c r="G463" s="24">
        <v>249642</v>
      </c>
      <c r="H463" s="24">
        <v>1715.89</v>
      </c>
      <c r="I463" s="2">
        <f t="shared" si="14"/>
        <v>317.1498916332755</v>
      </c>
      <c r="J463" s="2">
        <f t="shared" si="15"/>
        <v>126.20735815472447</v>
      </c>
      <c r="K463" s="139">
        <f t="shared" si="16"/>
        <v>1.0144253140995874E-2</v>
      </c>
      <c r="L463" s="139">
        <f t="shared" si="17"/>
        <v>2.8045390274882065E-2</v>
      </c>
      <c r="M463" s="2">
        <f t="shared" si="10"/>
        <v>149.35922748321792</v>
      </c>
      <c r="N463" s="2">
        <f t="shared" si="11"/>
        <v>163.92548363983761</v>
      </c>
      <c r="O463" s="139">
        <f t="shared" si="12"/>
        <v>1.0144253140995874E-2</v>
      </c>
      <c r="P463" s="139">
        <f t="shared" si="13"/>
        <v>2.8045390274882065E-2</v>
      </c>
    </row>
    <row r="464" spans="3:16" x14ac:dyDescent="0.15">
      <c r="C464" s="8"/>
      <c r="D464" s="6">
        <v>227142</v>
      </c>
      <c r="E464" s="6">
        <v>1518.02</v>
      </c>
      <c r="F464" s="7">
        <v>41639</v>
      </c>
      <c r="G464" s="24">
        <v>254142</v>
      </c>
      <c r="H464" s="24">
        <v>1756.32</v>
      </c>
      <c r="I464" s="2">
        <f t="shared" si="14"/>
        <v>322.86677626146201</v>
      </c>
      <c r="J464" s="2">
        <f t="shared" si="15"/>
        <v>129.18107062475198</v>
      </c>
      <c r="K464" s="139">
        <f t="shared" si="16"/>
        <v>1.8025812964164611E-2</v>
      </c>
      <c r="L464" s="139">
        <f t="shared" si="17"/>
        <v>2.3562116452686244E-2</v>
      </c>
      <c r="M464" s="2">
        <f t="shared" si="10"/>
        <v>152.05154898230253</v>
      </c>
      <c r="N464" s="2">
        <f t="shared" si="11"/>
        <v>167.78791497492239</v>
      </c>
      <c r="O464" s="139">
        <f t="shared" si="12"/>
        <v>1.8025812964164611E-2</v>
      </c>
      <c r="P464" s="139">
        <f t="shared" si="13"/>
        <v>2.3562116452686244E-2</v>
      </c>
    </row>
    <row r="465" spans="3:16" x14ac:dyDescent="0.15">
      <c r="C465" s="8"/>
      <c r="D465" s="6">
        <v>244714</v>
      </c>
      <c r="E465" s="6">
        <v>1549.54</v>
      </c>
      <c r="F465" s="7">
        <v>41670</v>
      </c>
      <c r="G465" s="24">
        <v>242159</v>
      </c>
      <c r="H465" s="24">
        <v>1693.83</v>
      </c>
      <c r="I465" s="2">
        <f t="shared" si="14"/>
        <v>307.64334770600442</v>
      </c>
      <c r="J465" s="2">
        <f t="shared" si="15"/>
        <v>124.58479824651752</v>
      </c>
      <c r="K465" s="139">
        <f t="shared" si="16"/>
        <v>-4.7150805455217992E-2</v>
      </c>
      <c r="L465" s="139">
        <f t="shared" si="17"/>
        <v>-3.5580076523640369E-2</v>
      </c>
      <c r="M465" s="2">
        <f t="shared" si="10"/>
        <v>144.88219597707345</v>
      </c>
      <c r="N465" s="2">
        <f t="shared" si="11"/>
        <v>161.81800812037258</v>
      </c>
      <c r="O465" s="139">
        <f t="shared" si="12"/>
        <v>-4.7150805455217992E-2</v>
      </c>
      <c r="P465" s="139">
        <f t="shared" si="13"/>
        <v>-3.5580076523640369E-2</v>
      </c>
    </row>
    <row r="466" spans="3:16" x14ac:dyDescent="0.15">
      <c r="C466" s="8"/>
      <c r="D466" s="6">
        <v>240857</v>
      </c>
      <c r="E466" s="6">
        <v>1526.3</v>
      </c>
      <c r="F466" s="7">
        <v>41698</v>
      </c>
      <c r="G466" s="24">
        <v>248154</v>
      </c>
      <c r="H466" s="24">
        <v>1766.8600000000001</v>
      </c>
      <c r="I466" s="2">
        <f t="shared" si="14"/>
        <v>315.25950844955514</v>
      </c>
      <c r="J466" s="2">
        <f t="shared" si="15"/>
        <v>129.95631003692338</v>
      </c>
      <c r="K466" s="139">
        <f t="shared" si="16"/>
        <v>2.4756461663617779E-2</v>
      </c>
      <c r="L466" s="139">
        <f t="shared" si="17"/>
        <v>4.3115306730899805E-2</v>
      </c>
      <c r="M466" s="2">
        <f t="shared" si="10"/>
        <v>148.46896650752063</v>
      </c>
      <c r="N466" s="2">
        <f t="shared" si="11"/>
        <v>168.79484117506567</v>
      </c>
      <c r="O466" s="139">
        <f t="shared" si="12"/>
        <v>2.4756461663617779E-2</v>
      </c>
      <c r="P466" s="139">
        <f t="shared" si="13"/>
        <v>4.3115306730899805E-2</v>
      </c>
    </row>
    <row r="467" spans="3:16" x14ac:dyDescent="0.15">
      <c r="C467" s="9" t="s">
        <v>13</v>
      </c>
      <c r="D467" s="6">
        <v>248428</v>
      </c>
      <c r="E467" s="6">
        <v>1601.79</v>
      </c>
      <c r="F467" s="7">
        <v>41729</v>
      </c>
      <c r="G467" s="24">
        <v>267642</v>
      </c>
      <c r="H467" s="24">
        <v>1779.1100000000001</v>
      </c>
      <c r="I467" s="2">
        <f t="shared" si="14"/>
        <v>340.01743014602158</v>
      </c>
      <c r="J467" s="2">
        <f t="shared" si="15"/>
        <v>130.85732358522506</v>
      </c>
      <c r="K467" s="139">
        <f t="shared" si="16"/>
        <v>7.8531879397470972E-2</v>
      </c>
      <c r="L467" s="139">
        <f t="shared" si="17"/>
        <v>6.9332035362168476E-3</v>
      </c>
      <c r="M467" s="2">
        <f t="shared" si="10"/>
        <v>160.1285134795564</v>
      </c>
      <c r="N467" s="2">
        <f t="shared" si="11"/>
        <v>169.9651301647958</v>
      </c>
      <c r="O467" s="139">
        <f t="shared" si="12"/>
        <v>7.8531879397470972E-2</v>
      </c>
      <c r="P467" s="139">
        <f t="shared" si="13"/>
        <v>6.9332035362168476E-3</v>
      </c>
    </row>
    <row r="468" spans="3:16" x14ac:dyDescent="0.15">
      <c r="C468" s="8"/>
      <c r="D468" s="6">
        <v>238642</v>
      </c>
      <c r="E468" s="6">
        <v>1551.66</v>
      </c>
      <c r="F468" s="7">
        <v>41759</v>
      </c>
      <c r="G468" s="24">
        <v>276107</v>
      </c>
      <c r="H468" s="24">
        <v>1790.14</v>
      </c>
      <c r="I468" s="2">
        <f t="shared" si="14"/>
        <v>350.77152534104351</v>
      </c>
      <c r="J468" s="2">
        <f t="shared" si="15"/>
        <v>131.66860353932856</v>
      </c>
      <c r="K468" s="139">
        <f t="shared" si="16"/>
        <v>3.1628070332757829E-2</v>
      </c>
      <c r="L468" s="139">
        <f t="shared" si="17"/>
        <v>6.1997290780222425E-3</v>
      </c>
      <c r="M468" s="2">
        <f t="shared" si="10"/>
        <v>165.19306936616778</v>
      </c>
      <c r="N468" s="2">
        <f t="shared" si="11"/>
        <v>171.01886792452831</v>
      </c>
      <c r="O468" s="139">
        <f t="shared" si="12"/>
        <v>3.1628070332757829E-2</v>
      </c>
      <c r="P468" s="139">
        <f t="shared" si="13"/>
        <v>6.1997290780222425E-3</v>
      </c>
    </row>
    <row r="469" spans="3:16" x14ac:dyDescent="0.15">
      <c r="C469" s="8"/>
      <c r="D469" s="6">
        <v>243442</v>
      </c>
      <c r="E469" s="6">
        <v>1597.82</v>
      </c>
      <c r="F469" s="7">
        <v>41790</v>
      </c>
      <c r="G469" s="24">
        <v>274285</v>
      </c>
      <c r="H469" s="24">
        <v>1827.79</v>
      </c>
      <c r="I469" s="2">
        <f t="shared" si="14"/>
        <v>348.45682227603112</v>
      </c>
      <c r="J469" s="2">
        <f t="shared" si="15"/>
        <v>134.43784109798639</v>
      </c>
      <c r="K469" s="139">
        <f t="shared" si="16"/>
        <v>-6.5988910096448361E-3</v>
      </c>
      <c r="L469" s="139">
        <f t="shared" si="17"/>
        <v>2.1031874601986411E-2</v>
      </c>
      <c r="M469" s="2">
        <f t="shared" si="10"/>
        <v>164.10297830587174</v>
      </c>
      <c r="N469" s="2">
        <f t="shared" si="11"/>
        <v>174.61571530929066</v>
      </c>
      <c r="O469" s="139">
        <f t="shared" si="12"/>
        <v>-6.5988910096448361E-3</v>
      </c>
      <c r="P469" s="139">
        <f t="shared" si="13"/>
        <v>2.1031874601986411E-2</v>
      </c>
    </row>
    <row r="470" spans="3:16" x14ac:dyDescent="0.15">
      <c r="C470" s="8"/>
      <c r="D470" s="6">
        <v>247135</v>
      </c>
      <c r="E470" s="6">
        <v>1669.08</v>
      </c>
      <c r="F470" s="7">
        <v>41820</v>
      </c>
      <c r="G470" s="24">
        <v>271286</v>
      </c>
      <c r="H470" s="24">
        <v>1862.6200000000001</v>
      </c>
      <c r="I470" s="2">
        <f t="shared" si="14"/>
        <v>344.64683627604637</v>
      </c>
      <c r="J470" s="2">
        <f t="shared" si="15"/>
        <v>136.99966166021886</v>
      </c>
      <c r="K470" s="139">
        <f t="shared" si="16"/>
        <v>-1.0933882640319359E-2</v>
      </c>
      <c r="L470" s="139">
        <f t="shared" si="17"/>
        <v>1.9055799626871872E-2</v>
      </c>
      <c r="M470" s="2">
        <f t="shared" si="10"/>
        <v>162.30869560014847</v>
      </c>
      <c r="N470" s="2">
        <f t="shared" si="11"/>
        <v>177.9431573919274</v>
      </c>
      <c r="O470" s="139">
        <f t="shared" si="12"/>
        <v>-1.0933882640319359E-2</v>
      </c>
      <c r="P470" s="139">
        <f t="shared" si="13"/>
        <v>1.9055799626871872E-2</v>
      </c>
    </row>
    <row r="471" spans="3:16" x14ac:dyDescent="0.15">
      <c r="C471" s="8"/>
      <c r="D471" s="6">
        <v>249642</v>
      </c>
      <c r="E471" s="6">
        <v>1715.89</v>
      </c>
      <c r="F471" s="7">
        <v>41851</v>
      </c>
      <c r="G471" s="24">
        <v>268748</v>
      </c>
      <c r="H471" s="24">
        <v>1834.54</v>
      </c>
      <c r="I471" s="2">
        <f t="shared" si="14"/>
        <v>341.42251334574917</v>
      </c>
      <c r="J471" s="2">
        <f t="shared" si="15"/>
        <v>134.93431795113221</v>
      </c>
      <c r="K471" s="139">
        <f t="shared" si="16"/>
        <v>-9.3554403839490874E-3</v>
      </c>
      <c r="L471" s="139">
        <f t="shared" si="17"/>
        <v>-1.5075538757234552E-2</v>
      </c>
      <c r="M471" s="2">
        <f t="shared" si="10"/>
        <v>160.79022627466475</v>
      </c>
      <c r="N471" s="2">
        <f t="shared" si="11"/>
        <v>175.26056842608071</v>
      </c>
      <c r="O471" s="139">
        <f t="shared" si="12"/>
        <v>-9.3554403839490874E-3</v>
      </c>
      <c r="P471" s="139">
        <f t="shared" si="13"/>
        <v>-1.5075538757234552E-2</v>
      </c>
    </row>
    <row r="472" spans="3:16" x14ac:dyDescent="0.15">
      <c r="C472" s="8"/>
      <c r="D472" s="6">
        <v>254142</v>
      </c>
      <c r="E472" s="6">
        <v>1756.32</v>
      </c>
      <c r="F472" s="7">
        <v>41882</v>
      </c>
      <c r="G472" s="24">
        <v>294114</v>
      </c>
      <c r="H472" s="24">
        <v>1903.6200000000001</v>
      </c>
      <c r="I472" s="2">
        <f t="shared" si="14"/>
        <v>373.64795678543345</v>
      </c>
      <c r="J472" s="2">
        <f t="shared" si="15"/>
        <v>140.01529884228981</v>
      </c>
      <c r="K472" s="139">
        <f t="shared" si="16"/>
        <v>9.438581868516227E-2</v>
      </c>
      <c r="L472" s="139">
        <f t="shared" si="17"/>
        <v>3.7655216021455162E-2</v>
      </c>
      <c r="M472" s="2">
        <f t="shared" si="10"/>
        <v>175.96654341817145</v>
      </c>
      <c r="N472" s="2">
        <f t="shared" si="11"/>
        <v>181.8600429902078</v>
      </c>
      <c r="O472" s="139">
        <f t="shared" si="12"/>
        <v>9.438581868516227E-2</v>
      </c>
      <c r="P472" s="139">
        <f t="shared" si="13"/>
        <v>3.7655216021455162E-2</v>
      </c>
    </row>
    <row r="473" spans="3:16" x14ac:dyDescent="0.15">
      <c r="C473" s="8"/>
      <c r="D473" s="6">
        <v>242159</v>
      </c>
      <c r="E473" s="6">
        <v>1693.83</v>
      </c>
      <c r="F473" s="7">
        <v>41912</v>
      </c>
      <c r="G473" s="24">
        <v>295571</v>
      </c>
      <c r="H473" s="24">
        <v>1874.08</v>
      </c>
      <c r="I473" s="2">
        <f t="shared" si="14"/>
        <v>375.49895698615961</v>
      </c>
      <c r="J473" s="2">
        <f t="shared" si="15"/>
        <v>137.84256902867088</v>
      </c>
      <c r="K473" s="139">
        <f t="shared" si="16"/>
        <v>4.9538614278816784E-3</v>
      </c>
      <c r="L473" s="139">
        <f t="shared" si="17"/>
        <v>-1.551780292285232E-2</v>
      </c>
      <c r="M473" s="2">
        <f t="shared" si="10"/>
        <v>176.83825729020839</v>
      </c>
      <c r="N473" s="2">
        <f t="shared" si="11"/>
        <v>179.03797468354432</v>
      </c>
      <c r="O473" s="139">
        <f t="shared" si="12"/>
        <v>4.9538614278816784E-3</v>
      </c>
      <c r="P473" s="139">
        <f t="shared" si="13"/>
        <v>-1.551780292285232E-2</v>
      </c>
    </row>
    <row r="474" spans="3:16" x14ac:dyDescent="0.15">
      <c r="C474" s="8"/>
      <c r="D474" s="6">
        <v>248154</v>
      </c>
      <c r="E474" s="6">
        <v>1766.86</v>
      </c>
      <c r="F474" s="7">
        <v>41943</v>
      </c>
      <c r="G474" s="24">
        <v>300000</v>
      </c>
      <c r="H474" s="24">
        <v>1917.56</v>
      </c>
      <c r="I474" s="2">
        <f t="shared" si="14"/>
        <v>381.12564187910141</v>
      </c>
      <c r="J474" s="2">
        <f t="shared" si="15"/>
        <v>141.04061548419389</v>
      </c>
      <c r="K474" s="139">
        <f t="shared" si="16"/>
        <v>1.4984555318349857E-2</v>
      </c>
      <c r="L474" s="139">
        <f t="shared" si="17"/>
        <v>2.3200717151882433E-2</v>
      </c>
      <c r="M474" s="2">
        <f t="shared" si="10"/>
        <v>179.4880999389741</v>
      </c>
      <c r="N474" s="2">
        <f t="shared" si="11"/>
        <v>183.19178409362311</v>
      </c>
      <c r="O474" s="139">
        <f t="shared" si="12"/>
        <v>1.4984555318349857E-2</v>
      </c>
      <c r="P474" s="139">
        <f t="shared" si="13"/>
        <v>2.3200717151882433E-2</v>
      </c>
    </row>
    <row r="475" spans="3:16" x14ac:dyDescent="0.15">
      <c r="C475" s="8"/>
      <c r="D475" s="6">
        <v>267642</v>
      </c>
      <c r="E475" s="6">
        <v>1779.11</v>
      </c>
      <c r="F475" s="7">
        <v>41973</v>
      </c>
      <c r="G475" s="24">
        <v>318664</v>
      </c>
      <c r="H475" s="24">
        <v>1964.6100000000001</v>
      </c>
      <c r="I475" s="2">
        <f t="shared" si="14"/>
        <v>404.83673847920653</v>
      </c>
      <c r="J475" s="2">
        <f t="shared" si="15"/>
        <v>144.50124303093628</v>
      </c>
      <c r="K475" s="139">
        <f t="shared" si="16"/>
        <v>6.2213333333333232E-2</v>
      </c>
      <c r="L475" s="139">
        <f t="shared" si="17"/>
        <v>2.4536389995619468E-2</v>
      </c>
      <c r="M475" s="2">
        <f t="shared" si="10"/>
        <v>190.65465292984413</v>
      </c>
      <c r="N475" s="2">
        <f t="shared" si="11"/>
        <v>187.68664915213756</v>
      </c>
      <c r="O475" s="139">
        <f t="shared" si="12"/>
        <v>6.2213333333333232E-2</v>
      </c>
      <c r="P475" s="139">
        <f t="shared" si="13"/>
        <v>2.4536389995619468E-2</v>
      </c>
    </row>
    <row r="476" spans="3:16" x14ac:dyDescent="0.15">
      <c r="C476" s="8"/>
      <c r="D476" s="6">
        <v>276107</v>
      </c>
      <c r="E476" s="6">
        <v>1790.14</v>
      </c>
      <c r="F476" s="7">
        <v>42004</v>
      </c>
      <c r="G476" s="24">
        <v>322857</v>
      </c>
      <c r="H476" s="24">
        <v>1956.38</v>
      </c>
      <c r="I476" s="2">
        <f t="shared" si="14"/>
        <v>410.16360453387011</v>
      </c>
      <c r="J476" s="2">
        <f t="shared" si="15"/>
        <v>143.89590903073034</v>
      </c>
      <c r="K476" s="139">
        <f t="shared" si="16"/>
        <v>1.3158059900082897E-2</v>
      </c>
      <c r="L476" s="139">
        <f t="shared" si="17"/>
        <v>-4.1891265951002898E-3</v>
      </c>
      <c r="M476" s="2">
        <f t="shared" si="10"/>
        <v>193.16329827332453</v>
      </c>
      <c r="N476" s="2">
        <f t="shared" si="11"/>
        <v>186.9004060186291</v>
      </c>
      <c r="O476" s="139">
        <f t="shared" si="12"/>
        <v>1.3158059900082897E-2</v>
      </c>
      <c r="P476" s="139">
        <f t="shared" si="13"/>
        <v>-4.1891265951002898E-3</v>
      </c>
    </row>
    <row r="477" spans="3:16" x14ac:dyDescent="0.15">
      <c r="C477" s="8"/>
      <c r="D477" s="6">
        <v>274285</v>
      </c>
      <c r="E477" s="6">
        <v>1827.79</v>
      </c>
      <c r="F477" s="7">
        <v>42035</v>
      </c>
      <c r="G477" s="24">
        <v>308378</v>
      </c>
      <c r="H477" s="24">
        <v>1895.65</v>
      </c>
      <c r="I477" s="2">
        <f t="shared" si="14"/>
        <v>391.7692106379784</v>
      </c>
      <c r="J477" s="2">
        <f t="shared" si="15"/>
        <v>139.42908839494575</v>
      </c>
      <c r="K477" s="139">
        <f t="shared" si="16"/>
        <v>-4.4846480020566348E-2</v>
      </c>
      <c r="L477" s="139">
        <f t="shared" si="17"/>
        <v>-3.1042026600149208E-2</v>
      </c>
      <c r="M477" s="2">
        <f t="shared" si="10"/>
        <v>184.50060427660318</v>
      </c>
      <c r="N477" s="2">
        <f t="shared" si="11"/>
        <v>181.09863864342012</v>
      </c>
      <c r="O477" s="139">
        <f t="shared" si="12"/>
        <v>-4.4846480020566348E-2</v>
      </c>
      <c r="P477" s="139">
        <f t="shared" si="13"/>
        <v>-3.1042026600149208E-2</v>
      </c>
    </row>
    <row r="478" spans="3:16" x14ac:dyDescent="0.15">
      <c r="C478" s="8"/>
      <c r="D478" s="6">
        <v>271286</v>
      </c>
      <c r="E478" s="6">
        <v>1862.62</v>
      </c>
      <c r="F478" s="7">
        <v>42063</v>
      </c>
      <c r="G478" s="24">
        <v>315971</v>
      </c>
      <c r="H478" s="24">
        <v>1999.71</v>
      </c>
      <c r="I478" s="2">
        <f t="shared" si="14"/>
        <v>401.41550063393845</v>
      </c>
      <c r="J478" s="2">
        <f t="shared" si="15"/>
        <v>147.08292266729458</v>
      </c>
      <c r="K478" s="139">
        <f t="shared" si="16"/>
        <v>2.4622379028335306E-2</v>
      </c>
      <c r="L478" s="139">
        <f t="shared" si="17"/>
        <v>5.4894099649196892E-2</v>
      </c>
      <c r="M478" s="2">
        <f t="shared" si="10"/>
        <v>189.04344808605862</v>
      </c>
      <c r="N478" s="2">
        <f t="shared" si="11"/>
        <v>191.03988535944592</v>
      </c>
      <c r="O478" s="139">
        <f t="shared" si="12"/>
        <v>2.4622379028335306E-2</v>
      </c>
      <c r="P478" s="139">
        <f t="shared" si="13"/>
        <v>5.4894099649196892E-2</v>
      </c>
    </row>
    <row r="479" spans="3:16" x14ac:dyDescent="0.15">
      <c r="C479" s="9" t="s">
        <v>12</v>
      </c>
      <c r="D479" s="6">
        <v>268748</v>
      </c>
      <c r="E479" s="6">
        <v>1834.54</v>
      </c>
      <c r="F479" s="7">
        <v>42094</v>
      </c>
      <c r="G479" s="24">
        <v>310714</v>
      </c>
      <c r="H479" s="24">
        <v>1964.92</v>
      </c>
      <c r="I479" s="2">
        <f t="shared" si="14"/>
        <v>394.73690896941036</v>
      </c>
      <c r="J479" s="2">
        <f t="shared" si="15"/>
        <v>144.52404419011782</v>
      </c>
      <c r="K479" s="139">
        <f t="shared" si="16"/>
        <v>-1.6637602817980102E-2</v>
      </c>
      <c r="L479" s="139">
        <f t="shared" si="17"/>
        <v>-1.739752264078287E-2</v>
      </c>
      <c r="M479" s="2">
        <f t="shared" si="10"/>
        <v>185.89821828146134</v>
      </c>
      <c r="N479" s="2">
        <f t="shared" si="11"/>
        <v>187.71626462861241</v>
      </c>
      <c r="O479" s="139">
        <f t="shared" si="12"/>
        <v>-1.6637602817980102E-2</v>
      </c>
      <c r="P479" s="139">
        <f t="shared" si="13"/>
        <v>-1.739752264078287E-2</v>
      </c>
    </row>
    <row r="480" spans="3:16" x14ac:dyDescent="0.15">
      <c r="C480" s="8"/>
      <c r="D480" s="6">
        <v>294114</v>
      </c>
      <c r="E480" s="6">
        <v>1903.62</v>
      </c>
      <c r="F480" s="7">
        <v>42124</v>
      </c>
      <c r="G480" s="24">
        <v>304857</v>
      </c>
      <c r="H480" s="24">
        <v>1981.67</v>
      </c>
      <c r="I480" s="2">
        <f t="shared" si="14"/>
        <v>387.29606602112403</v>
      </c>
      <c r="J480" s="2">
        <f t="shared" si="15"/>
        <v>145.75604230718341</v>
      </c>
      <c r="K480" s="139">
        <f t="shared" si="16"/>
        <v>-1.8850132275983755E-2</v>
      </c>
      <c r="L480" s="139">
        <f t="shared" si="17"/>
        <v>8.5245200822425815E-3</v>
      </c>
      <c r="M480" s="2">
        <f t="shared" si="10"/>
        <v>182.3940122769861</v>
      </c>
      <c r="N480" s="2">
        <f t="shared" si="11"/>
        <v>189.31645569620258</v>
      </c>
      <c r="O480" s="139">
        <f t="shared" si="12"/>
        <v>-1.8850132275983755E-2</v>
      </c>
      <c r="P480" s="139">
        <f t="shared" si="13"/>
        <v>8.5245200822425815E-3</v>
      </c>
    </row>
    <row r="481" spans="3:16" x14ac:dyDescent="0.15">
      <c r="C481" s="8"/>
      <c r="D481" s="6">
        <v>295571</v>
      </c>
      <c r="E481" s="6">
        <v>1874.08</v>
      </c>
      <c r="F481" s="7">
        <v>42155</v>
      </c>
      <c r="G481" s="24">
        <v>306857</v>
      </c>
      <c r="H481" s="24">
        <v>2002.46</v>
      </c>
      <c r="I481" s="2">
        <f t="shared" si="14"/>
        <v>389.83690363365133</v>
      </c>
      <c r="J481" s="2">
        <f t="shared" si="15"/>
        <v>147.28519101487257</v>
      </c>
      <c r="K481" s="139">
        <f t="shared" si="16"/>
        <v>6.5604529336704687E-3</v>
      </c>
      <c r="L481" s="139">
        <f t="shared" si="17"/>
        <v>1.0491151402604926E-2</v>
      </c>
      <c r="M481" s="2">
        <f t="shared" si="10"/>
        <v>183.59059960991257</v>
      </c>
      <c r="N481" s="2">
        <f t="shared" si="11"/>
        <v>191.30260329591599</v>
      </c>
      <c r="O481" s="139">
        <f t="shared" si="12"/>
        <v>6.5604529336704687E-3</v>
      </c>
      <c r="P481" s="139">
        <f t="shared" si="13"/>
        <v>1.0491151402604926E-2</v>
      </c>
    </row>
    <row r="482" spans="3:16" x14ac:dyDescent="0.15">
      <c r="C482" s="8"/>
      <c r="D482" s="6">
        <v>300000</v>
      </c>
      <c r="E482" s="6">
        <v>1917.56</v>
      </c>
      <c r="F482" s="7">
        <v>42185</v>
      </c>
      <c r="G482" s="24">
        <v>292642</v>
      </c>
      <c r="H482" s="24">
        <v>1960.38</v>
      </c>
      <c r="I482" s="2">
        <f t="shared" si="14"/>
        <v>371.77790030261326</v>
      </c>
      <c r="J482" s="2">
        <f t="shared" si="15"/>
        <v>144.19011753629829</v>
      </c>
      <c r="K482" s="139">
        <f t="shared" si="16"/>
        <v>-4.6324509462062124E-2</v>
      </c>
      <c r="L482" s="139">
        <f t="shared" si="17"/>
        <v>-2.101415259231143E-2</v>
      </c>
      <c r="M482" s="2">
        <f t="shared" si="10"/>
        <v>175.08585514113753</v>
      </c>
      <c r="N482" s="2">
        <f t="shared" si="11"/>
        <v>187.28254119894919</v>
      </c>
      <c r="O482" s="139">
        <f t="shared" si="12"/>
        <v>-4.6324509462062124E-2</v>
      </c>
      <c r="P482" s="139">
        <f t="shared" si="13"/>
        <v>-2.101415259231143E-2</v>
      </c>
    </row>
    <row r="483" spans="3:16" x14ac:dyDescent="0.15">
      <c r="C483" s="8"/>
      <c r="D483" s="6">
        <v>318664</v>
      </c>
      <c r="E483" s="6">
        <v>1964.61</v>
      </c>
      <c r="F483" s="7">
        <v>42216</v>
      </c>
      <c r="G483" s="24">
        <v>305714</v>
      </c>
      <c r="H483" s="24">
        <v>1999.0800000000004</v>
      </c>
      <c r="I483" s="2">
        <f t="shared" si="14"/>
        <v>388.38481493809195</v>
      </c>
      <c r="J483" s="2">
        <f t="shared" si="15"/>
        <v>147.03658482766772</v>
      </c>
      <c r="K483" s="139">
        <f t="shared" si="16"/>
        <v>4.466891286964958E-2</v>
      </c>
      <c r="L483" s="139">
        <f t="shared" si="17"/>
        <v>1.9741070608759737E-2</v>
      </c>
      <c r="M483" s="2">
        <f t="shared" si="10"/>
        <v>182.90674994914508</v>
      </c>
      <c r="N483" s="2">
        <f t="shared" si="11"/>
        <v>190.97969906854561</v>
      </c>
      <c r="O483" s="139">
        <f t="shared" si="12"/>
        <v>4.466891286964958E-2</v>
      </c>
      <c r="P483" s="139">
        <f t="shared" si="13"/>
        <v>1.9741070608759737E-2</v>
      </c>
    </row>
    <row r="484" spans="3:16" x14ac:dyDescent="0.15">
      <c r="C484" s="8"/>
      <c r="D484" s="6">
        <v>322857</v>
      </c>
      <c r="E484" s="6">
        <v>1956.38</v>
      </c>
      <c r="F484" s="7"/>
      <c r="G484" s="141"/>
      <c r="H484" s="141"/>
    </row>
    <row r="485" spans="3:16" x14ac:dyDescent="0.15">
      <c r="C485" s="8"/>
      <c r="D485" s="6">
        <v>308378</v>
      </c>
      <c r="E485" s="6">
        <v>1895.65</v>
      </c>
      <c r="F485" s="7"/>
      <c r="G485" s="24"/>
      <c r="H485" s="24"/>
    </row>
    <row r="486" spans="3:16" x14ac:dyDescent="0.15">
      <c r="C486" s="8"/>
      <c r="D486" s="6">
        <v>315971</v>
      </c>
      <c r="E486" s="6">
        <v>1999.71</v>
      </c>
      <c r="F486" s="7"/>
      <c r="G486" s="24"/>
      <c r="H486" s="24"/>
    </row>
    <row r="487" spans="3:16" x14ac:dyDescent="0.15">
      <c r="C487" s="8"/>
      <c r="D487" s="6">
        <v>310714</v>
      </c>
      <c r="E487" s="6">
        <v>1964.92</v>
      </c>
      <c r="F487" s="7"/>
      <c r="G487" s="24"/>
      <c r="H487" s="24"/>
    </row>
    <row r="488" spans="3:16" x14ac:dyDescent="0.15">
      <c r="C488" s="8"/>
      <c r="D488" s="6">
        <v>304857</v>
      </c>
      <c r="E488" s="6">
        <v>1981.67</v>
      </c>
      <c r="F488" s="7"/>
      <c r="G488" s="24"/>
      <c r="H488" s="24"/>
    </row>
    <row r="489" spans="3:16" x14ac:dyDescent="0.15">
      <c r="C489" s="8"/>
      <c r="D489" s="6">
        <v>306857</v>
      </c>
      <c r="E489" s="6">
        <v>2002.46</v>
      </c>
      <c r="F489" s="7"/>
      <c r="G489" s="24"/>
      <c r="H489" s="24"/>
    </row>
    <row r="490" spans="3:16" x14ac:dyDescent="0.15">
      <c r="C490" s="8"/>
      <c r="D490" s="6">
        <v>292642</v>
      </c>
      <c r="E490" s="6">
        <v>1960.38</v>
      </c>
      <c r="F490" s="7"/>
      <c r="G490" s="24"/>
      <c r="H490" s="24"/>
    </row>
    <row r="491" spans="3:16" x14ac:dyDescent="0.15">
      <c r="C491" s="9" t="s">
        <v>11</v>
      </c>
      <c r="D491" s="6">
        <v>305714</v>
      </c>
      <c r="E491" s="6">
        <v>1999.08</v>
      </c>
      <c r="F491" s="7"/>
      <c r="G491" s="24"/>
      <c r="H491" s="24"/>
    </row>
    <row r="492" spans="3:16" x14ac:dyDescent="0.15">
      <c r="C492" s="8"/>
      <c r="D492" s="6">
        <v>289330</v>
      </c>
      <c r="E492" s="6">
        <v>1873.98</v>
      </c>
      <c r="F492" s="7"/>
      <c r="G492" s="24"/>
      <c r="H492" s="24"/>
    </row>
    <row r="493" spans="3:16" x14ac:dyDescent="0.15">
      <c r="C493" s="8"/>
      <c r="D493" s="6">
        <v>278914</v>
      </c>
      <c r="E493" s="6">
        <v>1824.43</v>
      </c>
      <c r="F493" s="7"/>
      <c r="G493" s="24"/>
      <c r="H493" s="24"/>
    </row>
    <row r="494" spans="3:16" x14ac:dyDescent="0.15">
      <c r="C494" s="8"/>
      <c r="D494" s="6">
        <v>292280</v>
      </c>
      <c r="E494" s="6">
        <v>1975.82</v>
      </c>
      <c r="F494" s="7"/>
      <c r="G494" s="24"/>
      <c r="H494" s="24"/>
    </row>
    <row r="495" spans="3:16" x14ac:dyDescent="0.15">
      <c r="C495" s="8"/>
      <c r="D495" s="6">
        <v>287657</v>
      </c>
      <c r="E495" s="6">
        <v>1976.82</v>
      </c>
      <c r="F495" s="7"/>
      <c r="G495" s="24"/>
      <c r="H495" s="24"/>
    </row>
    <row r="496" spans="3:16" x14ac:dyDescent="0.15">
      <c r="C496" s="8"/>
      <c r="D496" s="6">
        <v>282571</v>
      </c>
      <c r="E496" s="6">
        <v>1942.17</v>
      </c>
      <c r="F496" s="7"/>
      <c r="G496" s="24"/>
      <c r="H496" s="24"/>
    </row>
    <row r="497" spans="3:8" x14ac:dyDescent="0.15">
      <c r="C497" s="8"/>
      <c r="D497" s="6">
        <v>282571</v>
      </c>
      <c r="E497" s="6">
        <v>1942.17</v>
      </c>
      <c r="F497" s="7" t="s">
        <v>9</v>
      </c>
      <c r="G497" s="25">
        <f>G483/G17-1</f>
        <v>3056.14</v>
      </c>
      <c r="H497" s="25">
        <f>H483/H17-1</f>
        <v>18.990800000000004</v>
      </c>
    </row>
    <row r="498" spans="3:8" x14ac:dyDescent="0.15">
      <c r="C498" s="8"/>
      <c r="D498" s="6">
        <v>277657</v>
      </c>
      <c r="E498" s="6">
        <v>1843.63</v>
      </c>
      <c r="F498" s="7"/>
      <c r="G498" s="25">
        <f>(G483/G17)^(1/39)-1</f>
        <v>0.2284770843162145</v>
      </c>
      <c r="H498" s="25">
        <f>(H483/H17)^(1/39)-1</f>
        <v>7.9828087747509047E-2</v>
      </c>
    </row>
    <row r="499" spans="3:8" x14ac:dyDescent="0.15">
      <c r="C499" s="8"/>
      <c r="D499" s="6">
        <v>289364</v>
      </c>
      <c r="E499" s="6">
        <v>1836.02</v>
      </c>
      <c r="F499" s="24"/>
      <c r="G499" s="23"/>
      <c r="H499" s="23"/>
    </row>
    <row r="500" spans="3:8" x14ac:dyDescent="0.15">
      <c r="C500" s="8"/>
      <c r="D500" s="6">
        <v>304928</v>
      </c>
      <c r="E500" s="6">
        <v>1957.18</v>
      </c>
      <c r="F500" s="7" t="s">
        <v>9</v>
      </c>
      <c r="G500" s="6"/>
      <c r="H500" s="6"/>
    </row>
    <row r="501" spans="3:8" x14ac:dyDescent="0.15">
      <c r="C501" s="8"/>
      <c r="D501" s="6">
        <v>312857</v>
      </c>
      <c r="E501" s="6">
        <v>1962.46</v>
      </c>
      <c r="F501" s="7" t="s">
        <v>9</v>
      </c>
      <c r="G501" s="6"/>
      <c r="H501" s="6"/>
    </row>
    <row r="502" spans="3:8" x14ac:dyDescent="0.15">
      <c r="C502" s="8"/>
      <c r="D502" s="6">
        <v>302421</v>
      </c>
      <c r="E502" s="6">
        <v>1992.55</v>
      </c>
      <c r="F502" s="7" t="s">
        <v>9</v>
      </c>
      <c r="G502" s="6"/>
      <c r="H502" s="6"/>
    </row>
    <row r="503" spans="3:8" x14ac:dyDescent="0.15">
      <c r="C503" s="9" t="s">
        <v>10</v>
      </c>
      <c r="D503" s="6">
        <v>309964</v>
      </c>
      <c r="E503" s="6">
        <v>1994.35</v>
      </c>
      <c r="F503" s="7" t="s">
        <v>9</v>
      </c>
      <c r="G503" s="6"/>
      <c r="H503" s="6"/>
    </row>
    <row r="504" spans="3:8" x14ac:dyDescent="0.15">
      <c r="C504" s="8"/>
      <c r="D504" s="6">
        <v>308571</v>
      </c>
      <c r="E504" s="6">
        <v>2065.37</v>
      </c>
      <c r="F504" s="7" t="s">
        <v>9</v>
      </c>
      <c r="G504" s="6"/>
      <c r="H504" s="6"/>
    </row>
    <row r="505" spans="3:8" x14ac:dyDescent="0.15">
      <c r="C505" s="8"/>
      <c r="D505" s="6">
        <v>319885</v>
      </c>
      <c r="E505" s="6">
        <v>2072.62</v>
      </c>
      <c r="F505" s="7" t="s">
        <v>9</v>
      </c>
      <c r="G505" s="6"/>
      <c r="H505" s="6"/>
    </row>
    <row r="506" spans="3:8" x14ac:dyDescent="0.15">
      <c r="C506" s="8"/>
      <c r="D506" s="6"/>
      <c r="E506" s="6"/>
      <c r="F506" s="7" t="s">
        <v>9</v>
      </c>
      <c r="G506" s="6"/>
      <c r="H506" s="6"/>
    </row>
    <row r="507" spans="3:8" x14ac:dyDescent="0.15">
      <c r="C507" s="8"/>
      <c r="D507" s="6"/>
      <c r="E507" s="6"/>
      <c r="F507" s="7" t="s">
        <v>9</v>
      </c>
      <c r="G507" s="6"/>
      <c r="H507" s="6"/>
    </row>
    <row r="508" spans="3:8" x14ac:dyDescent="0.15">
      <c r="C508" s="8"/>
      <c r="D508" s="6"/>
      <c r="E508" s="6"/>
      <c r="F508" s="7" t="s">
        <v>9</v>
      </c>
      <c r="G508" s="6"/>
      <c r="H508" s="6"/>
    </row>
  </sheetData>
  <conditionalFormatting sqref="A17:F498 I498:J498 A499:E499 K17:L496 A500:L1048576 I497:L497 G499:L499 A1:L16 Q1:XFD1048576">
    <cfRule type="expression" dxfId="4" priority="5">
      <formula>AND(MOD(ROW($A1),2)=1,LEN(A$16)&gt;0,ROW()&gt;16)</formula>
    </cfRule>
  </conditionalFormatting>
  <conditionalFormatting sqref="M497:P1048576 M1:P15">
    <cfRule type="expression" dxfId="3" priority="10">
      <formula>AND(MOD(ROW($A1),2)=1,LEN(#REF!)&gt;0,ROW()&gt;16)</formula>
    </cfRule>
  </conditionalFormatting>
  <conditionalFormatting sqref="O17:P496">
    <cfRule type="expression" dxfId="2" priority="12">
      <formula>AND(MOD(ROW($A17),2)=1,LEN(#REF!)&gt;0,ROW()&gt;16)</formula>
    </cfRule>
  </conditionalFormatting>
  <printOptions gridLines="1"/>
  <pageMargins left="0.74803149606299213" right="0.74803149606299213" top="0.51181102362204722" bottom="0.51181102362204722" header="0.27559055118110237" footer="0.27559055118110237"/>
  <pageSetup paperSize="9" orientation="portrait" r:id="rId1"/>
  <headerFooter alignWithMargins="0">
    <oddFooter>&amp;RPowered by FactSet</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84"/>
  <sheetViews>
    <sheetView workbookViewId="0"/>
  </sheetViews>
  <sheetFormatPr baseColWidth="10" defaultColWidth="8.83203125" defaultRowHeight="13" x14ac:dyDescent="0.15"/>
  <sheetData>
    <row r="1" spans="1:5" ht="70" x14ac:dyDescent="0.15">
      <c r="B1" s="10" t="s">
        <v>166</v>
      </c>
      <c r="C1" s="10" t="s">
        <v>165</v>
      </c>
      <c r="D1" s="10" t="s">
        <v>166</v>
      </c>
      <c r="E1" s="10" t="s">
        <v>165</v>
      </c>
    </row>
    <row r="2" spans="1:5" x14ac:dyDescent="0.15">
      <c r="A2" s="7">
        <v>36738</v>
      </c>
      <c r="B2" s="2">
        <v>100</v>
      </c>
      <c r="C2" s="2">
        <v>100</v>
      </c>
      <c r="D2" s="2"/>
      <c r="E2" s="2"/>
    </row>
    <row r="3" spans="1:5" x14ac:dyDescent="0.15">
      <c r="A3" s="7">
        <v>36769</v>
      </c>
      <c r="B3" s="2">
        <v>104.71871657210517</v>
      </c>
      <c r="C3" s="2">
        <v>106.07025699112963</v>
      </c>
      <c r="D3" s="139">
        <v>4.7187165721051638E-2</v>
      </c>
      <c r="E3" s="139">
        <v>6.0702569911296189E-2</v>
      </c>
    </row>
    <row r="4" spans="1:5" x14ac:dyDescent="0.15">
      <c r="A4" s="7">
        <v>36799</v>
      </c>
      <c r="B4" s="2">
        <v>116.87853017625791</v>
      </c>
      <c r="C4" s="2">
        <v>100.39718148251667</v>
      </c>
      <c r="D4" s="139">
        <v>0.11611881812722546</v>
      </c>
      <c r="E4" s="139">
        <v>-5.3484130891540915E-2</v>
      </c>
    </row>
    <row r="5" spans="1:5" x14ac:dyDescent="0.15">
      <c r="A5" s="7">
        <v>36830</v>
      </c>
      <c r="B5" s="2">
        <v>115.60811136999423</v>
      </c>
      <c r="C5" s="2">
        <v>99.89996910810693</v>
      </c>
      <c r="D5" s="139">
        <v>-1.0869565217391353E-2</v>
      </c>
      <c r="E5" s="139">
        <v>-4.9524535158024241E-3</v>
      </c>
    </row>
    <row r="6" spans="1:5" x14ac:dyDescent="0.15">
      <c r="A6" s="7">
        <v>36860</v>
      </c>
      <c r="B6" s="2">
        <v>119.60078359431972</v>
      </c>
      <c r="C6" s="2">
        <v>91.901175362979757</v>
      </c>
      <c r="D6" s="139">
        <v>3.4536263736263839E-2</v>
      </c>
      <c r="E6" s="139">
        <v>-8.0068030216018049E-2</v>
      </c>
    </row>
    <row r="7" spans="1:5" x14ac:dyDescent="0.15">
      <c r="A7" s="7">
        <v>36891</v>
      </c>
      <c r="B7" s="2">
        <v>128.85603868171182</v>
      </c>
      <c r="C7" s="2">
        <v>92.274084643787049</v>
      </c>
      <c r="D7" s="139">
        <v>7.7384568973941636E-2</v>
      </c>
      <c r="E7" s="139">
        <v>4.0577204734806305E-3</v>
      </c>
    </row>
    <row r="8" spans="1:5" x14ac:dyDescent="0.15">
      <c r="A8" s="7">
        <v>36922</v>
      </c>
      <c r="B8" s="2">
        <v>124.13795731900979</v>
      </c>
      <c r="C8" s="2">
        <v>95.469924535518317</v>
      </c>
      <c r="D8" s="139">
        <v>-3.6615135859920378E-2</v>
      </c>
      <c r="E8" s="139">
        <v>3.4634208554529922E-2</v>
      </c>
    </row>
    <row r="9" spans="1:5" x14ac:dyDescent="0.15">
      <c r="A9" s="7">
        <v>36950</v>
      </c>
      <c r="B9" s="2">
        <v>127.58561987544816</v>
      </c>
      <c r="C9" s="2">
        <v>86.659115315023755</v>
      </c>
      <c r="D9" s="139">
        <v>2.7772831379676788E-2</v>
      </c>
      <c r="E9" s="139">
        <v>-9.2288846601283447E-2</v>
      </c>
    </row>
    <row r="10" spans="1:5" x14ac:dyDescent="0.15">
      <c r="A10" s="7">
        <v>36981</v>
      </c>
      <c r="B10" s="2">
        <v>118.78415838565344</v>
      </c>
      <c r="C10" s="2">
        <v>81.094896953470922</v>
      </c>
      <c r="D10" s="139">
        <v>-6.8984745290158078E-2</v>
      </c>
      <c r="E10" s="139">
        <v>-6.4208114072313749E-2</v>
      </c>
    </row>
    <row r="11" spans="1:5" x14ac:dyDescent="0.15">
      <c r="A11" s="7">
        <v>37011</v>
      </c>
      <c r="B11" s="2">
        <v>123.41204001311075</v>
      </c>
      <c r="C11" s="2">
        <v>87.32402653760721</v>
      </c>
      <c r="D11" s="139">
        <v>3.8960427807486653E-2</v>
      </c>
      <c r="E11" s="139">
        <v>7.6812842954968152E-2</v>
      </c>
    </row>
    <row r="12" spans="1:5" x14ac:dyDescent="0.15">
      <c r="A12" s="7">
        <v>37042</v>
      </c>
      <c r="B12" s="2">
        <v>124.68245881937442</v>
      </c>
      <c r="C12" s="2">
        <v>87.769016902278651</v>
      </c>
      <c r="D12" s="139">
        <v>1.0294123702425662E-2</v>
      </c>
      <c r="E12" s="139">
        <v>5.0958525656144005E-3</v>
      </c>
    </row>
    <row r="13" spans="1:5" x14ac:dyDescent="0.15">
      <c r="A13" s="7">
        <v>37072</v>
      </c>
      <c r="B13" s="2">
        <v>125.9528776256381</v>
      </c>
      <c r="C13" s="2">
        <v>85.574221450742158</v>
      </c>
      <c r="D13" s="139">
        <v>1.0189234462436358E-2</v>
      </c>
      <c r="E13" s="139">
        <v>-2.500649464924698E-2</v>
      </c>
    </row>
    <row r="14" spans="1:5" x14ac:dyDescent="0.15">
      <c r="A14" s="7">
        <v>37103</v>
      </c>
      <c r="B14" s="2">
        <v>125.58991897268857</v>
      </c>
      <c r="C14" s="2">
        <v>84.652613307050729</v>
      </c>
      <c r="D14" s="139">
        <v>-2.8817019491077511E-3</v>
      </c>
      <c r="E14" s="139">
        <v>-1.0769693583738027E-2</v>
      </c>
    </row>
    <row r="15" spans="1:5" x14ac:dyDescent="0.15">
      <c r="A15" s="7">
        <v>37134</v>
      </c>
      <c r="B15" s="2">
        <v>125.9528776256381</v>
      </c>
      <c r="C15" s="2">
        <v>79.225201900586967</v>
      </c>
      <c r="D15" s="139">
        <v>2.8900301546372908E-3</v>
      </c>
      <c r="E15" s="139">
        <v>-6.4113926250304099E-2</v>
      </c>
    </row>
    <row r="16" spans="1:5" x14ac:dyDescent="0.15">
      <c r="A16" s="7">
        <v>37164</v>
      </c>
      <c r="B16" s="2">
        <v>127.04188062636732</v>
      </c>
      <c r="C16" s="2">
        <v>72.751143735565407</v>
      </c>
      <c r="D16" s="139">
        <v>8.6461144934377732E-3</v>
      </c>
      <c r="E16" s="139">
        <v>-8.1717155775068995E-2</v>
      </c>
    </row>
    <row r="17" spans="1:5" x14ac:dyDescent="0.15">
      <c r="A17" s="7">
        <v>37195</v>
      </c>
      <c r="B17" s="2">
        <v>129.21937846030323</v>
      </c>
      <c r="C17" s="2">
        <v>74.067726797981734</v>
      </c>
      <c r="D17" s="139">
        <v>1.7139999999999933E-2</v>
      </c>
      <c r="E17" s="139">
        <v>1.8097077170385445E-2</v>
      </c>
    </row>
    <row r="18" spans="1:5" x14ac:dyDescent="0.15">
      <c r="A18" s="7">
        <v>37225</v>
      </c>
      <c r="B18" s="2">
        <v>127.04188062636729</v>
      </c>
      <c r="C18" s="2">
        <v>79.63562276585418</v>
      </c>
      <c r="D18" s="139">
        <v>-1.6851170930255455E-2</v>
      </c>
      <c r="E18" s="139">
        <v>7.517303701055611E-2</v>
      </c>
    </row>
    <row r="19" spans="1:5" x14ac:dyDescent="0.15">
      <c r="A19" s="7">
        <v>37256</v>
      </c>
      <c r="B19" s="2">
        <v>137.20523107647668</v>
      </c>
      <c r="C19" s="2">
        <v>80.238750202268363</v>
      </c>
      <c r="D19" s="139">
        <v>8.0000000000000071E-2</v>
      </c>
      <c r="E19" s="139">
        <v>7.5735884955343558E-3</v>
      </c>
    </row>
    <row r="20" spans="1:5" x14ac:dyDescent="0.15">
      <c r="A20" s="7">
        <v>37287</v>
      </c>
      <c r="B20" s="2">
        <v>134.11938379606221</v>
      </c>
      <c r="C20" s="2">
        <v>78.989099574868732</v>
      </c>
      <c r="D20" s="139">
        <v>-2.2490740740740756E-2</v>
      </c>
      <c r="E20" s="139">
        <v>-1.557415368820525E-2</v>
      </c>
    </row>
    <row r="21" spans="1:5" x14ac:dyDescent="0.15">
      <c r="A21" s="7">
        <v>37315</v>
      </c>
      <c r="B21" s="2">
        <v>132.48562521120712</v>
      </c>
      <c r="C21" s="2">
        <v>77.348887156327706</v>
      </c>
      <c r="D21" s="139">
        <v>-1.2181375567153818E-2</v>
      </c>
      <c r="E21" s="139">
        <v>-2.0765047675804671E-2</v>
      </c>
    </row>
    <row r="22" spans="1:5" x14ac:dyDescent="0.15">
      <c r="A22" s="7">
        <v>37346</v>
      </c>
      <c r="B22" s="2">
        <v>129.03770857100753</v>
      </c>
      <c r="C22" s="2">
        <v>80.190941320113581</v>
      </c>
      <c r="D22" s="139">
        <v>-2.6024835786546463E-2</v>
      </c>
      <c r="E22" s="139">
        <v>3.6743310321218692E-2</v>
      </c>
    </row>
    <row r="23" spans="1:5" x14ac:dyDescent="0.15">
      <c r="A23" s="7">
        <v>37376</v>
      </c>
      <c r="B23" s="2">
        <v>133.30250450363468</v>
      </c>
      <c r="C23" s="2">
        <v>75.265155415643093</v>
      </c>
      <c r="D23" s="139">
        <v>3.3050772366128189E-2</v>
      </c>
      <c r="E23" s="139">
        <v>-6.1425714967071943E-2</v>
      </c>
    </row>
    <row r="24" spans="1:5" x14ac:dyDescent="0.15">
      <c r="A24" s="7">
        <v>37407</v>
      </c>
      <c r="B24" s="2">
        <v>135.38980260232591</v>
      </c>
      <c r="C24" s="2">
        <v>74.581856161461644</v>
      </c>
      <c r="D24" s="139">
        <v>1.5658356206160517E-2</v>
      </c>
      <c r="E24" s="139">
        <v>-9.0785603299163853E-3</v>
      </c>
    </row>
    <row r="25" spans="1:5" x14ac:dyDescent="0.15">
      <c r="A25" s="7">
        <v>37437</v>
      </c>
      <c r="B25" s="2">
        <v>121.23416105353294</v>
      </c>
      <c r="C25" s="2">
        <v>69.177687226937735</v>
      </c>
      <c r="D25" s="139">
        <v>-0.10455471000553618</v>
      </c>
      <c r="E25" s="139">
        <v>-7.2459566074950743E-2</v>
      </c>
    </row>
    <row r="26" spans="1:5" x14ac:dyDescent="0.15">
      <c r="A26" s="7">
        <v>37468</v>
      </c>
      <c r="B26" s="2">
        <v>123.95654151347537</v>
      </c>
      <c r="C26" s="2">
        <v>63.712984892393258</v>
      </c>
      <c r="D26" s="139">
        <v>2.2455555730206411E-2</v>
      </c>
      <c r="E26" s="139">
        <v>-7.8995158028592249E-2</v>
      </c>
    </row>
    <row r="27" spans="1:5" x14ac:dyDescent="0.15">
      <c r="A27" s="7">
        <v>37499</v>
      </c>
      <c r="B27" s="2">
        <v>132.48562521120718</v>
      </c>
      <c r="C27" s="2">
        <v>64.024036834904919</v>
      </c>
      <c r="D27" s="139">
        <v>6.8807047966924717E-2</v>
      </c>
      <c r="E27" s="139">
        <v>4.8820808354372858E-3</v>
      </c>
    </row>
    <row r="28" spans="1:5" x14ac:dyDescent="0.15">
      <c r="A28" s="7">
        <v>37529</v>
      </c>
      <c r="B28" s="2">
        <v>134.11938379606227</v>
      </c>
      <c r="C28" s="2">
        <v>56.979802586092781</v>
      </c>
      <c r="D28" s="139">
        <v>1.2331591312269241E-2</v>
      </c>
      <c r="E28" s="139">
        <v>-0.11002483749933945</v>
      </c>
    </row>
    <row r="29" spans="1:5" x14ac:dyDescent="0.15">
      <c r="A29" s="7">
        <v>37560</v>
      </c>
      <c r="B29" s="2">
        <v>134.64533718185544</v>
      </c>
      <c r="C29" s="2">
        <v>61.90566204268967</v>
      </c>
      <c r="D29" s="139">
        <v>3.921531481183349E-3</v>
      </c>
      <c r="E29" s="139">
        <v>8.644921942567696E-2</v>
      </c>
    </row>
    <row r="30" spans="1:5" x14ac:dyDescent="0.15">
      <c r="A30" s="7">
        <v>37590</v>
      </c>
      <c r="B30" s="2">
        <v>131.21520640494353</v>
      </c>
      <c r="C30" s="2">
        <v>65.438591329675361</v>
      </c>
      <c r="D30" s="139">
        <v>-2.5475303108930536E-2</v>
      </c>
      <c r="E30" s="139">
        <v>5.7069566343534328E-2</v>
      </c>
    </row>
    <row r="31" spans="1:5" x14ac:dyDescent="0.15">
      <c r="A31" s="7">
        <v>37621</v>
      </c>
      <c r="B31" s="2">
        <v>132.03208569737109</v>
      </c>
      <c r="C31" s="2">
        <v>61.490533841333374</v>
      </c>
      <c r="D31" s="139">
        <v>6.2254925691049845E-3</v>
      </c>
      <c r="E31" s="139">
        <v>-6.0332250559183564E-2</v>
      </c>
    </row>
    <row r="32" spans="1:5" x14ac:dyDescent="0.15">
      <c r="A32" s="7">
        <v>37652</v>
      </c>
      <c r="B32" s="2">
        <v>122.68612270721177</v>
      </c>
      <c r="C32" s="2">
        <v>59.804719104429331</v>
      </c>
      <c r="D32" s="139">
        <v>-7.0785543838041587E-2</v>
      </c>
      <c r="E32" s="139">
        <v>-2.7415841619687686E-2</v>
      </c>
    </row>
    <row r="33" spans="1:5" x14ac:dyDescent="0.15">
      <c r="A33" s="7">
        <v>37680</v>
      </c>
      <c r="B33" s="2">
        <v>111.97827075673776</v>
      </c>
      <c r="C33" s="2">
        <v>58.787860957060289</v>
      </c>
      <c r="D33" s="139">
        <v>-8.7278428188884094E-2</v>
      </c>
      <c r="E33" s="139">
        <v>-1.70029750594336E-2</v>
      </c>
    </row>
    <row r="34" spans="1:5" x14ac:dyDescent="0.15">
      <c r="A34" s="7">
        <v>37711</v>
      </c>
      <c r="B34" s="2">
        <v>115.78952717552879</v>
      </c>
      <c r="C34" s="2">
        <v>59.27918916135868</v>
      </c>
      <c r="D34" s="139">
        <v>3.4035678467214669E-2</v>
      </c>
      <c r="E34" s="139">
        <v>8.3576472472313146E-3</v>
      </c>
    </row>
    <row r="35" spans="1:5" x14ac:dyDescent="0.15">
      <c r="A35" s="7">
        <v>37741</v>
      </c>
      <c r="B35" s="2">
        <v>126.70610893587191</v>
      </c>
      <c r="C35" s="2">
        <v>64.083393400903248</v>
      </c>
      <c r="D35" s="139">
        <v>9.4279526194060326E-2</v>
      </c>
      <c r="E35" s="139">
        <v>8.1043690163633331E-2</v>
      </c>
    </row>
    <row r="36" spans="1:5" x14ac:dyDescent="0.15">
      <c r="A36" s="7">
        <v>37772</v>
      </c>
      <c r="B36" s="2">
        <v>128.85603868171194</v>
      </c>
      <c r="C36" s="2">
        <v>67.345209550008107</v>
      </c>
      <c r="D36" s="139">
        <v>1.6967846017023058E-2</v>
      </c>
      <c r="E36" s="139">
        <v>5.0899554096629496E-2</v>
      </c>
    </row>
    <row r="37" spans="1:5" x14ac:dyDescent="0.15">
      <c r="A37" s="7">
        <v>37802</v>
      </c>
      <c r="B37" s="2">
        <v>131.578546183535</v>
      </c>
      <c r="C37" s="2">
        <v>68.107650892187309</v>
      </c>
      <c r="D37" s="139">
        <v>2.11282880466932E-2</v>
      </c>
      <c r="E37" s="139">
        <v>1.1321389409487903E-2</v>
      </c>
    </row>
    <row r="38" spans="1:5" x14ac:dyDescent="0.15">
      <c r="A38" s="7">
        <v>37833</v>
      </c>
      <c r="B38" s="2">
        <v>130.68925301915041</v>
      </c>
      <c r="C38" s="2">
        <v>69.212624486973937</v>
      </c>
      <c r="D38" s="139">
        <v>-6.7586486564772397E-3</v>
      </c>
      <c r="E38" s="139">
        <v>1.6223927566313634E-2</v>
      </c>
    </row>
    <row r="39" spans="1:5" x14ac:dyDescent="0.15">
      <c r="A39" s="7">
        <v>37864</v>
      </c>
      <c r="B39" s="2">
        <v>137.52283577804272</v>
      </c>
      <c r="C39" s="2">
        <v>70.449697700760552</v>
      </c>
      <c r="D39" s="139">
        <v>5.2288788871499348E-2</v>
      </c>
      <c r="E39" s="139">
        <v>1.7873519794346704E-2</v>
      </c>
    </row>
    <row r="40" spans="1:5" x14ac:dyDescent="0.15">
      <c r="A40" s="7">
        <v>37894</v>
      </c>
      <c r="B40" s="2">
        <v>136.11521174070256</v>
      </c>
      <c r="C40" s="2">
        <v>69.608187822709993</v>
      </c>
      <c r="D40" s="139">
        <v>-1.0235565819861403E-2</v>
      </c>
      <c r="E40" s="139">
        <v>-1.1944833058403326E-2</v>
      </c>
    </row>
    <row r="41" spans="1:5" x14ac:dyDescent="0.15">
      <c r="A41" s="7">
        <v>37925</v>
      </c>
      <c r="B41" s="2">
        <v>141.21594324785121</v>
      </c>
      <c r="C41" s="2">
        <v>73.434001676988515</v>
      </c>
      <c r="D41" s="139">
        <v>3.7473633122398375E-2</v>
      </c>
      <c r="E41" s="139">
        <v>5.4962124053893779E-2</v>
      </c>
    </row>
    <row r="42" spans="1:5" x14ac:dyDescent="0.15">
      <c r="A42" s="7">
        <v>37955</v>
      </c>
      <c r="B42" s="2">
        <v>151.99544681899849</v>
      </c>
      <c r="C42" s="2">
        <v>73.957398608393802</v>
      </c>
      <c r="D42" s="139">
        <v>7.6333474275124269E-2</v>
      </c>
      <c r="E42" s="139">
        <v>7.1274466793671554E-3</v>
      </c>
    </row>
    <row r="43" spans="1:5" x14ac:dyDescent="0.15">
      <c r="A43" s="7">
        <v>37986</v>
      </c>
      <c r="B43" s="2">
        <v>152.90379626547701</v>
      </c>
      <c r="C43" s="2">
        <v>77.71149913944015</v>
      </c>
      <c r="D43" s="139">
        <v>5.9761622172815887E-3</v>
      </c>
      <c r="E43" s="139">
        <v>5.076031068810849E-2</v>
      </c>
    </row>
    <row r="44" spans="1:5" x14ac:dyDescent="0.15">
      <c r="A44" s="7">
        <v>38017</v>
      </c>
      <c r="B44" s="2">
        <v>162.41288103036061</v>
      </c>
      <c r="C44" s="2">
        <v>79.054560967357588</v>
      </c>
      <c r="D44" s="139">
        <v>6.2189984795234077E-2</v>
      </c>
      <c r="E44" s="139">
        <v>1.7282665278500753E-2</v>
      </c>
    </row>
    <row r="45" spans="1:5" x14ac:dyDescent="0.15">
      <c r="A45" s="7">
        <v>38046</v>
      </c>
      <c r="B45" s="2">
        <v>171.506538845596</v>
      </c>
      <c r="C45" s="2">
        <v>80.01956486562031</v>
      </c>
      <c r="D45" s="139">
        <v>5.599098887689502E-2</v>
      </c>
      <c r="E45" s="139">
        <v>1.2206808645249145E-2</v>
      </c>
    </row>
    <row r="46" spans="1:5" x14ac:dyDescent="0.15">
      <c r="A46" s="7">
        <v>38077</v>
      </c>
      <c r="B46" s="2">
        <v>169.3277705928538</v>
      </c>
      <c r="C46" s="2">
        <v>78.71033701584318</v>
      </c>
      <c r="D46" s="139">
        <v>-1.2703703703703662E-2</v>
      </c>
      <c r="E46" s="139">
        <v>-1.6361346777825747E-2</v>
      </c>
    </row>
    <row r="47" spans="1:5" x14ac:dyDescent="0.15">
      <c r="A47" s="7">
        <v>38107</v>
      </c>
      <c r="B47" s="2">
        <v>169.49165461886182</v>
      </c>
      <c r="C47" s="2">
        <v>77.3886053045794</v>
      </c>
      <c r="D47" s="139">
        <v>9.6785084593165038E-4</v>
      </c>
      <c r="E47" s="139">
        <v>-1.6792352331025273E-2</v>
      </c>
    </row>
    <row r="48" spans="1:5" x14ac:dyDescent="0.15">
      <c r="A48" s="7">
        <v>38138</v>
      </c>
      <c r="B48" s="2">
        <v>161.52358786597605</v>
      </c>
      <c r="C48" s="2">
        <v>78.324188352285319</v>
      </c>
      <c r="D48" s="139">
        <v>-4.7011558007405529E-2</v>
      </c>
      <c r="E48" s="139">
        <v>1.2089416058394198E-2</v>
      </c>
    </row>
    <row r="49" spans="1:5" x14ac:dyDescent="0.15">
      <c r="A49" s="7">
        <v>38168</v>
      </c>
      <c r="B49" s="2">
        <v>161.43338813073134</v>
      </c>
      <c r="C49" s="2">
        <v>79.732711572691613</v>
      </c>
      <c r="D49" s="139">
        <v>-5.5843073099370866E-4</v>
      </c>
      <c r="E49" s="139">
        <v>1.7983246938622077E-2</v>
      </c>
    </row>
    <row r="50" spans="1:5" x14ac:dyDescent="0.15">
      <c r="A50" s="7">
        <v>38199</v>
      </c>
      <c r="B50" s="2">
        <v>158.34754085031688</v>
      </c>
      <c r="C50" s="2">
        <v>76.99877903470194</v>
      </c>
      <c r="D50" s="139">
        <v>-1.9115297746928883E-2</v>
      </c>
      <c r="E50" s="139">
        <v>-3.4288718946892671E-2</v>
      </c>
    </row>
    <row r="51" spans="1:5" x14ac:dyDescent="0.15">
      <c r="A51" s="7">
        <v>38230</v>
      </c>
      <c r="B51" s="2">
        <v>157.89400133648076</v>
      </c>
      <c r="C51" s="2">
        <v>77.174568616778771</v>
      </c>
      <c r="D51" s="139">
        <v>-2.864203077614258E-3</v>
      </c>
      <c r="E51" s="139">
        <v>2.2830177865236223E-3</v>
      </c>
    </row>
    <row r="52" spans="1:5" x14ac:dyDescent="0.15">
      <c r="A52" s="7">
        <v>38260</v>
      </c>
      <c r="B52" s="2">
        <v>157.2587919333489</v>
      </c>
      <c r="C52" s="2">
        <v>77.897586019211872</v>
      </c>
      <c r="D52" s="139">
        <v>-4.0230116265036475E-3</v>
      </c>
      <c r="E52" s="139">
        <v>9.3685966166308088E-3</v>
      </c>
    </row>
    <row r="53" spans="1:5" x14ac:dyDescent="0.15">
      <c r="A53" s="7">
        <v>38291</v>
      </c>
      <c r="B53" s="2">
        <v>152.90379626547704</v>
      </c>
      <c r="C53" s="2">
        <v>78.989099574868774</v>
      </c>
      <c r="D53" s="139">
        <v>-2.7693177687118764E-2</v>
      </c>
      <c r="E53" s="139">
        <v>1.4012161498659248E-2</v>
      </c>
    </row>
    <row r="54" spans="1:5" x14ac:dyDescent="0.15">
      <c r="A54" s="7">
        <v>38321</v>
      </c>
      <c r="B54" s="2">
        <v>151.90524708375378</v>
      </c>
      <c r="C54" s="2">
        <v>82.037835213816081</v>
      </c>
      <c r="D54" s="139">
        <v>-6.5305715496398742E-3</v>
      </c>
      <c r="E54" s="139">
        <v>3.8596915971394363E-2</v>
      </c>
    </row>
    <row r="55" spans="1:5" x14ac:dyDescent="0.15">
      <c r="A55" s="7">
        <v>38352</v>
      </c>
      <c r="B55" s="2">
        <v>159.52775992133581</v>
      </c>
      <c r="C55" s="2">
        <v>84.700422189205554</v>
      </c>
      <c r="D55" s="139">
        <v>5.0179391323983191E-2</v>
      </c>
      <c r="E55" s="139">
        <v>3.2455597694038829E-2</v>
      </c>
    </row>
    <row r="56" spans="1:5" x14ac:dyDescent="0.15">
      <c r="A56" s="7">
        <v>38383</v>
      </c>
      <c r="B56" s="2">
        <v>163.15734645083114</v>
      </c>
      <c r="C56" s="2">
        <v>82.558584268671282</v>
      </c>
      <c r="D56" s="139">
        <v>2.2752068550859761E-2</v>
      </c>
      <c r="E56" s="139">
        <v>-2.5287216582578487E-2</v>
      </c>
    </row>
    <row r="57" spans="1:5" x14ac:dyDescent="0.15">
      <c r="A57" s="7">
        <v>38411</v>
      </c>
      <c r="B57" s="2">
        <v>163.70235611871826</v>
      </c>
      <c r="C57" s="2">
        <v>84.119360390708977</v>
      </c>
      <c r="D57" s="139">
        <v>3.3403930607032173E-3</v>
      </c>
      <c r="E57" s="139">
        <v>1.890507372266037E-2</v>
      </c>
    </row>
    <row r="58" spans="1:5" x14ac:dyDescent="0.15">
      <c r="A58" s="7">
        <v>38442</v>
      </c>
      <c r="B58" s="2">
        <v>157.89400133648073</v>
      </c>
      <c r="C58" s="2">
        <v>82.510775386516499</v>
      </c>
      <c r="D58" s="139">
        <v>-3.5481192329481548E-2</v>
      </c>
      <c r="E58" s="139">
        <v>-1.9122649015887561E-2</v>
      </c>
    </row>
    <row r="59" spans="1:5" x14ac:dyDescent="0.15">
      <c r="A59" s="7">
        <v>38472</v>
      </c>
      <c r="B59" s="2">
        <v>153.08546615477272</v>
      </c>
      <c r="C59" s="2">
        <v>80.85143941511356</v>
      </c>
      <c r="D59" s="139">
        <v>-3.0454198012632272E-2</v>
      </c>
      <c r="E59" s="139">
        <v>-2.0110536637546805E-2</v>
      </c>
    </row>
    <row r="60" spans="1:5" x14ac:dyDescent="0.15">
      <c r="A60" s="7">
        <v>38503</v>
      </c>
      <c r="B60" s="2">
        <v>152.63065622213031</v>
      </c>
      <c r="C60" s="2">
        <v>83.27351093720128</v>
      </c>
      <c r="D60" s="139">
        <v>-2.9709543568464669E-3</v>
      </c>
      <c r="E60" s="139">
        <v>2.995706124231301E-2</v>
      </c>
    </row>
    <row r="61" spans="1:5" x14ac:dyDescent="0.15">
      <c r="A61" s="7">
        <v>38533</v>
      </c>
      <c r="B61" s="2">
        <v>151.54190730516234</v>
      </c>
      <c r="C61" s="2">
        <v>83.261742596978564</v>
      </c>
      <c r="D61" s="139">
        <v>-7.133225682941835E-3</v>
      </c>
      <c r="E61" s="139">
        <v>-1.4132153298540562E-4</v>
      </c>
    </row>
    <row r="62" spans="1:5" x14ac:dyDescent="0.15">
      <c r="A62" s="7">
        <v>38564</v>
      </c>
      <c r="B62" s="2">
        <v>151.54190730516234</v>
      </c>
      <c r="C62" s="2">
        <v>86.256049662395824</v>
      </c>
      <c r="D62" s="139">
        <v>0</v>
      </c>
      <c r="E62" s="139">
        <v>3.5962579835867148E-2</v>
      </c>
    </row>
    <row r="63" spans="1:5" x14ac:dyDescent="0.15">
      <c r="A63" s="7">
        <v>38595</v>
      </c>
      <c r="B63" s="2">
        <v>150.90669790203049</v>
      </c>
      <c r="C63" s="2">
        <v>85.288103679077437</v>
      </c>
      <c r="D63" s="139">
        <v>-4.191641866118978E-3</v>
      </c>
      <c r="E63" s="139">
        <v>-1.1221775018759872E-2</v>
      </c>
    </row>
    <row r="64" spans="1:5" x14ac:dyDescent="0.15">
      <c r="A64" s="7">
        <v>38625</v>
      </c>
      <c r="B64" s="2">
        <v>148.81939980333928</v>
      </c>
      <c r="C64" s="2">
        <v>85.880933817796745</v>
      </c>
      <c r="D64" s="139">
        <v>-1.3831712758344938E-2</v>
      </c>
      <c r="E64" s="139">
        <v>6.950912415053967E-3</v>
      </c>
    </row>
    <row r="65" spans="1:5" x14ac:dyDescent="0.15">
      <c r="A65" s="7">
        <v>38656</v>
      </c>
      <c r="B65" s="2">
        <v>155.89817339184046</v>
      </c>
      <c r="C65" s="2">
        <v>84.357669280218985</v>
      </c>
      <c r="D65" s="139">
        <v>4.7566201703914901E-2</v>
      </c>
      <c r="E65" s="139">
        <v>-1.7736934961716799E-2</v>
      </c>
    </row>
    <row r="66" spans="1:5" x14ac:dyDescent="0.15">
      <c r="A66" s="7">
        <v>38686</v>
      </c>
      <c r="B66" s="2">
        <v>162.23248155987113</v>
      </c>
      <c r="C66" s="2">
        <v>87.325497580135135</v>
      </c>
      <c r="D66" s="139">
        <v>4.0631060840653932E-2</v>
      </c>
      <c r="E66" s="139">
        <v>3.5181487649423193E-2</v>
      </c>
    </row>
    <row r="67" spans="1:5" x14ac:dyDescent="0.15">
      <c r="A67" s="7">
        <v>38717</v>
      </c>
      <c r="B67" s="2">
        <v>160.83502087298109</v>
      </c>
      <c r="C67" s="2">
        <v>87.242383677312205</v>
      </c>
      <c r="D67" s="139">
        <v>-8.6139389193422566E-3</v>
      </c>
      <c r="E67" s="139">
        <v>-9.517713053585064E-4</v>
      </c>
    </row>
    <row r="68" spans="1:5" x14ac:dyDescent="0.15">
      <c r="A68" s="7">
        <v>38748</v>
      </c>
      <c r="B68" s="2">
        <v>162.41288103036055</v>
      </c>
      <c r="C68" s="2">
        <v>89.464393415613728</v>
      </c>
      <c r="D68" s="139">
        <v>9.8104265402843005E-3</v>
      </c>
      <c r="E68" s="139">
        <v>2.5469383625740694E-2</v>
      </c>
    </row>
    <row r="69" spans="1:5" x14ac:dyDescent="0.15">
      <c r="A69" s="7">
        <v>38776</v>
      </c>
      <c r="B69" s="2">
        <v>157.53193197669552</v>
      </c>
      <c r="C69" s="2">
        <v>89.504847085129327</v>
      </c>
      <c r="D69" s="139">
        <v>-3.0052721327889165E-2</v>
      </c>
      <c r="E69" s="139">
        <v>4.5217620073345621E-4</v>
      </c>
    </row>
    <row r="70" spans="1:5" x14ac:dyDescent="0.15">
      <c r="A70" s="7">
        <v>38807</v>
      </c>
      <c r="B70" s="2">
        <v>163.97422574325861</v>
      </c>
      <c r="C70" s="2">
        <v>90.494858706365292</v>
      </c>
      <c r="D70" s="139">
        <v>4.0895161290322557E-2</v>
      </c>
      <c r="E70" s="139">
        <v>1.1060983326348195E-2</v>
      </c>
    </row>
    <row r="71" spans="1:5" x14ac:dyDescent="0.15">
      <c r="A71" s="7">
        <v>38837</v>
      </c>
      <c r="B71" s="2">
        <v>161.523587865976</v>
      </c>
      <c r="C71" s="2">
        <v>91.598140602244897</v>
      </c>
      <c r="D71" s="139">
        <v>-1.4945262684878835E-2</v>
      </c>
      <c r="E71" s="139">
        <v>1.2191652781728735E-2</v>
      </c>
    </row>
    <row r="72" spans="1:5" x14ac:dyDescent="0.15">
      <c r="A72" s="7">
        <v>38868</v>
      </c>
      <c r="B72" s="2">
        <v>167.49455625541526</v>
      </c>
      <c r="C72" s="2">
        <v>88.766383736153898</v>
      </c>
      <c r="D72" s="139">
        <v>3.6966541347469795E-2</v>
      </c>
      <c r="E72" s="139">
        <v>-3.0915003814188768E-2</v>
      </c>
    </row>
    <row r="73" spans="1:5" x14ac:dyDescent="0.15">
      <c r="A73" s="7">
        <v>38898</v>
      </c>
      <c r="B73" s="2">
        <v>166.34990891097169</v>
      </c>
      <c r="C73" s="2">
        <v>88.77373894879311</v>
      </c>
      <c r="D73" s="139">
        <v>-6.8339375919661549E-3</v>
      </c>
      <c r="E73" s="139">
        <v>8.2860338898926855E-5</v>
      </c>
    </row>
    <row r="74" spans="1:5" x14ac:dyDescent="0.15">
      <c r="A74" s="7">
        <v>38929</v>
      </c>
      <c r="B74" s="2">
        <v>166.24319373124553</v>
      </c>
      <c r="C74" s="2">
        <v>89.225349004839813</v>
      </c>
      <c r="D74" s="139">
        <v>-6.415102985314336E-4</v>
      </c>
      <c r="E74" s="139">
        <v>5.0872032809974321E-3</v>
      </c>
    </row>
    <row r="75" spans="1:5" x14ac:dyDescent="0.15">
      <c r="A75" s="7">
        <v>38960</v>
      </c>
      <c r="B75" s="2">
        <v>174.40436414268339</v>
      </c>
      <c r="C75" s="2">
        <v>91.123729387016681</v>
      </c>
      <c r="D75" s="139">
        <v>4.9091756650389451E-2</v>
      </c>
      <c r="E75" s="139">
        <v>2.1276244961214941E-2</v>
      </c>
    </row>
    <row r="76" spans="1:5" x14ac:dyDescent="0.15">
      <c r="A76" s="7">
        <v>38990</v>
      </c>
      <c r="B76" s="2">
        <v>173.86570656882759</v>
      </c>
      <c r="C76" s="2">
        <v>93.361920593124438</v>
      </c>
      <c r="D76" s="139">
        <v>-3.0885555903584772E-3</v>
      </c>
      <c r="E76" s="139">
        <v>2.4562111550568977E-2</v>
      </c>
    </row>
    <row r="77" spans="1:5" x14ac:dyDescent="0.15">
      <c r="A77" s="7">
        <v>39021</v>
      </c>
      <c r="B77" s="2">
        <v>191.42416489019783</v>
      </c>
      <c r="C77" s="2">
        <v>96.304005648803397</v>
      </c>
      <c r="D77" s="139">
        <v>0.10098862316140211</v>
      </c>
      <c r="E77" s="139">
        <v>3.1512687795923755E-2</v>
      </c>
    </row>
    <row r="78" spans="1:5" x14ac:dyDescent="0.15">
      <c r="A78" s="7">
        <v>39051</v>
      </c>
      <c r="B78" s="2">
        <v>194.37407735834208</v>
      </c>
      <c r="C78" s="2">
        <v>97.889789493814376</v>
      </c>
      <c r="D78" s="139">
        <v>1.5410345239517342E-2</v>
      </c>
      <c r="E78" s="139">
        <v>1.6466437032681025E-2</v>
      </c>
    </row>
    <row r="79" spans="1:5" x14ac:dyDescent="0.15">
      <c r="A79" s="7">
        <v>39082</v>
      </c>
      <c r="B79" s="2">
        <v>199.61836619059852</v>
      </c>
      <c r="C79" s="2">
        <v>99.124729695935628</v>
      </c>
      <c r="D79" s="139">
        <v>2.6980392156862765E-2</v>
      </c>
      <c r="E79" s="139">
        <v>1.2615618120205285E-2</v>
      </c>
    </row>
    <row r="80" spans="1:5" x14ac:dyDescent="0.15">
      <c r="A80" s="7">
        <v>39113</v>
      </c>
      <c r="B80" s="2">
        <v>199.7276222079372</v>
      </c>
      <c r="C80" s="2">
        <v>100.51780696979962</v>
      </c>
      <c r="D80" s="139">
        <v>5.4732447431393716E-4</v>
      </c>
      <c r="E80" s="139">
        <v>1.4053781313071445E-2</v>
      </c>
    </row>
    <row r="81" spans="1:5" x14ac:dyDescent="0.15">
      <c r="A81" s="7">
        <v>39141</v>
      </c>
      <c r="B81" s="2">
        <v>192.72253291019931</v>
      </c>
      <c r="C81" s="2">
        <v>98.322275996999181</v>
      </c>
      <c r="D81" s="139">
        <v>-3.5073212309336355E-2</v>
      </c>
      <c r="E81" s="139">
        <v>-2.1842209246169531E-2</v>
      </c>
    </row>
    <row r="82" spans="1:5" x14ac:dyDescent="0.15">
      <c r="A82" s="7">
        <v>39172</v>
      </c>
      <c r="B82" s="2">
        <v>197.80420813525399</v>
      </c>
      <c r="C82" s="2">
        <v>99.303461363068138</v>
      </c>
      <c r="D82" s="139">
        <v>2.6367831245879936E-2</v>
      </c>
      <c r="E82" s="139">
        <v>9.9792784098986509E-3</v>
      </c>
    </row>
    <row r="83" spans="1:5" x14ac:dyDescent="0.15">
      <c r="A83" s="7">
        <v>39202</v>
      </c>
      <c r="B83" s="2">
        <v>198.18533377713308</v>
      </c>
      <c r="C83" s="2">
        <v>103.60258315067902</v>
      </c>
      <c r="D83" s="139">
        <v>1.9267822736031004E-3</v>
      </c>
      <c r="E83" s="139">
        <v>4.3292768737362097E-2</v>
      </c>
    </row>
    <row r="84" spans="1:5" x14ac:dyDescent="0.15">
      <c r="A84" s="7">
        <v>39233</v>
      </c>
      <c r="B84" s="2">
        <v>198.71128716292623</v>
      </c>
      <c r="C84" s="2">
        <v>106.97421262448712</v>
      </c>
      <c r="D84" s="139">
        <v>2.6538461538461178E-3</v>
      </c>
      <c r="E84" s="139">
        <v>3.2543874595331479E-2</v>
      </c>
    </row>
    <row r="85" spans="1:5" x14ac:dyDescent="0.15">
      <c r="A85" s="7">
        <v>39263</v>
      </c>
      <c r="B85" s="2">
        <v>198.68333794918843</v>
      </c>
      <c r="C85" s="2">
        <v>105.06847702967107</v>
      </c>
      <c r="D85" s="139">
        <v>-1.4065237127114383E-4</v>
      </c>
      <c r="E85" s="139">
        <v>-1.7814906490649096E-2</v>
      </c>
    </row>
    <row r="86" spans="1:5" x14ac:dyDescent="0.15">
      <c r="A86" s="7">
        <v>39294</v>
      </c>
      <c r="B86" s="2">
        <v>199.63615205388618</v>
      </c>
      <c r="C86" s="2">
        <v>101.70861589608569</v>
      </c>
      <c r="D86" s="139">
        <v>4.7956417208041557E-3</v>
      </c>
      <c r="E86" s="139">
        <v>-3.1977822735896E-2</v>
      </c>
    </row>
    <row r="87" spans="1:5" x14ac:dyDescent="0.15">
      <c r="A87" s="7">
        <v>39325</v>
      </c>
      <c r="B87" s="2">
        <v>214.86339186576257</v>
      </c>
      <c r="C87" s="2">
        <v>103.01637270333499</v>
      </c>
      <c r="D87" s="139">
        <v>7.6274961499789962E-2</v>
      </c>
      <c r="E87" s="139">
        <v>1.2857876353222775E-2</v>
      </c>
    </row>
    <row r="88" spans="1:5" x14ac:dyDescent="0.15">
      <c r="A88" s="7">
        <v>39355</v>
      </c>
      <c r="B88" s="2">
        <v>215.0819039004399</v>
      </c>
      <c r="C88" s="2">
        <v>106.70427632062857</v>
      </c>
      <c r="D88" s="139">
        <v>1.0169812213234319E-3</v>
      </c>
      <c r="E88" s="139">
        <v>3.579919890903116E-2</v>
      </c>
    </row>
    <row r="89" spans="1:5" x14ac:dyDescent="0.15">
      <c r="A89" s="7">
        <v>39386</v>
      </c>
      <c r="B89" s="2">
        <v>240.47122374361942</v>
      </c>
      <c r="C89" s="2">
        <v>108.28564703805601</v>
      </c>
      <c r="D89" s="139">
        <v>0.11804489072652102</v>
      </c>
      <c r="E89" s="139">
        <v>1.4820125040496901E-2</v>
      </c>
    </row>
    <row r="90" spans="1:5" x14ac:dyDescent="0.15">
      <c r="A90" s="7">
        <v>39416</v>
      </c>
      <c r="B90" s="2">
        <v>254.26416072322414</v>
      </c>
      <c r="C90" s="2">
        <v>103.51652716280041</v>
      </c>
      <c r="D90" s="139">
        <v>5.7357952294159631E-2</v>
      </c>
      <c r="E90" s="139">
        <v>-4.4042031476060117E-2</v>
      </c>
    </row>
    <row r="91" spans="1:5" x14ac:dyDescent="0.15">
      <c r="A91" s="7">
        <v>39447</v>
      </c>
      <c r="B91" s="2">
        <v>256.98666822504714</v>
      </c>
      <c r="C91" s="2">
        <v>102.62286882713792</v>
      </c>
      <c r="D91" s="139">
        <v>1.0707397747599101E-2</v>
      </c>
      <c r="E91" s="139">
        <v>-8.6330015134398197E-3</v>
      </c>
    </row>
    <row r="92" spans="1:5" x14ac:dyDescent="0.15">
      <c r="A92" s="7">
        <v>39478</v>
      </c>
      <c r="B92" s="2">
        <v>246.82331777493775</v>
      </c>
      <c r="C92" s="2">
        <v>96.346665882110784</v>
      </c>
      <c r="D92" s="139">
        <v>-3.9548162246335616E-2</v>
      </c>
      <c r="E92" s="139">
        <v>-6.1157936985751449E-2</v>
      </c>
    </row>
    <row r="93" spans="1:5" x14ac:dyDescent="0.15">
      <c r="A93" s="7">
        <v>39507</v>
      </c>
      <c r="B93" s="2">
        <v>254.0837612527346</v>
      </c>
      <c r="C93" s="2">
        <v>92.997102046220277</v>
      </c>
      <c r="D93" s="139">
        <v>2.9415549321872403E-2</v>
      </c>
      <c r="E93" s="139">
        <v>-3.4765747265079416E-2</v>
      </c>
    </row>
    <row r="94" spans="1:5" x14ac:dyDescent="0.15">
      <c r="A94" s="7">
        <v>39538</v>
      </c>
      <c r="B94" s="2">
        <v>242.10498232847442</v>
      </c>
      <c r="C94" s="2">
        <v>92.443254534488716</v>
      </c>
      <c r="D94" s="139">
        <v>-4.7144999999999992E-2</v>
      </c>
      <c r="E94" s="139">
        <v>-5.9555351677119672E-3</v>
      </c>
    </row>
    <row r="95" spans="1:5" x14ac:dyDescent="0.15">
      <c r="A95" s="7">
        <v>39568</v>
      </c>
      <c r="B95" s="2">
        <v>242.92186162090195</v>
      </c>
      <c r="C95" s="2">
        <v>96.838729607673116</v>
      </c>
      <c r="D95" s="139">
        <v>3.374070556380504E-3</v>
      </c>
      <c r="E95" s="139">
        <v>4.7547818338054437E-2</v>
      </c>
    </row>
    <row r="96" spans="1:5" x14ac:dyDescent="0.15">
      <c r="A96" s="7">
        <v>39599</v>
      </c>
      <c r="B96" s="2">
        <v>244.3739503164613</v>
      </c>
      <c r="C96" s="2">
        <v>97.87213698348036</v>
      </c>
      <c r="D96" s="139">
        <v>5.9775957827354897E-3</v>
      </c>
      <c r="E96" s="139">
        <v>1.0671426401336781E-2</v>
      </c>
    </row>
    <row r="97" spans="1:5" x14ac:dyDescent="0.15">
      <c r="A97" s="7">
        <v>39629</v>
      </c>
      <c r="B97" s="2">
        <v>219.14724408048355</v>
      </c>
      <c r="C97" s="2">
        <v>89.458509245502441</v>
      </c>
      <c r="D97" s="139">
        <v>-0.1032299318454748</v>
      </c>
      <c r="E97" s="139">
        <v>-8.5965505579979729E-2</v>
      </c>
    </row>
    <row r="98" spans="1:5" x14ac:dyDescent="0.15">
      <c r="A98" s="7">
        <v>39660</v>
      </c>
      <c r="B98" s="2">
        <v>207.71347482411048</v>
      </c>
      <c r="C98" s="2">
        <v>88.576619250062677</v>
      </c>
      <c r="D98" s="139">
        <v>-5.2173913043478293E-2</v>
      </c>
      <c r="E98" s="139">
        <v>-9.8580895532205393E-3</v>
      </c>
    </row>
    <row r="99" spans="1:5" x14ac:dyDescent="0.15">
      <c r="A99" s="7">
        <v>39691</v>
      </c>
      <c r="B99" s="2">
        <v>211.61493097814622</v>
      </c>
      <c r="C99" s="2">
        <v>89.65636446549685</v>
      </c>
      <c r="D99" s="139">
        <v>1.8782874617736978E-2</v>
      </c>
      <c r="E99" s="139">
        <v>1.2189957401579354E-2</v>
      </c>
    </row>
    <row r="100" spans="1:5" x14ac:dyDescent="0.15">
      <c r="A100" s="7">
        <v>39721</v>
      </c>
      <c r="B100" s="2">
        <v>237.02330710341965</v>
      </c>
      <c r="C100" s="2">
        <v>81.516350637697073</v>
      </c>
      <c r="D100" s="139">
        <v>0.12006891955982724</v>
      </c>
      <c r="E100" s="139">
        <v>-9.0791254768448293E-2</v>
      </c>
    </row>
    <row r="101" spans="1:5" x14ac:dyDescent="0.15">
      <c r="A101" s="7">
        <v>39752</v>
      </c>
      <c r="B101" s="2">
        <v>209.60004675141201</v>
      </c>
      <c r="C101" s="2">
        <v>67.705835625708062</v>
      </c>
      <c r="D101" s="139">
        <v>-0.11569858123716981</v>
      </c>
      <c r="E101" s="139">
        <v>-0.16942018262532932</v>
      </c>
    </row>
    <row r="102" spans="1:5" x14ac:dyDescent="0.15">
      <c r="A102" s="7">
        <v>39782</v>
      </c>
      <c r="B102" s="2">
        <v>188.74739246540008</v>
      </c>
      <c r="C102" s="2">
        <v>62.638094117301044</v>
      </c>
      <c r="D102" s="139">
        <v>-9.9487832227172168E-2</v>
      </c>
      <c r="E102" s="139">
        <v>-7.4849404952662346E-2</v>
      </c>
    </row>
    <row r="103" spans="1:5" x14ac:dyDescent="0.15">
      <c r="A103" s="7">
        <v>39813</v>
      </c>
      <c r="B103" s="2">
        <v>175.3177952643868</v>
      </c>
      <c r="C103" s="2">
        <v>63.128024831197983</v>
      </c>
      <c r="D103" s="139">
        <v>-7.1151166782211894E-2</v>
      </c>
      <c r="E103" s="139">
        <v>7.8216095301280042E-3</v>
      </c>
    </row>
    <row r="104" spans="1:5" x14ac:dyDescent="0.15">
      <c r="A104" s="7">
        <v>39844</v>
      </c>
      <c r="B104" s="2">
        <v>162.43574856887315</v>
      </c>
      <c r="C104" s="2">
        <v>57.720619603112837</v>
      </c>
      <c r="D104" s="139">
        <v>-7.3478260869565215E-2</v>
      </c>
      <c r="E104" s="139">
        <v>-8.5657760440697284E-2</v>
      </c>
    </row>
    <row r="105" spans="1:5" x14ac:dyDescent="0.15">
      <c r="A105" s="7">
        <v>39872</v>
      </c>
      <c r="B105" s="2">
        <v>142.64897566131646</v>
      </c>
      <c r="C105" s="2">
        <v>51.375351211403625</v>
      </c>
      <c r="D105" s="139">
        <v>-0.12181292038166747</v>
      </c>
      <c r="E105" s="139">
        <v>-0.10993070475229294</v>
      </c>
    </row>
    <row r="106" spans="1:5" x14ac:dyDescent="0.15">
      <c r="A106" s="7">
        <v>39903</v>
      </c>
      <c r="B106" s="2">
        <v>157.35026208739967</v>
      </c>
      <c r="C106" s="2">
        <v>55.763029759190445</v>
      </c>
      <c r="D106" s="139">
        <v>0.1030591797657745</v>
      </c>
      <c r="E106" s="139">
        <v>8.5404351392792011E-2</v>
      </c>
    </row>
    <row r="107" spans="1:5" x14ac:dyDescent="0.15">
      <c r="A107" s="7">
        <v>39933</v>
      </c>
      <c r="B107" s="2">
        <v>170.59818939911722</v>
      </c>
      <c r="C107" s="2">
        <v>61.000529575310139</v>
      </c>
      <c r="D107" s="139">
        <v>8.4193868735719324E-2</v>
      </c>
      <c r="E107" s="139">
        <v>9.3924233291081016E-2</v>
      </c>
    </row>
    <row r="108" spans="1:5" x14ac:dyDescent="0.15">
      <c r="A108" s="7">
        <v>39964</v>
      </c>
      <c r="B108" s="2">
        <v>166.24319373124533</v>
      </c>
      <c r="C108" s="2">
        <v>64.238588387590397</v>
      </c>
      <c r="D108" s="139">
        <v>-2.552779536061367E-2</v>
      </c>
      <c r="E108" s="139">
        <v>5.3082470510073421E-2</v>
      </c>
    </row>
    <row r="109" spans="1:5" x14ac:dyDescent="0.15">
      <c r="A109" s="7">
        <v>39994</v>
      </c>
      <c r="B109" s="2">
        <v>163.33901634012656</v>
      </c>
      <c r="C109" s="2">
        <v>64.251165801203427</v>
      </c>
      <c r="D109" s="139">
        <v>-1.7469451385863977E-2</v>
      </c>
      <c r="E109" s="139">
        <v>1.9579218548737565E-4</v>
      </c>
    </row>
    <row r="110" spans="1:5" x14ac:dyDescent="0.15">
      <c r="A110" s="7">
        <v>40025</v>
      </c>
      <c r="B110" s="2">
        <v>176.04320440276331</v>
      </c>
      <c r="C110" s="2">
        <v>69.014842819106022</v>
      </c>
      <c r="D110" s="139">
        <v>7.7778037037901315E-2</v>
      </c>
      <c r="E110" s="139">
        <v>7.4141487683533569E-2</v>
      </c>
    </row>
    <row r="111" spans="1:5" x14ac:dyDescent="0.15">
      <c r="A111" s="7">
        <v>40056</v>
      </c>
      <c r="B111" s="2">
        <v>183.03050783721352</v>
      </c>
      <c r="C111" s="2">
        <v>71.330999279189285</v>
      </c>
      <c r="D111" s="139">
        <v>3.969084440467352E-2</v>
      </c>
      <c r="E111" s="139">
        <v>3.3560265668562295E-2</v>
      </c>
    </row>
    <row r="112" spans="1:5" x14ac:dyDescent="0.15">
      <c r="A112" s="7">
        <v>40086</v>
      </c>
      <c r="B112" s="2">
        <v>183.30237746175393</v>
      </c>
      <c r="C112" s="2">
        <v>73.878697833154476</v>
      </c>
      <c r="D112" s="139">
        <v>1.4853787368727112E-3</v>
      </c>
      <c r="E112" s="139">
        <v>3.5716568949125671E-2</v>
      </c>
    </row>
    <row r="113" spans="1:5" x14ac:dyDescent="0.15">
      <c r="A113" s="7">
        <v>40117</v>
      </c>
      <c r="B113" s="2">
        <v>179.67279093225861</v>
      </c>
      <c r="C113" s="2">
        <v>72.4194971976641</v>
      </c>
      <c r="D113" s="139">
        <v>-1.9801088124198674E-2</v>
      </c>
      <c r="E113" s="139">
        <v>-1.9751304209310594E-2</v>
      </c>
    </row>
    <row r="114" spans="1:5" x14ac:dyDescent="0.15">
      <c r="A114" s="7">
        <v>40147</v>
      </c>
      <c r="B114" s="2">
        <v>182.57696832337737</v>
      </c>
      <c r="C114" s="2">
        <v>76.572912222892469</v>
      </c>
      <c r="D114" s="139">
        <v>1.6163701671521924E-2</v>
      </c>
      <c r="E114" s="139">
        <v>5.7352166004299932E-2</v>
      </c>
    </row>
    <row r="115" spans="1:5" x14ac:dyDescent="0.15">
      <c r="A115" s="7">
        <v>40178</v>
      </c>
      <c r="B115" s="2">
        <v>180.03613071085002</v>
      </c>
      <c r="C115" s="2">
        <v>77.933626561143996</v>
      </c>
      <c r="D115" s="139">
        <v>-1.3916528661090832E-2</v>
      </c>
      <c r="E115" s="139">
        <v>1.7770178758392818E-2</v>
      </c>
    </row>
    <row r="116" spans="1:5" x14ac:dyDescent="0.15">
      <c r="A116" s="7">
        <v>40209</v>
      </c>
      <c r="B116" s="2">
        <v>207.98534444865078</v>
      </c>
      <c r="C116" s="2">
        <v>75.052589770370375</v>
      </c>
      <c r="D116" s="139">
        <v>0.15524224847227508</v>
      </c>
      <c r="E116" s="139">
        <v>-3.6967826571156159E-2</v>
      </c>
    </row>
    <row r="117" spans="1:5" x14ac:dyDescent="0.15">
      <c r="A117" s="7">
        <v>40237</v>
      </c>
      <c r="B117" s="2">
        <v>217.42201534157735</v>
      </c>
      <c r="C117" s="2">
        <v>77.192221127112902</v>
      </c>
      <c r="D117" s="139">
        <v>4.5371806931600256E-2</v>
      </c>
      <c r="E117" s="139">
        <v>2.8508428067424596E-2</v>
      </c>
    </row>
    <row r="118" spans="1:5" x14ac:dyDescent="0.15">
      <c r="A118" s="7">
        <v>40268</v>
      </c>
      <c r="B118" s="2">
        <v>221.05287228987891</v>
      </c>
      <c r="C118" s="2">
        <v>81.731122846761636</v>
      </c>
      <c r="D118" s="139">
        <v>1.6699582802584878E-2</v>
      </c>
      <c r="E118" s="139">
        <v>5.8799988565874983E-2</v>
      </c>
    </row>
    <row r="119" spans="1:5" x14ac:dyDescent="0.15">
      <c r="A119" s="7">
        <v>40298</v>
      </c>
      <c r="B119" s="2">
        <v>209.30149833193994</v>
      </c>
      <c r="C119" s="2">
        <v>82.937377719590003</v>
      </c>
      <c r="D119" s="139">
        <v>-5.3160919540229834E-2</v>
      </c>
      <c r="E119" s="139">
        <v>1.4758819294456327E-2</v>
      </c>
    </row>
    <row r="120" spans="1:5" x14ac:dyDescent="0.15">
      <c r="A120" s="7">
        <v>40329</v>
      </c>
      <c r="B120" s="2">
        <v>192.21436538769356</v>
      </c>
      <c r="C120" s="2">
        <v>76.138219155915934</v>
      </c>
      <c r="D120" s="139">
        <v>-8.1638846737481008E-2</v>
      </c>
      <c r="E120" s="139">
        <v>-8.1979425328130406E-2</v>
      </c>
    </row>
    <row r="121" spans="1:5" x14ac:dyDescent="0.15">
      <c r="A121" s="7">
        <v>40359</v>
      </c>
      <c r="B121" s="2">
        <v>217.78535512016873</v>
      </c>
      <c r="C121" s="2">
        <v>72.036217067035523</v>
      </c>
      <c r="D121" s="139">
        <v>0.13303370786516844</v>
      </c>
      <c r="E121" s="139">
        <v>-5.3875729355848501E-2</v>
      </c>
    </row>
    <row r="122" spans="1:5" x14ac:dyDescent="0.15">
      <c r="A122" s="7">
        <v>40390</v>
      </c>
      <c r="B122" s="2">
        <v>212.34034011652264</v>
      </c>
      <c r="C122" s="2">
        <v>76.990688300798894</v>
      </c>
      <c r="D122" s="139">
        <v>-2.5001750005833379E-2</v>
      </c>
      <c r="E122" s="139">
        <v>6.8777504364961883E-2</v>
      </c>
    </row>
    <row r="123" spans="1:5" x14ac:dyDescent="0.15">
      <c r="A123" s="7">
        <v>40421</v>
      </c>
      <c r="B123" s="2">
        <v>215.3804523199116</v>
      </c>
      <c r="C123" s="2">
        <v>73.33757483928872</v>
      </c>
      <c r="D123" s="139">
        <v>1.431716743846545E-2</v>
      </c>
      <c r="E123" s="139">
        <v>-4.744877000238823E-2</v>
      </c>
    </row>
    <row r="124" spans="1:5" x14ac:dyDescent="0.15">
      <c r="A124" s="7">
        <v>40451</v>
      </c>
      <c r="B124" s="2">
        <v>225.95287762563785</v>
      </c>
      <c r="C124" s="2">
        <v>79.757719295664955</v>
      </c>
      <c r="D124" s="139">
        <v>4.9087209130857845E-2</v>
      </c>
      <c r="E124" s="139">
        <v>8.754236106723301E-2</v>
      </c>
    </row>
    <row r="125" spans="1:5" x14ac:dyDescent="0.15">
      <c r="A125" s="7">
        <v>40482</v>
      </c>
      <c r="B125" s="2">
        <v>216.51493631390503</v>
      </c>
      <c r="C125" s="2">
        <v>82.697597787552169</v>
      </c>
      <c r="D125" s="139">
        <v>-4.1769511461455022E-2</v>
      </c>
      <c r="E125" s="139">
        <v>3.6860112323284566E-2</v>
      </c>
    </row>
    <row r="126" spans="1:5" x14ac:dyDescent="0.15">
      <c r="A126" s="7">
        <v>40512</v>
      </c>
      <c r="B126" s="2">
        <v>218.14869489876008</v>
      </c>
      <c r="C126" s="2">
        <v>82.507833301460877</v>
      </c>
      <c r="D126" s="139">
        <v>7.5457084516628026E-3</v>
      </c>
      <c r="E126" s="139">
        <v>-2.2946795453332447E-3</v>
      </c>
    </row>
    <row r="127" spans="1:5" x14ac:dyDescent="0.15">
      <c r="A127" s="7">
        <v>40543</v>
      </c>
      <c r="B127" s="2">
        <v>218.60223441259623</v>
      </c>
      <c r="C127" s="2">
        <v>87.895526559672987</v>
      </c>
      <c r="D127" s="139">
        <v>2.079038401062272E-3</v>
      </c>
      <c r="E127" s="139">
        <v>6.5299172728569443E-2</v>
      </c>
    </row>
    <row r="128" spans="1:5" x14ac:dyDescent="0.15">
      <c r="A128" s="7">
        <v>40574</v>
      </c>
      <c r="B128" s="2">
        <v>222.18608586506605</v>
      </c>
      <c r="C128" s="2">
        <v>89.886582621103727</v>
      </c>
      <c r="D128" s="139">
        <v>1.6394395336808643E-2</v>
      </c>
      <c r="E128" s="139">
        <v>2.2652530104350532E-2</v>
      </c>
    </row>
    <row r="129" spans="1:5" x14ac:dyDescent="0.15">
      <c r="A129" s="7">
        <v>40602</v>
      </c>
      <c r="B129" s="2">
        <v>238.29372590968313</v>
      </c>
      <c r="C129" s="2">
        <v>92.758793156710325</v>
      </c>
      <c r="D129" s="139">
        <v>7.2496169064336868E-2</v>
      </c>
      <c r="E129" s="139">
        <v>3.1953718250851137E-2</v>
      </c>
    </row>
    <row r="130" spans="1:5" x14ac:dyDescent="0.15">
      <c r="A130" s="7">
        <v>40633</v>
      </c>
      <c r="B130" s="2">
        <v>227.40496632119721</v>
      </c>
      <c r="C130" s="2">
        <v>92.661704349872906</v>
      </c>
      <c r="D130" s="139">
        <v>-4.5694696941424806E-2</v>
      </c>
      <c r="E130" s="139">
        <v>-1.046680358091634E-3</v>
      </c>
    </row>
    <row r="131" spans="1:5" x14ac:dyDescent="0.15">
      <c r="A131" s="7">
        <v>40663</v>
      </c>
      <c r="B131" s="2">
        <v>226.40641713947394</v>
      </c>
      <c r="C131" s="2">
        <v>95.302225687344773</v>
      </c>
      <c r="D131" s="139">
        <v>-4.3910614525140002E-3</v>
      </c>
      <c r="E131" s="139">
        <v>2.8496360562306977E-2</v>
      </c>
    </row>
    <row r="132" spans="1:5" x14ac:dyDescent="0.15">
      <c r="A132" s="7">
        <v>40694</v>
      </c>
      <c r="B132" s="2">
        <v>215.56212220920725</v>
      </c>
      <c r="C132" s="2">
        <v>94.01579899674914</v>
      </c>
      <c r="D132" s="139">
        <v>-4.7897471579112727E-2</v>
      </c>
      <c r="E132" s="139">
        <v>-1.3498390843630137E-2</v>
      </c>
    </row>
    <row r="133" spans="1:5" x14ac:dyDescent="0.15">
      <c r="A133" s="7">
        <v>40724</v>
      </c>
      <c r="B133" s="2">
        <v>210.71674488211761</v>
      </c>
      <c r="C133" s="2">
        <v>92.299092366760462</v>
      </c>
      <c r="D133" s="139">
        <v>-2.2477869847593701E-2</v>
      </c>
      <c r="E133" s="139">
        <v>-1.825976748916458E-2</v>
      </c>
    </row>
    <row r="134" spans="1:5" x14ac:dyDescent="0.15">
      <c r="A134" s="7">
        <v>40755</v>
      </c>
      <c r="B134" s="2">
        <v>202.3586595557089</v>
      </c>
      <c r="C134" s="2">
        <v>90.316862560496759</v>
      </c>
      <c r="D134" s="139">
        <v>-3.9665026768919143E-2</v>
      </c>
      <c r="E134" s="139">
        <v>-2.147615708274897E-2</v>
      </c>
    </row>
    <row r="135" spans="1:5" x14ac:dyDescent="0.15">
      <c r="A135" s="7">
        <v>40786</v>
      </c>
      <c r="B135" s="2">
        <v>199.21691384781883</v>
      </c>
      <c r="C135" s="2">
        <v>85.18807278718441</v>
      </c>
      <c r="D135" s="139">
        <v>-1.5525630159776482E-2</v>
      </c>
      <c r="E135" s="139">
        <v>-5.6786624644727279E-2</v>
      </c>
    </row>
    <row r="136" spans="1:5" x14ac:dyDescent="0.15">
      <c r="A136" s="7">
        <v>40816</v>
      </c>
      <c r="B136" s="2">
        <v>193.82906769045459</v>
      </c>
      <c r="C136" s="2">
        <v>79.074420041483521</v>
      </c>
      <c r="D136" s="139">
        <v>-2.704512409764559E-2</v>
      </c>
      <c r="E136" s="139">
        <v>-7.1766534277326932E-2</v>
      </c>
    </row>
    <row r="137" spans="1:5" x14ac:dyDescent="0.15">
      <c r="A137" s="7">
        <v>40847</v>
      </c>
      <c r="B137" s="2">
        <v>212.25014038127784</v>
      </c>
      <c r="C137" s="2">
        <v>87.592491798938056</v>
      </c>
      <c r="D137" s="139">
        <v>9.5037720143408722E-2</v>
      </c>
      <c r="E137" s="139">
        <v>0.10772221602113352</v>
      </c>
    </row>
    <row r="138" spans="1:5" x14ac:dyDescent="0.15">
      <c r="A138" s="7">
        <v>40877</v>
      </c>
      <c r="B138" s="2">
        <v>215.06284761834561</v>
      </c>
      <c r="C138" s="2">
        <v>87.149707998058361</v>
      </c>
      <c r="D138" s="139">
        <v>1.3251851009451032E-2</v>
      </c>
      <c r="E138" s="139">
        <v>-5.0550428670995684E-3</v>
      </c>
    </row>
    <row r="139" spans="1:5" x14ac:dyDescent="0.15">
      <c r="A139" s="7">
        <v>40908</v>
      </c>
      <c r="B139" s="2">
        <v>208.26610700483499</v>
      </c>
      <c r="C139" s="2">
        <v>87.893319995881228</v>
      </c>
      <c r="D139" s="139">
        <v>-3.1603508875564845E-2</v>
      </c>
      <c r="E139" s="139">
        <v>8.5325816334282933E-3</v>
      </c>
    </row>
    <row r="140" spans="1:5" x14ac:dyDescent="0.15">
      <c r="A140" s="7">
        <v>40939</v>
      </c>
      <c r="B140" s="2">
        <v>214.01983377840315</v>
      </c>
      <c r="C140" s="2">
        <v>91.723914738375242</v>
      </c>
      <c r="D140" s="139">
        <v>2.7626803306188386E-2</v>
      </c>
      <c r="E140" s="139">
        <v>4.3582319369361855E-2</v>
      </c>
    </row>
    <row r="141" spans="1:5" x14ac:dyDescent="0.15">
      <c r="A141" s="7">
        <v>40968</v>
      </c>
      <c r="B141" s="2">
        <v>214.03634922288458</v>
      </c>
      <c r="C141" s="2">
        <v>95.447123376336975</v>
      </c>
      <c r="D141" s="139">
        <v>7.7167822205348457E-5</v>
      </c>
      <c r="E141" s="139">
        <v>4.0591471140121627E-2</v>
      </c>
    </row>
    <row r="142" spans="1:5" x14ac:dyDescent="0.15">
      <c r="A142" s="7">
        <v>40999</v>
      </c>
      <c r="B142" s="2">
        <v>221.23327176036827</v>
      </c>
      <c r="C142" s="2">
        <v>98.437752835434623</v>
      </c>
      <c r="D142" s="139">
        <v>3.3624767772455488E-2</v>
      </c>
      <c r="E142" s="139">
        <v>3.1332840145490204E-2</v>
      </c>
    </row>
    <row r="143" spans="1:5" x14ac:dyDescent="0.15">
      <c r="A143" s="7">
        <v>41029</v>
      </c>
      <c r="B143" s="2">
        <v>219.23744381572806</v>
      </c>
      <c r="C143" s="2">
        <v>97.699289486459207</v>
      </c>
      <c r="D143" s="139">
        <v>-9.021373361968954E-3</v>
      </c>
      <c r="E143" s="139">
        <v>-7.5018306259992951E-3</v>
      </c>
    </row>
    <row r="144" spans="1:5" x14ac:dyDescent="0.15">
      <c r="A144" s="7">
        <v>41060</v>
      </c>
      <c r="B144" s="2">
        <v>215.69805702147747</v>
      </c>
      <c r="C144" s="2">
        <v>91.57828152811912</v>
      </c>
      <c r="D144" s="139">
        <v>-1.6144079828012803E-2</v>
      </c>
      <c r="E144" s="139">
        <v>-6.2651509448166887E-2</v>
      </c>
    </row>
    <row r="145" spans="1:5" x14ac:dyDescent="0.15">
      <c r="A145" s="7">
        <v>41090</v>
      </c>
      <c r="B145" s="2">
        <v>226.75959356761524</v>
      </c>
      <c r="C145" s="2">
        <v>95.200723752923849</v>
      </c>
      <c r="D145" s="139">
        <v>5.128250434372883E-2</v>
      </c>
      <c r="E145" s="139">
        <v>3.9555691200565457E-2</v>
      </c>
    </row>
    <row r="146" spans="1:5" x14ac:dyDescent="0.15">
      <c r="A146" s="7">
        <v>41121</v>
      </c>
      <c r="B146" s="2">
        <v>231.29752954358909</v>
      </c>
      <c r="C146" s="2">
        <v>96.400358934376953</v>
      </c>
      <c r="D146" s="139">
        <v>2.0012101382695047E-2</v>
      </c>
      <c r="E146" s="139">
        <v>1.2601114089915377E-2</v>
      </c>
    </row>
    <row r="147" spans="1:5" x14ac:dyDescent="0.15">
      <c r="A147" s="7">
        <v>41152</v>
      </c>
      <c r="B147" s="2">
        <v>229.69044975366555</v>
      </c>
      <c r="C147" s="2">
        <v>98.305359007929084</v>
      </c>
      <c r="D147" s="139">
        <v>-6.9481061604710348E-3</v>
      </c>
      <c r="E147" s="139">
        <v>1.9761337972288295E-2</v>
      </c>
    </row>
    <row r="148" spans="1:5" x14ac:dyDescent="0.15">
      <c r="A148" s="7">
        <v>41182</v>
      </c>
      <c r="B148" s="2">
        <v>240.83456352221049</v>
      </c>
      <c r="C148" s="2">
        <v>100.68771238176514</v>
      </c>
      <c r="D148" s="139">
        <v>4.8517967466634282E-2</v>
      </c>
      <c r="E148" s="139">
        <v>2.4234216708815426E-2</v>
      </c>
    </row>
    <row r="149" spans="1:5" x14ac:dyDescent="0.15">
      <c r="A149" s="7">
        <v>41213</v>
      </c>
      <c r="B149" s="2">
        <v>235.03637209042307</v>
      </c>
      <c r="C149" s="2">
        <v>98.695185277806544</v>
      </c>
      <c r="D149" s="139">
        <v>-2.4075412378475658E-2</v>
      </c>
      <c r="E149" s="139">
        <v>-1.9789178409414743E-2</v>
      </c>
    </row>
    <row r="150" spans="1:5" x14ac:dyDescent="0.15">
      <c r="A150" s="7">
        <v>41243</v>
      </c>
      <c r="B150" s="2">
        <v>239.41169445919516</v>
      </c>
      <c r="C150" s="2">
        <v>98.976154400623884</v>
      </c>
      <c r="D150" s="139">
        <v>1.8615511845497812E-2</v>
      </c>
      <c r="E150" s="139">
        <v>2.8468371787992997E-3</v>
      </c>
    </row>
    <row r="151" spans="1:5" x14ac:dyDescent="0.15">
      <c r="A151" s="7">
        <v>41274</v>
      </c>
      <c r="B151" s="2">
        <v>243.30298726278082</v>
      </c>
      <c r="C151" s="2">
        <v>99.675635122611567</v>
      </c>
      <c r="D151" s="139">
        <v>1.6253561933871508E-2</v>
      </c>
      <c r="E151" s="139">
        <v>7.0671640681896353E-3</v>
      </c>
    </row>
    <row r="152" spans="1:5" x14ac:dyDescent="0.15">
      <c r="A152" s="7">
        <v>41305</v>
      </c>
      <c r="B152" s="2">
        <v>264.74511587489911</v>
      </c>
      <c r="C152" s="2">
        <v>104.70218744023907</v>
      </c>
      <c r="D152" s="139">
        <v>8.8129327359879772E-2</v>
      </c>
      <c r="E152" s="139">
        <v>5.0429097456407668E-2</v>
      </c>
    </row>
    <row r="153" spans="1:5" x14ac:dyDescent="0.15">
      <c r="A153" s="7">
        <v>41333</v>
      </c>
      <c r="B153" s="2">
        <v>276.95129976548043</v>
      </c>
      <c r="C153" s="2">
        <v>105.86063343091266</v>
      </c>
      <c r="D153" s="139">
        <v>4.6105416714653069E-2</v>
      </c>
      <c r="E153" s="139">
        <v>1.1064200462237661E-2</v>
      </c>
    </row>
    <row r="154" spans="1:5" x14ac:dyDescent="0.15">
      <c r="A154" s="7">
        <v>41364</v>
      </c>
      <c r="B154" s="2">
        <v>283.62989143000851</v>
      </c>
      <c r="C154" s="2">
        <v>109.66989805675298</v>
      </c>
      <c r="D154" s="139">
        <v>2.4114678899082476E-2</v>
      </c>
      <c r="E154" s="139">
        <v>3.5983769437071711E-2</v>
      </c>
    </row>
    <row r="155" spans="1:5" x14ac:dyDescent="0.15">
      <c r="A155" s="7">
        <v>41394</v>
      </c>
      <c r="B155" s="2">
        <v>288.56546849234286</v>
      </c>
      <c r="C155" s="2">
        <v>111.65359890554454</v>
      </c>
      <c r="D155" s="139">
        <v>1.7401470054690282E-2</v>
      </c>
      <c r="E155" s="139">
        <v>1.8087924616880802E-2</v>
      </c>
    </row>
    <row r="156" spans="1:5" x14ac:dyDescent="0.15">
      <c r="A156" s="7">
        <v>41425</v>
      </c>
      <c r="B156" s="2">
        <v>310.88926775600811</v>
      </c>
      <c r="C156" s="2">
        <v>113.97196192941956</v>
      </c>
      <c r="D156" s="139">
        <v>7.7361298218735497E-2</v>
      </c>
      <c r="E156" s="139">
        <v>2.0763889803823377E-2</v>
      </c>
    </row>
    <row r="157" spans="1:5" x14ac:dyDescent="0.15">
      <c r="A157" s="7">
        <v>41455</v>
      </c>
      <c r="B157" s="2">
        <v>305.98926242024913</v>
      </c>
      <c r="C157" s="2">
        <v>112.26261051207008</v>
      </c>
      <c r="D157" s="139">
        <v>-1.5761255996796231E-2</v>
      </c>
      <c r="E157" s="139">
        <v>-1.4997999406275442E-2</v>
      </c>
    </row>
    <row r="158" spans="1:5" x14ac:dyDescent="0.15">
      <c r="A158" s="7">
        <v>41486</v>
      </c>
      <c r="B158" s="2">
        <v>315.60760320247135</v>
      </c>
      <c r="C158" s="2">
        <v>117.81506053340021</v>
      </c>
      <c r="D158" s="139">
        <v>3.1433589225141834E-2</v>
      </c>
      <c r="E158" s="139">
        <v>4.9459477167005161E-2</v>
      </c>
    </row>
    <row r="159" spans="1:5" x14ac:dyDescent="0.15">
      <c r="A159" s="7">
        <v>41517</v>
      </c>
      <c r="B159" s="2">
        <v>303.17528476437508</v>
      </c>
      <c r="C159" s="2">
        <v>114.12789243737056</v>
      </c>
      <c r="D159" s="139">
        <v>-3.9391694978021752E-2</v>
      </c>
      <c r="E159" s="139">
        <v>-3.1296237334481947E-2</v>
      </c>
    </row>
    <row r="160" spans="1:5" x14ac:dyDescent="0.15">
      <c r="A160" s="7">
        <v>41547</v>
      </c>
      <c r="B160" s="2">
        <v>309.27329503444071</v>
      </c>
      <c r="C160" s="2">
        <v>117.52305859162408</v>
      </c>
      <c r="D160" s="139">
        <v>2.011381064523432E-2</v>
      </c>
      <c r="E160" s="139">
        <v>2.9748785172009296E-2</v>
      </c>
    </row>
    <row r="161" spans="1:5" x14ac:dyDescent="0.15">
      <c r="A161" s="7">
        <v>41578</v>
      </c>
      <c r="B161" s="2">
        <v>313.96495168597244</v>
      </c>
      <c r="C161" s="2">
        <v>122.76438311831616</v>
      </c>
      <c r="D161" s="139">
        <v>1.5169937808594991E-2</v>
      </c>
      <c r="E161" s="139">
        <v>4.4598265136248205E-2</v>
      </c>
    </row>
    <row r="162" spans="1:5" x14ac:dyDescent="0.15">
      <c r="A162" s="7">
        <v>41608</v>
      </c>
      <c r="B162" s="2">
        <v>317.1498916332755</v>
      </c>
      <c r="C162" s="2">
        <v>126.20735815472447</v>
      </c>
      <c r="D162" s="139">
        <v>1.0144253140995874E-2</v>
      </c>
      <c r="E162" s="139">
        <v>2.8045390274882065E-2</v>
      </c>
    </row>
    <row r="163" spans="1:5" x14ac:dyDescent="0.15">
      <c r="A163" s="7">
        <v>41639</v>
      </c>
      <c r="B163" s="2">
        <v>322.86677626146201</v>
      </c>
      <c r="C163" s="2">
        <v>129.18107062475198</v>
      </c>
      <c r="D163" s="139">
        <v>1.8025812964164611E-2</v>
      </c>
      <c r="E163" s="139">
        <v>2.3562116452686244E-2</v>
      </c>
    </row>
    <row r="164" spans="1:5" x14ac:dyDescent="0.15">
      <c r="A164" s="7">
        <v>41670</v>
      </c>
      <c r="B164" s="2">
        <v>307.64334770600442</v>
      </c>
      <c r="C164" s="2">
        <v>124.58479824651752</v>
      </c>
      <c r="D164" s="139">
        <v>-4.7150805455217992E-2</v>
      </c>
      <c r="E164" s="139">
        <v>-3.5580076523640369E-2</v>
      </c>
    </row>
    <row r="165" spans="1:5" x14ac:dyDescent="0.15">
      <c r="A165" s="7">
        <v>41698</v>
      </c>
      <c r="B165" s="2">
        <v>315.25950844955514</v>
      </c>
      <c r="C165" s="2">
        <v>129.95631003692338</v>
      </c>
      <c r="D165" s="139">
        <v>2.4756461663617779E-2</v>
      </c>
      <c r="E165" s="139">
        <v>4.3115306730899805E-2</v>
      </c>
    </row>
    <row r="166" spans="1:5" x14ac:dyDescent="0.15">
      <c r="A166" s="7">
        <v>41729</v>
      </c>
      <c r="B166" s="2">
        <v>340.01743014602158</v>
      </c>
      <c r="C166" s="2">
        <v>130.85732358522506</v>
      </c>
      <c r="D166" s="139">
        <v>7.8531879397470972E-2</v>
      </c>
      <c r="E166" s="139">
        <v>6.9332035362168476E-3</v>
      </c>
    </row>
    <row r="167" spans="1:5" x14ac:dyDescent="0.15">
      <c r="A167" s="7">
        <v>41759</v>
      </c>
      <c r="B167" s="2">
        <v>350.77152534104351</v>
      </c>
      <c r="C167" s="2">
        <v>131.66860353932856</v>
      </c>
      <c r="D167" s="139">
        <v>3.1628070332757829E-2</v>
      </c>
      <c r="E167" s="139">
        <v>6.1997290780222425E-3</v>
      </c>
    </row>
    <row r="168" spans="1:5" x14ac:dyDescent="0.15">
      <c r="A168" s="7">
        <v>41790</v>
      </c>
      <c r="B168" s="2">
        <v>348.45682227603112</v>
      </c>
      <c r="C168" s="2">
        <v>134.43784109798639</v>
      </c>
      <c r="D168" s="139">
        <v>-6.5988910096448361E-3</v>
      </c>
      <c r="E168" s="139">
        <v>2.1031874601986411E-2</v>
      </c>
    </row>
    <row r="169" spans="1:5" x14ac:dyDescent="0.15">
      <c r="A169" s="7">
        <v>41820</v>
      </c>
      <c r="B169" s="2">
        <v>344.64683627604637</v>
      </c>
      <c r="C169" s="2">
        <v>136.99966166021886</v>
      </c>
      <c r="D169" s="139">
        <v>-1.0933882640319359E-2</v>
      </c>
      <c r="E169" s="139">
        <v>1.9055799626871872E-2</v>
      </c>
    </row>
    <row r="170" spans="1:5" x14ac:dyDescent="0.15">
      <c r="A170" s="7">
        <v>41851</v>
      </c>
      <c r="B170" s="2">
        <v>341.42251334574917</v>
      </c>
      <c r="C170" s="2">
        <v>134.93431795113221</v>
      </c>
      <c r="D170" s="139">
        <v>-9.3554403839490874E-3</v>
      </c>
      <c r="E170" s="139">
        <v>-1.5075538757234552E-2</v>
      </c>
    </row>
    <row r="171" spans="1:5" x14ac:dyDescent="0.15">
      <c r="A171" s="7">
        <v>41882</v>
      </c>
      <c r="B171" s="2">
        <v>373.64795678543345</v>
      </c>
      <c r="C171" s="2">
        <v>140.01529884228981</v>
      </c>
      <c r="D171" s="139">
        <v>9.438581868516227E-2</v>
      </c>
      <c r="E171" s="139">
        <v>3.7655216021455162E-2</v>
      </c>
    </row>
    <row r="172" spans="1:5" x14ac:dyDescent="0.15">
      <c r="A172" s="7">
        <v>41912</v>
      </c>
      <c r="B172" s="2">
        <v>375.49895698615961</v>
      </c>
      <c r="C172" s="2">
        <v>137.84256902867088</v>
      </c>
      <c r="D172" s="139">
        <v>4.9538614278816784E-3</v>
      </c>
      <c r="E172" s="139">
        <v>-1.551780292285232E-2</v>
      </c>
    </row>
    <row r="173" spans="1:5" x14ac:dyDescent="0.15">
      <c r="A173" s="7">
        <v>41943</v>
      </c>
      <c r="B173" s="2">
        <v>381.12564187910141</v>
      </c>
      <c r="C173" s="2">
        <v>141.04061548419389</v>
      </c>
      <c r="D173" s="139">
        <v>1.4984555318349857E-2</v>
      </c>
      <c r="E173" s="139">
        <v>2.3200717151882433E-2</v>
      </c>
    </row>
    <row r="174" spans="1:5" x14ac:dyDescent="0.15">
      <c r="A174" s="7">
        <v>41973</v>
      </c>
      <c r="B174" s="2">
        <v>404.83673847920653</v>
      </c>
      <c r="C174" s="2">
        <v>144.50124303093628</v>
      </c>
      <c r="D174" s="139">
        <v>6.2213333333333232E-2</v>
      </c>
      <c r="E174" s="139">
        <v>2.4536389995619468E-2</v>
      </c>
    </row>
    <row r="175" spans="1:5" x14ac:dyDescent="0.15">
      <c r="A175" s="7">
        <v>42004</v>
      </c>
      <c r="B175" s="2">
        <v>410.16360453387011</v>
      </c>
      <c r="C175" s="2">
        <v>143.89590903073034</v>
      </c>
      <c r="D175" s="139">
        <v>1.3158059900082897E-2</v>
      </c>
      <c r="E175" s="139">
        <v>-4.1891265951002898E-3</v>
      </c>
    </row>
    <row r="176" spans="1:5" x14ac:dyDescent="0.15">
      <c r="A176" s="7">
        <v>42035</v>
      </c>
      <c r="B176" s="2">
        <v>391.7692106379784</v>
      </c>
      <c r="C176" s="2">
        <v>139.42908839494575</v>
      </c>
      <c r="D176" s="139">
        <v>-4.4846480020566348E-2</v>
      </c>
      <c r="E176" s="139">
        <v>-3.1042026600149208E-2</v>
      </c>
    </row>
    <row r="177" spans="1:5" x14ac:dyDescent="0.15">
      <c r="A177" s="7">
        <v>42063</v>
      </c>
      <c r="B177" s="2">
        <v>401.41550063393845</v>
      </c>
      <c r="C177" s="2">
        <v>147.08292266729458</v>
      </c>
      <c r="D177" s="139">
        <v>2.4622379028335306E-2</v>
      </c>
      <c r="E177" s="139">
        <v>5.4894099649196892E-2</v>
      </c>
    </row>
    <row r="178" spans="1:5" x14ac:dyDescent="0.15">
      <c r="A178" s="7">
        <v>42094</v>
      </c>
      <c r="B178" s="2">
        <v>394.73690896941036</v>
      </c>
      <c r="C178" s="2">
        <v>144.52404419011782</v>
      </c>
      <c r="D178" s="139">
        <v>-1.6637602817980102E-2</v>
      </c>
      <c r="E178" s="139">
        <v>-1.739752264078287E-2</v>
      </c>
    </row>
    <row r="179" spans="1:5" x14ac:dyDescent="0.15">
      <c r="A179" s="7">
        <v>42124</v>
      </c>
      <c r="B179" s="2">
        <v>387.29606602112403</v>
      </c>
      <c r="C179" s="2">
        <v>145.75604230718341</v>
      </c>
      <c r="D179" s="139">
        <v>-1.8850132275983755E-2</v>
      </c>
      <c r="E179" s="139">
        <v>8.5245200822425815E-3</v>
      </c>
    </row>
    <row r="180" spans="1:5" x14ac:dyDescent="0.15">
      <c r="A180" s="7">
        <v>42155</v>
      </c>
      <c r="B180" s="2">
        <v>389.83690363365133</v>
      </c>
      <c r="C180" s="2">
        <v>147.28519101487257</v>
      </c>
      <c r="D180" s="139">
        <v>6.5604529336704687E-3</v>
      </c>
      <c r="E180" s="139">
        <v>1.0491151402604926E-2</v>
      </c>
    </row>
    <row r="181" spans="1:5" x14ac:dyDescent="0.15">
      <c r="A181" s="7">
        <v>42185</v>
      </c>
      <c r="B181" s="2">
        <v>371.77790030261326</v>
      </c>
      <c r="C181" s="2">
        <v>144.19011753629829</v>
      </c>
      <c r="D181" s="139">
        <v>-4.6324509462062124E-2</v>
      </c>
      <c r="E181" s="139">
        <v>-2.101415259231143E-2</v>
      </c>
    </row>
    <row r="182" spans="1:5" x14ac:dyDescent="0.15">
      <c r="A182" s="7">
        <v>42216</v>
      </c>
      <c r="B182" s="2">
        <v>388.38481493809195</v>
      </c>
      <c r="C182" s="2">
        <v>147.03658482766772</v>
      </c>
      <c r="D182" s="139">
        <v>4.466891286964958E-2</v>
      </c>
      <c r="E182" s="139">
        <v>1.9741070608759737E-2</v>
      </c>
    </row>
    <row r="184" spans="1:5" x14ac:dyDescent="0.15">
      <c r="A184" t="s">
        <v>167</v>
      </c>
      <c r="B184" s="140">
        <f>(B182/B2)^(1/15)-1</f>
        <v>9.4672352334986609E-2</v>
      </c>
      <c r="C184" s="140">
        <f>(C182/C2)^(1/15)-1</f>
        <v>2.6033861635128552E-2</v>
      </c>
    </row>
  </sheetData>
  <conditionalFormatting sqref="A2:A182 B1:E1">
    <cfRule type="expression" dxfId="1" priority="3">
      <formula>AND(MOD(ROW($A1),2)=1,LEN(A$14)&gt;0,ROW()&gt;16)</formula>
    </cfRule>
  </conditionalFormatting>
  <conditionalFormatting sqref="D2:E182">
    <cfRule type="expression" dxfId="0" priority="1">
      <formula>AND(MOD(ROW($A2),2)=1,LEN(D$14)&gt;0,ROW()&gt;16)</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Normal="100" workbookViewId="0"/>
  </sheetViews>
  <sheetFormatPr baseColWidth="10" defaultColWidth="9.1640625" defaultRowHeight="15" outlineLevelCol="1" x14ac:dyDescent="0.2"/>
  <cols>
    <col min="1" max="1" width="10.1640625" style="26" customWidth="1" outlineLevel="1"/>
    <col min="2" max="7" width="9.1640625" style="26" customWidth="1" outlineLevel="1"/>
    <col min="8" max="8" width="10.1640625" style="26" customWidth="1" outlineLevel="1"/>
    <col min="9" max="16" width="9.1640625" style="26" customWidth="1" outlineLevel="1"/>
    <col min="17" max="18" width="9.1640625" style="26"/>
    <col min="19" max="19" width="9.33203125" style="26" bestFit="1" customWidth="1"/>
    <col min="20" max="20" width="10.83203125" style="26" bestFit="1" customWidth="1"/>
    <col min="21" max="21" width="9.33203125" style="26" bestFit="1" customWidth="1"/>
    <col min="22" max="22" width="9.33203125" style="26" customWidth="1"/>
    <col min="23" max="16384" width="9.1640625" style="26"/>
  </cols>
  <sheetData>
    <row r="1" spans="2:18" x14ac:dyDescent="0.2">
      <c r="R1" s="26" t="str">
        <f>IF(O1=A1,"","False")</f>
        <v/>
      </c>
    </row>
    <row r="2" spans="2:18" x14ac:dyDescent="0.2">
      <c r="B2" s="308" t="s">
        <v>212</v>
      </c>
      <c r="C2" s="308"/>
      <c r="D2" s="308"/>
      <c r="E2" s="308"/>
      <c r="F2" s="308"/>
      <c r="G2" s="308"/>
      <c r="H2" s="308"/>
      <c r="I2" s="308"/>
      <c r="J2" s="308"/>
      <c r="K2" s="308"/>
      <c r="L2" s="308"/>
      <c r="M2" s="308"/>
      <c r="N2" s="308"/>
      <c r="O2" s="308"/>
    </row>
    <row r="3" spans="2:18" x14ac:dyDescent="0.2">
      <c r="B3" s="308" t="s">
        <v>175</v>
      </c>
      <c r="C3" s="308"/>
      <c r="D3" s="308"/>
      <c r="E3" s="308"/>
      <c r="F3" s="308"/>
      <c r="G3" s="308"/>
      <c r="H3" s="308"/>
      <c r="I3" s="308"/>
      <c r="J3" s="308"/>
      <c r="K3" s="308"/>
      <c r="L3" s="308"/>
      <c r="M3" s="308"/>
      <c r="N3" s="308"/>
      <c r="O3" s="308"/>
    </row>
    <row r="4" spans="2:18" x14ac:dyDescent="0.2">
      <c r="B4" s="308" t="s">
        <v>213</v>
      </c>
      <c r="C4" s="308"/>
      <c r="D4" s="308"/>
      <c r="E4" s="308"/>
      <c r="F4" s="308"/>
      <c r="G4" s="308"/>
      <c r="H4" s="308"/>
      <c r="I4" s="308"/>
      <c r="J4" s="308"/>
      <c r="K4" s="308"/>
      <c r="L4" s="308"/>
      <c r="M4" s="308"/>
      <c r="N4" s="308"/>
      <c r="O4" s="308"/>
      <c r="R4" s="26" t="str">
        <f>IF(O4=A4,"","False")</f>
        <v/>
      </c>
    </row>
    <row r="5" spans="2:18" x14ac:dyDescent="0.2">
      <c r="B5" s="309" t="s">
        <v>214</v>
      </c>
      <c r="C5" s="309"/>
      <c r="D5" s="309"/>
      <c r="E5" s="309"/>
      <c r="F5" s="309"/>
      <c r="G5" s="309"/>
      <c r="H5" s="309"/>
      <c r="I5" s="309"/>
      <c r="J5" s="309"/>
      <c r="K5" s="309"/>
      <c r="L5" s="309"/>
      <c r="M5" s="309"/>
      <c r="N5" s="309"/>
      <c r="O5" s="309"/>
      <c r="R5" s="26" t="str">
        <f>IF(O5=A5,"","False")</f>
        <v/>
      </c>
    </row>
    <row r="6" spans="2:18" ht="16" x14ac:dyDescent="0.2">
      <c r="B6" s="198"/>
    </row>
    <row r="39" spans="2:15" x14ac:dyDescent="0.2">
      <c r="B39" s="307" t="s">
        <v>215</v>
      </c>
      <c r="C39" s="307"/>
      <c r="D39" s="307"/>
      <c r="E39" s="307"/>
      <c r="F39" s="307"/>
      <c r="G39" s="307"/>
      <c r="H39" s="307"/>
      <c r="I39" s="307"/>
      <c r="J39" s="307"/>
      <c r="K39" s="307"/>
      <c r="L39" s="307"/>
      <c r="M39" s="307"/>
      <c r="N39" s="307"/>
      <c r="O39" s="307"/>
    </row>
    <row r="40" spans="2:15" x14ac:dyDescent="0.2">
      <c r="B40" s="307" t="s">
        <v>216</v>
      </c>
      <c r="C40" s="307"/>
      <c r="D40" s="307"/>
      <c r="E40" s="307"/>
      <c r="F40" s="307"/>
      <c r="G40" s="307"/>
      <c r="H40" s="307"/>
      <c r="I40" s="307"/>
      <c r="J40" s="307"/>
      <c r="K40" s="307"/>
      <c r="L40" s="307"/>
      <c r="M40" s="307"/>
      <c r="N40" s="307"/>
      <c r="O40" s="307"/>
    </row>
  </sheetData>
  <sortState xmlns:xlrd2="http://schemas.microsoft.com/office/spreadsheetml/2017/richdata2" ref="A4:F158">
    <sortCondition ref="A4:A158"/>
  </sortState>
  <mergeCells count="6">
    <mergeCell ref="B40:O40"/>
    <mergeCell ref="B2:O2"/>
    <mergeCell ref="B3:O3"/>
    <mergeCell ref="B4:O4"/>
    <mergeCell ref="B5:O5"/>
    <mergeCell ref="B39:O3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42"/>
  <sheetViews>
    <sheetView showGridLines="0" topLeftCell="A5" zoomScaleNormal="100" workbookViewId="0">
      <selection activeCell="B43" sqref="B43"/>
    </sheetView>
  </sheetViews>
  <sheetFormatPr baseColWidth="10" defaultColWidth="9.1640625" defaultRowHeight="15" outlineLevelRow="1" x14ac:dyDescent="0.2"/>
  <cols>
    <col min="1" max="1" width="2.83203125" style="26" customWidth="1"/>
    <col min="2" max="2" width="38.83203125" style="26" customWidth="1"/>
    <col min="3" max="6" width="12.1640625" style="26" customWidth="1"/>
    <col min="7" max="7" width="2.83203125" style="26" customWidth="1"/>
    <col min="8" max="8" width="46.1640625" style="26" customWidth="1"/>
    <col min="9" max="9" width="12.5" style="26" bestFit="1" customWidth="1"/>
    <col min="10" max="16384" width="9.1640625" style="26"/>
  </cols>
  <sheetData>
    <row r="2" spans="1:9" x14ac:dyDescent="0.2">
      <c r="B2" s="310" t="s">
        <v>217</v>
      </c>
      <c r="C2" s="310"/>
      <c r="D2" s="310"/>
      <c r="E2" s="310"/>
      <c r="F2" s="310"/>
    </row>
    <row r="3" spans="1:9" x14ac:dyDescent="0.2">
      <c r="B3" s="310" t="s">
        <v>175</v>
      </c>
      <c r="C3" s="310"/>
      <c r="D3" s="310"/>
      <c r="E3" s="310"/>
      <c r="F3" s="310"/>
    </row>
    <row r="4" spans="1:9" ht="19" x14ac:dyDescent="0.25">
      <c r="A4" s="157"/>
      <c r="B4" s="310" t="s">
        <v>218</v>
      </c>
      <c r="C4" s="310"/>
      <c r="D4" s="310"/>
      <c r="E4" s="310"/>
      <c r="F4" s="310"/>
    </row>
    <row r="7" spans="1:9" x14ac:dyDescent="0.2">
      <c r="A7" s="55" t="s">
        <v>126</v>
      </c>
      <c r="G7" s="55"/>
    </row>
    <row r="8" spans="1:9" ht="26" x14ac:dyDescent="0.2">
      <c r="B8" s="53" t="s">
        <v>219</v>
      </c>
      <c r="C8" s="57">
        <v>2011</v>
      </c>
      <c r="D8" s="57">
        <v>2012</v>
      </c>
      <c r="E8" s="57">
        <v>2013</v>
      </c>
      <c r="F8" s="57">
        <v>2014</v>
      </c>
      <c r="G8" s="66"/>
      <c r="I8" s="58"/>
    </row>
    <row r="9" spans="1:9" x14ac:dyDescent="0.2">
      <c r="I9" s="57"/>
    </row>
    <row r="10" spans="1:9" ht="16" x14ac:dyDescent="0.2">
      <c r="B10" s="44" t="s">
        <v>125</v>
      </c>
      <c r="C10" s="47">
        <v>143700</v>
      </c>
      <c r="D10" s="47">
        <v>162500</v>
      </c>
      <c r="E10" s="47">
        <v>182200</v>
      </c>
      <c r="F10" s="47">
        <v>194700</v>
      </c>
      <c r="H10" s="44"/>
      <c r="I10" s="65"/>
    </row>
    <row r="11" spans="1:9" ht="16" x14ac:dyDescent="0.2">
      <c r="B11" s="56" t="s">
        <v>129</v>
      </c>
      <c r="C11" s="45">
        <v>123079.99999999999</v>
      </c>
      <c r="D11" s="45">
        <v>134810</v>
      </c>
      <c r="E11" s="45">
        <v>147769.99999999997</v>
      </c>
      <c r="F11" s="45">
        <v>163339.99999999997</v>
      </c>
      <c r="H11" s="56"/>
      <c r="I11" s="64"/>
    </row>
    <row r="12" spans="1:9" ht="16" outlineLevel="1" x14ac:dyDescent="0.2">
      <c r="B12" s="44" t="s">
        <v>123</v>
      </c>
      <c r="C12" s="46">
        <v>20620</v>
      </c>
      <c r="D12" s="46">
        <v>27690</v>
      </c>
      <c r="E12" s="46">
        <v>34430</v>
      </c>
      <c r="F12" s="46">
        <v>31360</v>
      </c>
      <c r="H12" s="44"/>
      <c r="I12" s="63"/>
    </row>
    <row r="13" spans="1:9" ht="16" x14ac:dyDescent="0.2">
      <c r="B13" s="56" t="s">
        <v>122</v>
      </c>
      <c r="C13" s="45">
        <v>5310.0000000000009</v>
      </c>
      <c r="D13" s="45">
        <v>5450.0000000000027</v>
      </c>
      <c r="E13" s="45">
        <v>5629.9999999999991</v>
      </c>
      <c r="F13" s="45">
        <v>3250</v>
      </c>
      <c r="H13" s="56"/>
      <c r="I13" s="62"/>
    </row>
    <row r="14" spans="1:9" ht="16" x14ac:dyDescent="0.2">
      <c r="B14" s="44" t="s">
        <v>121</v>
      </c>
      <c r="C14" s="46">
        <v>15310</v>
      </c>
      <c r="D14" s="46">
        <v>22240</v>
      </c>
      <c r="E14" s="46">
        <v>28800</v>
      </c>
      <c r="F14" s="46">
        <v>28110</v>
      </c>
      <c r="H14" s="44"/>
      <c r="I14" s="51"/>
    </row>
    <row r="15" spans="1:9" ht="16" x14ac:dyDescent="0.2">
      <c r="B15" s="56" t="s">
        <v>120</v>
      </c>
      <c r="C15" s="45">
        <v>4570</v>
      </c>
      <c r="D15" s="45">
        <v>6920</v>
      </c>
      <c r="E15" s="45">
        <v>8950</v>
      </c>
      <c r="F15" s="45">
        <v>7940</v>
      </c>
      <c r="H15" s="56"/>
      <c r="I15" s="62"/>
    </row>
    <row r="16" spans="1:9" ht="18" x14ac:dyDescent="0.35">
      <c r="B16" s="199" t="s">
        <v>220</v>
      </c>
      <c r="C16" s="43">
        <v>10075</v>
      </c>
      <c r="D16" s="43">
        <v>15310</v>
      </c>
      <c r="E16" s="43">
        <v>19850</v>
      </c>
      <c r="F16" s="43">
        <v>20170</v>
      </c>
      <c r="H16" s="44"/>
      <c r="I16" s="51"/>
    </row>
    <row r="17" spans="1:9" x14ac:dyDescent="0.2">
      <c r="B17" s="44"/>
      <c r="C17" s="51"/>
      <c r="D17" s="51"/>
      <c r="E17" s="51"/>
      <c r="F17" s="51"/>
      <c r="H17" s="44"/>
      <c r="I17" s="51"/>
    </row>
    <row r="18" spans="1:9" x14ac:dyDescent="0.2">
      <c r="A18" s="55" t="s">
        <v>118</v>
      </c>
      <c r="C18" s="51"/>
      <c r="D18" s="51"/>
      <c r="E18" s="51"/>
      <c r="F18" s="51"/>
      <c r="G18" s="55"/>
      <c r="I18" s="51"/>
    </row>
    <row r="19" spans="1:9" ht="28.5" customHeight="1" x14ac:dyDescent="0.2">
      <c r="B19" s="53" t="s">
        <v>219</v>
      </c>
      <c r="C19" s="57">
        <v>2011</v>
      </c>
      <c r="D19" s="57">
        <v>2012</v>
      </c>
      <c r="E19" s="57">
        <v>2013</v>
      </c>
      <c r="F19" s="57">
        <v>2014</v>
      </c>
      <c r="H19" s="61"/>
    </row>
    <row r="20" spans="1:9" ht="16" x14ac:dyDescent="0.2">
      <c r="B20" s="49" t="s">
        <v>117</v>
      </c>
      <c r="E20" s="48"/>
      <c r="F20" s="48"/>
      <c r="H20" s="49"/>
    </row>
    <row r="21" spans="1:9" ht="16" x14ac:dyDescent="0.2">
      <c r="B21" s="44" t="s">
        <v>116</v>
      </c>
      <c r="C21" s="47">
        <v>79220</v>
      </c>
      <c r="D21" s="47">
        <v>91200</v>
      </c>
      <c r="E21" s="47">
        <v>91500</v>
      </c>
      <c r="F21" s="47">
        <v>107900</v>
      </c>
      <c r="H21" s="44"/>
    </row>
    <row r="22" spans="1:9" ht="16" x14ac:dyDescent="0.2">
      <c r="B22" s="199" t="s">
        <v>221</v>
      </c>
      <c r="C22" s="60">
        <v>100400</v>
      </c>
      <c r="D22" s="60">
        <v>106900</v>
      </c>
      <c r="E22" s="46">
        <v>122200</v>
      </c>
      <c r="F22" s="46">
        <v>137200</v>
      </c>
      <c r="H22" s="44"/>
    </row>
    <row r="23" spans="1:9" ht="16" x14ac:dyDescent="0.2">
      <c r="B23" s="44" t="s">
        <v>128</v>
      </c>
      <c r="C23" s="60">
        <v>10540</v>
      </c>
      <c r="D23" s="60">
        <v>9780</v>
      </c>
      <c r="E23" s="46">
        <v>8430</v>
      </c>
      <c r="F23" s="46">
        <v>8430</v>
      </c>
      <c r="H23" s="44"/>
    </row>
    <row r="24" spans="1:9" ht="16" x14ac:dyDescent="0.2">
      <c r="B24" s="44" t="s">
        <v>114</v>
      </c>
      <c r="C24" s="45">
        <v>213040</v>
      </c>
      <c r="D24" s="45">
        <v>229320</v>
      </c>
      <c r="E24" s="45">
        <v>271270</v>
      </c>
      <c r="F24" s="45">
        <v>281070</v>
      </c>
      <c r="H24" s="44"/>
    </row>
    <row r="25" spans="1:9" ht="16" x14ac:dyDescent="0.2">
      <c r="B25" s="44" t="s">
        <v>113</v>
      </c>
      <c r="C25" s="50">
        <v>403200</v>
      </c>
      <c r="D25" s="50">
        <v>437200</v>
      </c>
      <c r="E25" s="50">
        <v>493400</v>
      </c>
      <c r="F25" s="50">
        <v>534600</v>
      </c>
      <c r="H25" s="44"/>
    </row>
    <row r="26" spans="1:9" x14ac:dyDescent="0.2">
      <c r="B26" s="44"/>
      <c r="E26" s="51"/>
      <c r="F26" s="51"/>
      <c r="H26" s="44"/>
    </row>
    <row r="27" spans="1:9" ht="16" x14ac:dyDescent="0.2">
      <c r="B27" s="49" t="s">
        <v>112</v>
      </c>
      <c r="E27" s="48"/>
      <c r="F27" s="48"/>
      <c r="H27" s="49"/>
    </row>
    <row r="28" spans="1:9" ht="16" x14ac:dyDescent="0.2">
      <c r="B28" s="44" t="s">
        <v>111</v>
      </c>
      <c r="C28" s="47">
        <v>34200</v>
      </c>
      <c r="D28" s="47">
        <v>47290</v>
      </c>
      <c r="E28" s="47">
        <v>44470</v>
      </c>
      <c r="F28" s="47">
        <v>48510</v>
      </c>
      <c r="H28" s="44"/>
    </row>
    <row r="29" spans="1:9" ht="16" x14ac:dyDescent="0.2">
      <c r="B29" s="44" t="s">
        <v>127</v>
      </c>
      <c r="C29" s="60">
        <v>47650</v>
      </c>
      <c r="D29" s="60">
        <v>53670</v>
      </c>
      <c r="E29" s="46">
        <v>65870</v>
      </c>
      <c r="F29" s="46">
        <v>70370</v>
      </c>
      <c r="H29" s="44"/>
    </row>
    <row r="30" spans="1:9" ht="16" x14ac:dyDescent="0.2">
      <c r="B30" s="44" t="s">
        <v>110</v>
      </c>
      <c r="C30" s="60">
        <v>58890</v>
      </c>
      <c r="D30" s="60">
        <v>50810</v>
      </c>
      <c r="E30" s="46">
        <v>65590</v>
      </c>
      <c r="F30" s="46">
        <v>71930</v>
      </c>
      <c r="H30" s="44"/>
    </row>
    <row r="31" spans="1:9" ht="16" x14ac:dyDescent="0.2">
      <c r="B31" s="44" t="s">
        <v>108</v>
      </c>
      <c r="C31" s="45">
        <v>93460</v>
      </c>
      <c r="D31" s="45">
        <v>93830</v>
      </c>
      <c r="E31" s="45">
        <v>92970</v>
      </c>
      <c r="F31" s="45">
        <v>100790</v>
      </c>
      <c r="H31" s="44"/>
    </row>
    <row r="32" spans="1:9" ht="16" x14ac:dyDescent="0.2">
      <c r="B32" s="44" t="s">
        <v>107</v>
      </c>
      <c r="C32" s="60">
        <v>234200</v>
      </c>
      <c r="D32" s="60">
        <v>245600</v>
      </c>
      <c r="E32" s="46">
        <v>268900</v>
      </c>
      <c r="F32" s="46">
        <v>291600</v>
      </c>
      <c r="H32" s="44"/>
    </row>
    <row r="33" spans="1:8" ht="16" x14ac:dyDescent="0.2">
      <c r="B33" s="199" t="s">
        <v>222</v>
      </c>
      <c r="C33" s="45">
        <v>169000</v>
      </c>
      <c r="D33" s="45">
        <v>191600</v>
      </c>
      <c r="E33" s="45">
        <v>224500</v>
      </c>
      <c r="F33" s="45">
        <v>243000</v>
      </c>
      <c r="H33" s="44"/>
    </row>
    <row r="34" spans="1:8" ht="18" x14ac:dyDescent="0.35">
      <c r="B34" s="199" t="s">
        <v>223</v>
      </c>
      <c r="C34" s="43">
        <v>403200</v>
      </c>
      <c r="D34" s="43">
        <v>437200</v>
      </c>
      <c r="E34" s="43">
        <v>493400</v>
      </c>
      <c r="F34" s="43">
        <v>534600</v>
      </c>
      <c r="H34" s="44"/>
    </row>
    <row r="36" spans="1:8" ht="14.25" customHeight="1" x14ac:dyDescent="0.2">
      <c r="A36" s="200" t="s">
        <v>224</v>
      </c>
    </row>
    <row r="38" spans="1:8" x14ac:dyDescent="0.2">
      <c r="A38" s="110" t="s">
        <v>374</v>
      </c>
      <c r="D38" s="59"/>
      <c r="E38" s="59"/>
      <c r="F38" s="59"/>
    </row>
    <row r="39" spans="1:8" x14ac:dyDescent="0.2">
      <c r="B39" s="322" t="s">
        <v>81</v>
      </c>
    </row>
    <row r="40" spans="1:8" x14ac:dyDescent="0.2">
      <c r="B40" s="322" t="s">
        <v>375</v>
      </c>
    </row>
    <row r="41" spans="1:8" x14ac:dyDescent="0.2">
      <c r="B41" s="322" t="s">
        <v>354</v>
      </c>
    </row>
    <row r="42" spans="1:8" x14ac:dyDescent="0.2">
      <c r="B42" s="322" t="s">
        <v>376</v>
      </c>
    </row>
  </sheetData>
  <mergeCells count="3">
    <mergeCell ref="B2:F2"/>
    <mergeCell ref="B3:F3"/>
    <mergeCell ref="B4:F4"/>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2:K101"/>
  <sheetViews>
    <sheetView zoomScaleNormal="100" workbookViewId="0">
      <selection activeCell="E18" sqref="E18"/>
    </sheetView>
  </sheetViews>
  <sheetFormatPr baseColWidth="10" defaultColWidth="9.1640625" defaultRowHeight="15" x14ac:dyDescent="0.2"/>
  <cols>
    <col min="1" max="1" width="38" style="26" customWidth="1"/>
    <col min="2" max="11" width="12.1640625" style="26" customWidth="1"/>
    <col min="12" max="16384" width="9.1640625" style="26"/>
  </cols>
  <sheetData>
    <row r="2" spans="1:11" x14ac:dyDescent="0.2">
      <c r="A2" s="310" t="s">
        <v>226</v>
      </c>
      <c r="B2" s="310"/>
      <c r="C2" s="310"/>
      <c r="D2" s="310"/>
      <c r="E2" s="310"/>
      <c r="F2" s="310"/>
      <c r="G2" s="310"/>
      <c r="H2" s="310"/>
      <c r="I2" s="310"/>
      <c r="J2" s="310"/>
      <c r="K2" s="310"/>
    </row>
    <row r="3" spans="1:11" x14ac:dyDescent="0.2">
      <c r="A3" s="310" t="s">
        <v>175</v>
      </c>
      <c r="B3" s="310"/>
      <c r="C3" s="310"/>
      <c r="D3" s="310"/>
      <c r="E3" s="310"/>
      <c r="F3" s="310"/>
      <c r="G3" s="310"/>
      <c r="H3" s="310"/>
      <c r="I3" s="310"/>
      <c r="J3" s="310"/>
      <c r="K3" s="310"/>
    </row>
    <row r="4" spans="1:11" x14ac:dyDescent="0.2">
      <c r="A4" s="310" t="s">
        <v>227</v>
      </c>
      <c r="B4" s="310"/>
      <c r="C4" s="310"/>
      <c r="D4" s="310"/>
      <c r="E4" s="310"/>
      <c r="F4" s="310"/>
      <c r="G4" s="310"/>
      <c r="H4" s="310"/>
      <c r="I4" s="310"/>
      <c r="J4" s="310"/>
      <c r="K4" s="310"/>
    </row>
    <row r="5" spans="1:11" x14ac:dyDescent="0.2">
      <c r="A5" s="310" t="s">
        <v>228</v>
      </c>
      <c r="B5" s="310"/>
      <c r="C5" s="310"/>
      <c r="D5" s="310"/>
      <c r="E5" s="310"/>
      <c r="F5" s="310"/>
      <c r="G5" s="310"/>
      <c r="H5" s="310"/>
      <c r="I5" s="310"/>
      <c r="J5" s="310"/>
      <c r="K5" s="310"/>
    </row>
    <row r="7" spans="1:11" ht="16" customHeight="1" x14ac:dyDescent="0.2">
      <c r="A7" s="27" t="s">
        <v>77</v>
      </c>
      <c r="B7" s="28"/>
      <c r="C7" s="28"/>
    </row>
    <row r="8" spans="1:11" ht="16" customHeight="1" x14ac:dyDescent="0.2">
      <c r="A8" s="28" t="s">
        <v>78</v>
      </c>
      <c r="B8" s="28"/>
      <c r="C8" s="28"/>
    </row>
    <row r="9" spans="1:11" ht="12.5" customHeight="1" x14ac:dyDescent="0.2">
      <c r="A9" s="28"/>
      <c r="B9" s="28"/>
      <c r="C9" s="28"/>
    </row>
    <row r="10" spans="1:11" ht="12.5" customHeight="1" x14ac:dyDescent="0.2">
      <c r="A10" s="28"/>
      <c r="B10" s="28"/>
      <c r="C10" s="28"/>
    </row>
    <row r="11" spans="1:11" ht="12.5" customHeight="1" x14ac:dyDescent="0.2">
      <c r="A11" s="28"/>
      <c r="B11" s="28"/>
      <c r="C11" s="28"/>
    </row>
    <row r="12" spans="1:11" ht="16" x14ac:dyDescent="0.2">
      <c r="A12" s="29" t="s">
        <v>79</v>
      </c>
      <c r="B12" s="311" t="s">
        <v>80</v>
      </c>
      <c r="C12" s="311"/>
      <c r="D12" s="311" t="s">
        <v>81</v>
      </c>
      <c r="E12" s="311"/>
      <c r="F12" s="311" t="s">
        <v>82</v>
      </c>
      <c r="G12" s="311"/>
      <c r="H12" s="311" t="s">
        <v>83</v>
      </c>
      <c r="I12" s="311"/>
      <c r="J12" s="311" t="s">
        <v>84</v>
      </c>
      <c r="K12" s="311"/>
    </row>
    <row r="13" spans="1:11" x14ac:dyDescent="0.2">
      <c r="A13" s="30"/>
      <c r="B13" s="31">
        <v>2014</v>
      </c>
      <c r="C13" s="31">
        <v>2015</v>
      </c>
      <c r="D13" s="31">
        <v>2014</v>
      </c>
      <c r="E13" s="31">
        <v>2015</v>
      </c>
      <c r="F13" s="31">
        <v>2014</v>
      </c>
      <c r="G13" s="31">
        <v>2015</v>
      </c>
      <c r="H13" s="31">
        <v>2014</v>
      </c>
      <c r="I13" s="31">
        <v>2015</v>
      </c>
      <c r="J13" s="31">
        <v>2014</v>
      </c>
      <c r="K13" s="31">
        <v>2015</v>
      </c>
    </row>
    <row r="14" spans="1:11" x14ac:dyDescent="0.2">
      <c r="A14" s="30" t="s">
        <v>85</v>
      </c>
      <c r="B14" s="32">
        <f>B32</f>
        <v>45623</v>
      </c>
      <c r="C14" s="32">
        <f>C32</f>
        <v>45856</v>
      </c>
      <c r="D14" s="32">
        <f>B47</f>
        <v>7025</v>
      </c>
      <c r="E14" s="32">
        <f>C47</f>
        <v>6387</v>
      </c>
      <c r="F14" s="32">
        <f>B77</f>
        <v>94</v>
      </c>
      <c r="G14" s="32">
        <f>C77</f>
        <v>115</v>
      </c>
      <c r="H14" s="32">
        <f>B92</f>
        <v>69</v>
      </c>
      <c r="I14" s="32">
        <f>C92</f>
        <v>77</v>
      </c>
      <c r="J14" s="32">
        <f>B62</f>
        <v>225432</v>
      </c>
      <c r="K14" s="32">
        <f>C62</f>
        <v>219451</v>
      </c>
    </row>
    <row r="15" spans="1:11" x14ac:dyDescent="0.2">
      <c r="A15" s="30" t="s">
        <v>86</v>
      </c>
      <c r="B15" s="32">
        <f>B33</f>
        <v>36773</v>
      </c>
      <c r="C15" s="32">
        <f>C33</f>
        <v>36136</v>
      </c>
      <c r="D15" s="32">
        <f>B48</f>
        <v>4811</v>
      </c>
      <c r="E15" s="32">
        <f>C48</f>
        <v>4893</v>
      </c>
      <c r="F15" s="32">
        <f>B78</f>
        <v>1324</v>
      </c>
      <c r="G15" s="32">
        <f>C78</f>
        <v>1292</v>
      </c>
      <c r="H15" s="32">
        <f>B93</f>
        <v>943</v>
      </c>
      <c r="I15" s="32">
        <f>C93</f>
        <v>938</v>
      </c>
      <c r="J15" s="32">
        <f>B63</f>
        <v>34509</v>
      </c>
      <c r="K15" s="32">
        <f>C63</f>
        <v>34141</v>
      </c>
    </row>
    <row r="16" spans="1:11" x14ac:dyDescent="0.2">
      <c r="A16" s="30" t="s">
        <v>87</v>
      </c>
      <c r="B16" s="32">
        <v>60916</v>
      </c>
      <c r="C16" s="32">
        <v>71689</v>
      </c>
      <c r="D16" s="32">
        <v>1981</v>
      </c>
      <c r="E16" s="32">
        <v>2222</v>
      </c>
      <c r="F16" s="32">
        <v>832</v>
      </c>
      <c r="G16" s="32">
        <v>912</v>
      </c>
      <c r="H16" s="32">
        <v>620</v>
      </c>
      <c r="I16" s="32">
        <v>665</v>
      </c>
      <c r="J16" s="32">
        <v>16722</v>
      </c>
      <c r="K16" s="32">
        <v>22170</v>
      </c>
    </row>
    <row r="17" spans="1:11" x14ac:dyDescent="0.2">
      <c r="A17" s="30" t="s">
        <v>88</v>
      </c>
      <c r="B17" s="32">
        <f>B35</f>
        <v>23239</v>
      </c>
      <c r="C17" s="32">
        <f>C35</f>
        <v>21967</v>
      </c>
      <c r="D17" s="32">
        <f>B50</f>
        <v>6169</v>
      </c>
      <c r="E17" s="32">
        <f>C50</f>
        <v>6775</v>
      </c>
      <c r="F17" s="32">
        <f>B80</f>
        <v>5243</v>
      </c>
      <c r="G17" s="32">
        <f>C80</f>
        <v>5651</v>
      </c>
      <c r="H17" s="32">
        <f>B95</f>
        <v>1804</v>
      </c>
      <c r="I17" s="32">
        <f>C95</f>
        <v>1932</v>
      </c>
      <c r="J17" s="32">
        <f>B65</f>
        <v>62916</v>
      </c>
      <c r="K17" s="32">
        <f>C65</f>
        <v>66613</v>
      </c>
    </row>
    <row r="18" spans="1:11" x14ac:dyDescent="0.2">
      <c r="A18" s="30" t="s">
        <v>89</v>
      </c>
      <c r="B18" s="32">
        <f>B36</f>
        <v>17614</v>
      </c>
      <c r="C18" s="32">
        <f>C36</f>
        <v>18231</v>
      </c>
      <c r="D18" s="32">
        <f>B51</f>
        <v>2711</v>
      </c>
      <c r="E18" s="32">
        <f>C51</f>
        <v>2851</v>
      </c>
      <c r="F18" s="32">
        <f>B81</f>
        <v>6555</v>
      </c>
      <c r="G18" s="32">
        <f>C81</f>
        <v>5876</v>
      </c>
      <c r="H18" s="32">
        <f>B96</f>
        <v>2177</v>
      </c>
      <c r="I18" s="32">
        <f>C96</f>
        <v>2451</v>
      </c>
      <c r="J18" s="32">
        <f>B66</f>
        <v>71482</v>
      </c>
      <c r="K18" s="32">
        <f>C66</f>
        <v>74221</v>
      </c>
    </row>
    <row r="19" spans="1:11" x14ac:dyDescent="0.2">
      <c r="A19" s="30" t="s">
        <v>90</v>
      </c>
      <c r="B19" s="32">
        <f>B38</f>
        <v>6526</v>
      </c>
      <c r="C19" s="32">
        <f>C38</f>
        <v>6964</v>
      </c>
      <c r="D19" s="32">
        <f>B53</f>
        <v>1839</v>
      </c>
      <c r="E19" s="32">
        <f>C53</f>
        <v>2086</v>
      </c>
      <c r="F19" s="32">
        <f>B83</f>
        <v>1137</v>
      </c>
      <c r="G19" s="32">
        <f>C83</f>
        <v>2236</v>
      </c>
      <c r="H19" s="32">
        <f>B98</f>
        <v>602</v>
      </c>
      <c r="I19" s="32">
        <f>C98</f>
        <v>610</v>
      </c>
      <c r="J19" s="32">
        <f>B68</f>
        <v>32164</v>
      </c>
      <c r="K19" s="32">
        <f>C68</f>
        <v>37621</v>
      </c>
    </row>
    <row r="20" spans="1:11" ht="16" thickBot="1" x14ac:dyDescent="0.25">
      <c r="A20" s="33" t="s">
        <v>91</v>
      </c>
      <c r="B20" s="32">
        <f>B21-SUM(B14:B19)</f>
        <v>3982</v>
      </c>
      <c r="C20" s="32">
        <f t="shared" ref="C20:K20" si="0">C21-SUM(C14:C19)</f>
        <v>9978</v>
      </c>
      <c r="D20" s="32">
        <f t="shared" si="0"/>
        <v>3569</v>
      </c>
      <c r="E20" s="32">
        <f t="shared" si="0"/>
        <v>0</v>
      </c>
      <c r="F20" s="32">
        <f t="shared" si="0"/>
        <v>0</v>
      </c>
      <c r="G20" s="32">
        <f t="shared" si="0"/>
        <v>0</v>
      </c>
      <c r="H20" s="32">
        <f t="shared" si="0"/>
        <v>0</v>
      </c>
      <c r="I20" s="32">
        <f t="shared" si="0"/>
        <v>0</v>
      </c>
      <c r="J20" s="32">
        <f t="shared" si="0"/>
        <v>60714</v>
      </c>
      <c r="K20" s="32">
        <f t="shared" si="0"/>
        <v>98040</v>
      </c>
    </row>
    <row r="21" spans="1:11" ht="16" thickTop="1" x14ac:dyDescent="0.2">
      <c r="A21" s="34" t="s">
        <v>92</v>
      </c>
      <c r="B21" s="35">
        <v>194673</v>
      </c>
      <c r="C21" s="35">
        <v>210821</v>
      </c>
      <c r="D21" s="35">
        <v>28105</v>
      </c>
      <c r="E21" s="35">
        <v>25214</v>
      </c>
      <c r="F21" s="35">
        <v>15185</v>
      </c>
      <c r="G21" s="35">
        <v>16082</v>
      </c>
      <c r="H21" s="35">
        <v>6215</v>
      </c>
      <c r="I21" s="35">
        <v>6673</v>
      </c>
      <c r="J21" s="35">
        <v>503939</v>
      </c>
      <c r="K21" s="35">
        <v>552257</v>
      </c>
    </row>
    <row r="22" spans="1:11" ht="12.5" customHeight="1" x14ac:dyDescent="0.2">
      <c r="A22" s="28"/>
      <c r="B22" s="28"/>
      <c r="C22" s="28"/>
    </row>
    <row r="23" spans="1:11" ht="12.5" customHeight="1" x14ac:dyDescent="0.2">
      <c r="A23" s="28" t="s">
        <v>225</v>
      </c>
      <c r="B23" s="28"/>
      <c r="C23" s="28"/>
      <c r="D23" s="28"/>
      <c r="E23" s="28"/>
      <c r="F23" s="28"/>
      <c r="G23" s="28"/>
      <c r="H23" s="28"/>
      <c r="I23" s="28"/>
      <c r="J23" s="28"/>
      <c r="K23" s="28"/>
    </row>
    <row r="24" spans="1:11" ht="12.5" customHeight="1" x14ac:dyDescent="0.2">
      <c r="A24" s="28"/>
      <c r="B24" s="28"/>
      <c r="C24" s="28"/>
    </row>
    <row r="25" spans="1:11" ht="12.5" customHeight="1" x14ac:dyDescent="0.2">
      <c r="A25" s="28"/>
      <c r="B25" s="28"/>
      <c r="C25" s="28"/>
    </row>
    <row r="26" spans="1:11" ht="12.5" customHeight="1" x14ac:dyDescent="0.2">
      <c r="A26" s="28"/>
      <c r="B26" s="28"/>
      <c r="C26" s="28"/>
    </row>
    <row r="27" spans="1:11" ht="12.5" customHeight="1" x14ac:dyDescent="0.2">
      <c r="A27" s="28"/>
      <c r="B27" s="28"/>
      <c r="C27" s="28"/>
    </row>
    <row r="28" spans="1:11" ht="16" customHeight="1" x14ac:dyDescent="0.2">
      <c r="A28" s="36" t="s">
        <v>93</v>
      </c>
      <c r="B28" s="28"/>
      <c r="C28" s="28"/>
    </row>
    <row r="29" spans="1:11" ht="16" customHeight="1" x14ac:dyDescent="0.2">
      <c r="A29" s="37"/>
      <c r="B29" s="37" t="s">
        <v>94</v>
      </c>
      <c r="C29" s="37" t="s">
        <v>95</v>
      </c>
    </row>
    <row r="30" spans="1:11" ht="16" customHeight="1" x14ac:dyDescent="0.2">
      <c r="A30" s="37"/>
      <c r="B30" s="37" t="s">
        <v>96</v>
      </c>
      <c r="C30" s="37" t="s">
        <v>96</v>
      </c>
    </row>
    <row r="31" spans="1:11" ht="16" customHeight="1" x14ac:dyDescent="0.2">
      <c r="A31" s="38" t="s">
        <v>97</v>
      </c>
      <c r="B31" s="39">
        <v>46640</v>
      </c>
      <c r="C31" s="39">
        <v>48223</v>
      </c>
    </row>
    <row r="32" spans="1:11" ht="16" customHeight="1" x14ac:dyDescent="0.2">
      <c r="A32" s="38" t="s">
        <v>85</v>
      </c>
      <c r="B32" s="39">
        <v>45623</v>
      </c>
      <c r="C32" s="39">
        <v>45856</v>
      </c>
    </row>
    <row r="33" spans="1:3" ht="16" customHeight="1" x14ac:dyDescent="0.2">
      <c r="A33" s="38" t="s">
        <v>86</v>
      </c>
      <c r="B33" s="39">
        <v>36773</v>
      </c>
      <c r="C33" s="39">
        <v>36136</v>
      </c>
    </row>
    <row r="34" spans="1:3" ht="16" customHeight="1" x14ac:dyDescent="0.2">
      <c r="A34" s="38" t="s">
        <v>87</v>
      </c>
      <c r="B34" s="39">
        <v>14276</v>
      </c>
      <c r="C34" s="39">
        <v>23466</v>
      </c>
    </row>
    <row r="35" spans="1:3" ht="16" customHeight="1" x14ac:dyDescent="0.2">
      <c r="A35" s="38" t="s">
        <v>98</v>
      </c>
      <c r="B35" s="39">
        <v>23239</v>
      </c>
      <c r="C35" s="39">
        <v>21967</v>
      </c>
    </row>
    <row r="36" spans="1:3" ht="16" customHeight="1" x14ac:dyDescent="0.2">
      <c r="A36" s="38" t="s">
        <v>99</v>
      </c>
      <c r="B36" s="39">
        <v>17614</v>
      </c>
      <c r="C36" s="39">
        <v>18231</v>
      </c>
    </row>
    <row r="37" spans="1:3" ht="16" customHeight="1" x14ac:dyDescent="0.2">
      <c r="A37" s="38" t="s">
        <v>100</v>
      </c>
      <c r="B37" s="39">
        <v>4081</v>
      </c>
      <c r="C37" s="39">
        <v>10347</v>
      </c>
    </row>
    <row r="38" spans="1:3" ht="16" customHeight="1" x14ac:dyDescent="0.2">
      <c r="A38" s="38" t="s">
        <v>90</v>
      </c>
      <c r="B38" s="39">
        <v>6526</v>
      </c>
      <c r="C38" s="39">
        <v>6964</v>
      </c>
    </row>
    <row r="39" spans="1:3" ht="16" customHeight="1" x14ac:dyDescent="0.2">
      <c r="A39" s="38" t="s">
        <v>101</v>
      </c>
      <c r="B39" s="39" t="s">
        <v>102</v>
      </c>
      <c r="C39" s="39">
        <v>730</v>
      </c>
    </row>
    <row r="40" spans="1:3" ht="16" customHeight="1" x14ac:dyDescent="0.2">
      <c r="A40" s="38" t="s">
        <v>91</v>
      </c>
      <c r="B40" s="39">
        <v>-99</v>
      </c>
      <c r="C40" s="39">
        <v>-1099</v>
      </c>
    </row>
    <row r="41" spans="1:3" ht="16" customHeight="1" x14ac:dyDescent="0.2">
      <c r="A41" s="40" t="s">
        <v>92</v>
      </c>
      <c r="B41" s="41">
        <v>194673</v>
      </c>
      <c r="C41" s="41">
        <v>210821</v>
      </c>
    </row>
    <row r="42" spans="1:3" ht="12.5" customHeight="1" x14ac:dyDescent="0.2">
      <c r="A42" s="28"/>
      <c r="B42" s="28"/>
      <c r="C42" s="28"/>
    </row>
    <row r="43" spans="1:3" ht="16" customHeight="1" x14ac:dyDescent="0.2">
      <c r="A43" s="36" t="s">
        <v>103</v>
      </c>
      <c r="B43" s="28"/>
      <c r="C43" s="28"/>
    </row>
    <row r="44" spans="1:3" ht="16" customHeight="1" x14ac:dyDescent="0.2">
      <c r="A44" s="37"/>
      <c r="B44" s="37" t="s">
        <v>94</v>
      </c>
      <c r="C44" s="37" t="s">
        <v>95</v>
      </c>
    </row>
    <row r="45" spans="1:3" ht="16" customHeight="1" x14ac:dyDescent="0.2">
      <c r="A45" s="37"/>
      <c r="B45" s="37" t="s">
        <v>96</v>
      </c>
      <c r="C45" s="37" t="s">
        <v>96</v>
      </c>
    </row>
    <row r="46" spans="1:3" ht="16" customHeight="1" x14ac:dyDescent="0.2">
      <c r="A46" s="38" t="s">
        <v>97</v>
      </c>
      <c r="B46" s="39">
        <v>435</v>
      </c>
      <c r="C46" s="39">
        <v>502</v>
      </c>
    </row>
    <row r="47" spans="1:3" ht="16" customHeight="1" x14ac:dyDescent="0.2">
      <c r="A47" s="38" t="s">
        <v>85</v>
      </c>
      <c r="B47" s="39">
        <v>7025</v>
      </c>
      <c r="C47" s="39">
        <v>6387</v>
      </c>
    </row>
    <row r="48" spans="1:3" ht="16" customHeight="1" x14ac:dyDescent="0.2">
      <c r="A48" s="38" t="s">
        <v>86</v>
      </c>
      <c r="B48" s="39">
        <v>4811</v>
      </c>
      <c r="C48" s="39">
        <v>4893</v>
      </c>
    </row>
    <row r="49" spans="1:3" ht="16" customHeight="1" x14ac:dyDescent="0.2">
      <c r="A49" s="38" t="s">
        <v>87</v>
      </c>
      <c r="B49" s="39">
        <v>1546</v>
      </c>
      <c r="C49" s="39">
        <v>1720</v>
      </c>
    </row>
    <row r="50" spans="1:3" ht="16" customHeight="1" x14ac:dyDescent="0.2">
      <c r="A50" s="38" t="s">
        <v>98</v>
      </c>
      <c r="B50" s="39">
        <v>6169</v>
      </c>
      <c r="C50" s="39">
        <v>6775</v>
      </c>
    </row>
    <row r="51" spans="1:3" ht="16" customHeight="1" x14ac:dyDescent="0.2">
      <c r="A51" s="38" t="s">
        <v>99</v>
      </c>
      <c r="B51" s="39">
        <v>2711</v>
      </c>
      <c r="C51" s="39">
        <v>2851</v>
      </c>
    </row>
    <row r="52" spans="1:3" ht="16" customHeight="1" x14ac:dyDescent="0.2">
      <c r="A52" s="38" t="s">
        <v>100</v>
      </c>
      <c r="B52" s="39">
        <v>4081</v>
      </c>
      <c r="C52" s="39" t="s">
        <v>102</v>
      </c>
    </row>
    <row r="53" spans="1:3" ht="16" customHeight="1" x14ac:dyDescent="0.2">
      <c r="A53" s="38" t="s">
        <v>90</v>
      </c>
      <c r="B53" s="39">
        <v>1839</v>
      </c>
      <c r="C53" s="39">
        <v>2086</v>
      </c>
    </row>
    <row r="54" spans="1:3" ht="16" customHeight="1" x14ac:dyDescent="0.2">
      <c r="A54" s="38" t="s">
        <v>101</v>
      </c>
      <c r="B54" s="39" t="s">
        <v>102</v>
      </c>
      <c r="C54" s="39" t="s">
        <v>102</v>
      </c>
    </row>
    <row r="55" spans="1:3" ht="16" customHeight="1" x14ac:dyDescent="0.2">
      <c r="A55" s="38" t="s">
        <v>91</v>
      </c>
      <c r="B55" s="39">
        <v>-512</v>
      </c>
      <c r="C55" s="39" t="s">
        <v>102</v>
      </c>
    </row>
    <row r="56" spans="1:3" ht="16" customHeight="1" x14ac:dyDescent="0.2">
      <c r="A56" s="40" t="s">
        <v>92</v>
      </c>
      <c r="B56" s="41">
        <v>28105</v>
      </c>
      <c r="C56" s="41">
        <v>25214</v>
      </c>
    </row>
    <row r="57" spans="1:3" ht="12.5" customHeight="1" x14ac:dyDescent="0.2">
      <c r="A57" s="28"/>
      <c r="B57" s="28"/>
      <c r="C57" s="28"/>
    </row>
    <row r="58" spans="1:3" ht="16" customHeight="1" x14ac:dyDescent="0.2">
      <c r="A58" s="36" t="s">
        <v>104</v>
      </c>
      <c r="B58" s="28"/>
      <c r="C58" s="28"/>
    </row>
    <row r="59" spans="1:3" ht="16" customHeight="1" x14ac:dyDescent="0.2">
      <c r="A59" s="37"/>
      <c r="B59" s="37" t="s">
        <v>94</v>
      </c>
      <c r="C59" s="37" t="s">
        <v>95</v>
      </c>
    </row>
    <row r="60" spans="1:3" ht="16" customHeight="1" x14ac:dyDescent="0.2">
      <c r="A60" s="37"/>
      <c r="B60" s="37" t="s">
        <v>96</v>
      </c>
      <c r="C60" s="37" t="s">
        <v>96</v>
      </c>
    </row>
    <row r="61" spans="1:3" ht="16" customHeight="1" x14ac:dyDescent="0.2">
      <c r="A61" s="38" t="s">
        <v>97</v>
      </c>
      <c r="B61" s="39">
        <v>5419</v>
      </c>
      <c r="C61" s="39">
        <v>5871</v>
      </c>
    </row>
    <row r="62" spans="1:3" ht="16" customHeight="1" x14ac:dyDescent="0.2">
      <c r="A62" s="38" t="s">
        <v>85</v>
      </c>
      <c r="B62" s="39">
        <v>225432</v>
      </c>
      <c r="C62" s="39">
        <v>219451</v>
      </c>
    </row>
    <row r="63" spans="1:3" ht="16" customHeight="1" x14ac:dyDescent="0.2">
      <c r="A63" s="38" t="s">
        <v>86</v>
      </c>
      <c r="B63" s="39">
        <v>34509</v>
      </c>
      <c r="C63" s="39">
        <v>34141</v>
      </c>
    </row>
    <row r="64" spans="1:3" ht="16" customHeight="1" x14ac:dyDescent="0.2">
      <c r="A64" s="38" t="s">
        <v>87</v>
      </c>
      <c r="B64" s="39">
        <v>11303</v>
      </c>
      <c r="C64" s="39">
        <v>16299</v>
      </c>
    </row>
    <row r="65" spans="1:3" ht="16" customHeight="1" x14ac:dyDescent="0.2">
      <c r="A65" s="38" t="s">
        <v>98</v>
      </c>
      <c r="B65" s="39">
        <v>62916</v>
      </c>
      <c r="C65" s="39">
        <v>66613</v>
      </c>
    </row>
    <row r="66" spans="1:3" ht="16" customHeight="1" x14ac:dyDescent="0.2">
      <c r="A66" s="38" t="s">
        <v>99</v>
      </c>
      <c r="B66" s="39">
        <v>71482</v>
      </c>
      <c r="C66" s="39">
        <v>74221</v>
      </c>
    </row>
    <row r="67" spans="1:3" ht="16" customHeight="1" x14ac:dyDescent="0.2">
      <c r="A67" s="38" t="s">
        <v>100</v>
      </c>
      <c r="B67" s="39" t="s">
        <v>102</v>
      </c>
      <c r="C67" s="39" t="s">
        <v>102</v>
      </c>
    </row>
    <row r="68" spans="1:3" ht="16" customHeight="1" x14ac:dyDescent="0.2">
      <c r="A68" s="38" t="s">
        <v>90</v>
      </c>
      <c r="B68" s="39">
        <v>32164</v>
      </c>
      <c r="C68" s="39">
        <v>37621</v>
      </c>
    </row>
    <row r="69" spans="1:3" ht="16" customHeight="1" x14ac:dyDescent="0.2">
      <c r="A69" s="38" t="s">
        <v>101</v>
      </c>
      <c r="B69" s="39" t="s">
        <v>102</v>
      </c>
      <c r="C69" s="39" t="s">
        <v>102</v>
      </c>
    </row>
    <row r="70" spans="1:3" ht="16" customHeight="1" x14ac:dyDescent="0.2">
      <c r="A70" s="38" t="s">
        <v>91</v>
      </c>
      <c r="B70" s="39">
        <v>60714</v>
      </c>
      <c r="C70" s="39">
        <v>98040</v>
      </c>
    </row>
    <row r="71" spans="1:3" ht="16" customHeight="1" x14ac:dyDescent="0.2">
      <c r="A71" s="40" t="s">
        <v>92</v>
      </c>
      <c r="B71" s="41">
        <v>526186</v>
      </c>
      <c r="C71" s="41">
        <v>552257</v>
      </c>
    </row>
    <row r="72" spans="1:3" ht="12.5" customHeight="1" x14ac:dyDescent="0.2">
      <c r="A72" s="28"/>
      <c r="B72" s="28"/>
      <c r="C72" s="28"/>
    </row>
    <row r="73" spans="1:3" ht="16" customHeight="1" x14ac:dyDescent="0.2">
      <c r="A73" s="36" t="s">
        <v>82</v>
      </c>
      <c r="B73" s="28"/>
      <c r="C73" s="28"/>
    </row>
    <row r="74" spans="1:3" ht="16" customHeight="1" x14ac:dyDescent="0.2">
      <c r="A74" s="37"/>
      <c r="B74" s="37" t="s">
        <v>94</v>
      </c>
      <c r="C74" s="37" t="s">
        <v>95</v>
      </c>
    </row>
    <row r="75" spans="1:3" ht="16" customHeight="1" x14ac:dyDescent="0.2">
      <c r="A75" s="37"/>
      <c r="B75" s="37" t="s">
        <v>96</v>
      </c>
      <c r="C75" s="37" t="s">
        <v>96</v>
      </c>
    </row>
    <row r="76" spans="1:3" ht="16" customHeight="1" x14ac:dyDescent="0.2">
      <c r="A76" s="38" t="s">
        <v>97</v>
      </c>
      <c r="B76" s="39">
        <v>241</v>
      </c>
      <c r="C76" s="39">
        <v>338</v>
      </c>
    </row>
    <row r="77" spans="1:3" ht="16" customHeight="1" x14ac:dyDescent="0.2">
      <c r="A77" s="38" t="s">
        <v>85</v>
      </c>
      <c r="B77" s="39">
        <v>94</v>
      </c>
      <c r="C77" s="39">
        <v>115</v>
      </c>
    </row>
    <row r="78" spans="1:3" ht="16" customHeight="1" x14ac:dyDescent="0.2">
      <c r="A78" s="38" t="s">
        <v>86</v>
      </c>
      <c r="B78" s="39">
        <v>1324</v>
      </c>
      <c r="C78" s="39">
        <v>1292</v>
      </c>
    </row>
    <row r="79" spans="1:3" ht="16" customHeight="1" x14ac:dyDescent="0.2">
      <c r="A79" s="38" t="s">
        <v>87</v>
      </c>
      <c r="B79" s="39">
        <v>591</v>
      </c>
      <c r="C79" s="39">
        <v>574</v>
      </c>
    </row>
    <row r="80" spans="1:3" ht="16" customHeight="1" x14ac:dyDescent="0.2">
      <c r="A80" s="38" t="s">
        <v>98</v>
      </c>
      <c r="B80" s="39">
        <v>5243</v>
      </c>
      <c r="C80" s="39">
        <v>5651</v>
      </c>
    </row>
    <row r="81" spans="1:3" ht="16" customHeight="1" x14ac:dyDescent="0.2">
      <c r="A81" s="38" t="s">
        <v>99</v>
      </c>
      <c r="B81" s="39">
        <v>6555</v>
      </c>
      <c r="C81" s="39">
        <v>5876</v>
      </c>
    </row>
    <row r="82" spans="1:3" ht="16" customHeight="1" x14ac:dyDescent="0.2">
      <c r="A82" s="38" t="s">
        <v>100</v>
      </c>
      <c r="B82" s="39" t="s">
        <v>102</v>
      </c>
      <c r="C82" s="39" t="s">
        <v>102</v>
      </c>
    </row>
    <row r="83" spans="1:3" ht="16" customHeight="1" x14ac:dyDescent="0.2">
      <c r="A83" s="38" t="s">
        <v>90</v>
      </c>
      <c r="B83" s="39">
        <v>1137</v>
      </c>
      <c r="C83" s="39">
        <v>2236</v>
      </c>
    </row>
    <row r="84" spans="1:3" ht="16" customHeight="1" x14ac:dyDescent="0.2">
      <c r="A84" s="38" t="s">
        <v>101</v>
      </c>
      <c r="B84" s="39" t="s">
        <v>102</v>
      </c>
      <c r="C84" s="39" t="s">
        <v>102</v>
      </c>
    </row>
    <row r="85" spans="1:3" ht="16" customHeight="1" x14ac:dyDescent="0.2">
      <c r="A85" s="38" t="s">
        <v>91</v>
      </c>
      <c r="B85" s="39" t="s">
        <v>102</v>
      </c>
      <c r="C85" s="39" t="s">
        <v>102</v>
      </c>
    </row>
    <row r="86" spans="1:3" ht="16" customHeight="1" x14ac:dyDescent="0.2">
      <c r="A86" s="40" t="s">
        <v>92</v>
      </c>
      <c r="B86" s="41">
        <v>15185</v>
      </c>
      <c r="C86" s="41">
        <v>16082</v>
      </c>
    </row>
    <row r="87" spans="1:3" ht="12.5" customHeight="1" x14ac:dyDescent="0.2">
      <c r="A87" s="28"/>
      <c r="B87" s="28"/>
      <c r="C87" s="28"/>
    </row>
    <row r="88" spans="1:3" ht="16" customHeight="1" x14ac:dyDescent="0.2">
      <c r="A88" s="36" t="s">
        <v>105</v>
      </c>
      <c r="B88" s="28"/>
      <c r="C88" s="28"/>
    </row>
    <row r="89" spans="1:3" ht="16" customHeight="1" x14ac:dyDescent="0.2">
      <c r="A89" s="37"/>
      <c r="B89" s="37" t="s">
        <v>94</v>
      </c>
      <c r="C89" s="37" t="s">
        <v>95</v>
      </c>
    </row>
    <row r="90" spans="1:3" ht="16" customHeight="1" x14ac:dyDescent="0.2">
      <c r="A90" s="37"/>
      <c r="B90" s="37" t="s">
        <v>96</v>
      </c>
      <c r="C90" s="37" t="s">
        <v>96</v>
      </c>
    </row>
    <row r="91" spans="1:3" ht="16" customHeight="1" x14ac:dyDescent="0.2">
      <c r="A91" s="38" t="s">
        <v>97</v>
      </c>
      <c r="B91" s="39">
        <v>159</v>
      </c>
      <c r="C91" s="39">
        <v>161</v>
      </c>
    </row>
    <row r="92" spans="1:3" ht="16" customHeight="1" x14ac:dyDescent="0.2">
      <c r="A92" s="38" t="s">
        <v>85</v>
      </c>
      <c r="B92" s="39">
        <v>69</v>
      </c>
      <c r="C92" s="39">
        <v>77</v>
      </c>
    </row>
    <row r="93" spans="1:3" ht="16" customHeight="1" x14ac:dyDescent="0.2">
      <c r="A93" s="38" t="s">
        <v>86</v>
      </c>
      <c r="B93" s="39">
        <v>943</v>
      </c>
      <c r="C93" s="39">
        <v>938</v>
      </c>
    </row>
    <row r="94" spans="1:3" ht="16" customHeight="1" x14ac:dyDescent="0.2">
      <c r="A94" s="38" t="s">
        <v>87</v>
      </c>
      <c r="B94" s="39">
        <v>461</v>
      </c>
      <c r="C94" s="39">
        <v>504</v>
      </c>
    </row>
    <row r="95" spans="1:3" ht="16" customHeight="1" x14ac:dyDescent="0.2">
      <c r="A95" s="38" t="s">
        <v>98</v>
      </c>
      <c r="B95" s="39">
        <v>1804</v>
      </c>
      <c r="C95" s="39">
        <v>1932</v>
      </c>
    </row>
    <row r="96" spans="1:3" ht="16" customHeight="1" x14ac:dyDescent="0.2">
      <c r="A96" s="38" t="s">
        <v>99</v>
      </c>
      <c r="B96" s="39">
        <v>2177</v>
      </c>
      <c r="C96" s="39">
        <v>2451</v>
      </c>
    </row>
    <row r="97" spans="1:3" ht="16" customHeight="1" x14ac:dyDescent="0.2">
      <c r="A97" s="38" t="s">
        <v>100</v>
      </c>
      <c r="B97" s="39" t="s">
        <v>102</v>
      </c>
      <c r="C97" s="39" t="s">
        <v>102</v>
      </c>
    </row>
    <row r="98" spans="1:3" ht="16" customHeight="1" x14ac:dyDescent="0.2">
      <c r="A98" s="38" t="s">
        <v>90</v>
      </c>
      <c r="B98" s="39">
        <v>602</v>
      </c>
      <c r="C98" s="39">
        <v>610</v>
      </c>
    </row>
    <row r="99" spans="1:3" ht="16" customHeight="1" x14ac:dyDescent="0.2">
      <c r="A99" s="38" t="s">
        <v>101</v>
      </c>
      <c r="B99" s="39" t="s">
        <v>102</v>
      </c>
      <c r="C99" s="39" t="s">
        <v>102</v>
      </c>
    </row>
    <row r="100" spans="1:3" ht="16" customHeight="1" x14ac:dyDescent="0.2">
      <c r="A100" s="38" t="s">
        <v>91</v>
      </c>
      <c r="B100" s="39" t="s">
        <v>102</v>
      </c>
      <c r="C100" s="39" t="s">
        <v>102</v>
      </c>
    </row>
    <row r="101" spans="1:3" ht="16" customHeight="1" x14ac:dyDescent="0.2">
      <c r="A101" s="40" t="s">
        <v>92</v>
      </c>
      <c r="B101" s="41">
        <v>6215</v>
      </c>
      <c r="C101" s="41">
        <v>6673</v>
      </c>
    </row>
  </sheetData>
  <mergeCells count="9">
    <mergeCell ref="A2:K2"/>
    <mergeCell ref="A3:K3"/>
    <mergeCell ref="A4:K4"/>
    <mergeCell ref="A5:K5"/>
    <mergeCell ref="B12:C12"/>
    <mergeCell ref="D12:E12"/>
    <mergeCell ref="F12:G12"/>
    <mergeCell ref="H12:I12"/>
    <mergeCell ref="J12:K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E2:L31"/>
  <sheetViews>
    <sheetView showGridLines="0" topLeftCell="A3" zoomScale="139" workbookViewId="0">
      <selection activeCell="F24" sqref="F24"/>
    </sheetView>
  </sheetViews>
  <sheetFormatPr baseColWidth="10" defaultColWidth="8.83203125" defaultRowHeight="13" x14ac:dyDescent="0.15"/>
  <cols>
    <col min="5" max="5" width="11.1640625" bestFit="1" customWidth="1"/>
    <col min="10" max="10" width="11.1640625" bestFit="1" customWidth="1"/>
    <col min="11" max="11" width="12.1640625" bestFit="1" customWidth="1"/>
  </cols>
  <sheetData>
    <row r="2" spans="5:11" ht="15" x14ac:dyDescent="0.2">
      <c r="F2" s="312" t="s">
        <v>197</v>
      </c>
      <c r="G2" s="312"/>
      <c r="H2" s="312"/>
      <c r="I2" s="312"/>
      <c r="J2" s="312"/>
      <c r="K2" s="312"/>
    </row>
    <row r="3" spans="5:11" ht="15" x14ac:dyDescent="0.2">
      <c r="F3" s="312" t="s">
        <v>175</v>
      </c>
      <c r="G3" s="312"/>
      <c r="H3" s="312"/>
      <c r="I3" s="312"/>
      <c r="J3" s="312"/>
      <c r="K3" s="312"/>
    </row>
    <row r="4" spans="5:11" ht="15" x14ac:dyDescent="0.2">
      <c r="F4" s="312" t="s">
        <v>176</v>
      </c>
      <c r="G4" s="312"/>
      <c r="H4" s="312"/>
      <c r="I4" s="312"/>
      <c r="J4" s="312"/>
      <c r="K4" s="312"/>
    </row>
    <row r="5" spans="5:11" x14ac:dyDescent="0.15">
      <c r="F5" s="313" t="s">
        <v>177</v>
      </c>
      <c r="G5" s="313"/>
      <c r="H5" s="313"/>
      <c r="I5" s="313"/>
      <c r="J5" s="313"/>
      <c r="K5" s="313"/>
    </row>
    <row r="6" spans="5:11" x14ac:dyDescent="0.15">
      <c r="F6" s="159"/>
      <c r="G6" s="159"/>
      <c r="H6" s="159"/>
      <c r="I6" s="159"/>
      <c r="J6" s="159"/>
      <c r="K6" s="159"/>
    </row>
    <row r="7" spans="5:11" ht="15" x14ac:dyDescent="0.2">
      <c r="E7" s="201" t="s">
        <v>232</v>
      </c>
      <c r="J7" s="160" t="s">
        <v>230</v>
      </c>
      <c r="K7" s="160" t="s">
        <v>178</v>
      </c>
    </row>
    <row r="8" spans="5:11" x14ac:dyDescent="0.15">
      <c r="E8" s="202">
        <v>151610700</v>
      </c>
      <c r="F8" t="s">
        <v>179</v>
      </c>
      <c r="J8" s="161">
        <v>1287</v>
      </c>
      <c r="K8" s="161">
        <v>14106</v>
      </c>
    </row>
    <row r="9" spans="5:11" x14ac:dyDescent="0.15">
      <c r="E9" s="202">
        <v>400000000</v>
      </c>
      <c r="F9" t="s">
        <v>180</v>
      </c>
      <c r="J9" s="162">
        <v>1299</v>
      </c>
      <c r="K9" s="162">
        <v>16888</v>
      </c>
    </row>
    <row r="10" spans="5:11" x14ac:dyDescent="0.15">
      <c r="E10" s="202">
        <v>18513482</v>
      </c>
      <c r="F10" t="s">
        <v>181</v>
      </c>
      <c r="J10" s="162">
        <v>843</v>
      </c>
      <c r="K10" s="162">
        <v>1402</v>
      </c>
    </row>
    <row r="11" spans="5:11" x14ac:dyDescent="0.15">
      <c r="E11" s="202">
        <v>15430586</v>
      </c>
      <c r="F11" t="s">
        <v>182</v>
      </c>
      <c r="J11" s="162">
        <v>1253</v>
      </c>
      <c r="K11" s="162">
        <v>1365</v>
      </c>
    </row>
    <row r="12" spans="5:11" x14ac:dyDescent="0.15">
      <c r="E12" s="202">
        <v>24617939</v>
      </c>
      <c r="F12" t="s">
        <v>183</v>
      </c>
      <c r="J12" s="162">
        <v>1454</v>
      </c>
      <c r="K12" s="162">
        <v>2134</v>
      </c>
    </row>
    <row r="13" spans="5:11" x14ac:dyDescent="0.15">
      <c r="E13" s="202">
        <v>13062594</v>
      </c>
      <c r="F13" t="s">
        <v>184</v>
      </c>
      <c r="J13" s="162">
        <v>750</v>
      </c>
      <c r="K13" s="162">
        <v>2532</v>
      </c>
    </row>
    <row r="14" spans="5:11" x14ac:dyDescent="0.15">
      <c r="E14" s="202">
        <v>76971817</v>
      </c>
      <c r="F14" t="s">
        <v>185</v>
      </c>
      <c r="J14" s="162">
        <v>13157</v>
      </c>
      <c r="K14" s="162">
        <v>12349</v>
      </c>
    </row>
    <row r="15" spans="5:11" x14ac:dyDescent="0.15">
      <c r="E15" s="202">
        <v>24669778</v>
      </c>
      <c r="F15" s="197" t="s">
        <v>229</v>
      </c>
      <c r="J15" s="162">
        <v>248</v>
      </c>
      <c r="K15" s="162">
        <v>2364</v>
      </c>
    </row>
    <row r="16" spans="5:11" x14ac:dyDescent="0.15">
      <c r="E16" s="202">
        <v>20060390</v>
      </c>
      <c r="F16" t="s">
        <v>186</v>
      </c>
      <c r="J16" s="162">
        <v>2990</v>
      </c>
      <c r="K16" s="162">
        <v>4023</v>
      </c>
    </row>
    <row r="17" spans="5:12" x14ac:dyDescent="0.15">
      <c r="E17" s="202">
        <v>52477678</v>
      </c>
      <c r="F17" t="s">
        <v>187</v>
      </c>
      <c r="J17" s="162">
        <v>336</v>
      </c>
      <c r="K17" s="162">
        <v>4683</v>
      </c>
      <c r="L17" s="197" t="s">
        <v>231</v>
      </c>
    </row>
    <row r="18" spans="5:12" x14ac:dyDescent="0.15">
      <c r="E18" s="202">
        <v>22169930</v>
      </c>
      <c r="F18" t="s">
        <v>188</v>
      </c>
      <c r="J18" s="162">
        <v>1721</v>
      </c>
      <c r="K18" s="162">
        <v>2032</v>
      </c>
    </row>
    <row r="19" spans="5:12" x14ac:dyDescent="0.15">
      <c r="E19" s="202">
        <v>96890665</v>
      </c>
      <c r="F19" t="s">
        <v>189</v>
      </c>
      <c r="J19" s="162">
        <v>3033</v>
      </c>
      <c r="K19" s="162">
        <v>4355</v>
      </c>
    </row>
    <row r="20" spans="5:12" x14ac:dyDescent="0.15">
      <c r="E20" s="202">
        <v>43387980</v>
      </c>
      <c r="F20" t="s">
        <v>190</v>
      </c>
      <c r="J20" s="162">
        <v>836</v>
      </c>
      <c r="K20" s="162">
        <v>1214</v>
      </c>
    </row>
    <row r="21" spans="5:12" x14ac:dyDescent="0.15">
      <c r="E21" s="202">
        <v>67707544</v>
      </c>
      <c r="F21" t="s">
        <v>191</v>
      </c>
      <c r="J21" s="162">
        <v>3798</v>
      </c>
      <c r="K21" s="162">
        <v>5815</v>
      </c>
    </row>
    <row r="22" spans="5:12" x14ac:dyDescent="0.15">
      <c r="E22" s="202">
        <v>483470853</v>
      </c>
      <c r="F22" t="s">
        <v>192</v>
      </c>
      <c r="J22" s="162">
        <v>11871</v>
      </c>
      <c r="K22" s="162">
        <v>26504</v>
      </c>
    </row>
    <row r="23" spans="5:12" ht="15" x14ac:dyDescent="0.2">
      <c r="F23" t="s">
        <v>193</v>
      </c>
      <c r="J23" s="163">
        <v>10180</v>
      </c>
      <c r="K23" s="163">
        <v>15704</v>
      </c>
    </row>
    <row r="24" spans="5:12" x14ac:dyDescent="0.15">
      <c r="F24" t="s">
        <v>194</v>
      </c>
      <c r="J24" s="161">
        <f>SUM(J8:J23)</f>
        <v>55056</v>
      </c>
      <c r="K24" s="161">
        <f>SUM(K8:K23)</f>
        <v>117470</v>
      </c>
    </row>
    <row r="25" spans="5:12" x14ac:dyDescent="0.15">
      <c r="F25" t="s">
        <v>195</v>
      </c>
    </row>
    <row r="27" spans="5:12" x14ac:dyDescent="0.15">
      <c r="E27" t="s">
        <v>233</v>
      </c>
    </row>
    <row r="28" spans="5:12" x14ac:dyDescent="0.15">
      <c r="E28" t="s">
        <v>234</v>
      </c>
    </row>
    <row r="29" spans="5:12" x14ac:dyDescent="0.15">
      <c r="E29" t="s">
        <v>235</v>
      </c>
    </row>
    <row r="31" spans="5:12" x14ac:dyDescent="0.15">
      <c r="F31" t="s">
        <v>196</v>
      </c>
    </row>
  </sheetData>
  <mergeCells count="4">
    <mergeCell ref="F2:K2"/>
    <mergeCell ref="F3:K3"/>
    <mergeCell ref="F4:K4"/>
    <mergeCell ref="F5:K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E44"/>
  <sheetViews>
    <sheetView showGridLines="0" zoomScaleNormal="100" workbookViewId="0">
      <selection activeCell="B3" sqref="B3:E3"/>
    </sheetView>
  </sheetViews>
  <sheetFormatPr baseColWidth="10" defaultColWidth="9.1640625" defaultRowHeight="15" outlineLevelRow="1" x14ac:dyDescent="0.2"/>
  <cols>
    <col min="1" max="1" width="2.83203125" style="26" customWidth="1"/>
    <col min="2" max="2" width="50.83203125" style="26" customWidth="1"/>
    <col min="3" max="5" width="13.33203125" style="26" customWidth="1"/>
    <col min="6" max="16384" width="9.1640625" style="26"/>
  </cols>
  <sheetData>
    <row r="2" spans="1:5" x14ac:dyDescent="0.2">
      <c r="B2" s="314" t="s">
        <v>198</v>
      </c>
      <c r="C2" s="314"/>
      <c r="D2" s="314"/>
      <c r="E2" s="314"/>
    </row>
    <row r="3" spans="1:5" x14ac:dyDescent="0.2">
      <c r="B3" s="314" t="s">
        <v>175</v>
      </c>
      <c r="C3" s="314"/>
      <c r="D3" s="314"/>
      <c r="E3" s="314"/>
    </row>
    <row r="4" spans="1:5" x14ac:dyDescent="0.2">
      <c r="B4" s="314" t="s">
        <v>199</v>
      </c>
      <c r="C4" s="314"/>
      <c r="D4" s="314"/>
      <c r="E4" s="314"/>
    </row>
    <row r="6" spans="1:5" x14ac:dyDescent="0.2">
      <c r="A6" s="55" t="s">
        <v>126</v>
      </c>
    </row>
    <row r="7" spans="1:5" outlineLevel="1" x14ac:dyDescent="0.2">
      <c r="B7" s="53" t="s">
        <v>219</v>
      </c>
      <c r="C7" s="54" t="s">
        <v>236</v>
      </c>
    </row>
    <row r="8" spans="1:5" x14ac:dyDescent="0.2">
      <c r="C8" s="57">
        <v>2013</v>
      </c>
      <c r="D8" s="57">
        <v>2014</v>
      </c>
      <c r="E8" s="164">
        <v>2015</v>
      </c>
    </row>
    <row r="9" spans="1:5" ht="16" x14ac:dyDescent="0.2">
      <c r="B9" s="44" t="s">
        <v>125</v>
      </c>
      <c r="C9" s="203">
        <v>8347</v>
      </c>
      <c r="D9" s="203">
        <v>9533</v>
      </c>
      <c r="E9" s="204">
        <v>10005</v>
      </c>
    </row>
    <row r="10" spans="1:5" ht="18" x14ac:dyDescent="0.2">
      <c r="B10" s="56" t="s">
        <v>124</v>
      </c>
      <c r="C10" s="45">
        <v>6188</v>
      </c>
      <c r="D10" s="45">
        <v>6874</v>
      </c>
      <c r="E10" s="165">
        <v>7393</v>
      </c>
    </row>
    <row r="11" spans="1:5" ht="16" x14ac:dyDescent="0.2">
      <c r="B11" s="44" t="s">
        <v>123</v>
      </c>
      <c r="C11" s="205">
        <f>C9-C10</f>
        <v>2159</v>
      </c>
      <c r="D11" s="205">
        <f>D9-D10</f>
        <v>2659</v>
      </c>
      <c r="E11" s="206">
        <f>E9-E10</f>
        <v>2612</v>
      </c>
    </row>
    <row r="12" spans="1:5" ht="16" x14ac:dyDescent="0.2">
      <c r="B12" s="56" t="s">
        <v>122</v>
      </c>
      <c r="C12" s="45">
        <v>31</v>
      </c>
      <c r="D12" s="45">
        <v>71</v>
      </c>
      <c r="E12" s="165">
        <v>65</v>
      </c>
    </row>
    <row r="13" spans="1:5" ht="16" x14ac:dyDescent="0.2">
      <c r="B13" s="44" t="s">
        <v>121</v>
      </c>
      <c r="C13" s="205">
        <f>C11-C12</f>
        <v>2128</v>
      </c>
      <c r="D13" s="205">
        <f>D11-D12</f>
        <v>2588</v>
      </c>
      <c r="E13" s="206">
        <f>E11-E12</f>
        <v>2547</v>
      </c>
    </row>
    <row r="14" spans="1:5" ht="16" x14ac:dyDescent="0.2">
      <c r="B14" s="56" t="s">
        <v>120</v>
      </c>
      <c r="C14" s="45">
        <v>695</v>
      </c>
      <c r="D14" s="45">
        <v>830</v>
      </c>
      <c r="E14" s="165">
        <v>816</v>
      </c>
    </row>
    <row r="15" spans="1:5" ht="18" x14ac:dyDescent="0.35">
      <c r="B15" s="44" t="s">
        <v>119</v>
      </c>
      <c r="C15" s="43">
        <v>1433</v>
      </c>
      <c r="D15" s="43">
        <v>1758</v>
      </c>
      <c r="E15" s="166">
        <v>1731</v>
      </c>
    </row>
    <row r="16" spans="1:5" x14ac:dyDescent="0.2">
      <c r="B16" s="44"/>
      <c r="C16" s="167"/>
      <c r="D16" s="167"/>
      <c r="E16" s="168"/>
    </row>
    <row r="17" spans="1:5" x14ac:dyDescent="0.2">
      <c r="A17" s="55" t="s">
        <v>118</v>
      </c>
      <c r="C17" s="54" t="s">
        <v>236</v>
      </c>
      <c r="E17" s="169"/>
    </row>
    <row r="18" spans="1:5" x14ac:dyDescent="0.2">
      <c r="B18" s="53" t="s">
        <v>219</v>
      </c>
      <c r="D18" s="52">
        <v>2014</v>
      </c>
      <c r="E18" s="170">
        <v>2015</v>
      </c>
    </row>
    <row r="19" spans="1:5" ht="16" x14ac:dyDescent="0.2">
      <c r="B19" s="49" t="s">
        <v>117</v>
      </c>
      <c r="D19" s="48"/>
      <c r="E19" s="171"/>
    </row>
    <row r="20" spans="1:5" ht="16" x14ac:dyDescent="0.2">
      <c r="B20" s="44" t="s">
        <v>116</v>
      </c>
      <c r="D20" s="203">
        <v>5507</v>
      </c>
      <c r="E20" s="204">
        <v>5972</v>
      </c>
    </row>
    <row r="21" spans="1:5" ht="16" x14ac:dyDescent="0.2">
      <c r="B21" s="44" t="s">
        <v>115</v>
      </c>
      <c r="D21" s="205">
        <v>2300</v>
      </c>
      <c r="E21" s="206">
        <v>2474</v>
      </c>
    </row>
    <row r="22" spans="1:5" ht="16" x14ac:dyDescent="0.2">
      <c r="B22" s="44" t="s">
        <v>114</v>
      </c>
      <c r="D22" s="45">
        <v>10779</v>
      </c>
      <c r="E22" s="165">
        <v>10982</v>
      </c>
    </row>
    <row r="23" spans="1:5" ht="16" x14ac:dyDescent="0.2">
      <c r="B23" s="44" t="s">
        <v>113</v>
      </c>
      <c r="D23" s="50">
        <v>18586</v>
      </c>
      <c r="E23" s="172">
        <v>19428</v>
      </c>
    </row>
    <row r="24" spans="1:5" x14ac:dyDescent="0.2">
      <c r="B24" s="44"/>
      <c r="D24" s="51"/>
      <c r="E24" s="172"/>
    </row>
    <row r="25" spans="1:5" ht="16" x14ac:dyDescent="0.2">
      <c r="B25" s="49" t="s">
        <v>112</v>
      </c>
      <c r="D25" s="48"/>
      <c r="E25" s="171"/>
    </row>
    <row r="26" spans="1:5" ht="16" x14ac:dyDescent="0.2">
      <c r="B26" s="44" t="s">
        <v>111</v>
      </c>
      <c r="D26" s="203">
        <v>1608</v>
      </c>
      <c r="E26" s="204">
        <v>2827</v>
      </c>
    </row>
    <row r="27" spans="1:5" ht="16" x14ac:dyDescent="0.2">
      <c r="B27" s="44" t="s">
        <v>110</v>
      </c>
      <c r="D27" s="205">
        <v>3569</v>
      </c>
      <c r="E27" s="206">
        <v>3493</v>
      </c>
    </row>
    <row r="28" spans="1:5" ht="16" x14ac:dyDescent="0.2">
      <c r="B28" s="44" t="s">
        <v>109</v>
      </c>
      <c r="D28" s="205">
        <v>442</v>
      </c>
      <c r="E28" s="206">
        <v>678</v>
      </c>
    </row>
    <row r="29" spans="1:5" ht="16" x14ac:dyDescent="0.2">
      <c r="B29" s="44" t="s">
        <v>108</v>
      </c>
      <c r="D29" s="45">
        <v>1554</v>
      </c>
      <c r="E29" s="165">
        <v>1473</v>
      </c>
    </row>
    <row r="30" spans="1:5" ht="16" x14ac:dyDescent="0.2">
      <c r="B30" s="44" t="s">
        <v>107</v>
      </c>
      <c r="D30" s="205">
        <f>SUM(D26:D29)</f>
        <v>7173</v>
      </c>
      <c r="E30" s="206">
        <f>SUM(E26:E29)</f>
        <v>8471</v>
      </c>
    </row>
    <row r="31" spans="1:5" ht="18" x14ac:dyDescent="0.2">
      <c r="B31" s="44" t="s">
        <v>106</v>
      </c>
      <c r="D31" s="45">
        <v>11413</v>
      </c>
      <c r="E31" s="165">
        <v>10957</v>
      </c>
    </row>
    <row r="32" spans="1:5" ht="18" x14ac:dyDescent="0.35">
      <c r="B32" s="211" t="s">
        <v>223</v>
      </c>
      <c r="D32" s="43">
        <v>18586</v>
      </c>
      <c r="E32" s="166">
        <v>19428</v>
      </c>
    </row>
    <row r="33" spans="2:5" x14ac:dyDescent="0.2">
      <c r="E33" s="173"/>
    </row>
    <row r="34" spans="2:5" x14ac:dyDescent="0.2">
      <c r="B34" s="42" t="s">
        <v>237</v>
      </c>
      <c r="E34" s="173"/>
    </row>
    <row r="35" spans="2:5" x14ac:dyDescent="0.2">
      <c r="B35" s="42"/>
      <c r="C35" s="54" t="s">
        <v>236</v>
      </c>
      <c r="E35" s="169"/>
    </row>
    <row r="36" spans="2:5" x14ac:dyDescent="0.2">
      <c r="B36" s="174"/>
      <c r="C36" s="175">
        <v>2013</v>
      </c>
      <c r="D36" s="176">
        <v>2014</v>
      </c>
      <c r="E36" s="177">
        <v>2015</v>
      </c>
    </row>
    <row r="37" spans="2:5" x14ac:dyDescent="0.2">
      <c r="B37" s="178" t="s">
        <v>200</v>
      </c>
      <c r="C37" s="174"/>
      <c r="D37" s="174"/>
      <c r="E37" s="179"/>
    </row>
    <row r="38" spans="2:5" x14ac:dyDescent="0.2">
      <c r="B38" s="180" t="s">
        <v>238</v>
      </c>
      <c r="C38" s="207">
        <v>214.9</v>
      </c>
      <c r="D38" s="207">
        <v>293</v>
      </c>
      <c r="E38" s="208">
        <v>325</v>
      </c>
    </row>
    <row r="39" spans="2:5" ht="17" x14ac:dyDescent="0.2">
      <c r="B39" s="180" t="s">
        <v>239</v>
      </c>
      <c r="C39" s="209">
        <v>323</v>
      </c>
      <c r="D39" s="209">
        <v>355</v>
      </c>
      <c r="E39" s="210">
        <v>457</v>
      </c>
    </row>
    <row r="40" spans="2:5" x14ac:dyDescent="0.2">
      <c r="B40" s="174"/>
      <c r="C40" s="174"/>
      <c r="D40" s="174"/>
      <c r="E40" s="179"/>
    </row>
    <row r="41" spans="2:5" ht="17" x14ac:dyDescent="0.2">
      <c r="B41" s="180" t="s">
        <v>240</v>
      </c>
      <c r="C41" s="181">
        <v>3368</v>
      </c>
      <c r="D41" s="181">
        <v>3899</v>
      </c>
      <c r="E41" s="182">
        <v>3145</v>
      </c>
    </row>
    <row r="42" spans="2:5" x14ac:dyDescent="0.2">
      <c r="B42" s="180" t="s">
        <v>241</v>
      </c>
      <c r="C42" s="181">
        <v>653</v>
      </c>
      <c r="D42" s="181">
        <f>D41-C41</f>
        <v>531</v>
      </c>
      <c r="E42" s="182">
        <f>E41-D41</f>
        <v>-754</v>
      </c>
    </row>
    <row r="44" spans="2:5" x14ac:dyDescent="0.2">
      <c r="B44" s="212" t="s">
        <v>242</v>
      </c>
    </row>
  </sheetData>
  <mergeCells count="3">
    <mergeCell ref="B2:E2"/>
    <mergeCell ref="B3:E3"/>
    <mergeCell ref="B4:E4"/>
  </mergeCell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E423D29324CE4C81F8A9ED93508B14" ma:contentTypeVersion="21" ma:contentTypeDescription="Create a new document." ma:contentTypeScope="" ma:versionID="4a1c814954c8e34a0ee0b27822380e7f">
  <xsd:schema xmlns:xsd="http://www.w3.org/2001/XMLSchema" xmlns:xs="http://www.w3.org/2001/XMLSchema" xmlns:p="http://schemas.microsoft.com/office/2006/metadata/properties" xmlns:ns2="3280b98c-2d7e-449d-b713-5a352c511315" xmlns:ns3="d314d7ef-47d2-49ec-98a2-beb62148fffe" targetNamespace="http://schemas.microsoft.com/office/2006/metadata/properties" ma:root="true" ma:fieldsID="f34bca22ad38be946af4749cd0c495c3" ns2:_="" ns3:_="">
    <xsd:import namespace="3280b98c-2d7e-449d-b713-5a352c511315"/>
    <xsd:import namespace="d314d7ef-47d2-49ec-98a2-beb62148fffe"/>
    <xsd:element name="properties">
      <xsd:complexType>
        <xsd:sequence>
          <xsd:element name="documentManagement">
            <xsd:complexType>
              <xsd:all>
                <xsd:element ref="ns2:Content_x0020_Name"/>
                <xsd:element ref="ns2:Workflow_x0020_Instance_x0020_Name" minOccurs="0"/>
                <xsd:element ref="ns2:Workflow_x0020_Instance_x0020_Name_x003a_ID" minOccurs="0"/>
                <xsd:element ref="ns2:Content_x0020_Name_x003a_ID" minOccurs="0"/>
                <xsd:element ref="ns2:Product_x0020_Type" minOccurs="0"/>
                <xsd:element ref="ns2:Content_x0020_Name_x003a_Title" minOccurs="0"/>
                <xsd:element ref="ns2:Comments" minOccurs="0"/>
                <xsd:element ref="ns2:Target_x0020_Audiences" minOccurs="0"/>
                <xsd:element ref="ns2:Faculty_x0020_Sponsor" minOccurs="0"/>
                <xsd:element ref="ns2:Reviewer" minOccurs="0"/>
                <xsd:element ref="ns2:Mode" minOccurs="0"/>
                <xsd:element ref="ns2:Content_x0020_Type" minOccurs="0"/>
                <xsd:element ref="ns3:SharedWithUser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80b98c-2d7e-449d-b713-5a352c511315" elementFormDefault="qualified">
    <xsd:import namespace="http://schemas.microsoft.com/office/2006/documentManagement/types"/>
    <xsd:import namespace="http://schemas.microsoft.com/office/infopath/2007/PartnerControls"/>
    <xsd:element name="Content_x0020_Name" ma:index="8" ma:displayName="Content Name" ma:indexed="true" ma:list="{2a1dccef-5bbd-4239-9d2c-9dab3c3bdaeb}" ma:internalName="Content_x0020_Name" ma:readOnly="false" ma:showField="Title">
      <xsd:simpleType>
        <xsd:restriction base="dms:Lookup"/>
      </xsd:simpleType>
    </xsd:element>
    <xsd:element name="Workflow_x0020_Instance_x0020_Name" ma:index="9" nillable="true" ma:displayName="Workflow Instance Name" ma:list="{a3cd38c8-60df-4dc0-a0b2-c311c937c69e}" ma:internalName="Workflow_x0020_Instance_x0020_Name" ma:showField="Title">
      <xsd:simpleType>
        <xsd:restriction base="dms:Lookup"/>
      </xsd:simpleType>
    </xsd:element>
    <xsd:element name="Workflow_x0020_Instance_x0020_Name_x003a_ID" ma:index="10" nillable="true" ma:displayName="Workflow Instance Name:ID" ma:list="{a3cd38c8-60df-4dc0-a0b2-c311c937c69e}" ma:internalName="Workflow_x0020_Instance_x0020_Name_x003a_ID" ma:readOnly="true" ma:showField="ID" ma:web="d314d7ef-47d2-49ec-98a2-beb62148fffe">
      <xsd:simpleType>
        <xsd:restriction base="dms:Lookup"/>
      </xsd:simpleType>
    </xsd:element>
    <xsd:element name="Content_x0020_Name_x003a_ID" ma:index="11" nillable="true" ma:displayName="Content Name:ID" ma:list="{2a1dccef-5bbd-4239-9d2c-9dab3c3bdaeb}" ma:internalName="Content_x0020_Name_x003a_ID" ma:readOnly="true" ma:showField="ID" ma:web="d314d7ef-47d2-49ec-98a2-beb62148fffe">
      <xsd:simpleType>
        <xsd:restriction base="dms:Lookup"/>
      </xsd:simpleType>
    </xsd:element>
    <xsd:element name="Product_x0020_Type" ma:index="12" nillable="true" ma:displayName="Product Type" ma:list="{b8add45d-a9e3-4b61-9172-dff46669a501}" ma:internalName="Product_x0020_Type" ma:showField="Title">
      <xsd:simpleType>
        <xsd:restriction base="dms:Lookup"/>
      </xsd:simpleType>
    </xsd:element>
    <xsd:element name="Content_x0020_Name_x003a_Title" ma:index="13" nillable="true" ma:displayName="Content Name:Title" ma:list="{2a1dccef-5bbd-4239-9d2c-9dab3c3bdaeb}" ma:internalName="Content_x0020_Name_x003a_Title" ma:readOnly="true" ma:showField="Title0" ma:web="d314d7ef-47d2-49ec-98a2-beb62148fffe">
      <xsd:simpleType>
        <xsd:restriction base="dms:Lookup"/>
      </xsd:simpleType>
    </xsd:element>
    <xsd:element name="Comments" ma:index="14" nillable="true" ma:displayName="Comments" ma:internalName="Comments">
      <xsd:simpleType>
        <xsd:restriction base="dms:Note">
          <xsd:maxLength value="255"/>
        </xsd:restriction>
      </xsd:simpleType>
    </xsd:element>
    <xsd:element name="Target_x0020_Audiences" ma:index="15" nillable="true" ma:displayName="Target Audiences" ma:internalName="Target_x0020_Audiences">
      <xsd:simpleType>
        <xsd:restriction base="dms:Unknown"/>
      </xsd:simpleType>
    </xsd:element>
    <xsd:element name="Faculty_x0020_Sponsor" ma:index="16" nillable="true" ma:displayName="Faculty Sponsor" ma:list="UserInfo" ma:SharePointGroup="0" ma:internalName="Faculty_x0020_Sponsor" ma:showField="Titl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viewer" ma:index="17" nillable="true" ma:displayName="Reviewer" ma:list="UserInfo" ma:SharePointGroup="0" ma:internalName="Reviewer" ma:showField="Titl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ode" ma:index="18" nillable="true" ma:displayName="Mode" ma:internalName="Mode">
      <xsd:simpleType>
        <xsd:restriction base="dms:Text">
          <xsd:maxLength value="255"/>
        </xsd:restriction>
      </xsd:simpleType>
    </xsd:element>
    <xsd:element name="Content_x0020_Type" ma:index="20" nillable="true" ma:displayName="Content Type" ma:list="{766e563b-7587-40d5-a39c-32c550c72680}" ma:internalName="Content_x0020_Type" ma:showField="Title">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d314d7ef-47d2-49ec-98a2-beb62148fffe" elementFormDefault="qualified">
    <xsd:import namespace="http://schemas.microsoft.com/office/2006/documentManagement/types"/>
    <xsd:import namespace="http://schemas.microsoft.com/office/infopath/2007/PartnerControls"/>
    <xsd:element name="SharedWithUsers" ma:index="2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DocId" ma:index="22" nillable="true" ma:displayName="Document ID Value" ma:description="The value of the document ID assigned to this item." ma:internalName="_dlc_DocId" ma:readOnly="true">
      <xsd:simpleType>
        <xsd:restriction base="dms:Text"/>
      </xsd:simpleType>
    </xsd:element>
    <xsd:element name="_dlc_DocIdUrl" ma:index="2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Mode xmlns="3280b98c-2d7e-449d-b713-5a352c511315">1</Mode>
    <Content_x0020_Type xmlns="3280b98c-2d7e-449d-b713-5a352c511315">9</Content_x0020_Type>
    <Product_x0020_Type xmlns="3280b98c-2d7e-449d-b713-5a352c511315" xsi:nil="true"/>
    <Content_x0020_Name xmlns="3280b98c-2d7e-449d-b713-5a352c511315">17253</Content_x0020_Name>
    <Workflow_x0020_Instance_x0020_Name xmlns="3280b98c-2d7e-449d-b713-5a352c511315">5951</Workflow_x0020_Instance_x0020_Name>
    <Target_x0020_Audiences xmlns="3280b98c-2d7e-449d-b713-5a352c511315" xsi:nil="true"/>
    <Faculty_x0020_Sponsor xmlns="3280b98c-2d7e-449d-b713-5a352c511315">
      <UserInfo>
        <DisplayName>Bruner, Robert F.</DisplayName>
        <AccountId>279</AccountId>
        <AccountType/>
      </UserInfo>
    </Faculty_x0020_Sponsor>
    <Reviewer xmlns="3280b98c-2d7e-449d-b713-5a352c511315">
      <UserInfo>
        <DisplayName>Bruner, Robert F.</DisplayName>
        <AccountId>279</AccountId>
        <AccountType/>
      </UserInfo>
    </Reviewer>
    <Comments xmlns="3280b98c-2d7e-449d-b713-5a352c511315" xsi:nil="true"/>
    <_dlc_DocId xmlns="d314d7ef-47d2-49ec-98a2-beb62148fffe">2CPRT4FFDSWV-1991968691-5117</_dlc_DocId>
    <_dlc_DocIdUrl xmlns="d314d7ef-47d2-49ec-98a2-beb62148fffe">
      <Url>http://u20358870/sites/casemanagement/_layouts/15/DocIdRedir.aspx?ID=2CPRT4FFDSWV-1991968691-5117</Url>
      <Description>2CPRT4FFDSWV-1991968691-5117</Description>
    </_dlc_DocIdUrl>
  </documentManagement>
</p:properties>
</file>

<file path=customXml/itemProps1.xml><?xml version="1.0" encoding="utf-8"?>
<ds:datastoreItem xmlns:ds="http://schemas.openxmlformats.org/officeDocument/2006/customXml" ds:itemID="{2F78A038-3273-4872-A7D3-0C3661C50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80b98c-2d7e-449d-b713-5a352c511315"/>
    <ds:schemaRef ds:uri="d314d7ef-47d2-49ec-98a2-beb62148ff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D056B1-1AB2-4DE4-B970-1F3744F9480C}">
  <ds:schemaRefs>
    <ds:schemaRef ds:uri="http://schemas.microsoft.com/sharepoint/events"/>
  </ds:schemaRefs>
</ds:datastoreItem>
</file>

<file path=customXml/itemProps3.xml><?xml version="1.0" encoding="utf-8"?>
<ds:datastoreItem xmlns:ds="http://schemas.openxmlformats.org/officeDocument/2006/customXml" ds:itemID="{E2CA7D87-E948-4FED-9457-EEA46599E3C6}">
  <ds:schemaRefs>
    <ds:schemaRef ds:uri="http://schemas.microsoft.com/sharepoint/v3/contenttype/forms"/>
  </ds:schemaRefs>
</ds:datastoreItem>
</file>

<file path=customXml/itemProps4.xml><?xml version="1.0" encoding="utf-8"?>
<ds:datastoreItem xmlns:ds="http://schemas.openxmlformats.org/officeDocument/2006/customXml" ds:itemID="{C222AC1C-5C5B-4A1D-9EB7-9C971F7FE454}">
  <ds:schemaRefs>
    <ds:schemaRef ds:uri="http://schemas.microsoft.com/office/infopath/2007/PartnerControls"/>
    <ds:schemaRef ds:uri="http://purl.org/dc/elements/1.1/"/>
    <ds:schemaRef ds:uri="http://schemas.microsoft.com/office/2006/metadata/properties"/>
    <ds:schemaRef ds:uri="d314d7ef-47d2-49ec-98a2-beb62148fffe"/>
    <ds:schemaRef ds:uri="http://schemas.microsoft.com/office/2006/documentManagement/types"/>
    <ds:schemaRef ds:uri="http://purl.org/dc/dcmitype/"/>
    <ds:schemaRef ds:uri="http://schemas.openxmlformats.org/package/2006/metadata/core-properties"/>
    <ds:schemaRef ds:uri="3280b98c-2d7e-449d-b713-5a352c511315"/>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Title Page</vt:lpstr>
      <vt:lpstr>BRKA SP500 1976 to today</vt:lpstr>
      <vt:lpstr>BRK SP500 15 Y</vt:lpstr>
      <vt:lpstr>Exh 1</vt:lpstr>
      <vt:lpstr>Exh 2</vt:lpstr>
      <vt:lpstr>Exh 4</vt:lpstr>
      <vt:lpstr>Exh 5</vt:lpstr>
      <vt:lpstr>Exh 9</vt:lpstr>
      <vt:lpstr>Exh 10</vt:lpstr>
      <vt:lpstr>Exh 11 (revisado)</vt:lpstr>
      <vt:lpstr>Exh 12 (agregado)</vt:lpstr>
      <vt:lpstr>'Exh 10'!Print_Area</vt:lpstr>
      <vt:lpstr>'Exh 11 (revisado)'!Print_Area</vt:lpstr>
      <vt:lpstr>'BRKA SP500 1976 to today'!Print_Titles</vt:lpstr>
    </vt:vector>
  </TitlesOfParts>
  <Company>FactSet Research Systems,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Warren E. Buffett, 2015 (SPREADSHEET)</dc:title>
  <dc:subject/>
  <dc:creator>FactSet</dc:creator>
  <cp:keywords/>
  <dc:description/>
  <cp:lastModifiedBy>Microsoft Office User</cp:lastModifiedBy>
  <cp:lastPrinted>2012-04-04T16:14:43Z</cp:lastPrinted>
  <dcterms:created xsi:type="dcterms:W3CDTF">2010-10-01T13:34:10Z</dcterms:created>
  <dcterms:modified xsi:type="dcterms:W3CDTF">2022-06-28T14:41:37Z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actSetAutoResize">
    <vt:i4>1</vt:i4>
  </property>
  <property fmtid="{D5CDD505-2E9C-101B-9397-08002B2CF9AE}" pid="3" name="=fdsSearchOrder">
    <vt:i4>0</vt:i4>
  </property>
  <property fmtid="{D5CDD505-2E9C-101B-9397-08002B2CF9AE}" pid="4" name="ContentTypeId">
    <vt:lpwstr>0x010100ACE423D29324CE4C81F8A9ED93508B14</vt:lpwstr>
  </property>
  <property fmtid="{D5CDD505-2E9C-101B-9397-08002B2CF9AE}" pid="5" name="Order">
    <vt:r8>332200</vt:r8>
  </property>
  <property fmtid="{D5CDD505-2E9C-101B-9397-08002B2CF9AE}" pid="6" name="Submitter">
    <vt:lpwstr/>
  </property>
  <property fmtid="{D5CDD505-2E9C-101B-9397-08002B2CF9AE}" pid="7" name="Submitted By">
    <vt:lpwstr>MullinL@darden.virginia.edu</vt:lpwstr>
  </property>
  <property fmtid="{D5CDD505-2E9C-101B-9397-08002B2CF9AE}" pid="8" name="Reason For Rejection">
    <vt:lpwstr/>
  </property>
  <property fmtid="{D5CDD505-2E9C-101B-9397-08002B2CF9AE}" pid="9" name="Submission Status">
    <vt:lpwstr>Accepted</vt:lpwstr>
  </property>
  <property fmtid="{D5CDD505-2E9C-101B-9397-08002B2CF9AE}" pid="10" name="Task ID">
    <vt:lpwstr>49351</vt:lpwstr>
  </property>
  <property fmtid="{D5CDD505-2E9C-101B-9397-08002B2CF9AE}" pid="11" name="Upload Mode">
    <vt:lpwstr>Email</vt:lpwstr>
  </property>
  <property fmtid="{D5CDD505-2E9C-101B-9397-08002B2CF9AE}" pid="12" name="Email Time Stamp">
    <vt:filetime>2017-10-26T14:16:57Z</vt:filetime>
  </property>
  <property fmtid="{D5CDD505-2E9C-101B-9397-08002B2CF9AE}" pid="13" name="Email Subject">
    <vt:lpwstr>Buffett 2015 revisions</vt:lpwstr>
  </property>
  <property fmtid="{D5CDD505-2E9C-101B-9397-08002B2CF9AE}" pid="14" name="Workflow Template Name">
    <vt:lpwstr>12</vt:lpwstr>
  </property>
  <property fmtid="{D5CDD505-2E9C-101B-9397-08002B2CF9AE}" pid="15" name="Acceptance Task ID">
    <vt:lpwstr>49356</vt:lpwstr>
  </property>
  <property fmtid="{D5CDD505-2E9C-101B-9397-08002B2CF9AE}" pid="16" name="_dlc_DocIdItemGuid">
    <vt:lpwstr>a5a75dd7-af56-45d2-8dcf-81580bf36b62</vt:lpwstr>
  </property>
</Properties>
</file>