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AV\UTDT\MFIN\2021 MFIN\Curso FC\FC - TRADICIONAL\1-M&amp;A\Clase\"/>
    </mc:Choice>
  </mc:AlternateContent>
  <xr:revisionPtr revIDLastSave="0" documentId="13_ncr:1_{ABEAF0F0-0AD5-4DDC-AC98-FF04EEC11C09}" xr6:coauthVersionLast="46" xr6:coauthVersionMax="46" xr10:uidLastSave="{00000000-0000-0000-0000-000000000000}"/>
  <bookViews>
    <workbookView xWindow="-110" yWindow="-110" windowWidth="19420" windowHeight="10420" tabRatio="826" activeTab="3" xr2:uid="{14E6A45C-47BC-49E6-89CE-A9B2C8CED1E4}"/>
  </bookViews>
  <sheets>
    <sheet name="Caso A" sheetId="1" r:id="rId1"/>
    <sheet name="Caso B +Debt Yr 2" sheetId="4" r:id="rId2"/>
    <sheet name="Caso C +Debt All Yrs" sheetId="7" r:id="rId3"/>
    <sheet name="Caso C +Debt All Yrs Adj APV" sheetId="8" r:id="rId4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8" l="1"/>
  <c r="H26" i="8"/>
  <c r="F23" i="8"/>
  <c r="N9" i="8" s="1"/>
  <c r="E23" i="8"/>
  <c r="M9" i="8" s="1"/>
  <c r="M75" i="8"/>
  <c r="N69" i="8"/>
  <c r="O69" i="8" s="1"/>
  <c r="N60" i="8"/>
  <c r="O60" i="8" s="1"/>
  <c r="P60" i="8" s="1"/>
  <c r="D52" i="8"/>
  <c r="D58" i="8" s="1"/>
  <c r="AA51" i="8"/>
  <c r="N47" i="8"/>
  <c r="O47" i="8" s="1"/>
  <c r="P47" i="8" s="1"/>
  <c r="M40" i="8"/>
  <c r="D38" i="8"/>
  <c r="D37" i="8"/>
  <c r="D46" i="8" s="1"/>
  <c r="D36" i="8"/>
  <c r="E6" i="8" s="1"/>
  <c r="F6" i="8" s="1"/>
  <c r="G6" i="8" s="1"/>
  <c r="H6" i="8" s="1"/>
  <c r="N35" i="8"/>
  <c r="O35" i="8" s="1"/>
  <c r="P35" i="8" s="1"/>
  <c r="F30" i="8"/>
  <c r="E30" i="8"/>
  <c r="P25" i="8"/>
  <c r="O25" i="8"/>
  <c r="D27" i="8"/>
  <c r="D30" i="8" s="1"/>
  <c r="H30" i="8"/>
  <c r="N25" i="8"/>
  <c r="M25" i="8"/>
  <c r="P24" i="8"/>
  <c r="O24" i="8"/>
  <c r="N24" i="8"/>
  <c r="M24" i="8"/>
  <c r="L24" i="8"/>
  <c r="D24" i="8"/>
  <c r="D22" i="8"/>
  <c r="L8" i="8" s="1"/>
  <c r="L10" i="8"/>
  <c r="L9" i="8"/>
  <c r="D8" i="8"/>
  <c r="D15" i="8" s="1"/>
  <c r="D7" i="8"/>
  <c r="H27" i="7"/>
  <c r="H26" i="7"/>
  <c r="M75" i="7"/>
  <c r="N69" i="7"/>
  <c r="O69" i="7" s="1"/>
  <c r="N60" i="7"/>
  <c r="O60" i="7" s="1"/>
  <c r="P60" i="7" s="1"/>
  <c r="D52" i="7"/>
  <c r="D58" i="7" s="1"/>
  <c r="AA51" i="7"/>
  <c r="O47" i="7"/>
  <c r="P47" i="7" s="1"/>
  <c r="N47" i="7"/>
  <c r="M40" i="7"/>
  <c r="D38" i="7"/>
  <c r="D37" i="7"/>
  <c r="D46" i="7" s="1"/>
  <c r="D36" i="7"/>
  <c r="E6" i="7" s="1"/>
  <c r="F6" i="7" s="1"/>
  <c r="G6" i="7" s="1"/>
  <c r="H6" i="7" s="1"/>
  <c r="O35" i="7"/>
  <c r="P35" i="7" s="1"/>
  <c r="N35" i="7"/>
  <c r="E30" i="7"/>
  <c r="D30" i="7"/>
  <c r="D27" i="7"/>
  <c r="M25" i="7"/>
  <c r="L25" i="7"/>
  <c r="N24" i="7"/>
  <c r="M24" i="7"/>
  <c r="L24" i="7"/>
  <c r="D24" i="7"/>
  <c r="G23" i="7"/>
  <c r="O9" i="7" s="1"/>
  <c r="F23" i="7"/>
  <c r="E23" i="7"/>
  <c r="M9" i="7" s="1"/>
  <c r="D22" i="7"/>
  <c r="L8" i="7" s="1"/>
  <c r="L10" i="7"/>
  <c r="N9" i="7"/>
  <c r="L9" i="7"/>
  <c r="D7" i="7"/>
  <c r="D8" i="7" s="1"/>
  <c r="D38" i="4"/>
  <c r="D37" i="4"/>
  <c r="D36" i="4"/>
  <c r="E23" i="4"/>
  <c r="M75" i="4"/>
  <c r="M40" i="4"/>
  <c r="AA51" i="4"/>
  <c r="M75" i="1"/>
  <c r="M40" i="1"/>
  <c r="H27" i="1"/>
  <c r="AA51" i="1"/>
  <c r="F23" i="4"/>
  <c r="D52" i="4"/>
  <c r="E37" i="8" l="1"/>
  <c r="N70" i="8" s="1"/>
  <c r="G23" i="8"/>
  <c r="D59" i="8"/>
  <c r="E59" i="8" s="1"/>
  <c r="P69" i="8"/>
  <c r="D16" i="8"/>
  <c r="E22" i="8"/>
  <c r="M8" i="8" s="1"/>
  <c r="L25" i="8"/>
  <c r="E52" i="8"/>
  <c r="E7" i="8"/>
  <c r="E8" i="8" s="1"/>
  <c r="G30" i="8"/>
  <c r="E24" i="8"/>
  <c r="M10" i="8" s="1"/>
  <c r="L6" i="8"/>
  <c r="E24" i="7"/>
  <c r="M10" i="7" s="1"/>
  <c r="F22" i="7"/>
  <c r="N8" i="7" s="1"/>
  <c r="E37" i="7"/>
  <c r="O70" i="7" s="1"/>
  <c r="D59" i="7"/>
  <c r="D61" i="7" s="1"/>
  <c r="D62" i="7" s="1"/>
  <c r="P61" i="7" s="1"/>
  <c r="E46" i="7"/>
  <c r="P69" i="7"/>
  <c r="D15" i="7"/>
  <c r="L6" i="7"/>
  <c r="E22" i="7"/>
  <c r="M8" i="7" s="1"/>
  <c r="E7" i="7"/>
  <c r="E8" i="7" s="1"/>
  <c r="H23" i="7"/>
  <c r="P9" i="7" s="1"/>
  <c r="D53" i="7"/>
  <c r="AN80" i="1"/>
  <c r="AM80" i="1"/>
  <c r="AL80" i="1"/>
  <c r="AK80" i="1"/>
  <c r="AJ80" i="1"/>
  <c r="AI80" i="1"/>
  <c r="AH80" i="1"/>
  <c r="AG80" i="1"/>
  <c r="AF80" i="1"/>
  <c r="AN79" i="1"/>
  <c r="AM79" i="1"/>
  <c r="AL79" i="1"/>
  <c r="AK79" i="1"/>
  <c r="AJ79" i="1"/>
  <c r="AI79" i="1"/>
  <c r="AH79" i="1"/>
  <c r="AG79" i="1"/>
  <c r="AF79" i="1"/>
  <c r="AN78" i="1"/>
  <c r="AM78" i="1"/>
  <c r="AL78" i="1"/>
  <c r="AK78" i="1"/>
  <c r="AJ78" i="1"/>
  <c r="AI78" i="1"/>
  <c r="AH78" i="1"/>
  <c r="AG78" i="1"/>
  <c r="AF78" i="1"/>
  <c r="AN77" i="1"/>
  <c r="AM77" i="1"/>
  <c r="AL77" i="1"/>
  <c r="AK77" i="1"/>
  <c r="AJ77" i="1"/>
  <c r="AI77" i="1"/>
  <c r="AH77" i="1"/>
  <c r="AG77" i="1"/>
  <c r="AF77" i="1"/>
  <c r="AN76" i="1"/>
  <c r="AM76" i="1"/>
  <c r="AL76" i="1"/>
  <c r="AK76" i="1"/>
  <c r="AJ76" i="1"/>
  <c r="AI76" i="1"/>
  <c r="AH76" i="1"/>
  <c r="AG76" i="1"/>
  <c r="AF76" i="1"/>
  <c r="AN75" i="1"/>
  <c r="AM75" i="1"/>
  <c r="AL75" i="1"/>
  <c r="AK75" i="1"/>
  <c r="AJ75" i="1"/>
  <c r="AI75" i="1"/>
  <c r="AH75" i="1"/>
  <c r="AG75" i="1"/>
  <c r="AF75" i="1"/>
  <c r="AN74" i="1"/>
  <c r="AM74" i="1"/>
  <c r="AL74" i="1"/>
  <c r="AK74" i="1"/>
  <c r="AJ74" i="1"/>
  <c r="AI74" i="1"/>
  <c r="AH74" i="1"/>
  <c r="AG74" i="1"/>
  <c r="AF74" i="1"/>
  <c r="AN73" i="1"/>
  <c r="AM73" i="1"/>
  <c r="AL73" i="1"/>
  <c r="AK73" i="1"/>
  <c r="AJ73" i="1"/>
  <c r="AI73" i="1"/>
  <c r="AH73" i="1"/>
  <c r="AG73" i="1"/>
  <c r="AF73" i="1"/>
  <c r="AN72" i="1"/>
  <c r="AM72" i="1"/>
  <c r="AL72" i="1"/>
  <c r="AK72" i="1"/>
  <c r="AJ72" i="1"/>
  <c r="AI72" i="1"/>
  <c r="AH72" i="1"/>
  <c r="AG72" i="1"/>
  <c r="AF72" i="1"/>
  <c r="AE71" i="1"/>
  <c r="E46" i="1"/>
  <c r="E46" i="4"/>
  <c r="G23" i="4"/>
  <c r="H23" i="4" s="1"/>
  <c r="E6" i="4"/>
  <c r="M9" i="4"/>
  <c r="G27" i="4"/>
  <c r="G30" i="4" s="1"/>
  <c r="F27" i="4"/>
  <c r="N25" i="4" s="1"/>
  <c r="H26" i="4"/>
  <c r="P24" i="4" s="1"/>
  <c r="N69" i="4"/>
  <c r="O69" i="4" s="1"/>
  <c r="P69" i="4" s="1"/>
  <c r="N60" i="4"/>
  <c r="O60" i="4" s="1"/>
  <c r="P60" i="4" s="1"/>
  <c r="D58" i="4"/>
  <c r="D59" i="4" s="1"/>
  <c r="D61" i="4" s="1"/>
  <c r="D62" i="4" s="1"/>
  <c r="D53" i="4"/>
  <c r="D53" i="8" s="1"/>
  <c r="N47" i="4"/>
  <c r="O47" i="4" s="1"/>
  <c r="P47" i="4" s="1"/>
  <c r="D46" i="4"/>
  <c r="E37" i="4"/>
  <c r="N35" i="4"/>
  <c r="O35" i="4" s="1"/>
  <c r="P35" i="4" s="1"/>
  <c r="E30" i="4"/>
  <c r="D27" i="4"/>
  <c r="D30" i="4" s="1"/>
  <c r="O25" i="4"/>
  <c r="M25" i="4"/>
  <c r="L25" i="4"/>
  <c r="O24" i="4"/>
  <c r="N24" i="4"/>
  <c r="M24" i="4"/>
  <c r="L24" i="4"/>
  <c r="D24" i="4"/>
  <c r="L10" i="4" s="1"/>
  <c r="D22" i="4"/>
  <c r="L9" i="4"/>
  <c r="L8" i="4"/>
  <c r="D7" i="4"/>
  <c r="D53" i="1"/>
  <c r="N69" i="1"/>
  <c r="O69" i="1" s="1"/>
  <c r="P69" i="1" s="1"/>
  <c r="N60" i="1"/>
  <c r="O60" i="1" s="1"/>
  <c r="P60" i="1" s="1"/>
  <c r="N47" i="1"/>
  <c r="O47" i="1" s="1"/>
  <c r="P47" i="1" s="1"/>
  <c r="N35" i="1"/>
  <c r="O35" i="1" s="1"/>
  <c r="P35" i="1" s="1"/>
  <c r="D58" i="1"/>
  <c r="E22" i="4" l="1"/>
  <c r="M8" i="4" s="1"/>
  <c r="F6" i="4"/>
  <c r="G6" i="4" s="1"/>
  <c r="H6" i="4" s="1"/>
  <c r="O70" i="8"/>
  <c r="P70" i="8"/>
  <c r="F37" i="8"/>
  <c r="G37" i="8" s="1"/>
  <c r="H37" i="8" s="1"/>
  <c r="F46" i="8"/>
  <c r="J70" i="8"/>
  <c r="E46" i="8"/>
  <c r="M70" i="8"/>
  <c r="D62" i="8"/>
  <c r="D63" i="8" s="1"/>
  <c r="H23" i="8"/>
  <c r="P9" i="8" s="1"/>
  <c r="O9" i="8"/>
  <c r="D9" i="8"/>
  <c r="D40" i="8"/>
  <c r="E16" i="8"/>
  <c r="M6" i="8"/>
  <c r="F7" i="8"/>
  <c r="F8" i="8" s="1"/>
  <c r="F24" i="8"/>
  <c r="N10" i="8" s="1"/>
  <c r="F22" i="8"/>
  <c r="N8" i="8" s="1"/>
  <c r="L7" i="8"/>
  <c r="L11" i="8" s="1"/>
  <c r="E58" i="8"/>
  <c r="E53" i="8"/>
  <c r="D17" i="8"/>
  <c r="O61" i="7"/>
  <c r="J61" i="7"/>
  <c r="N61" i="7"/>
  <c r="F7" i="7"/>
  <c r="F8" i="7" s="1"/>
  <c r="N6" i="7" s="1"/>
  <c r="M61" i="7"/>
  <c r="G24" i="7"/>
  <c r="N70" i="7"/>
  <c r="F24" i="7"/>
  <c r="P70" i="7"/>
  <c r="J70" i="7"/>
  <c r="F37" i="7"/>
  <c r="G37" i="7" s="1"/>
  <c r="H37" i="7" s="1"/>
  <c r="M70" i="7"/>
  <c r="M6" i="7"/>
  <c r="L7" i="7"/>
  <c r="L11" i="7" s="1"/>
  <c r="D16" i="7"/>
  <c r="D17" i="7" s="1"/>
  <c r="P70" i="4"/>
  <c r="F30" i="4"/>
  <c r="N9" i="4"/>
  <c r="H27" i="4"/>
  <c r="F37" i="4"/>
  <c r="G37" i="4" s="1"/>
  <c r="H37" i="4" s="1"/>
  <c r="J70" i="4"/>
  <c r="N70" i="4"/>
  <c r="O61" i="4"/>
  <c r="N61" i="4"/>
  <c r="P61" i="4"/>
  <c r="M61" i="4"/>
  <c r="J61" i="4"/>
  <c r="M70" i="4"/>
  <c r="E7" i="4"/>
  <c r="E8" i="4" s="1"/>
  <c r="D8" i="4"/>
  <c r="E24" i="4"/>
  <c r="M10" i="4" s="1"/>
  <c r="O70" i="4"/>
  <c r="L21" i="8" l="1"/>
  <c r="D42" i="8"/>
  <c r="L14" i="8"/>
  <c r="M7" i="8"/>
  <c r="M11" i="8" s="1"/>
  <c r="G24" i="8"/>
  <c r="O10" i="8" s="1"/>
  <c r="G7" i="8"/>
  <c r="G8" i="8" s="1"/>
  <c r="G22" i="8"/>
  <c r="O8" i="8" s="1"/>
  <c r="E9" i="8"/>
  <c r="E40" i="8"/>
  <c r="F16" i="8"/>
  <c r="N6" i="8"/>
  <c r="D18" i="8"/>
  <c r="D10" i="8"/>
  <c r="L15" i="8"/>
  <c r="D41" i="8"/>
  <c r="O10" i="7"/>
  <c r="H24" i="7"/>
  <c r="N10" i="7"/>
  <c r="G22" i="7"/>
  <c r="O8" i="7" s="1"/>
  <c r="G7" i="7"/>
  <c r="G8" i="7" s="1"/>
  <c r="O6" i="7" s="1"/>
  <c r="L21" i="7"/>
  <c r="L14" i="7"/>
  <c r="M7" i="7"/>
  <c r="M11" i="7" s="1"/>
  <c r="D9" i="7"/>
  <c r="D18" i="7"/>
  <c r="D40" i="7"/>
  <c r="E16" i="7"/>
  <c r="N7" i="7"/>
  <c r="H30" i="4"/>
  <c r="P25" i="4"/>
  <c r="M6" i="4"/>
  <c r="O9" i="4"/>
  <c r="P9" i="4"/>
  <c r="D15" i="4"/>
  <c r="L6" i="4"/>
  <c r="F24" i="4"/>
  <c r="N10" i="4" s="1"/>
  <c r="F7" i="4"/>
  <c r="F8" i="4" s="1"/>
  <c r="F22" i="4"/>
  <c r="N8" i="4" s="1"/>
  <c r="D59" i="1"/>
  <c r="D61" i="1" s="1"/>
  <c r="D62" i="1" s="1"/>
  <c r="O6" i="8" l="1"/>
  <c r="M21" i="8"/>
  <c r="M32" i="8"/>
  <c r="E42" i="8"/>
  <c r="M14" i="8"/>
  <c r="L22" i="8"/>
  <c r="L16" i="8"/>
  <c r="L23" i="8" s="1"/>
  <c r="D11" i="8"/>
  <c r="R40" i="8" s="1"/>
  <c r="F40" i="8"/>
  <c r="F9" i="8"/>
  <c r="G16" i="8"/>
  <c r="M15" i="8"/>
  <c r="E10" i="8"/>
  <c r="E41" i="8"/>
  <c r="N7" i="8"/>
  <c r="N11" i="8" s="1"/>
  <c r="H24" i="8"/>
  <c r="P10" i="8" s="1"/>
  <c r="H7" i="8"/>
  <c r="H8" i="8" s="1"/>
  <c r="H22" i="8"/>
  <c r="P8" i="8" s="1"/>
  <c r="P10" i="7"/>
  <c r="P25" i="7"/>
  <c r="H7" i="7"/>
  <c r="H8" i="7" s="1"/>
  <c r="P6" i="7" s="1"/>
  <c r="P24" i="7"/>
  <c r="H22" i="7"/>
  <c r="P8" i="7" s="1"/>
  <c r="N11" i="7"/>
  <c r="N14" i="7" s="1"/>
  <c r="O25" i="7"/>
  <c r="O24" i="7"/>
  <c r="F30" i="7"/>
  <c r="N25" i="7"/>
  <c r="M32" i="7"/>
  <c r="M21" i="7"/>
  <c r="M14" i="7"/>
  <c r="L15" i="7"/>
  <c r="D10" i="7"/>
  <c r="D41" i="7"/>
  <c r="O7" i="7"/>
  <c r="O11" i="7" s="1"/>
  <c r="E9" i="7"/>
  <c r="E42" i="7" s="1"/>
  <c r="F16" i="7"/>
  <c r="E40" i="7"/>
  <c r="D42" i="7"/>
  <c r="J61" i="1"/>
  <c r="N6" i="4"/>
  <c r="G24" i="4"/>
  <c r="O10" i="4" s="1"/>
  <c r="G7" i="4"/>
  <c r="G8" i="4" s="1"/>
  <c r="G22" i="4"/>
  <c r="O8" i="4" s="1"/>
  <c r="L7" i="4"/>
  <c r="L11" i="4" s="1"/>
  <c r="M7" i="4"/>
  <c r="M11" i="4" s="1"/>
  <c r="D16" i="4"/>
  <c r="D17" i="4" s="1"/>
  <c r="O61" i="1"/>
  <c r="P61" i="1"/>
  <c r="N61" i="1"/>
  <c r="M61" i="1"/>
  <c r="U93" i="1"/>
  <c r="U92" i="1"/>
  <c r="U91" i="1"/>
  <c r="U90" i="1"/>
  <c r="U89" i="1"/>
  <c r="U88" i="1"/>
  <c r="U87" i="1"/>
  <c r="U86" i="1"/>
  <c r="U85" i="1"/>
  <c r="T93" i="1"/>
  <c r="T92" i="1"/>
  <c r="T91" i="1"/>
  <c r="T90" i="1"/>
  <c r="T89" i="1"/>
  <c r="T88" i="1"/>
  <c r="T87" i="1"/>
  <c r="T86" i="1"/>
  <c r="T85" i="1"/>
  <c r="S86" i="1"/>
  <c r="R86" i="1"/>
  <c r="R87" i="1" s="1"/>
  <c r="R88" i="1" s="1"/>
  <c r="R89" i="1" s="1"/>
  <c r="R90" i="1" s="1"/>
  <c r="R91" i="1" s="1"/>
  <c r="R92" i="1" s="1"/>
  <c r="R93" i="1" s="1"/>
  <c r="E37" i="1"/>
  <c r="M70" i="1" s="1"/>
  <c r="P24" i="1"/>
  <c r="O24" i="1"/>
  <c r="N24" i="1"/>
  <c r="M24" i="1"/>
  <c r="L24" i="1"/>
  <c r="L17" i="8" l="1"/>
  <c r="L26" i="8"/>
  <c r="M57" i="8"/>
  <c r="N21" i="8"/>
  <c r="F42" i="8"/>
  <c r="N14" i="8"/>
  <c r="N32" i="8"/>
  <c r="P6" i="8"/>
  <c r="E11" i="8"/>
  <c r="E12" i="8" s="1"/>
  <c r="D12" i="8"/>
  <c r="N15" i="8"/>
  <c r="F41" i="8"/>
  <c r="F10" i="8"/>
  <c r="M22" i="8"/>
  <c r="M16" i="8"/>
  <c r="M17" i="8" s="1"/>
  <c r="G40" i="8"/>
  <c r="H16" i="8"/>
  <c r="G9" i="8"/>
  <c r="O7" i="8"/>
  <c r="O11" i="8" s="1"/>
  <c r="N21" i="7"/>
  <c r="H30" i="7"/>
  <c r="N32" i="7"/>
  <c r="N57" i="7" s="1"/>
  <c r="N62" i="7" s="1"/>
  <c r="G30" i="7"/>
  <c r="O21" i="7"/>
  <c r="O14" i="7"/>
  <c r="O32" i="7"/>
  <c r="D11" i="7"/>
  <c r="R40" i="7" s="1"/>
  <c r="P7" i="7"/>
  <c r="P11" i="7" s="1"/>
  <c r="F40" i="7"/>
  <c r="F9" i="7"/>
  <c r="G16" i="7"/>
  <c r="M15" i="7"/>
  <c r="E10" i="7"/>
  <c r="E41" i="7"/>
  <c r="L22" i="7"/>
  <c r="L16" i="7"/>
  <c r="M57" i="7"/>
  <c r="M62" i="7" s="1"/>
  <c r="S87" i="1"/>
  <c r="S88" i="1" s="1"/>
  <c r="S89" i="1" s="1"/>
  <c r="S90" i="1" s="1"/>
  <c r="S91" i="1" s="1"/>
  <c r="S92" i="1" s="1"/>
  <c r="S93" i="1" s="1"/>
  <c r="O70" i="1"/>
  <c r="N70" i="1"/>
  <c r="J70" i="1"/>
  <c r="P70" i="1"/>
  <c r="M32" i="4"/>
  <c r="M21" i="4"/>
  <c r="M14" i="4"/>
  <c r="L14" i="4"/>
  <c r="L21" i="4"/>
  <c r="H24" i="4"/>
  <c r="P10" i="4" s="1"/>
  <c r="H7" i="4"/>
  <c r="H22" i="4"/>
  <c r="P8" i="4" s="1"/>
  <c r="E16" i="4"/>
  <c r="D40" i="4"/>
  <c r="D9" i="4"/>
  <c r="D18" i="4"/>
  <c r="N7" i="4"/>
  <c r="N11" i="4" s="1"/>
  <c r="O6" i="4"/>
  <c r="V86" i="1"/>
  <c r="V93" i="1"/>
  <c r="V92" i="1"/>
  <c r="V91" i="1"/>
  <c r="V90" i="1"/>
  <c r="V89" i="1"/>
  <c r="V88" i="1"/>
  <c r="V85" i="1"/>
  <c r="V87" i="1"/>
  <c r="F37" i="1"/>
  <c r="G37" i="1" s="1"/>
  <c r="H37" i="1" s="1"/>
  <c r="O14" i="8" l="1"/>
  <c r="O21" i="8"/>
  <c r="G42" i="8"/>
  <c r="O32" i="8"/>
  <c r="D21" i="8"/>
  <c r="D25" i="8" s="1"/>
  <c r="D39" i="8"/>
  <c r="E21" i="8"/>
  <c r="E25" i="8" s="1"/>
  <c r="E31" i="8" s="1"/>
  <c r="E17" i="8"/>
  <c r="O15" i="8"/>
  <c r="G41" i="8"/>
  <c r="G10" i="8"/>
  <c r="F11" i="8"/>
  <c r="F12" i="8" s="1"/>
  <c r="P7" i="8"/>
  <c r="P11" i="8" s="1"/>
  <c r="M66" i="8"/>
  <c r="M71" i="8" s="1"/>
  <c r="M23" i="8"/>
  <c r="M26" i="8" s="1"/>
  <c r="M44" i="8" s="1"/>
  <c r="H40" i="8"/>
  <c r="H9" i="8"/>
  <c r="N22" i="8"/>
  <c r="N16" i="8"/>
  <c r="N57" i="8"/>
  <c r="P21" i="7"/>
  <c r="P32" i="7"/>
  <c r="P14" i="7"/>
  <c r="M22" i="7"/>
  <c r="M16" i="7"/>
  <c r="O57" i="7"/>
  <c r="O62" i="7" s="1"/>
  <c r="L23" i="7"/>
  <c r="L26" i="7" s="1"/>
  <c r="L17" i="7"/>
  <c r="N15" i="7"/>
  <c r="F10" i="7"/>
  <c r="F41" i="7"/>
  <c r="F42" i="7"/>
  <c r="D12" i="7"/>
  <c r="E11" i="7"/>
  <c r="E12" i="7" s="1"/>
  <c r="G40" i="7"/>
  <c r="H16" i="7"/>
  <c r="G9" i="7"/>
  <c r="D42" i="4"/>
  <c r="H8" i="4"/>
  <c r="P6" i="4" s="1"/>
  <c r="L15" i="4"/>
  <c r="D41" i="4"/>
  <c r="D10" i="4"/>
  <c r="E40" i="4"/>
  <c r="E9" i="4"/>
  <c r="F16" i="4"/>
  <c r="O7" i="4"/>
  <c r="O11" i="4" s="1"/>
  <c r="N32" i="4"/>
  <c r="N14" i="4"/>
  <c r="N21" i="4"/>
  <c r="M57" i="4"/>
  <c r="M62" i="4" s="1"/>
  <c r="M18" i="8" l="1"/>
  <c r="P21" i="8"/>
  <c r="H42" i="8"/>
  <c r="P14" i="8"/>
  <c r="P32" i="8"/>
  <c r="O22" i="8"/>
  <c r="O16" i="8"/>
  <c r="O17" i="8" s="1"/>
  <c r="O57" i="8"/>
  <c r="F17" i="8"/>
  <c r="D31" i="8"/>
  <c r="D33" i="8" s="1"/>
  <c r="L18" i="8"/>
  <c r="E39" i="8"/>
  <c r="F21" i="8"/>
  <c r="F25" i="8" s="1"/>
  <c r="F31" i="8" s="1"/>
  <c r="G11" i="8"/>
  <c r="G12" i="8" s="1"/>
  <c r="P15" i="8"/>
  <c r="H41" i="8"/>
  <c r="H10" i="8"/>
  <c r="E15" i="8"/>
  <c r="E18" i="8" s="1"/>
  <c r="N23" i="8"/>
  <c r="N26" i="8" s="1"/>
  <c r="N44" i="8" s="1"/>
  <c r="N66" i="8"/>
  <c r="N71" i="8" s="1"/>
  <c r="N17" i="8"/>
  <c r="D21" i="7"/>
  <c r="D25" i="7" s="1"/>
  <c r="D31" i="7" s="1"/>
  <c r="D33" i="7" s="1"/>
  <c r="D39" i="7"/>
  <c r="M66" i="7"/>
  <c r="M71" i="7" s="1"/>
  <c r="M23" i="7"/>
  <c r="M26" i="7" s="1"/>
  <c r="M44" i="7" s="1"/>
  <c r="H40" i="7"/>
  <c r="H9" i="7"/>
  <c r="F11" i="7"/>
  <c r="F12" i="7" s="1"/>
  <c r="N22" i="7"/>
  <c r="N16" i="7"/>
  <c r="N17" i="7" s="1"/>
  <c r="M17" i="7"/>
  <c r="P57" i="7"/>
  <c r="O15" i="7"/>
  <c r="G41" i="7"/>
  <c r="G10" i="7"/>
  <c r="G42" i="7"/>
  <c r="E21" i="7"/>
  <c r="E25" i="7" s="1"/>
  <c r="E31" i="7" s="1"/>
  <c r="E17" i="7"/>
  <c r="N57" i="4"/>
  <c r="N62" i="4" s="1"/>
  <c r="P7" i="4"/>
  <c r="P11" i="4" s="1"/>
  <c r="M15" i="4"/>
  <c r="E41" i="4"/>
  <c r="E10" i="4"/>
  <c r="E42" i="4"/>
  <c r="D11" i="4"/>
  <c r="R40" i="4" s="1"/>
  <c r="O32" i="4"/>
  <c r="O21" i="4"/>
  <c r="O14" i="4"/>
  <c r="F9" i="4"/>
  <c r="G16" i="4"/>
  <c r="F40" i="4"/>
  <c r="L22" i="4"/>
  <c r="L16" i="4"/>
  <c r="N18" i="8" l="1"/>
  <c r="G21" i="8"/>
  <c r="G25" i="8" s="1"/>
  <c r="G31" i="8" s="1"/>
  <c r="G17" i="8"/>
  <c r="G39" i="8" s="1"/>
  <c r="P57" i="8"/>
  <c r="E32" i="8"/>
  <c r="E33" i="8" s="1"/>
  <c r="F32" i="8" s="1"/>
  <c r="F33" i="8" s="1"/>
  <c r="G32" i="8" s="1"/>
  <c r="L40" i="8"/>
  <c r="L75" i="8" s="1"/>
  <c r="F15" i="8"/>
  <c r="F18" i="8" s="1"/>
  <c r="E38" i="8"/>
  <c r="E36" i="8"/>
  <c r="F39" i="8"/>
  <c r="P22" i="8"/>
  <c r="P16" i="8"/>
  <c r="H11" i="8"/>
  <c r="AA50" i="8" s="1"/>
  <c r="O66" i="8"/>
  <c r="O71" i="8" s="1"/>
  <c r="O23" i="8"/>
  <c r="O26" i="8" s="1"/>
  <c r="O44" i="8" s="1"/>
  <c r="L18" i="7"/>
  <c r="O16" i="7"/>
  <c r="O17" i="7" s="1"/>
  <c r="O22" i="7"/>
  <c r="G11" i="7"/>
  <c r="G12" i="7" s="1"/>
  <c r="F17" i="7"/>
  <c r="F39" i="7" s="1"/>
  <c r="E39" i="7"/>
  <c r="N66" i="7"/>
  <c r="N71" i="7" s="1"/>
  <c r="N23" i="7"/>
  <c r="N26" i="7" s="1"/>
  <c r="N44" i="7" s="1"/>
  <c r="P58" i="7"/>
  <c r="P62" i="7" s="1"/>
  <c r="L63" i="7" s="1"/>
  <c r="E15" i="7"/>
  <c r="E18" i="7" s="1"/>
  <c r="M18" i="7"/>
  <c r="P15" i="7"/>
  <c r="H41" i="7"/>
  <c r="H10" i="7"/>
  <c r="H42" i="7"/>
  <c r="F21" i="7"/>
  <c r="F25" i="7" s="1"/>
  <c r="F31" i="7" s="1"/>
  <c r="E32" i="7"/>
  <c r="E33" i="7" s="1"/>
  <c r="F32" i="7" s="1"/>
  <c r="L40" i="7"/>
  <c r="L75" i="7" s="1"/>
  <c r="P21" i="4"/>
  <c r="P14" i="4"/>
  <c r="P32" i="4"/>
  <c r="L23" i="4"/>
  <c r="L26" i="4" s="1"/>
  <c r="L17" i="4"/>
  <c r="E11" i="4"/>
  <c r="E12" i="4" s="1"/>
  <c r="H16" i="4"/>
  <c r="G9" i="4"/>
  <c r="G40" i="4"/>
  <c r="O57" i="4"/>
  <c r="O62" i="4" s="1"/>
  <c r="M22" i="4"/>
  <c r="M16" i="4"/>
  <c r="M17" i="4" s="1"/>
  <c r="N15" i="4"/>
  <c r="F41" i="4"/>
  <c r="F10" i="4"/>
  <c r="F42" i="4"/>
  <c r="D12" i="4"/>
  <c r="H12" i="8" l="1"/>
  <c r="H21" i="8" s="1"/>
  <c r="H25" i="8" s="1"/>
  <c r="H31" i="8" s="1"/>
  <c r="P66" i="8"/>
  <c r="P23" i="8"/>
  <c r="P26" i="8" s="1"/>
  <c r="P44" i="8" s="1"/>
  <c r="G15" i="8"/>
  <c r="F38" i="8"/>
  <c r="F36" i="8"/>
  <c r="G33" i="8"/>
  <c r="H32" i="8" s="1"/>
  <c r="O18" i="8"/>
  <c r="P17" i="8"/>
  <c r="F33" i="7"/>
  <c r="G32" i="7" s="1"/>
  <c r="N18" i="7"/>
  <c r="H11" i="7"/>
  <c r="AA50" i="7" s="1"/>
  <c r="G17" i="7"/>
  <c r="G21" i="7"/>
  <c r="G25" i="7" s="1"/>
  <c r="G31" i="7" s="1"/>
  <c r="P22" i="7"/>
  <c r="P16" i="7"/>
  <c r="P17" i="7" s="1"/>
  <c r="F15" i="7"/>
  <c r="F18" i="7" s="1"/>
  <c r="E38" i="7"/>
  <c r="E36" i="7"/>
  <c r="O66" i="7"/>
  <c r="O71" i="7" s="1"/>
  <c r="O23" i="7"/>
  <c r="O26" i="7" s="1"/>
  <c r="O44" i="7" s="1"/>
  <c r="E21" i="4"/>
  <c r="E25" i="4" s="1"/>
  <c r="E31" i="4" s="1"/>
  <c r="E17" i="4"/>
  <c r="F11" i="4"/>
  <c r="F12" i="4" s="1"/>
  <c r="O15" i="4"/>
  <c r="G41" i="4"/>
  <c r="G10" i="4"/>
  <c r="G42" i="4"/>
  <c r="N22" i="4"/>
  <c r="N16" i="4"/>
  <c r="N17" i="4" s="1"/>
  <c r="P57" i="4"/>
  <c r="H40" i="4"/>
  <c r="H9" i="4"/>
  <c r="D39" i="4"/>
  <c r="D21" i="4"/>
  <c r="D25" i="4" s="1"/>
  <c r="D31" i="4" s="1"/>
  <c r="D33" i="4" s="1"/>
  <c r="M66" i="4"/>
  <c r="M71" i="4" s="1"/>
  <c r="M23" i="4"/>
  <c r="M26" i="4" s="1"/>
  <c r="M44" i="4" s="1"/>
  <c r="H17" i="8" l="1"/>
  <c r="H39" i="8" s="1"/>
  <c r="H33" i="8"/>
  <c r="Z50" i="8" s="1"/>
  <c r="H15" i="8"/>
  <c r="G38" i="8"/>
  <c r="G36" i="8"/>
  <c r="P67" i="8"/>
  <c r="P71" i="8" s="1"/>
  <c r="L72" i="8" s="1"/>
  <c r="P18" i="8"/>
  <c r="G18" i="8"/>
  <c r="G33" i="7"/>
  <c r="H32" i="7" s="1"/>
  <c r="O18" i="7"/>
  <c r="G15" i="7"/>
  <c r="F38" i="7"/>
  <c r="F36" i="7"/>
  <c r="H12" i="7"/>
  <c r="P23" i="7"/>
  <c r="P26" i="7" s="1"/>
  <c r="P44" i="7" s="1"/>
  <c r="P66" i="7"/>
  <c r="G39" i="7"/>
  <c r="M18" i="4"/>
  <c r="F21" i="4"/>
  <c r="F25" i="4" s="1"/>
  <c r="F31" i="4" s="1"/>
  <c r="P15" i="4"/>
  <c r="H10" i="4"/>
  <c r="H41" i="4"/>
  <c r="H42" i="4"/>
  <c r="P58" i="4"/>
  <c r="O22" i="4"/>
  <c r="O16" i="4"/>
  <c r="O17" i="4" s="1"/>
  <c r="N66" i="4"/>
  <c r="N71" i="4" s="1"/>
  <c r="N23" i="4"/>
  <c r="N26" i="4" s="1"/>
  <c r="N44" i="4" s="1"/>
  <c r="L18" i="4"/>
  <c r="F17" i="4"/>
  <c r="E32" i="4"/>
  <c r="E33" i="4" s="1"/>
  <c r="F32" i="4" s="1"/>
  <c r="L40" i="4"/>
  <c r="L75" i="4" s="1"/>
  <c r="E39" i="4"/>
  <c r="G11" i="4"/>
  <c r="G12" i="4" s="1"/>
  <c r="E15" i="4"/>
  <c r="H38" i="8" l="1"/>
  <c r="H36" i="8"/>
  <c r="E48" i="8" s="1"/>
  <c r="F60" i="8" s="1"/>
  <c r="H18" i="8"/>
  <c r="H21" i="7"/>
  <c r="H25" i="7" s="1"/>
  <c r="G38" i="7"/>
  <c r="G36" i="7"/>
  <c r="G18" i="7"/>
  <c r="P67" i="7"/>
  <c r="H17" i="7"/>
  <c r="H39" i="7" s="1"/>
  <c r="P62" i="4"/>
  <c r="L63" i="4" s="1"/>
  <c r="N18" i="4"/>
  <c r="G21" i="4"/>
  <c r="G25" i="4" s="1"/>
  <c r="G31" i="4" s="1"/>
  <c r="F15" i="4"/>
  <c r="E38" i="4"/>
  <c r="E36" i="4"/>
  <c r="E18" i="4"/>
  <c r="O66" i="4"/>
  <c r="O71" i="4" s="1"/>
  <c r="O23" i="4"/>
  <c r="O26" i="4" s="1"/>
  <c r="O44" i="4" s="1"/>
  <c r="P22" i="4"/>
  <c r="P16" i="4"/>
  <c r="P17" i="4" s="1"/>
  <c r="H11" i="4"/>
  <c r="AA50" i="4" s="1"/>
  <c r="G17" i="4"/>
  <c r="F39" i="4"/>
  <c r="F33" i="4"/>
  <c r="G32" i="4" s="1"/>
  <c r="E54" i="8" l="1"/>
  <c r="E55" i="8" s="1"/>
  <c r="F47" i="8" s="1"/>
  <c r="E64" i="8"/>
  <c r="E60" i="8" s="1"/>
  <c r="H31" i="7"/>
  <c r="P18" i="7"/>
  <c r="P71" i="7"/>
  <c r="L72" i="7" s="1"/>
  <c r="L74" i="7" s="1"/>
  <c r="L76" i="7" s="1"/>
  <c r="O18" i="4"/>
  <c r="G15" i="4"/>
  <c r="G18" i="4" s="1"/>
  <c r="F38" i="4"/>
  <c r="F36" i="4"/>
  <c r="G39" i="4"/>
  <c r="P66" i="4"/>
  <c r="P23" i="4"/>
  <c r="P26" i="4" s="1"/>
  <c r="P44" i="4" s="1"/>
  <c r="G33" i="4"/>
  <c r="H32" i="4" s="1"/>
  <c r="H12" i="4"/>
  <c r="H17" i="4" s="1"/>
  <c r="F18" i="4"/>
  <c r="F61" i="8" l="1"/>
  <c r="E61" i="8"/>
  <c r="E62" i="8" s="1"/>
  <c r="E63" i="8" s="1"/>
  <c r="E47" i="8"/>
  <c r="Q74" i="7"/>
  <c r="H33" i="7"/>
  <c r="Z50" i="7" s="1"/>
  <c r="H15" i="7"/>
  <c r="H39" i="4"/>
  <c r="H21" i="4"/>
  <c r="H25" i="4" s="1"/>
  <c r="G38" i="4"/>
  <c r="G36" i="4"/>
  <c r="P67" i="4"/>
  <c r="P71" i="4" s="1"/>
  <c r="L72" i="4" s="1"/>
  <c r="L74" i="4" s="1"/>
  <c r="Q74" i="4" s="1"/>
  <c r="M48" i="8" l="1"/>
  <c r="M49" i="8" s="1"/>
  <c r="N48" i="8"/>
  <c r="N49" i="8" s="1"/>
  <c r="J48" i="8"/>
  <c r="P48" i="8"/>
  <c r="O48" i="8"/>
  <c r="O49" i="8" s="1"/>
  <c r="P45" i="8"/>
  <c r="E49" i="8"/>
  <c r="P61" i="8"/>
  <c r="O61" i="8"/>
  <c r="O62" i="8" s="1"/>
  <c r="N61" i="8"/>
  <c r="N62" i="8" s="1"/>
  <c r="M61" i="8"/>
  <c r="M62" i="8" s="1"/>
  <c r="J61" i="8"/>
  <c r="P58" i="8"/>
  <c r="H38" i="7"/>
  <c r="H36" i="7"/>
  <c r="D48" i="7" s="1"/>
  <c r="H18" i="7"/>
  <c r="L76" i="4"/>
  <c r="H31" i="4"/>
  <c r="P18" i="4"/>
  <c r="P36" i="8" l="1"/>
  <c r="O36" i="8"/>
  <c r="O37" i="8" s="1"/>
  <c r="N36" i="8"/>
  <c r="N37" i="8" s="1"/>
  <c r="M36" i="8"/>
  <c r="M37" i="8" s="1"/>
  <c r="J36" i="8"/>
  <c r="P33" i="8"/>
  <c r="P49" i="8"/>
  <c r="L51" i="8" s="1"/>
  <c r="P62" i="8"/>
  <c r="L63" i="8" s="1"/>
  <c r="L74" i="8" s="1"/>
  <c r="L76" i="8" s="1"/>
  <c r="D54" i="7"/>
  <c r="D55" i="7" s="1"/>
  <c r="H33" i="4"/>
  <c r="Z50" i="4" s="1"/>
  <c r="H15" i="4"/>
  <c r="Q74" i="8" l="1"/>
  <c r="Q51" i="8"/>
  <c r="Z49" i="8"/>
  <c r="Z51" i="8" s="1"/>
  <c r="P37" i="8"/>
  <c r="L39" i="8" s="1"/>
  <c r="L79" i="8"/>
  <c r="E47" i="7"/>
  <c r="D47" i="7"/>
  <c r="H38" i="4"/>
  <c r="H36" i="4"/>
  <c r="D48" i="4" s="1"/>
  <c r="D48" i="8" s="1"/>
  <c r="H18" i="4"/>
  <c r="D54" i="8" l="1"/>
  <c r="D55" i="8" s="1"/>
  <c r="D47" i="8" s="1"/>
  <c r="D49" i="8" s="1"/>
  <c r="L41" i="8"/>
  <c r="M76" i="8" s="1"/>
  <c r="Q39" i="8"/>
  <c r="P48" i="7"/>
  <c r="O48" i="7"/>
  <c r="O49" i="7" s="1"/>
  <c r="N48" i="7"/>
  <c r="N49" i="7" s="1"/>
  <c r="M48" i="7"/>
  <c r="M49" i="7" s="1"/>
  <c r="J48" i="7"/>
  <c r="P45" i="7"/>
  <c r="D49" i="7"/>
  <c r="D54" i="4"/>
  <c r="D55" i="4" s="1"/>
  <c r="L53" i="8" l="1"/>
  <c r="L78" i="8"/>
  <c r="P36" i="7"/>
  <c r="O36" i="7"/>
  <c r="O37" i="7" s="1"/>
  <c r="M36" i="7"/>
  <c r="M37" i="7" s="1"/>
  <c r="N36" i="7"/>
  <c r="N37" i="7" s="1"/>
  <c r="J36" i="7"/>
  <c r="P33" i="7"/>
  <c r="P49" i="7"/>
  <c r="L51" i="7" s="1"/>
  <c r="D47" i="4"/>
  <c r="P45" i="4" s="1"/>
  <c r="E47" i="4"/>
  <c r="D46" i="1"/>
  <c r="L9" i="1"/>
  <c r="G27" i="1"/>
  <c r="F27" i="1"/>
  <c r="L79" i="7" l="1"/>
  <c r="Q51" i="7"/>
  <c r="Z49" i="7"/>
  <c r="Z51" i="7" s="1"/>
  <c r="P37" i="7"/>
  <c r="L39" i="7" s="1"/>
  <c r="H30" i="1"/>
  <c r="P25" i="1"/>
  <c r="G30" i="1"/>
  <c r="O25" i="1"/>
  <c r="F30" i="1"/>
  <c r="N25" i="1"/>
  <c r="J48" i="4"/>
  <c r="P48" i="4"/>
  <c r="O48" i="4"/>
  <c r="O49" i="4" s="1"/>
  <c r="N48" i="4"/>
  <c r="N49" i="4" s="1"/>
  <c r="M48" i="4"/>
  <c r="M49" i="4" s="1"/>
  <c r="D49" i="4"/>
  <c r="E27" i="1"/>
  <c r="E23" i="1"/>
  <c r="E6" i="1"/>
  <c r="F6" i="1" s="1"/>
  <c r="D27" i="1"/>
  <c r="D24" i="1"/>
  <c r="L10" i="1" s="1"/>
  <c r="D22" i="1"/>
  <c r="L8" i="1" s="1"/>
  <c r="D7" i="1"/>
  <c r="D8" i="1" s="1"/>
  <c r="L41" i="7" l="1"/>
  <c r="M76" i="7" s="1"/>
  <c r="Q39" i="7"/>
  <c r="E24" i="1"/>
  <c r="M10" i="1" s="1"/>
  <c r="F23" i="1"/>
  <c r="M9" i="1"/>
  <c r="E30" i="1"/>
  <c r="M25" i="1"/>
  <c r="D15" i="1"/>
  <c r="D16" i="1" s="1"/>
  <c r="D9" i="1" s="1"/>
  <c r="L6" i="1"/>
  <c r="J36" i="4"/>
  <c r="P36" i="4"/>
  <c r="O36" i="4"/>
  <c r="O37" i="4" s="1"/>
  <c r="M36" i="4"/>
  <c r="M37" i="4" s="1"/>
  <c r="N36" i="4"/>
  <c r="N37" i="4" s="1"/>
  <c r="P33" i="4"/>
  <c r="Z49" i="4" s="1"/>
  <c r="Z51" i="4" s="1"/>
  <c r="D30" i="1"/>
  <c r="L25" i="1"/>
  <c r="E22" i="1"/>
  <c r="M8" i="1" s="1"/>
  <c r="G6" i="1"/>
  <c r="F22" i="1"/>
  <c r="N8" i="1" s="1"/>
  <c r="F24" i="1"/>
  <c r="N10" i="1" s="1"/>
  <c r="F7" i="1"/>
  <c r="F8" i="1" s="1"/>
  <c r="N6" i="1" s="1"/>
  <c r="E7" i="1"/>
  <c r="E8" i="1" s="1"/>
  <c r="M6" i="1" s="1"/>
  <c r="M7" i="1" s="1"/>
  <c r="L78" i="7" l="1"/>
  <c r="L53" i="7"/>
  <c r="L7" i="1"/>
  <c r="L11" i="1" s="1"/>
  <c r="N7" i="1"/>
  <c r="M11" i="1"/>
  <c r="G23" i="1"/>
  <c r="N9" i="1"/>
  <c r="P37" i="4"/>
  <c r="L39" i="4" s="1"/>
  <c r="L41" i="4" s="1"/>
  <c r="L78" i="4" s="1"/>
  <c r="D40" i="1"/>
  <c r="E16" i="1"/>
  <c r="D17" i="1"/>
  <c r="D18" i="1" s="1"/>
  <c r="L15" i="1"/>
  <c r="G7" i="1"/>
  <c r="G8" i="1" s="1"/>
  <c r="O6" i="1" s="1"/>
  <c r="O7" i="1" s="1"/>
  <c r="H6" i="1"/>
  <c r="G24" i="1"/>
  <c r="O10" i="1" s="1"/>
  <c r="G22" i="1"/>
  <c r="O8" i="1" s="1"/>
  <c r="N11" i="1" l="1"/>
  <c r="N12" i="1"/>
  <c r="N32" i="1"/>
  <c r="N57" i="1" s="1"/>
  <c r="N62" i="1" s="1"/>
  <c r="N14" i="1"/>
  <c r="N21" i="1"/>
  <c r="L12" i="1"/>
  <c r="D42" i="1"/>
  <c r="L14" i="1"/>
  <c r="L21" i="1"/>
  <c r="H23" i="1"/>
  <c r="P9" i="1" s="1"/>
  <c r="O9" i="1"/>
  <c r="M12" i="1"/>
  <c r="M32" i="1"/>
  <c r="M57" i="1" s="1"/>
  <c r="M62" i="1" s="1"/>
  <c r="M14" i="1"/>
  <c r="M21" i="1"/>
  <c r="O11" i="1"/>
  <c r="P49" i="4"/>
  <c r="L51" i="4" s="1"/>
  <c r="L53" i="4" s="1"/>
  <c r="Q39" i="4"/>
  <c r="E40" i="1"/>
  <c r="E9" i="1"/>
  <c r="L16" i="1"/>
  <c r="L22" i="1"/>
  <c r="D10" i="1"/>
  <c r="D11" i="1" s="1"/>
  <c r="R40" i="1" s="1"/>
  <c r="D41" i="1"/>
  <c r="F16" i="1"/>
  <c r="H7" i="1"/>
  <c r="H8" i="1" s="1"/>
  <c r="P6" i="1" s="1"/>
  <c r="H22" i="1"/>
  <c r="P8" i="1" s="1"/>
  <c r="H24" i="1"/>
  <c r="P10" i="1" s="1"/>
  <c r="O12" i="1" l="1"/>
  <c r="O32" i="1"/>
  <c r="O57" i="1" s="1"/>
  <c r="O62" i="1" s="1"/>
  <c r="O21" i="1"/>
  <c r="O14" i="1"/>
  <c r="P7" i="1"/>
  <c r="P11" i="1" s="1"/>
  <c r="Q51" i="4"/>
  <c r="L79" i="4"/>
  <c r="D12" i="1"/>
  <c r="D39" i="1" s="1"/>
  <c r="L23" i="1"/>
  <c r="L26" i="1" s="1"/>
  <c r="M15" i="1"/>
  <c r="M22" i="1" s="1"/>
  <c r="E42" i="1"/>
  <c r="F40" i="1"/>
  <c r="F9" i="1"/>
  <c r="L17" i="1"/>
  <c r="E10" i="1"/>
  <c r="E11" i="1" s="1"/>
  <c r="E12" i="1" s="1"/>
  <c r="E17" i="1" s="1"/>
  <c r="E41" i="1"/>
  <c r="G16" i="1"/>
  <c r="P12" i="1" l="1"/>
  <c r="P32" i="1"/>
  <c r="P57" i="1" s="1"/>
  <c r="P58" i="1" s="1"/>
  <c r="P21" i="1"/>
  <c r="P14" i="1"/>
  <c r="D21" i="1"/>
  <c r="D25" i="1" s="1"/>
  <c r="D31" i="1" s="1"/>
  <c r="D33" i="1" s="1"/>
  <c r="L40" i="1" s="1"/>
  <c r="L75" i="1" s="1"/>
  <c r="M16" i="1"/>
  <c r="N15" i="1"/>
  <c r="N22" i="1" s="1"/>
  <c r="F42" i="1"/>
  <c r="G40" i="1"/>
  <c r="G9" i="1"/>
  <c r="E39" i="1"/>
  <c r="E21" i="1"/>
  <c r="E25" i="1" s="1"/>
  <c r="F10" i="1"/>
  <c r="F11" i="1" s="1"/>
  <c r="F12" i="1" s="1"/>
  <c r="F21" i="1" s="1"/>
  <c r="F25" i="1" s="1"/>
  <c r="F41" i="1"/>
  <c r="H16" i="1"/>
  <c r="L18" i="1" l="1"/>
  <c r="E32" i="1"/>
  <c r="M23" i="1"/>
  <c r="M26" i="1" s="1"/>
  <c r="M66" i="1"/>
  <c r="H9" i="1"/>
  <c r="N16" i="1"/>
  <c r="M17" i="1"/>
  <c r="M18" i="1" s="1"/>
  <c r="O15" i="1"/>
  <c r="O22" i="1" s="1"/>
  <c r="G42" i="1"/>
  <c r="F17" i="1"/>
  <c r="F39" i="1" s="1"/>
  <c r="H40" i="1"/>
  <c r="F31" i="1"/>
  <c r="E31" i="1"/>
  <c r="G10" i="1"/>
  <c r="G11" i="1" s="1"/>
  <c r="G12" i="1" s="1"/>
  <c r="G41" i="1"/>
  <c r="E33" i="1" l="1"/>
  <c r="F32" i="1" s="1"/>
  <c r="F33" i="1" s="1"/>
  <c r="G32" i="1" s="1"/>
  <c r="H42" i="1"/>
  <c r="M44" i="1"/>
  <c r="N23" i="1"/>
  <c r="N26" i="1" s="1"/>
  <c r="N66" i="1"/>
  <c r="P15" i="1"/>
  <c r="P16" i="1" s="1"/>
  <c r="N17" i="1"/>
  <c r="N18" i="1" s="1"/>
  <c r="O16" i="1"/>
  <c r="G17" i="1"/>
  <c r="G39" i="1" s="1"/>
  <c r="E15" i="1"/>
  <c r="F15" i="1" s="1"/>
  <c r="G21" i="1"/>
  <c r="G25" i="1" s="1"/>
  <c r="H10" i="1"/>
  <c r="H11" i="1" s="1"/>
  <c r="AA50" i="1" s="1"/>
  <c r="H41" i="1"/>
  <c r="N44" i="1" l="1"/>
  <c r="O23" i="1"/>
  <c r="O26" i="1" s="1"/>
  <c r="O66" i="1"/>
  <c r="P23" i="1"/>
  <c r="P66" i="1"/>
  <c r="P22" i="1"/>
  <c r="H12" i="1"/>
  <c r="H21" i="1" s="1"/>
  <c r="H25" i="1" s="1"/>
  <c r="O17" i="1"/>
  <c r="O18" i="1" s="1"/>
  <c r="E36" i="1"/>
  <c r="E38" i="1"/>
  <c r="E18" i="1"/>
  <c r="P17" i="1"/>
  <c r="G31" i="1"/>
  <c r="G33" i="1" s="1"/>
  <c r="H32" i="1" s="1"/>
  <c r="F18" i="1"/>
  <c r="F38" i="1"/>
  <c r="F36" i="1"/>
  <c r="O44" i="1" l="1"/>
  <c r="P26" i="1"/>
  <c r="P44" i="1" s="1"/>
  <c r="P67" i="1"/>
  <c r="H17" i="1"/>
  <c r="G15" i="1"/>
  <c r="G38" i="1" s="1"/>
  <c r="P18" i="1"/>
  <c r="H31" i="1"/>
  <c r="H33" i="1" s="1"/>
  <c r="Z50" i="1" l="1"/>
  <c r="H39" i="1"/>
  <c r="G18" i="1"/>
  <c r="G36" i="1"/>
  <c r="H15" i="1"/>
  <c r="H38" i="1" s="1"/>
  <c r="H18" i="1" l="1"/>
  <c r="H36" i="1"/>
  <c r="D48" i="1" s="1"/>
  <c r="D54" i="1" l="1"/>
  <c r="D55" i="1" s="1"/>
  <c r="E47" i="1" l="1"/>
  <c r="D47" i="1"/>
  <c r="P45" i="1" s="1"/>
  <c r="P62" i="1" l="1"/>
  <c r="L63" i="1" s="1"/>
  <c r="O48" i="1"/>
  <c r="O49" i="1" s="1"/>
  <c r="M48" i="1"/>
  <c r="M49" i="1" s="1"/>
  <c r="J48" i="1"/>
  <c r="N48" i="1"/>
  <c r="N49" i="1" s="1"/>
  <c r="P48" i="1"/>
  <c r="D49" i="1"/>
  <c r="J36" i="1" l="1"/>
  <c r="O36" i="1"/>
  <c r="N36" i="1"/>
  <c r="P33" i="1"/>
  <c r="M36" i="1"/>
  <c r="P36" i="1"/>
  <c r="P71" i="1" s="1"/>
  <c r="Z49" i="1" l="1"/>
  <c r="Z51" i="1" s="1"/>
  <c r="O37" i="1"/>
  <c r="O71" i="1"/>
  <c r="N37" i="1"/>
  <c r="N71" i="1"/>
  <c r="M37" i="1"/>
  <c r="M71" i="1"/>
  <c r="P37" i="1"/>
  <c r="P49" i="1" l="1"/>
  <c r="L51" i="1" s="1"/>
  <c r="Q51" i="1" s="1"/>
  <c r="L72" i="1"/>
  <c r="L74" i="1" s="1"/>
  <c r="Q76" i="1" s="1"/>
  <c r="L39" i="1"/>
  <c r="L76" i="1" l="1"/>
  <c r="L79" i="1" s="1"/>
  <c r="L41" i="1"/>
  <c r="S55" i="1" s="1"/>
  <c r="AC55" i="1" s="1"/>
  <c r="Q39" i="1"/>
  <c r="S71" i="1"/>
  <c r="AC71" i="1" s="1"/>
  <c r="L53" i="1" l="1"/>
  <c r="L78" i="1"/>
</calcChain>
</file>

<file path=xl/sharedStrings.xml><?xml version="1.0" encoding="utf-8"?>
<sst xmlns="http://schemas.openxmlformats.org/spreadsheetml/2006/main" count="727" uniqueCount="132">
  <si>
    <t>EBIT</t>
  </si>
  <si>
    <t>D&amp;A</t>
  </si>
  <si>
    <t>Revenue</t>
  </si>
  <si>
    <t>Costs</t>
  </si>
  <si>
    <t>P&amp;L</t>
  </si>
  <si>
    <t>EBT</t>
  </si>
  <si>
    <t>Net Income</t>
  </si>
  <si>
    <t>Balance Sheet</t>
  </si>
  <si>
    <t>Cash Flow</t>
  </si>
  <si>
    <t>% Debt</t>
  </si>
  <si>
    <t>% Interest Rate</t>
  </si>
  <si>
    <t>EBITDA/Interest</t>
  </si>
  <si>
    <t>FCFF/Interest</t>
  </si>
  <si>
    <t>Debt/EBITDA</t>
  </si>
  <si>
    <t>(+)</t>
  </si>
  <si>
    <t>(+/-)</t>
  </si>
  <si>
    <t>Change in Working Capital</t>
  </si>
  <si>
    <t>(-)</t>
  </si>
  <si>
    <t>Capital Expenditures</t>
  </si>
  <si>
    <t>Cash Flow From Operations</t>
  </si>
  <si>
    <t>Debt Payments</t>
  </si>
  <si>
    <t>Debt Issuance</t>
  </si>
  <si>
    <t>Equity Capital Increases</t>
  </si>
  <si>
    <t>Cash Flow From Financings</t>
  </si>
  <si>
    <t>Cash Flow Change</t>
  </si>
  <si>
    <t>FINANCIAL STATEMENTS VIEW</t>
  </si>
  <si>
    <t>CASH FLOW VALUATION VIEW</t>
  </si>
  <si>
    <t>Free Cash Flow to Firm ("FCFF")</t>
  </si>
  <si>
    <t>Interest Tax Shield (@ 30%)</t>
  </si>
  <si>
    <t>Control: Assets = Debt + Equity</t>
  </si>
  <si>
    <t>Free Cash Flow to Equity ("FCFE")</t>
  </si>
  <si>
    <t>DCF Valuation</t>
  </si>
  <si>
    <t>Key Indicators</t>
  </si>
  <si>
    <t>Discount Periods</t>
  </si>
  <si>
    <t>DCF - Firm Value</t>
  </si>
  <si>
    <t>% Debt / Assets</t>
  </si>
  <si>
    <t>Free Cash Flow to Firm ("FCFF") …...........................</t>
  </si>
  <si>
    <t>DCF - Equity Value</t>
  </si>
  <si>
    <t>Cost of Equity (Ke) …............................................................</t>
  </si>
  <si>
    <t>Target Debt % …............................................................</t>
  </si>
  <si>
    <t>WACC …............................................................</t>
  </si>
  <si>
    <t>Free Cash Flow to Equity ("FCFE") …...........................</t>
  </si>
  <si>
    <t>Reconciliation "FCFF" and "CF from Ops" in Cash Flow Statement</t>
  </si>
  <si>
    <t>Income Tax (30%)</t>
  </si>
  <si>
    <t>Income Tax on EBIT (30%)</t>
  </si>
  <si>
    <t>2) Equity Cash Flow Approach = FCFE Discounted @ Ke</t>
  </si>
  <si>
    <t>1) Firm Cash Flow Approach = FCFF Discounted @ WACC</t>
  </si>
  <si>
    <t>Terminal "Firm" Value ( g = 3% ) …......................................................................................................................................................................</t>
  </si>
  <si>
    <t>Terminal "Equity" Value (Terminal "Firm" Value - Terminal Net Debt) …......................................................................................................................................................................</t>
  </si>
  <si>
    <t>Beginning Cash Balance</t>
  </si>
  <si>
    <t>Ending Cash Balance</t>
  </si>
  <si>
    <r>
      <t xml:space="preserve">Equity </t>
    </r>
    <r>
      <rPr>
        <sz val="9"/>
        <color theme="1"/>
        <rFont val="Calibri"/>
        <family val="2"/>
        <scheme val="minor"/>
      </rPr>
      <t>(Capital + Accumulated Profits)</t>
    </r>
  </si>
  <si>
    <r>
      <t xml:space="preserve">Debt </t>
    </r>
    <r>
      <rPr>
        <sz val="9"/>
        <color theme="1"/>
        <rFont val="Calibri"/>
        <family val="2"/>
        <scheme val="minor"/>
      </rPr>
      <t>(100% Financial Debt)</t>
    </r>
  </si>
  <si>
    <r>
      <t xml:space="preserve">Assets </t>
    </r>
    <r>
      <rPr>
        <sz val="9"/>
        <color theme="1"/>
        <rFont val="Calibri"/>
        <family val="2"/>
        <scheme val="minor"/>
      </rPr>
      <t>(Cash + PP&amp;E + A/R + Inventory)</t>
    </r>
  </si>
  <si>
    <t>PV of FCFE + Terminal Equity Value</t>
  </si>
  <si>
    <t>PV of FCFF + Terminal Firm Value</t>
  </si>
  <si>
    <t>WACC Analysis</t>
  </si>
  <si>
    <t>% Kd</t>
  </si>
  <si>
    <t>FCFF</t>
  </si>
  <si>
    <t>FCFE</t>
  </si>
  <si>
    <t>@ WACC</t>
  </si>
  <si>
    <t>@ Ke</t>
  </si>
  <si>
    <t>control</t>
  </si>
  <si>
    <t>% Interest Rate (Kd)</t>
  </si>
  <si>
    <t xml:space="preserve">Free Cash Flow To Equity Approach (FCFE discounted @ Ke) -- DCF Equity Value </t>
  </si>
  <si>
    <t xml:space="preserve">Free Cash Flow To Firm Approach (FCFF discounted @ WACC) -- DCF Equity Value </t>
  </si>
  <si>
    <t>Comments</t>
  </si>
  <si>
    <t>Target % debt in capital structure</t>
  </si>
  <si>
    <t>Weighted average cost of capital</t>
  </si>
  <si>
    <t>Adjusted</t>
  </si>
  <si>
    <t>Beta Calculations</t>
  </si>
  <si>
    <r>
      <t>Beta Unlevered (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u) ….......................................................................................................</t>
    </r>
  </si>
  <si>
    <t>Target D/E ….......................................................................................................</t>
  </si>
  <si>
    <r>
      <t>Beta Levered (</t>
    </r>
    <r>
      <rPr>
        <b/>
        <sz val="10"/>
        <rFont val="Symbol"/>
        <family val="1"/>
        <charset val="2"/>
      </rPr>
      <t>b</t>
    </r>
    <r>
      <rPr>
        <b/>
        <sz val="10"/>
        <rFont val="Calibri"/>
        <family val="2"/>
      </rPr>
      <t>e) ….......................................................................................................</t>
    </r>
  </si>
  <si>
    <r>
      <t xml:space="preserve">ROA </t>
    </r>
    <r>
      <rPr>
        <sz val="9"/>
        <color theme="1"/>
        <rFont val="Calibri"/>
        <family val="2"/>
        <scheme val="minor"/>
      </rPr>
      <t>(EBIT / Assets)</t>
    </r>
  </si>
  <si>
    <r>
      <t xml:space="preserve">ROE </t>
    </r>
    <r>
      <rPr>
        <sz val="9"/>
        <color theme="1"/>
        <rFont val="Calibri"/>
        <family val="2"/>
        <scheme val="minor"/>
      </rPr>
      <t>(Net Income / Equity)</t>
    </r>
  </si>
  <si>
    <t>Terminal Value of Interest Tax Shields ( g = 3% ) …......................................................................................................................................................................</t>
  </si>
  <si>
    <t>PV of Int. Tax Shields + Term. Val.</t>
  </si>
  <si>
    <t>Adjusted Present Value ("APV")</t>
  </si>
  <si>
    <r>
      <t>Beta Levered (</t>
    </r>
    <r>
      <rPr>
        <sz val="10"/>
        <rFont val="Symbol"/>
        <family val="1"/>
        <charset val="2"/>
      </rPr>
      <t>b</t>
    </r>
    <r>
      <rPr>
        <sz val="10"/>
        <rFont val="Calibri"/>
        <family val="2"/>
      </rPr>
      <t>e) ….......................................................................................................</t>
    </r>
  </si>
  <si>
    <t>No debt scenario for APV analysis</t>
  </si>
  <si>
    <t>1) PV of FCFF @ Ke ("All equity" capital structure)</t>
  </si>
  <si>
    <t>2) PV of Interest Tax Shields @ Kd</t>
  </si>
  <si>
    <t>APV - Ke @ "All-Equity" Capital Structure</t>
  </si>
  <si>
    <t>Interest Expense</t>
  </si>
  <si>
    <t>Beta levered based on historical leverage</t>
  </si>
  <si>
    <t>Cost of Debt (Kd) After-tax …............................................................</t>
  </si>
  <si>
    <t>PV Int. Tax Shields + Term. Value</t>
  </si>
  <si>
    <t>PV of FCFF + Term. Value</t>
  </si>
  <si>
    <t>PV Total - Firm Value</t>
  </si>
  <si>
    <t>PV - Equity Value</t>
  </si>
  <si>
    <t>2020A</t>
  </si>
  <si>
    <t>2021P</t>
  </si>
  <si>
    <t>2022P</t>
  </si>
  <si>
    <t>2023P</t>
  </si>
  <si>
    <t>2024P</t>
  </si>
  <si>
    <t>Net Debt (Debt - Excess Cash)</t>
  </si>
  <si>
    <r>
      <t>b</t>
    </r>
    <r>
      <rPr>
        <sz val="10.5"/>
        <rFont val="Calibri"/>
        <family val="2"/>
      </rPr>
      <t xml:space="preserve">u = </t>
    </r>
    <r>
      <rPr>
        <sz val="10.5"/>
        <rFont val="Symbol"/>
        <family val="1"/>
        <charset val="2"/>
      </rPr>
      <t>b</t>
    </r>
    <r>
      <rPr>
        <sz val="10.5"/>
        <rFont val="Calibri"/>
        <family val="2"/>
      </rPr>
      <t>e / [1 + ( (1 - tax %) x D/E)]</t>
    </r>
  </si>
  <si>
    <r>
      <t>b</t>
    </r>
    <r>
      <rPr>
        <sz val="10.5"/>
        <rFont val="Calibri"/>
        <family val="2"/>
      </rPr>
      <t xml:space="preserve">e = </t>
    </r>
    <r>
      <rPr>
        <sz val="10.5"/>
        <rFont val="Symbol"/>
        <family val="1"/>
        <charset val="2"/>
      </rPr>
      <t>b</t>
    </r>
    <r>
      <rPr>
        <sz val="10.5"/>
        <rFont val="Calibri"/>
        <family val="2"/>
      </rPr>
      <t>u x [1 + ( (1 - tax %)  x D/E)]</t>
    </r>
  </si>
  <si>
    <t>Adjustment for changed leverage</t>
  </si>
  <si>
    <t>Interest Tax Shields …...............................................</t>
  </si>
  <si>
    <t>Free Cash Flow to Firm ("FCFF") ….....................................</t>
  </si>
  <si>
    <t>[Discounting ¨FCFF¨]</t>
  </si>
  <si>
    <t>[Discounting ¨FCFE¨]</t>
  </si>
  <si>
    <t>DCF FCFE/DCF FCFF</t>
  </si>
  <si>
    <t>Dividends to Shareholders</t>
  </si>
  <si>
    <t>Control: FCFF - Interest After-tax = CF Ops</t>
  </si>
  <si>
    <t>vs fcff</t>
  </si>
  <si>
    <t>vs fcfe</t>
  </si>
  <si>
    <t>con mayor % deuda, WACC se acerca al Kd, las tasas de descuento convergen</t>
  </si>
  <si>
    <t>% TV</t>
  </si>
  <si>
    <t xml:space="preserve"> (PV of FCFF @ Ke + PV Interest Tax Shields @ Kd)</t>
  </si>
  <si>
    <t>Motivos por los cuales el metodo de DCF FCFE se acerca al DCF FCFF:</t>
  </si>
  <si>
    <t>con mayor % deuda, la deuda terminal es mayor, reduciendo Terminal Equity Value</t>
  </si>
  <si>
    <t>Comments/Adjustments</t>
  </si>
  <si>
    <t>1) PV of FCFF @ Ke ("Adjusted equity" capital structure)</t>
  </si>
  <si>
    <t>APV % Debt Conservative Adjustment</t>
  </si>
  <si>
    <t>months coverage of Annual Cash Requirements (Cash for Working Capital)</t>
  </si>
  <si>
    <t>Alternative Terminal Equity Value calculation (FCFF)</t>
  </si>
  <si>
    <t>Terminal "Equity" Value ( g = 3%) …......................................................................................................................................................................</t>
  </si>
  <si>
    <r>
      <t xml:space="preserve">Terminal Net Debt (Debt - Excess Cash </t>
    </r>
    <r>
      <rPr>
        <i/>
        <sz val="10"/>
        <color theme="1"/>
        <rFont val="Calibri"/>
        <family val="2"/>
        <scheme val="minor"/>
      </rPr>
      <t>[Excludes Cash Reserve]</t>
    </r>
    <r>
      <rPr>
        <sz val="12"/>
        <color theme="1"/>
        <rFont val="Calibri"/>
        <family val="2"/>
        <scheme val="minor"/>
      </rPr>
      <t>)…......................................................................................................................................................................</t>
    </r>
  </si>
  <si>
    <t>Ke estimate with adjusted debt for APV</t>
  </si>
  <si>
    <t>Ke estimate @ no debt for APV</t>
  </si>
  <si>
    <t>Adjustment to Target % Debt</t>
  </si>
  <si>
    <t>Case C</t>
  </si>
  <si>
    <t>Discounted Cash Flow Methods -- Case C - Debt Increase for Capex Investment in Year 2 + Additional Debt Issuances Thereafter</t>
  </si>
  <si>
    <t>Discounted Cash Flow Methods -- Case A - Leverage reduction (Initial 50% % Debt)</t>
  </si>
  <si>
    <t>Discounted Cash Flow Methods -- Case B - Debt Increase for Capex Investment in Year 2</t>
  </si>
  <si>
    <t>Discounted Cash Flow Methods -- Case C - Debt Increase for Capex Investment in Year 2 + Additional Debt Issuances Thereafter with Adjusted APV</t>
  </si>
  <si>
    <t>Target % Debt ….......................................................................................................</t>
  </si>
  <si>
    <t>Adjusted APV - Ke Adjustment</t>
  </si>
  <si>
    <t>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</si>
</sst>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* #,##0.00_);_(* \(#,##0.00\);_(* &quot;-&quot;??_);_(@_)"/>
    <numFmt numFmtId="166" formatCode="&quot;$&quot;#,##0.0\ ;&quot;$&quot;\(#,##0.0\)"/>
    <numFmt numFmtId="167" formatCode="&quot;$&quot;#,##0\ ;&quot;$&quot;\(#,##0\)"/>
    <numFmt numFmtId="168" formatCode="_(* #,##0.0_);_(* \(#,##0.0\);_(* &quot;-&quot;??_);_(@_)"/>
    <numFmt numFmtId="169" formatCode="_(* #,##0.0000_);_(* \(#,##0.0000\);_(* &quot;-&quot;??_);_(@_)"/>
    <numFmt numFmtId="170" formatCode="0.0%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</font>
    <font>
      <sz val="12"/>
      <color rgb="FF0070C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0"/>
      <name val="Calibri"/>
      <family val="2"/>
    </font>
    <font>
      <sz val="10"/>
      <name val="Symbol"/>
      <family val="1"/>
      <charset val="2"/>
    </font>
    <font>
      <sz val="11"/>
      <name val="Calibri"/>
      <family val="2"/>
    </font>
    <font>
      <b/>
      <sz val="10"/>
      <name val="Calibri"/>
      <family val="2"/>
    </font>
    <font>
      <b/>
      <sz val="10"/>
      <name val="Symbol"/>
      <family val="1"/>
      <charset val="2"/>
    </font>
    <font>
      <b/>
      <sz val="12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name val="Calibri"/>
      <family val="2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Symbol"/>
      <family val="1"/>
      <charset val="2"/>
    </font>
    <font>
      <sz val="10.5"/>
      <name val="Calibri"/>
      <family val="2"/>
    </font>
    <font>
      <b/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i/>
      <sz val="12"/>
      <color rgb="FF0070C0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i/>
      <u val="singleAccounting"/>
      <sz val="12"/>
      <color theme="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28">
    <xf numFmtId="0" fontId="0" fillId="0" borderId="0" xfId="0"/>
    <xf numFmtId="166" fontId="3" fillId="0" borderId="0" xfId="3" applyNumberFormat="1" applyFont="1"/>
    <xf numFmtId="167" fontId="3" fillId="0" borderId="0" xfId="3" applyNumberFormat="1" applyFont="1"/>
    <xf numFmtId="0" fontId="5" fillId="0" borderId="0" xfId="0" applyFont="1"/>
    <xf numFmtId="164" fontId="6" fillId="0" borderId="0" xfId="0" applyNumberFormat="1" applyFont="1"/>
    <xf numFmtId="0" fontId="6" fillId="0" borderId="0" xfId="0" applyFont="1"/>
    <xf numFmtId="167" fontId="3" fillId="0" borderId="1" xfId="3" applyNumberFormat="1" applyFont="1" applyBorder="1"/>
    <xf numFmtId="9" fontId="6" fillId="0" borderId="0" xfId="2" applyFont="1"/>
    <xf numFmtId="168" fontId="6" fillId="0" borderId="0" xfId="1" applyNumberFormat="1" applyFont="1"/>
    <xf numFmtId="0" fontId="6" fillId="0" borderId="0" xfId="0" quotePrefix="1" applyFont="1"/>
    <xf numFmtId="0" fontId="7" fillId="0" borderId="0" xfId="0" applyFont="1"/>
    <xf numFmtId="166" fontId="4" fillId="0" borderId="0" xfId="3" applyNumberFormat="1" applyFont="1"/>
    <xf numFmtId="167" fontId="4" fillId="0" borderId="0" xfId="3" applyNumberFormat="1" applyFont="1"/>
    <xf numFmtId="167" fontId="4" fillId="0" borderId="2" xfId="3" applyNumberFormat="1" applyFont="1" applyBorder="1"/>
    <xf numFmtId="0" fontId="8" fillId="0" borderId="3" xfId="0" applyFont="1" applyBorder="1"/>
    <xf numFmtId="0" fontId="6" fillId="0" borderId="3" xfId="0" applyFont="1" applyBorder="1"/>
    <xf numFmtId="0" fontId="8" fillId="2" borderId="0" xfId="0" applyFont="1" applyFill="1" applyAlignment="1">
      <alignment horizontal="centerContinuous"/>
    </xf>
    <xf numFmtId="0" fontId="9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centerContinuous"/>
    </xf>
    <xf numFmtId="167" fontId="3" fillId="0" borderId="0" xfId="3" applyNumberFormat="1" applyFont="1" applyBorder="1"/>
    <xf numFmtId="167" fontId="6" fillId="0" borderId="0" xfId="0" applyNumberFormat="1" applyFont="1"/>
    <xf numFmtId="167" fontId="7" fillId="0" borderId="0" xfId="0" applyNumberFormat="1" applyFont="1"/>
    <xf numFmtId="0" fontId="6" fillId="0" borderId="0" xfId="0" applyFont="1" applyBorder="1"/>
    <xf numFmtId="167" fontId="4" fillId="0" borderId="0" xfId="3" applyNumberFormat="1" applyFont="1" applyBorder="1"/>
    <xf numFmtId="166" fontId="3" fillId="0" borderId="0" xfId="3" applyNumberFormat="1" applyFont="1" applyBorder="1"/>
    <xf numFmtId="164" fontId="6" fillId="0" borderId="0" xfId="0" applyNumberFormat="1" applyFont="1" applyBorder="1"/>
    <xf numFmtId="9" fontId="6" fillId="0" borderId="0" xfId="2" applyFont="1" applyBorder="1"/>
    <xf numFmtId="168" fontId="6" fillId="0" borderId="0" xfId="1" applyNumberFormat="1" applyFont="1" applyBorder="1"/>
    <xf numFmtId="0" fontId="11" fillId="0" borderId="0" xfId="0" applyFont="1"/>
    <xf numFmtId="0" fontId="12" fillId="3" borderId="0" xfId="0" applyFont="1" applyFill="1" applyAlignment="1">
      <alignment horizontal="centerContinuous"/>
    </xf>
    <xf numFmtId="0" fontId="13" fillId="3" borderId="0" xfId="0" applyFont="1" applyFill="1" applyAlignment="1">
      <alignment horizontal="centerContinuous"/>
    </xf>
    <xf numFmtId="0" fontId="14" fillId="3" borderId="0" xfId="0" applyFont="1" applyFill="1" applyAlignment="1">
      <alignment horizontal="centerContinuous"/>
    </xf>
    <xf numFmtId="169" fontId="6" fillId="0" borderId="0" xfId="1" applyNumberFormat="1" applyFont="1" applyBorder="1"/>
    <xf numFmtId="0" fontId="3" fillId="0" borderId="0" xfId="3" applyFont="1"/>
    <xf numFmtId="164" fontId="7" fillId="0" borderId="0" xfId="0" applyNumberFormat="1" applyFont="1"/>
    <xf numFmtId="0" fontId="11" fillId="0" borderId="0" xfId="0" applyFont="1" applyBorder="1"/>
    <xf numFmtId="0" fontId="16" fillId="0" borderId="0" xfId="0" applyFont="1"/>
    <xf numFmtId="0" fontId="15" fillId="0" borderId="0" xfId="0" applyFont="1"/>
    <xf numFmtId="165" fontId="17" fillId="0" borderId="0" xfId="1" applyFont="1"/>
    <xf numFmtId="167" fontId="17" fillId="0" borderId="0" xfId="3" applyNumberFormat="1" applyFont="1"/>
    <xf numFmtId="167" fontId="6" fillId="0" borderId="1" xfId="2" applyNumberFormat="1" applyFont="1" applyBorder="1"/>
    <xf numFmtId="0" fontId="18" fillId="4" borderId="0" xfId="0" applyFont="1" applyFill="1" applyBorder="1"/>
    <xf numFmtId="164" fontId="19" fillId="4" borderId="0" xfId="0" applyNumberFormat="1" applyFont="1" applyFill="1" applyBorder="1"/>
    <xf numFmtId="167" fontId="4" fillId="4" borderId="0" xfId="3" applyNumberFormat="1" applyFont="1" applyFill="1"/>
    <xf numFmtId="0" fontId="19" fillId="4" borderId="0" xfId="0" applyFont="1" applyFill="1"/>
    <xf numFmtId="167" fontId="3" fillId="4" borderId="1" xfId="3" applyNumberFormat="1" applyFont="1" applyFill="1" applyBorder="1"/>
    <xf numFmtId="164" fontId="19" fillId="4" borderId="0" xfId="0" applyNumberFormat="1" applyFont="1" applyFill="1"/>
    <xf numFmtId="164" fontId="18" fillId="4" borderId="0" xfId="0" applyNumberFormat="1" applyFont="1" applyFill="1"/>
    <xf numFmtId="0" fontId="7" fillId="4" borderId="0" xfId="0" applyFont="1" applyFill="1" applyBorder="1"/>
    <xf numFmtId="164" fontId="6" fillId="4" borderId="0" xfId="0" applyNumberFormat="1" applyFont="1" applyFill="1" applyBorder="1"/>
    <xf numFmtId="167" fontId="20" fillId="0" borderId="0" xfId="3" applyNumberFormat="1" applyFont="1"/>
    <xf numFmtId="9" fontId="21" fillId="0" borderId="0" xfId="2" applyFont="1"/>
    <xf numFmtId="164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9" fontId="21" fillId="0" borderId="0" xfId="2" applyFont="1" applyAlignment="1">
      <alignment horizontal="center"/>
    </xf>
    <xf numFmtId="164" fontId="10" fillId="0" borderId="0" xfId="0" quotePrefix="1" applyNumberFormat="1" applyFont="1" applyAlignment="1">
      <alignment horizontal="center"/>
    </xf>
    <xf numFmtId="164" fontId="6" fillId="0" borderId="5" xfId="0" applyNumberFormat="1" applyFont="1" applyBorder="1"/>
    <xf numFmtId="164" fontId="14" fillId="0" borderId="0" xfId="0" applyNumberFormat="1" applyFont="1"/>
    <xf numFmtId="165" fontId="22" fillId="0" borderId="0" xfId="1" applyFont="1"/>
    <xf numFmtId="0" fontId="22" fillId="0" borderId="0" xfId="0" applyFont="1"/>
    <xf numFmtId="0" fontId="7" fillId="0" borderId="4" xfId="0" applyFont="1" applyBorder="1" applyAlignment="1">
      <alignment horizontal="centerContinuous"/>
    </xf>
    <xf numFmtId="164" fontId="7" fillId="0" borderId="5" xfId="0" applyNumberFormat="1" applyFont="1" applyBorder="1" applyAlignment="1">
      <alignment horizontal="center"/>
    </xf>
    <xf numFmtId="164" fontId="23" fillId="3" borderId="0" xfId="0" applyNumberFormat="1" applyFont="1" applyFill="1" applyAlignment="1">
      <alignment horizontal="centerContinuous"/>
    </xf>
    <xf numFmtId="0" fontId="23" fillId="3" borderId="0" xfId="0" applyFont="1" applyFill="1" applyAlignment="1">
      <alignment horizontal="centerContinuous"/>
    </xf>
    <xf numFmtId="0" fontId="6" fillId="0" borderId="1" xfId="0" applyFont="1" applyBorder="1"/>
    <xf numFmtId="164" fontId="6" fillId="0" borderId="1" xfId="0" applyNumberFormat="1" applyFont="1" applyBorder="1"/>
    <xf numFmtId="0" fontId="24" fillId="0" borderId="0" xfId="4" applyFont="1" applyAlignment="1">
      <alignment vertical="center"/>
    </xf>
    <xf numFmtId="0" fontId="10" fillId="0" borderId="0" xfId="0" applyFont="1"/>
    <xf numFmtId="165" fontId="6" fillId="0" borderId="0" xfId="1" applyFont="1"/>
    <xf numFmtId="0" fontId="27" fillId="0" borderId="0" xfId="4" applyFont="1" applyAlignment="1">
      <alignment vertical="center"/>
    </xf>
    <xf numFmtId="169" fontId="21" fillId="0" borderId="0" xfId="1" applyNumberFormat="1" applyFont="1" applyBorder="1"/>
    <xf numFmtId="0" fontId="6" fillId="0" borderId="0" xfId="0" quotePrefix="1" applyFont="1" applyBorder="1"/>
    <xf numFmtId="0" fontId="4" fillId="0" borderId="0" xfId="3" applyFont="1" applyBorder="1"/>
    <xf numFmtId="9" fontId="6" fillId="0" borderId="0" xfId="2" applyNumberFormat="1" applyFont="1"/>
    <xf numFmtId="170" fontId="7" fillId="0" borderId="0" xfId="2" applyNumberFormat="1" applyFont="1"/>
    <xf numFmtId="167" fontId="21" fillId="0" borderId="0" xfId="2" applyNumberFormat="1" applyFont="1" applyBorder="1"/>
    <xf numFmtId="0" fontId="21" fillId="0" borderId="0" xfId="0" applyFont="1"/>
    <xf numFmtId="0" fontId="7" fillId="0" borderId="0" xfId="0" applyFont="1" applyBorder="1"/>
    <xf numFmtId="164" fontId="7" fillId="0" borderId="0" xfId="0" applyNumberFormat="1" applyFont="1" applyBorder="1"/>
    <xf numFmtId="164" fontId="30" fillId="0" borderId="0" xfId="0" applyNumberFormat="1" applyFont="1"/>
    <xf numFmtId="170" fontId="6" fillId="0" borderId="0" xfId="2" applyNumberFormat="1" applyFont="1"/>
    <xf numFmtId="170" fontId="21" fillId="0" borderId="0" xfId="2" applyNumberFormat="1" applyFont="1"/>
    <xf numFmtId="165" fontId="6" fillId="0" borderId="0" xfId="0" applyNumberFormat="1" applyFont="1"/>
    <xf numFmtId="165" fontId="6" fillId="0" borderId="0" xfId="1" applyNumberFormat="1" applyFont="1"/>
    <xf numFmtId="170" fontId="21" fillId="0" borderId="0" xfId="2" applyNumberFormat="1" applyFont="1" applyFill="1"/>
    <xf numFmtId="9" fontId="21" fillId="5" borderId="0" xfId="0" applyNumberFormat="1" applyFont="1" applyFill="1"/>
    <xf numFmtId="165" fontId="29" fillId="0" borderId="0" xfId="1" applyNumberFormat="1" applyFont="1"/>
    <xf numFmtId="165" fontId="19" fillId="0" borderId="0" xfId="0" applyNumberFormat="1" applyFont="1"/>
    <xf numFmtId="0" fontId="31" fillId="0" borderId="1" xfId="3" applyFont="1" applyBorder="1" applyAlignment="1">
      <alignment horizontal="right"/>
    </xf>
    <xf numFmtId="0" fontId="4" fillId="6" borderId="1" xfId="3" applyFont="1" applyFill="1" applyBorder="1" applyAlignment="1">
      <alignment horizontal="center"/>
    </xf>
    <xf numFmtId="0" fontId="26" fillId="0" borderId="0" xfId="3" applyFont="1"/>
    <xf numFmtId="0" fontId="33" fillId="0" borderId="0" xfId="0" applyFont="1"/>
    <xf numFmtId="164" fontId="33" fillId="0" borderId="0" xfId="0" applyNumberFormat="1" applyFont="1"/>
    <xf numFmtId="0" fontId="34" fillId="0" borderId="0" xfId="4" applyFont="1" applyAlignment="1">
      <alignment vertical="center"/>
    </xf>
    <xf numFmtId="170" fontId="18" fillId="0" borderId="0" xfId="2" applyNumberFormat="1" applyFont="1"/>
    <xf numFmtId="168" fontId="32" fillId="0" borderId="0" xfId="1" applyNumberFormat="1" applyFont="1" applyBorder="1"/>
    <xf numFmtId="169" fontId="19" fillId="0" borderId="0" xfId="1" applyNumberFormat="1" applyFont="1" applyBorder="1"/>
    <xf numFmtId="0" fontId="37" fillId="0" borderId="0" xfId="0" applyFont="1" applyBorder="1"/>
    <xf numFmtId="0" fontId="37" fillId="0" borderId="0" xfId="0" applyFont="1"/>
    <xf numFmtId="9" fontId="19" fillId="5" borderId="0" xfId="0" applyNumberFormat="1" applyFont="1" applyFill="1"/>
    <xf numFmtId="9" fontId="3" fillId="0" borderId="0" xfId="2" applyFont="1"/>
    <xf numFmtId="9" fontId="4" fillId="0" borderId="0" xfId="2" applyFont="1"/>
    <xf numFmtId="165" fontId="18" fillId="0" borderId="0" xfId="1" applyNumberFormat="1" applyFont="1"/>
    <xf numFmtId="0" fontId="5" fillId="0" borderId="0" xfId="0" applyFont="1" applyAlignment="1">
      <alignment horizontal="center"/>
    </xf>
    <xf numFmtId="164" fontId="38" fillId="0" borderId="0" xfId="0" applyNumberFormat="1" applyFont="1" applyAlignment="1">
      <alignment horizontal="center"/>
    </xf>
    <xf numFmtId="170" fontId="22" fillId="0" borderId="0" xfId="2" applyNumberFormat="1" applyFont="1"/>
    <xf numFmtId="170" fontId="39" fillId="0" borderId="0" xfId="2" applyNumberFormat="1" applyFont="1" applyFill="1"/>
    <xf numFmtId="9" fontId="22" fillId="0" borderId="0" xfId="0" applyNumberFormat="1" applyFont="1"/>
    <xf numFmtId="170" fontId="36" fillId="0" borderId="0" xfId="2" applyNumberFormat="1" applyFont="1"/>
    <xf numFmtId="164" fontId="22" fillId="0" borderId="0" xfId="0" applyNumberFormat="1" applyFont="1"/>
    <xf numFmtId="165" fontId="22" fillId="0" borderId="0" xfId="1" applyNumberFormat="1" applyFont="1"/>
    <xf numFmtId="9" fontId="22" fillId="0" borderId="0" xfId="2" applyFont="1"/>
    <xf numFmtId="165" fontId="40" fillId="0" borderId="0" xfId="0" applyNumberFormat="1" applyFont="1"/>
    <xf numFmtId="165" fontId="22" fillId="0" borderId="0" xfId="0" applyNumberFormat="1" applyFont="1"/>
    <xf numFmtId="170" fontId="41" fillId="0" borderId="0" xfId="2" applyNumberFormat="1" applyFont="1"/>
    <xf numFmtId="9" fontId="40" fillId="0" borderId="0" xfId="0" applyNumberFormat="1" applyFont="1" applyFill="1"/>
    <xf numFmtId="165" fontId="7" fillId="0" borderId="0" xfId="1" applyNumberFormat="1" applyFont="1"/>
    <xf numFmtId="165" fontId="36" fillId="0" borderId="0" xfId="1" applyNumberFormat="1" applyFont="1"/>
    <xf numFmtId="0" fontId="42" fillId="0" borderId="0" xfId="0" applyFont="1"/>
    <xf numFmtId="9" fontId="22" fillId="0" borderId="0" xfId="2" applyFont="1" applyBorder="1" applyAlignment="1">
      <alignment horizontal="center"/>
    </xf>
    <xf numFmtId="168" fontId="43" fillId="0" borderId="0" xfId="1" applyNumberFormat="1" applyFont="1" applyBorder="1" applyAlignment="1">
      <alignment horizontal="center"/>
    </xf>
    <xf numFmtId="0" fontId="44" fillId="0" borderId="0" xfId="0" applyFont="1"/>
    <xf numFmtId="164" fontId="21" fillId="0" borderId="0" xfId="0" applyNumberFormat="1" applyFont="1"/>
    <xf numFmtId="164" fontId="45" fillId="0" borderId="0" xfId="0" applyNumberFormat="1" applyFont="1"/>
    <xf numFmtId="9" fontId="4" fillId="0" borderId="0" xfId="2" applyFont="1" applyBorder="1"/>
    <xf numFmtId="9" fontId="19" fillId="0" borderId="0" xfId="2" applyFont="1"/>
    <xf numFmtId="9" fontId="6" fillId="0" borderId="0" xfId="0" applyNumberFormat="1" applyFont="1"/>
  </cellXfs>
  <cellStyles count="5">
    <cellStyle name="Millares" xfId="1" builtinId="3"/>
    <cellStyle name="Normal" xfId="0" builtinId="0"/>
    <cellStyle name="Normal 2" xfId="3" xr:uid="{60DD34DA-86D5-48D5-A3A1-3E4DEA6389AA}"/>
    <cellStyle name="Normal_Beta_empresas privadas_30 jun-1 jul 2011" xfId="4" xr:uid="{0872955D-7B60-45C8-B824-DD75188AE07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3557-3B5F-4C5D-9EE7-DB68166D875A}">
  <dimension ref="A1:AN121"/>
  <sheetViews>
    <sheetView showGridLines="0" topLeftCell="A28" zoomScale="87" zoomScaleNormal="87" workbookViewId="0">
      <selection activeCell="I28" sqref="I28"/>
    </sheetView>
  </sheetViews>
  <sheetFormatPr baseColWidth="10" defaultRowHeight="15.5" x14ac:dyDescent="0.35"/>
  <cols>
    <col min="1" max="1" width="3.08984375" style="5" customWidth="1"/>
    <col min="2" max="2" width="4.453125" style="5" customWidth="1"/>
    <col min="3" max="3" width="24" style="5" customWidth="1"/>
    <col min="4" max="8" width="9.54296875" style="5" customWidth="1"/>
    <col min="9" max="9" width="10.90625" style="5"/>
    <col min="10" max="10" width="4.453125" style="5" customWidth="1"/>
    <col min="11" max="11" width="27.1796875" style="5" customWidth="1"/>
    <col min="12" max="17" width="9.54296875" style="5" customWidth="1"/>
    <col min="18" max="18" width="9.08984375" style="5" bestFit="1" customWidth="1"/>
    <col min="19" max="19" width="8.81640625" style="5" customWidth="1"/>
    <col min="20" max="20" width="10" style="5" customWidth="1"/>
    <col min="21" max="25" width="8.81640625" style="5" customWidth="1"/>
    <col min="26" max="26" width="9.26953125" style="5" customWidth="1"/>
    <col min="27" max="28" width="8.81640625" style="5" customWidth="1"/>
    <col min="29" max="16384" width="10.90625" style="5"/>
  </cols>
  <sheetData>
    <row r="1" spans="1:18" ht="19" thickBot="1" x14ac:dyDescent="0.5">
      <c r="A1" s="14" t="s">
        <v>126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3" spans="1:18" ht="18.5" x14ac:dyDescent="0.45">
      <c r="B3" s="16" t="s">
        <v>25</v>
      </c>
      <c r="C3" s="17"/>
      <c r="D3" s="17"/>
      <c r="E3" s="17"/>
      <c r="F3" s="17"/>
      <c r="G3" s="17"/>
      <c r="H3" s="18"/>
      <c r="J3" s="29" t="s">
        <v>26</v>
      </c>
      <c r="K3" s="30"/>
      <c r="L3" s="30"/>
      <c r="M3" s="30"/>
      <c r="N3" s="30"/>
      <c r="O3" s="30"/>
      <c r="P3" s="31"/>
    </row>
    <row r="4" spans="1:18" ht="6" customHeight="1" x14ac:dyDescent="0.35"/>
    <row r="5" spans="1:18" ht="14" customHeight="1" x14ac:dyDescent="0.4">
      <c r="B5" s="28" t="s">
        <v>4</v>
      </c>
      <c r="C5" s="4"/>
      <c r="D5" s="89" t="s">
        <v>91</v>
      </c>
      <c r="E5" s="90" t="s">
        <v>92</v>
      </c>
      <c r="F5" s="90" t="s">
        <v>93</v>
      </c>
      <c r="G5" s="90" t="s">
        <v>94</v>
      </c>
      <c r="H5" s="90" t="s">
        <v>95</v>
      </c>
      <c r="I5" s="4"/>
      <c r="J5" s="28" t="s">
        <v>27</v>
      </c>
      <c r="K5" s="4"/>
      <c r="L5" s="89" t="s">
        <v>91</v>
      </c>
      <c r="M5" s="90" t="s">
        <v>92</v>
      </c>
      <c r="N5" s="90" t="s">
        <v>93</v>
      </c>
      <c r="O5" s="90" t="s">
        <v>94</v>
      </c>
      <c r="P5" s="90" t="s">
        <v>95</v>
      </c>
      <c r="Q5" s="73"/>
      <c r="R5" s="4"/>
    </row>
    <row r="6" spans="1:18" ht="14" customHeight="1" x14ac:dyDescent="0.35">
      <c r="B6" s="5" t="s">
        <v>2</v>
      </c>
      <c r="C6" s="1"/>
      <c r="D6" s="2">
        <v>10000</v>
      </c>
      <c r="E6" s="2">
        <f>D6+1000</f>
        <v>11000</v>
      </c>
      <c r="F6" s="2">
        <f>E6+1000</f>
        <v>12000</v>
      </c>
      <c r="G6" s="2">
        <f>F6+1000</f>
        <v>13000</v>
      </c>
      <c r="H6" s="2">
        <f>G6+1000</f>
        <v>14000</v>
      </c>
      <c r="I6" s="2"/>
      <c r="J6" s="5" t="s">
        <v>0</v>
      </c>
      <c r="K6" s="1"/>
      <c r="L6" s="2">
        <f>D8</f>
        <v>5000</v>
      </c>
      <c r="M6" s="2">
        <f>E8</f>
        <v>5500</v>
      </c>
      <c r="N6" s="2">
        <f>F8</f>
        <v>6000</v>
      </c>
      <c r="O6" s="2">
        <f>G8</f>
        <v>6500</v>
      </c>
      <c r="P6" s="2">
        <f>H8</f>
        <v>7000</v>
      </c>
      <c r="Q6" s="2"/>
      <c r="R6" s="4"/>
    </row>
    <row r="7" spans="1:18" ht="14" customHeight="1" x14ac:dyDescent="0.35">
      <c r="B7" s="5" t="s">
        <v>3</v>
      </c>
      <c r="C7" s="1"/>
      <c r="D7" s="6">
        <f>-D6*0.5</f>
        <v>-5000</v>
      </c>
      <c r="E7" s="6">
        <f>-E6*0.5</f>
        <v>-5500</v>
      </c>
      <c r="F7" s="6">
        <f>-F6*0.5</f>
        <v>-6000</v>
      </c>
      <c r="G7" s="6">
        <f>-G6*0.5</f>
        <v>-6500</v>
      </c>
      <c r="H7" s="6">
        <f>-H6*0.5</f>
        <v>-7000</v>
      </c>
      <c r="I7" s="2"/>
      <c r="J7" s="5" t="s">
        <v>17</v>
      </c>
      <c r="K7" s="5" t="s">
        <v>44</v>
      </c>
      <c r="L7" s="19">
        <f>-L6*0.3</f>
        <v>-1500</v>
      </c>
      <c r="M7" s="19">
        <f>-M6*0.3</f>
        <v>-1650</v>
      </c>
      <c r="N7" s="19">
        <f>-N6*0.3</f>
        <v>-1800</v>
      </c>
      <c r="O7" s="19">
        <f>-O6*0.3</f>
        <v>-1950</v>
      </c>
      <c r="P7" s="19">
        <f>-P6*0.3</f>
        <v>-2100</v>
      </c>
      <c r="Q7" s="19"/>
      <c r="R7" s="4"/>
    </row>
    <row r="8" spans="1:18" ht="14" customHeight="1" x14ac:dyDescent="0.35">
      <c r="B8" s="5" t="s">
        <v>0</v>
      </c>
      <c r="C8" s="1"/>
      <c r="D8" s="2">
        <f>D6+D7</f>
        <v>5000</v>
      </c>
      <c r="E8" s="2">
        <f>E6+E7</f>
        <v>5500</v>
      </c>
      <c r="F8" s="2">
        <f>F6+F7</f>
        <v>6000</v>
      </c>
      <c r="G8" s="2">
        <f>G6+G7</f>
        <v>6500</v>
      </c>
      <c r="H8" s="2">
        <f>H6+H7</f>
        <v>7000</v>
      </c>
      <c r="I8" s="2"/>
      <c r="J8" s="9" t="s">
        <v>14</v>
      </c>
      <c r="K8" s="5" t="s">
        <v>1</v>
      </c>
      <c r="L8" s="2">
        <f t="shared" ref="L8:P10" si="0">D22</f>
        <v>1000</v>
      </c>
      <c r="M8" s="2">
        <f t="shared" si="0"/>
        <v>1100</v>
      </c>
      <c r="N8" s="2">
        <f t="shared" si="0"/>
        <v>1200</v>
      </c>
      <c r="O8" s="2">
        <f t="shared" si="0"/>
        <v>1300</v>
      </c>
      <c r="P8" s="2">
        <f t="shared" si="0"/>
        <v>1400</v>
      </c>
      <c r="Q8" s="2"/>
      <c r="R8" s="4"/>
    </row>
    <row r="9" spans="1:18" ht="14" customHeight="1" x14ac:dyDescent="0.35">
      <c r="B9" s="5" t="s">
        <v>84</v>
      </c>
      <c r="C9" s="1"/>
      <c r="D9" s="6">
        <f>-D16*D37</f>
        <v>-1500</v>
      </c>
      <c r="E9" s="6">
        <f>-E16*E37</f>
        <v>-1500</v>
      </c>
      <c r="F9" s="6">
        <f>-F16*F37</f>
        <v>-1500</v>
      </c>
      <c r="G9" s="6">
        <f>-G16*G37</f>
        <v>-1500</v>
      </c>
      <c r="H9" s="6">
        <f>-H16*H37</f>
        <v>-1500</v>
      </c>
      <c r="I9" s="2"/>
      <c r="J9" s="5" t="s">
        <v>17</v>
      </c>
      <c r="K9" s="1" t="s">
        <v>18</v>
      </c>
      <c r="L9" s="2">
        <f t="shared" si="0"/>
        <v>-1500</v>
      </c>
      <c r="M9" s="2">
        <f t="shared" si="0"/>
        <v>-1600</v>
      </c>
      <c r="N9" s="2">
        <f t="shared" si="0"/>
        <v>-1700</v>
      </c>
      <c r="O9" s="2">
        <f t="shared" si="0"/>
        <v>-1800</v>
      </c>
      <c r="P9" s="2">
        <f t="shared" si="0"/>
        <v>-1900</v>
      </c>
      <c r="Q9" s="2"/>
      <c r="R9" s="4"/>
    </row>
    <row r="10" spans="1:18" ht="14" customHeight="1" x14ac:dyDescent="0.35">
      <c r="B10" s="5" t="s">
        <v>5</v>
      </c>
      <c r="C10" s="1"/>
      <c r="D10" s="2">
        <f>D8+D9</f>
        <v>3500</v>
      </c>
      <c r="E10" s="2">
        <f>E8+E9</f>
        <v>4000</v>
      </c>
      <c r="F10" s="2">
        <f>F8+F9</f>
        <v>4500</v>
      </c>
      <c r="G10" s="2">
        <f>G8+G9</f>
        <v>5000</v>
      </c>
      <c r="H10" s="2">
        <f>H8+H9</f>
        <v>5500</v>
      </c>
      <c r="I10" s="2"/>
      <c r="J10" s="5" t="s">
        <v>15</v>
      </c>
      <c r="K10" s="1" t="s">
        <v>16</v>
      </c>
      <c r="L10" s="6">
        <f t="shared" si="0"/>
        <v>-500</v>
      </c>
      <c r="M10" s="6">
        <f t="shared" si="0"/>
        <v>-550</v>
      </c>
      <c r="N10" s="6">
        <f t="shared" si="0"/>
        <v>-600</v>
      </c>
      <c r="O10" s="6">
        <f t="shared" si="0"/>
        <v>-650</v>
      </c>
      <c r="P10" s="6">
        <f t="shared" si="0"/>
        <v>-700</v>
      </c>
      <c r="Q10" s="19"/>
      <c r="R10" s="4"/>
    </row>
    <row r="11" spans="1:18" ht="14" customHeight="1" x14ac:dyDescent="0.35">
      <c r="B11" s="5" t="s">
        <v>43</v>
      </c>
      <c r="C11" s="1"/>
      <c r="D11" s="6">
        <f>-D10*0.3</f>
        <v>-1050</v>
      </c>
      <c r="E11" s="6">
        <f>-E10*0.3</f>
        <v>-1200</v>
      </c>
      <c r="F11" s="6">
        <f>-F10*0.3</f>
        <v>-1350</v>
      </c>
      <c r="G11" s="6">
        <f>-G10*0.3</f>
        <v>-1500</v>
      </c>
      <c r="H11" s="6">
        <f>-H10*0.3</f>
        <v>-1650</v>
      </c>
      <c r="I11" s="2"/>
      <c r="J11" s="10" t="s">
        <v>27</v>
      </c>
      <c r="K11" s="1"/>
      <c r="L11" s="12">
        <f>SUM(L6:L10)</f>
        <v>2500</v>
      </c>
      <c r="M11" s="12">
        <f>SUM(M6:M10)</f>
        <v>2800</v>
      </c>
      <c r="N11" s="12">
        <f>SUM(N6:N10)</f>
        <v>3100</v>
      </c>
      <c r="O11" s="12">
        <f>SUM(O6:O10)</f>
        <v>3400</v>
      </c>
      <c r="P11" s="12">
        <f>SUM(P6:P10)</f>
        <v>3700</v>
      </c>
      <c r="Q11" s="12"/>
      <c r="R11" s="4"/>
    </row>
    <row r="12" spans="1:18" ht="14" customHeight="1" x14ac:dyDescent="0.35">
      <c r="B12" s="10" t="s">
        <v>6</v>
      </c>
      <c r="C12" s="11"/>
      <c r="D12" s="12">
        <f>D10+D11</f>
        <v>2450</v>
      </c>
      <c r="E12" s="12">
        <f>E10+E11</f>
        <v>2800</v>
      </c>
      <c r="F12" s="12">
        <f>F10+F11</f>
        <v>3150</v>
      </c>
      <c r="G12" s="12">
        <f>G10+G11</f>
        <v>3500</v>
      </c>
      <c r="H12" s="12">
        <f>H10+H11</f>
        <v>3850</v>
      </c>
      <c r="I12" s="2"/>
      <c r="J12" s="10"/>
      <c r="K12" s="11"/>
      <c r="L12" s="102">
        <f>+L11/D6</f>
        <v>0.25</v>
      </c>
      <c r="M12" s="102">
        <f>+M11/E6</f>
        <v>0.25454545454545452</v>
      </c>
      <c r="N12" s="102">
        <f>+N11/F6</f>
        <v>0.25833333333333336</v>
      </c>
      <c r="O12" s="102">
        <f>+O11/G6</f>
        <v>0.26153846153846155</v>
      </c>
      <c r="P12" s="102">
        <f>+P11/H6</f>
        <v>0.26428571428571429</v>
      </c>
      <c r="Q12" s="12"/>
      <c r="R12" s="4"/>
    </row>
    <row r="13" spans="1:18" ht="14" customHeight="1" x14ac:dyDescent="0.35">
      <c r="C13" s="1"/>
      <c r="D13" s="2"/>
      <c r="E13" s="2"/>
      <c r="F13" s="2"/>
      <c r="G13" s="2"/>
      <c r="H13" s="2"/>
      <c r="I13" s="2"/>
      <c r="J13" s="3" t="s">
        <v>42</v>
      </c>
      <c r="K13" s="1"/>
      <c r="L13" s="2"/>
      <c r="M13" s="2"/>
      <c r="N13" s="2"/>
      <c r="O13" s="2"/>
      <c r="P13" s="2"/>
      <c r="Q13" s="2"/>
      <c r="R13" s="4"/>
    </row>
    <row r="14" spans="1:18" ht="14" customHeight="1" x14ac:dyDescent="0.4">
      <c r="B14" s="28" t="s">
        <v>7</v>
      </c>
      <c r="C14" s="1"/>
      <c r="D14" s="2"/>
      <c r="E14" s="2"/>
      <c r="F14" s="2"/>
      <c r="G14" s="2"/>
      <c r="H14" s="2"/>
      <c r="I14" s="2"/>
      <c r="J14" s="5" t="s">
        <v>27</v>
      </c>
      <c r="K14" s="1"/>
      <c r="L14" s="2">
        <f>L11</f>
        <v>2500</v>
      </c>
      <c r="M14" s="2">
        <f>M11</f>
        <v>2800</v>
      </c>
      <c r="N14" s="2">
        <f>N11</f>
        <v>3100</v>
      </c>
      <c r="O14" s="2">
        <f>O11</f>
        <v>3400</v>
      </c>
      <c r="P14" s="2">
        <f>P11</f>
        <v>3700</v>
      </c>
      <c r="Q14" s="2"/>
      <c r="R14" s="4"/>
    </row>
    <row r="15" spans="1:18" ht="14" customHeight="1" x14ac:dyDescent="0.35">
      <c r="B15" s="5" t="s">
        <v>53</v>
      </c>
      <c r="C15" s="1"/>
      <c r="D15" s="2">
        <f>D8/D38</f>
        <v>33333.333333333336</v>
      </c>
      <c r="E15" s="2">
        <f>D15+E31-E23-E22-E24</f>
        <v>36133.333333333336</v>
      </c>
      <c r="F15" s="2">
        <f>E15+F31-F23-F22-F24</f>
        <v>39283.333333333336</v>
      </c>
      <c r="G15" s="2">
        <f>F15+G31-G23-G22-G24</f>
        <v>42783.333333333336</v>
      </c>
      <c r="H15" s="2">
        <f>G15+H31-H23-H22-H24</f>
        <v>46633.333333333336</v>
      </c>
      <c r="I15" s="2"/>
      <c r="J15" s="5" t="s">
        <v>17</v>
      </c>
      <c r="K15" s="5" t="s">
        <v>84</v>
      </c>
      <c r="L15" s="2">
        <f>D9</f>
        <v>-1500</v>
      </c>
      <c r="M15" s="2">
        <f>E9</f>
        <v>-1500</v>
      </c>
      <c r="N15" s="2">
        <f>F9</f>
        <v>-1500</v>
      </c>
      <c r="O15" s="2">
        <f>G9</f>
        <v>-1500</v>
      </c>
      <c r="P15" s="2">
        <f>H9</f>
        <v>-1500</v>
      </c>
      <c r="Q15" s="2"/>
      <c r="R15" s="4"/>
    </row>
    <row r="16" spans="1:18" ht="14" customHeight="1" x14ac:dyDescent="0.35">
      <c r="B16" s="5" t="s">
        <v>52</v>
      </c>
      <c r="D16" s="2">
        <f>D15*D36</f>
        <v>16666.666666666668</v>
      </c>
      <c r="E16" s="2">
        <f>D16+E26+E27</f>
        <v>16666.666666666668</v>
      </c>
      <c r="F16" s="2">
        <f>E16+F26+F27</f>
        <v>16666.666666666668</v>
      </c>
      <c r="G16" s="2">
        <f>F16+G26+G27</f>
        <v>16666.666666666668</v>
      </c>
      <c r="H16" s="2">
        <f>G16+H26+H27</f>
        <v>16666.666666666668</v>
      </c>
      <c r="I16" s="2"/>
      <c r="J16" s="9" t="s">
        <v>14</v>
      </c>
      <c r="K16" s="5" t="s">
        <v>28</v>
      </c>
      <c r="L16" s="6">
        <f>-L15*0.3</f>
        <v>450</v>
      </c>
      <c r="M16" s="6">
        <f>-M15*0.3</f>
        <v>450</v>
      </c>
      <c r="N16" s="6">
        <f>-N15*0.3</f>
        <v>450</v>
      </c>
      <c r="O16" s="6">
        <f>-O15*0.3</f>
        <v>450</v>
      </c>
      <c r="P16" s="6">
        <f>-P15*0.3</f>
        <v>450</v>
      </c>
      <c r="Q16" s="19"/>
      <c r="R16" s="4"/>
    </row>
    <row r="17" spans="2:18" ht="14" customHeight="1" x14ac:dyDescent="0.35">
      <c r="B17" s="5" t="s">
        <v>51</v>
      </c>
      <c r="D17" s="2">
        <f>D15-D16</f>
        <v>16666.666666666668</v>
      </c>
      <c r="E17" s="2">
        <f>D17+E12+E28+E29</f>
        <v>19466.666666666668</v>
      </c>
      <c r="F17" s="2">
        <f>E17+F12+F28+F29</f>
        <v>22616.666666666668</v>
      </c>
      <c r="G17" s="2">
        <f>F17+G12+G28+G29</f>
        <v>26116.666666666668</v>
      </c>
      <c r="H17" s="2">
        <f>G17+H12+H28+H29</f>
        <v>29966.666666666668</v>
      </c>
      <c r="I17" s="2"/>
      <c r="J17" s="5" t="s">
        <v>19</v>
      </c>
      <c r="L17" s="2">
        <f>SUM(L14:L16)</f>
        <v>1450</v>
      </c>
      <c r="M17" s="2">
        <f>SUM(M14:M16)</f>
        <v>1750</v>
      </c>
      <c r="N17" s="2">
        <f>SUM(N14:N16)</f>
        <v>2050</v>
      </c>
      <c r="O17" s="2">
        <f>SUM(O14:O16)</f>
        <v>2350</v>
      </c>
      <c r="P17" s="2">
        <f>SUM(P14:P16)</f>
        <v>2650</v>
      </c>
      <c r="Q17" s="2"/>
      <c r="R17" s="4"/>
    </row>
    <row r="18" spans="2:18" ht="14" customHeight="1" x14ac:dyDescent="0.35">
      <c r="B18" s="36" t="s">
        <v>29</v>
      </c>
      <c r="C18" s="37"/>
      <c r="D18" s="38">
        <f>D16+D17-D15</f>
        <v>0</v>
      </c>
      <c r="E18" s="38">
        <f>E16+E17-E15</f>
        <v>0</v>
      </c>
      <c r="F18" s="38">
        <f>F16+F17-F15</f>
        <v>0</v>
      </c>
      <c r="G18" s="38">
        <f>G16+G17-G15</f>
        <v>0</v>
      </c>
      <c r="H18" s="38">
        <f>H16+H17-H15</f>
        <v>0</v>
      </c>
      <c r="I18" s="39"/>
      <c r="J18" s="36" t="s">
        <v>106</v>
      </c>
      <c r="K18" s="37"/>
      <c r="L18" s="38">
        <f>L17-D25</f>
        <v>0</v>
      </c>
      <c r="M18" s="38">
        <f>M17-E25</f>
        <v>0</v>
      </c>
      <c r="N18" s="38">
        <f>N17-F25</f>
        <v>0</v>
      </c>
      <c r="O18" s="38">
        <f>O17-G25</f>
        <v>0</v>
      </c>
      <c r="P18" s="38">
        <f>P17-H25</f>
        <v>0</v>
      </c>
      <c r="Q18" s="38"/>
      <c r="R18" s="4"/>
    </row>
    <row r="19" spans="2:18" ht="14" customHeight="1" x14ac:dyDescent="0.35">
      <c r="D19" s="2"/>
      <c r="E19" s="2"/>
      <c r="F19" s="2"/>
      <c r="G19" s="2"/>
      <c r="H19" s="2"/>
      <c r="I19" s="2"/>
      <c r="L19" s="2"/>
      <c r="M19" s="2"/>
      <c r="N19" s="2"/>
      <c r="O19" s="2"/>
      <c r="P19" s="2"/>
      <c r="Q19" s="2"/>
      <c r="R19" s="4"/>
    </row>
    <row r="20" spans="2:18" ht="14" customHeight="1" x14ac:dyDescent="0.4">
      <c r="B20" s="28" t="s">
        <v>8</v>
      </c>
      <c r="I20" s="2"/>
      <c r="J20" s="28" t="s">
        <v>30</v>
      </c>
      <c r="L20" s="2"/>
      <c r="M20" s="2"/>
      <c r="N20" s="2"/>
      <c r="O20" s="2"/>
      <c r="P20" s="2"/>
      <c r="Q20" s="2"/>
      <c r="R20" s="4"/>
    </row>
    <row r="21" spans="2:18" ht="14" customHeight="1" x14ac:dyDescent="0.35">
      <c r="B21" s="5" t="s">
        <v>6</v>
      </c>
      <c r="D21" s="2">
        <f>D12</f>
        <v>2450</v>
      </c>
      <c r="E21" s="2">
        <f>E12</f>
        <v>2800</v>
      </c>
      <c r="F21" s="2">
        <f>F12</f>
        <v>3150</v>
      </c>
      <c r="G21" s="2">
        <f>G12</f>
        <v>3500</v>
      </c>
      <c r="H21" s="2">
        <f>H12</f>
        <v>3850</v>
      </c>
      <c r="I21" s="2"/>
      <c r="J21" s="5" t="s">
        <v>27</v>
      </c>
      <c r="L21" s="2">
        <f>L11</f>
        <v>2500</v>
      </c>
      <c r="M21" s="2">
        <f>M11</f>
        <v>2800</v>
      </c>
      <c r="N21" s="2">
        <f>N11</f>
        <v>3100</v>
      </c>
      <c r="O21" s="2">
        <f>O11</f>
        <v>3400</v>
      </c>
      <c r="P21" s="2">
        <f>P11</f>
        <v>3700</v>
      </c>
      <c r="Q21" s="2"/>
      <c r="R21" s="4"/>
    </row>
    <row r="22" spans="2:18" ht="14" customHeight="1" x14ac:dyDescent="0.35">
      <c r="B22" s="9" t="s">
        <v>14</v>
      </c>
      <c r="C22" s="5" t="s">
        <v>1</v>
      </c>
      <c r="D22" s="2">
        <f>0.1*D6</f>
        <v>1000</v>
      </c>
      <c r="E22" s="2">
        <f>0.1*E6</f>
        <v>1100</v>
      </c>
      <c r="F22" s="2">
        <f>0.1*F6</f>
        <v>1200</v>
      </c>
      <c r="G22" s="2">
        <f>0.1*G6</f>
        <v>1300</v>
      </c>
      <c r="H22" s="2">
        <f>0.1*H6</f>
        <v>1400</v>
      </c>
      <c r="I22" s="2"/>
      <c r="J22" s="5" t="s">
        <v>17</v>
      </c>
      <c r="K22" s="5" t="s">
        <v>84</v>
      </c>
      <c r="L22" s="20">
        <f t="shared" ref="L22:P23" si="1">L15</f>
        <v>-1500</v>
      </c>
      <c r="M22" s="20">
        <f t="shared" si="1"/>
        <v>-1500</v>
      </c>
      <c r="N22" s="20">
        <f t="shared" si="1"/>
        <v>-1500</v>
      </c>
      <c r="O22" s="20">
        <f t="shared" si="1"/>
        <v>-1500</v>
      </c>
      <c r="P22" s="20">
        <f t="shared" si="1"/>
        <v>-1500</v>
      </c>
      <c r="Q22" s="20"/>
      <c r="R22" s="4"/>
    </row>
    <row r="23" spans="2:18" ht="14" customHeight="1" x14ac:dyDescent="0.35">
      <c r="B23" s="5" t="s">
        <v>17</v>
      </c>
      <c r="C23" s="1" t="s">
        <v>18</v>
      </c>
      <c r="D23" s="2">
        <v>-1500</v>
      </c>
      <c r="E23" s="2">
        <f>D23-100</f>
        <v>-1600</v>
      </c>
      <c r="F23" s="2">
        <f>E23-100</f>
        <v>-1700</v>
      </c>
      <c r="G23" s="2">
        <f>F23-100</f>
        <v>-1800</v>
      </c>
      <c r="H23" s="2">
        <f>G23-100</f>
        <v>-1900</v>
      </c>
      <c r="I23" s="2"/>
      <c r="J23" s="9" t="s">
        <v>14</v>
      </c>
      <c r="K23" s="5" t="s">
        <v>28</v>
      </c>
      <c r="L23" s="20">
        <f t="shared" si="1"/>
        <v>450</v>
      </c>
      <c r="M23" s="20">
        <f t="shared" si="1"/>
        <v>450</v>
      </c>
      <c r="N23" s="20">
        <f t="shared" si="1"/>
        <v>450</v>
      </c>
      <c r="O23" s="20">
        <f t="shared" si="1"/>
        <v>450</v>
      </c>
      <c r="P23" s="20">
        <f t="shared" si="1"/>
        <v>450</v>
      </c>
      <c r="Q23" s="20"/>
      <c r="R23" s="4"/>
    </row>
    <row r="24" spans="2:18" ht="14" customHeight="1" x14ac:dyDescent="0.35">
      <c r="B24" s="5" t="s">
        <v>15</v>
      </c>
      <c r="C24" s="1" t="s">
        <v>16</v>
      </c>
      <c r="D24" s="6">
        <f>-D6*0.05</f>
        <v>-500</v>
      </c>
      <c r="E24" s="6">
        <f>-E6*0.05</f>
        <v>-550</v>
      </c>
      <c r="F24" s="6">
        <f>-F6*0.05</f>
        <v>-600</v>
      </c>
      <c r="G24" s="6">
        <f>-G6*0.05</f>
        <v>-650</v>
      </c>
      <c r="H24" s="6">
        <f>-H6*0.05</f>
        <v>-700</v>
      </c>
      <c r="I24" s="2"/>
      <c r="J24" s="5" t="s">
        <v>17</v>
      </c>
      <c r="K24" s="5" t="s">
        <v>20</v>
      </c>
      <c r="L24" s="2">
        <f>D26</f>
        <v>0</v>
      </c>
      <c r="M24" s="2">
        <f t="shared" ref="M24:P24" si="2">E26</f>
        <v>-1000</v>
      </c>
      <c r="N24" s="2">
        <f t="shared" si="2"/>
        <v>-1000</v>
      </c>
      <c r="O24" s="2">
        <f t="shared" si="2"/>
        <v>-1000</v>
      </c>
      <c r="P24" s="2">
        <f t="shared" si="2"/>
        <v>-1000</v>
      </c>
      <c r="Q24" s="2"/>
      <c r="R24" s="4"/>
    </row>
    <row r="25" spans="2:18" ht="14" customHeight="1" x14ac:dyDescent="0.35">
      <c r="B25" s="10" t="s">
        <v>19</v>
      </c>
      <c r="C25" s="1"/>
      <c r="D25" s="12">
        <f>SUM(D21:D24)</f>
        <v>1450</v>
      </c>
      <c r="E25" s="12">
        <f>SUM(E21:E24)</f>
        <v>1750</v>
      </c>
      <c r="F25" s="12">
        <f>SUM(F21:F24)</f>
        <v>2050</v>
      </c>
      <c r="G25" s="12">
        <f>SUM(G21:G24)</f>
        <v>2350</v>
      </c>
      <c r="H25" s="12">
        <f>SUM(H21:H24)</f>
        <v>2650</v>
      </c>
      <c r="I25" s="1"/>
      <c r="J25" s="9" t="s">
        <v>14</v>
      </c>
      <c r="K25" s="5" t="s">
        <v>21</v>
      </c>
      <c r="L25" s="6">
        <f t="shared" ref="L25:P25" si="3">D27</f>
        <v>0</v>
      </c>
      <c r="M25" s="6">
        <f t="shared" si="3"/>
        <v>1000</v>
      </c>
      <c r="N25" s="6">
        <f t="shared" si="3"/>
        <v>1000</v>
      </c>
      <c r="O25" s="6">
        <f t="shared" si="3"/>
        <v>1000</v>
      </c>
      <c r="P25" s="6">
        <f t="shared" si="3"/>
        <v>1000</v>
      </c>
      <c r="Q25" s="19"/>
      <c r="R25" s="4"/>
    </row>
    <row r="26" spans="2:18" ht="14" customHeight="1" x14ac:dyDescent="0.35">
      <c r="B26" s="5" t="s">
        <v>17</v>
      </c>
      <c r="C26" s="5" t="s">
        <v>20</v>
      </c>
      <c r="D26" s="50">
        <v>0</v>
      </c>
      <c r="E26" s="50">
        <v>-1000</v>
      </c>
      <c r="F26" s="50">
        <v>-1000</v>
      </c>
      <c r="G26" s="50">
        <v>-1000</v>
      </c>
      <c r="H26" s="50">
        <v>-1000</v>
      </c>
      <c r="I26" s="2"/>
      <c r="J26" s="10" t="s">
        <v>30</v>
      </c>
      <c r="L26" s="21">
        <f>SUM(L21:L25)</f>
        <v>1450</v>
      </c>
      <c r="M26" s="21">
        <f>SUM(M21:M25)</f>
        <v>1750</v>
      </c>
      <c r="N26" s="21">
        <f>SUM(N21:N25)</f>
        <v>2050</v>
      </c>
      <c r="O26" s="21">
        <f>SUM(O21:O25)</f>
        <v>2350</v>
      </c>
      <c r="P26" s="21">
        <f>SUM(P21:P25)</f>
        <v>2650</v>
      </c>
      <c r="Q26" s="21"/>
      <c r="R26" s="2"/>
    </row>
    <row r="27" spans="2:18" ht="14" customHeight="1" x14ac:dyDescent="0.35">
      <c r="B27" s="9" t="s">
        <v>14</v>
      </c>
      <c r="C27" s="5" t="s">
        <v>21</v>
      </c>
      <c r="D27" s="50">
        <f>-D26</f>
        <v>0</v>
      </c>
      <c r="E27" s="50">
        <f>-E26</f>
        <v>1000</v>
      </c>
      <c r="F27" s="50">
        <f>-F26</f>
        <v>1000</v>
      </c>
      <c r="G27" s="50">
        <f>-G26</f>
        <v>1000</v>
      </c>
      <c r="H27" s="50">
        <f>-H26</f>
        <v>1000</v>
      </c>
      <c r="I27" s="2"/>
      <c r="J27" s="72"/>
      <c r="K27" s="22"/>
      <c r="L27" s="19"/>
      <c r="M27" s="19"/>
      <c r="N27" s="19"/>
      <c r="O27" s="19"/>
      <c r="P27" s="19"/>
      <c r="Q27" s="19"/>
      <c r="R27" s="2"/>
    </row>
    <row r="28" spans="2:18" ht="14" customHeight="1" x14ac:dyDescent="0.35">
      <c r="B28" s="5" t="s">
        <v>17</v>
      </c>
      <c r="C28" s="5" t="s">
        <v>105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R28" s="2"/>
    </row>
    <row r="29" spans="2:18" ht="14" customHeight="1" x14ac:dyDescent="0.35">
      <c r="B29" s="9" t="s">
        <v>14</v>
      </c>
      <c r="C29" s="5" t="s">
        <v>22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2"/>
      <c r="J29" s="22"/>
      <c r="K29" s="22"/>
      <c r="L29" s="22"/>
      <c r="M29" s="22"/>
      <c r="N29" s="22"/>
      <c r="O29" s="22"/>
      <c r="P29" s="22"/>
      <c r="Q29" s="22"/>
      <c r="R29" s="2"/>
    </row>
    <row r="30" spans="2:18" ht="14" customHeight="1" x14ac:dyDescent="0.4">
      <c r="B30" s="10" t="s">
        <v>23</v>
      </c>
      <c r="D30" s="13">
        <f>SUM(D26:D29)</f>
        <v>0</v>
      </c>
      <c r="E30" s="13">
        <f>SUM(E26:E29)</f>
        <v>0</v>
      </c>
      <c r="F30" s="13">
        <f>SUM(F26:F29)</f>
        <v>0</v>
      </c>
      <c r="G30" s="13">
        <f>SUM(G26:G29)</f>
        <v>0</v>
      </c>
      <c r="H30" s="13">
        <f>SUM(H26:H29)</f>
        <v>0</v>
      </c>
      <c r="I30" s="2"/>
      <c r="J30" s="35" t="s">
        <v>31</v>
      </c>
      <c r="K30" s="22"/>
      <c r="L30" s="89" t="s">
        <v>91</v>
      </c>
      <c r="M30" s="90" t="s">
        <v>92</v>
      </c>
      <c r="N30" s="90" t="s">
        <v>93</v>
      </c>
      <c r="O30" s="90" t="s">
        <v>94</v>
      </c>
      <c r="P30" s="90" t="s">
        <v>95</v>
      </c>
      <c r="Q30" s="73"/>
      <c r="R30" s="2"/>
    </row>
    <row r="31" spans="2:18" ht="14" customHeight="1" x14ac:dyDescent="0.4">
      <c r="B31" s="10" t="s">
        <v>24</v>
      </c>
      <c r="C31" s="1"/>
      <c r="D31" s="12">
        <f>D25+D30</f>
        <v>1450</v>
      </c>
      <c r="E31" s="12">
        <f>E25+E30</f>
        <v>1750</v>
      </c>
      <c r="F31" s="12">
        <f>F25+F30</f>
        <v>2050</v>
      </c>
      <c r="G31" s="12">
        <f>G25+G30</f>
        <v>2350</v>
      </c>
      <c r="H31" s="12">
        <f>H25+H30</f>
        <v>2650</v>
      </c>
      <c r="I31" s="2"/>
      <c r="J31" s="35" t="s">
        <v>46</v>
      </c>
      <c r="K31" s="24"/>
      <c r="L31" s="23"/>
      <c r="M31" s="23"/>
      <c r="N31" s="125"/>
      <c r="O31" s="125"/>
      <c r="P31" s="125"/>
      <c r="Q31" s="23"/>
      <c r="R31" s="2"/>
    </row>
    <row r="32" spans="2:18" ht="14" customHeight="1" x14ac:dyDescent="0.35">
      <c r="B32" s="5" t="s">
        <v>49</v>
      </c>
      <c r="C32" s="1"/>
      <c r="D32" s="2">
        <v>0</v>
      </c>
      <c r="E32" s="2">
        <f>D33</f>
        <v>1450</v>
      </c>
      <c r="F32" s="2">
        <f>E33</f>
        <v>3200</v>
      </c>
      <c r="G32" s="2">
        <f>F33</f>
        <v>5250</v>
      </c>
      <c r="H32" s="2">
        <f>G33</f>
        <v>7600</v>
      </c>
      <c r="I32" s="2"/>
      <c r="J32" s="5" t="s">
        <v>36</v>
      </c>
      <c r="K32" s="1"/>
      <c r="L32" s="2"/>
      <c r="M32" s="2">
        <f>M11</f>
        <v>2800</v>
      </c>
      <c r="N32" s="2">
        <f>N11</f>
        <v>3100</v>
      </c>
      <c r="O32" s="2">
        <f>O11</f>
        <v>3400</v>
      </c>
      <c r="P32" s="2">
        <f>P11</f>
        <v>3700</v>
      </c>
      <c r="Q32" s="2"/>
      <c r="R32" s="2"/>
    </row>
    <row r="33" spans="2:19" ht="14" customHeight="1" x14ac:dyDescent="0.35">
      <c r="B33" s="5" t="s">
        <v>50</v>
      </c>
      <c r="D33" s="2">
        <f>D31+D32</f>
        <v>1450</v>
      </c>
      <c r="E33" s="2">
        <f>E31+E32</f>
        <v>3200</v>
      </c>
      <c r="F33" s="2">
        <f>F31+F32</f>
        <v>5250</v>
      </c>
      <c r="G33" s="2">
        <f>G31+G32</f>
        <v>7600</v>
      </c>
      <c r="H33" s="2">
        <f>H31+H32</f>
        <v>10250</v>
      </c>
      <c r="I33" s="4"/>
      <c r="J33" s="5" t="s">
        <v>47</v>
      </c>
      <c r="K33" s="25"/>
      <c r="L33" s="26"/>
      <c r="M33" s="26"/>
      <c r="N33" s="26"/>
      <c r="O33" s="26"/>
      <c r="P33" s="2">
        <f>P32*(1+0.03)/(D49-0.03)</f>
        <v>45292.010673755845</v>
      </c>
      <c r="Q33" s="2"/>
      <c r="R33" s="4"/>
    </row>
    <row r="34" spans="2:19" ht="14" customHeight="1" x14ac:dyDescent="0.35">
      <c r="I34" s="4"/>
      <c r="J34" s="22"/>
      <c r="K34" s="25"/>
      <c r="L34" s="26"/>
      <c r="M34" s="26"/>
      <c r="N34" s="26"/>
      <c r="O34" s="26"/>
      <c r="P34" s="26"/>
      <c r="Q34" s="26"/>
      <c r="R34" s="4"/>
    </row>
    <row r="35" spans="2:19" ht="14" customHeight="1" x14ac:dyDescent="0.4">
      <c r="B35" s="28" t="s">
        <v>32</v>
      </c>
      <c r="D35" s="89" t="s">
        <v>91</v>
      </c>
      <c r="E35" s="90" t="s">
        <v>92</v>
      </c>
      <c r="F35" s="90" t="s">
        <v>93</v>
      </c>
      <c r="G35" s="90" t="s">
        <v>94</v>
      </c>
      <c r="H35" s="90" t="s">
        <v>95</v>
      </c>
      <c r="I35" s="4"/>
      <c r="J35" s="5" t="s">
        <v>33</v>
      </c>
      <c r="K35" s="1"/>
      <c r="L35" s="26"/>
      <c r="M35" s="65">
        <v>1</v>
      </c>
      <c r="N35" s="65">
        <f>+M35+1</f>
        <v>2</v>
      </c>
      <c r="O35" s="65">
        <f>+N35+1</f>
        <v>3</v>
      </c>
      <c r="P35" s="65">
        <f>+O35+1</f>
        <v>4</v>
      </c>
      <c r="R35" s="4"/>
    </row>
    <row r="36" spans="2:19" ht="14" customHeight="1" x14ac:dyDescent="0.35">
      <c r="B36" s="5" t="s">
        <v>35</v>
      </c>
      <c r="C36" s="4"/>
      <c r="D36" s="51">
        <v>0.5</v>
      </c>
      <c r="E36" s="7">
        <f>E16/E15</f>
        <v>0.46125461254612549</v>
      </c>
      <c r="F36" s="7">
        <f>F16/F15</f>
        <v>0.42426813746287656</v>
      </c>
      <c r="G36" s="7">
        <f>G16/G15</f>
        <v>0.38955979742890534</v>
      </c>
      <c r="H36" s="7">
        <f>H16/H15</f>
        <v>0.35739814152966404</v>
      </c>
      <c r="I36" s="4"/>
      <c r="J36" s="33" t="str">
        <f>"Discount Factor @ "&amp;TEXT($D$49,"#,0%")&amp;" WACC"</f>
        <v>Discount Factor @ 11,4% WACC</v>
      </c>
      <c r="K36" s="25"/>
      <c r="L36" s="32"/>
      <c r="M36" s="32">
        <f>1/((1+$D$49)^M35)</f>
        <v>0.89755095355589898</v>
      </c>
      <c r="N36" s="32">
        <f>1/((1+$D$49)^N35)</f>
        <v>0.80559771422910353</v>
      </c>
      <c r="O36" s="32">
        <f>1/((1+$D$49)^O35)</f>
        <v>0.72306499658878443</v>
      </c>
      <c r="P36" s="32">
        <f>1/((1+$D$49)^P35)</f>
        <v>0.64898767717115624</v>
      </c>
      <c r="Q36" s="32"/>
      <c r="R36" s="4"/>
    </row>
    <row r="37" spans="2:19" ht="14" customHeight="1" x14ac:dyDescent="0.35">
      <c r="B37" s="5" t="s">
        <v>10</v>
      </c>
      <c r="C37" s="4"/>
      <c r="D37" s="51">
        <v>0.09</v>
      </c>
      <c r="E37" s="7">
        <f>D37</f>
        <v>0.09</v>
      </c>
      <c r="F37" s="7">
        <f t="shared" ref="F37:H37" si="4">E37</f>
        <v>0.09</v>
      </c>
      <c r="G37" s="7">
        <f t="shared" si="4"/>
        <v>0.09</v>
      </c>
      <c r="H37" s="7">
        <f t="shared" si="4"/>
        <v>0.09</v>
      </c>
      <c r="I37" s="4"/>
      <c r="J37" s="22" t="s">
        <v>55</v>
      </c>
      <c r="K37" s="25"/>
      <c r="L37" s="2"/>
      <c r="M37" s="2">
        <f>(M32+M33)*M36</f>
        <v>2513.1426699565172</v>
      </c>
      <c r="N37" s="2">
        <f>(N32+N33)*N36</f>
        <v>2497.3529141102208</v>
      </c>
      <c r="O37" s="2">
        <f>(O32+O33)*O36</f>
        <v>2458.4209884018669</v>
      </c>
      <c r="P37" s="2">
        <f>(P32+P33)*P36</f>
        <v>31795.211207105298</v>
      </c>
      <c r="Q37" s="2"/>
      <c r="R37" s="4"/>
    </row>
    <row r="38" spans="2:19" ht="14" customHeight="1" x14ac:dyDescent="0.65">
      <c r="B38" s="5" t="s">
        <v>74</v>
      </c>
      <c r="C38" s="4"/>
      <c r="D38" s="51">
        <v>0.15</v>
      </c>
      <c r="E38" s="7">
        <f>E8/E15</f>
        <v>0.15221402214022139</v>
      </c>
      <c r="F38" s="7">
        <f>F8/F15</f>
        <v>0.15273652948663555</v>
      </c>
      <c r="G38" s="7">
        <f>G8/G15</f>
        <v>0.15192832099727308</v>
      </c>
      <c r="H38" s="7">
        <f>H8/H15</f>
        <v>0.15010721944245889</v>
      </c>
      <c r="I38" s="4"/>
      <c r="Q38" s="121" t="s">
        <v>110</v>
      </c>
      <c r="R38" s="4"/>
    </row>
    <row r="39" spans="2:19" ht="14" customHeight="1" x14ac:dyDescent="0.35">
      <c r="B39" s="5" t="s">
        <v>75</v>
      </c>
      <c r="C39" s="4"/>
      <c r="D39" s="7">
        <f>D12/D17</f>
        <v>0.14699999999999999</v>
      </c>
      <c r="E39" s="7">
        <f>E12/E17</f>
        <v>0.14383561643835616</v>
      </c>
      <c r="F39" s="7">
        <f>F12/F17</f>
        <v>0.13927781871775977</v>
      </c>
      <c r="G39" s="7">
        <f>G12/G17</f>
        <v>0.13401403956604976</v>
      </c>
      <c r="H39" s="7">
        <f>H12/H17</f>
        <v>0.12847608453837597</v>
      </c>
      <c r="I39" s="4"/>
      <c r="J39" s="41" t="s">
        <v>34</v>
      </c>
      <c r="K39" s="42"/>
      <c r="L39" s="43">
        <f>SUM(M37:P37)</f>
        <v>39264.127779573901</v>
      </c>
      <c r="M39" s="27"/>
      <c r="N39" s="27"/>
      <c r="O39" s="27"/>
      <c r="P39" s="96"/>
      <c r="Q39" s="120">
        <f>+P33*P36/L39</f>
        <v>0.74862115788201544</v>
      </c>
      <c r="R39" s="4"/>
    </row>
    <row r="40" spans="2:19" ht="14" customHeight="1" x14ac:dyDescent="0.35">
      <c r="B40" s="5" t="s">
        <v>13</v>
      </c>
      <c r="C40" s="4"/>
      <c r="D40" s="8">
        <f>D16/(D8+D22)</f>
        <v>2.7777777777777781</v>
      </c>
      <c r="E40" s="8">
        <f>E16/(E8+E22)</f>
        <v>2.5252525252525255</v>
      </c>
      <c r="F40" s="8">
        <f>F16/(F8+F22)</f>
        <v>2.3148148148148149</v>
      </c>
      <c r="G40" s="8">
        <f>G16/(G8+G22)</f>
        <v>2.1367521367521367</v>
      </c>
      <c r="H40" s="8">
        <f>H16/(H8+H22)</f>
        <v>1.9841269841269842</v>
      </c>
      <c r="I40" s="4"/>
      <c r="J40" s="44" t="s">
        <v>17</v>
      </c>
      <c r="K40" s="44" t="s">
        <v>96</v>
      </c>
      <c r="L40" s="45">
        <f>-D16+D33+R40</f>
        <v>-15929.166666666668</v>
      </c>
      <c r="M40" s="98" t="str">
        <f>"[Excludes "&amp;TEXT($R$41,"#0")&amp;"-month Cash Reserve]"</f>
        <v>[Excludes 1-month Cash Reserve]</v>
      </c>
      <c r="R40" s="76">
        <f>(D7+D9+D11+D22+D23+D24)/12*R41</f>
        <v>-712.5</v>
      </c>
      <c r="S40" s="77"/>
    </row>
    <row r="41" spans="2:19" ht="14" customHeight="1" x14ac:dyDescent="0.35">
      <c r="B41" s="5" t="s">
        <v>11</v>
      </c>
      <c r="C41" s="4"/>
      <c r="D41" s="8">
        <f>(D8+D22)/-D9</f>
        <v>4</v>
      </c>
      <c r="E41" s="8">
        <f>(E8+E22)/-E9</f>
        <v>4.4000000000000004</v>
      </c>
      <c r="F41" s="8">
        <f>(F8+F22)/-F9</f>
        <v>4.8</v>
      </c>
      <c r="G41" s="8">
        <f>(G8+G22)/-G9</f>
        <v>5.2</v>
      </c>
      <c r="H41" s="8">
        <f>(H8+H22)/-H9</f>
        <v>5.6</v>
      </c>
      <c r="I41" s="4"/>
      <c r="J41" s="48" t="s">
        <v>37</v>
      </c>
      <c r="K41" s="46"/>
      <c r="L41" s="47">
        <f>L39+L40</f>
        <v>23334.961112907233</v>
      </c>
      <c r="M41" s="99" t="s">
        <v>102</v>
      </c>
      <c r="N41" s="4"/>
      <c r="O41" s="4"/>
      <c r="P41" s="4"/>
      <c r="Q41" s="4"/>
      <c r="R41" s="77">
        <v>1</v>
      </c>
      <c r="S41" s="77" t="s">
        <v>117</v>
      </c>
    </row>
    <row r="42" spans="2:19" ht="14" customHeight="1" x14ac:dyDescent="0.35">
      <c r="B42" s="5" t="s">
        <v>12</v>
      </c>
      <c r="C42" s="4"/>
      <c r="D42" s="8">
        <f>L11/-D9</f>
        <v>1.6666666666666667</v>
      </c>
      <c r="E42" s="8">
        <f>M11/-E9</f>
        <v>1.8666666666666667</v>
      </c>
      <c r="F42" s="8">
        <f>N11/-F9</f>
        <v>2.0666666666666669</v>
      </c>
      <c r="G42" s="8">
        <f>O11/-G9</f>
        <v>2.2666666666666666</v>
      </c>
      <c r="H42" s="8">
        <f>P11/-H9</f>
        <v>2.4666666666666668</v>
      </c>
      <c r="I42" s="4"/>
      <c r="K42" s="4"/>
      <c r="L42" s="4"/>
      <c r="N42" s="4"/>
      <c r="O42" s="4"/>
      <c r="P42" s="4"/>
      <c r="Q42" s="4"/>
      <c r="R42" s="4"/>
    </row>
    <row r="43" spans="2:19" ht="14" customHeight="1" x14ac:dyDescent="0.4">
      <c r="C43" s="4"/>
      <c r="D43" s="4"/>
      <c r="E43" s="4"/>
      <c r="F43" s="4"/>
      <c r="G43" s="4"/>
      <c r="H43" s="4"/>
      <c r="I43" s="4"/>
      <c r="J43" s="35" t="s">
        <v>45</v>
      </c>
      <c r="K43" s="24"/>
      <c r="L43" s="23"/>
      <c r="M43" s="23"/>
      <c r="N43" s="125"/>
      <c r="O43" s="125"/>
      <c r="P43" s="125"/>
      <c r="Q43" s="23"/>
      <c r="R43" s="4"/>
    </row>
    <row r="44" spans="2:19" ht="14" customHeight="1" x14ac:dyDescent="0.35">
      <c r="I44" s="4"/>
      <c r="J44" s="5" t="s">
        <v>41</v>
      </c>
      <c r="K44" s="1"/>
      <c r="L44" s="2"/>
      <c r="M44" s="2">
        <f>M26</f>
        <v>1750</v>
      </c>
      <c r="N44" s="2">
        <f>N26</f>
        <v>2050</v>
      </c>
      <c r="O44" s="2">
        <f>O26</f>
        <v>2350</v>
      </c>
      <c r="P44" s="2">
        <f>P26</f>
        <v>2650</v>
      </c>
      <c r="Q44" s="2"/>
      <c r="R44" s="4"/>
    </row>
    <row r="45" spans="2:19" ht="14" customHeight="1" x14ac:dyDescent="0.4">
      <c r="B45" s="28" t="s">
        <v>56</v>
      </c>
      <c r="C45" s="4"/>
      <c r="D45" s="4"/>
      <c r="E45" s="65" t="s">
        <v>66</v>
      </c>
      <c r="F45" s="65"/>
      <c r="G45" s="65"/>
      <c r="H45" s="66"/>
      <c r="I45" s="4"/>
      <c r="J45" s="22" t="s">
        <v>119</v>
      </c>
      <c r="P45" s="20">
        <f>+P44*(1+0.03)/(D47-0.03)</f>
        <v>24243.433371884199</v>
      </c>
      <c r="R45" s="4"/>
    </row>
    <row r="46" spans="2:19" ht="14" customHeight="1" x14ac:dyDescent="0.35">
      <c r="B46" s="5" t="s">
        <v>86</v>
      </c>
      <c r="C46" s="4"/>
      <c r="D46" s="81">
        <f>D37*(1-0.3)</f>
        <v>6.3E-2</v>
      </c>
      <c r="E46" s="92" t="str">
        <f>"Kd of "&amp;TEXT(D37,"#0,0%")&amp;", after income tax of 30%"</f>
        <v>Kd of 9,0%, after income tax of 30%</v>
      </c>
      <c r="H46" s="4"/>
      <c r="I46" s="4"/>
      <c r="P46" s="20"/>
    </row>
    <row r="47" spans="2:19" ht="14" customHeight="1" x14ac:dyDescent="0.35">
      <c r="B47" s="5" t="s">
        <v>38</v>
      </c>
      <c r="C47" s="4"/>
      <c r="D47" s="85">
        <f>0.02+D55*(0.07+0.05)</f>
        <v>0.14258718837924494</v>
      </c>
      <c r="E47" s="92" t="str">
        <f>"Risk-free rate 2% + Beta "&amp;TEXT(D55,"#0,00")&amp;" * ¨Private¨ ERP 12%"</f>
        <v>Risk-free rate 2% + Beta 1,02 * ¨Private¨ ERP 12%</v>
      </c>
      <c r="H47" s="4"/>
      <c r="I47" s="4"/>
      <c r="J47" s="5" t="s">
        <v>33</v>
      </c>
      <c r="K47" s="1"/>
      <c r="L47" s="26"/>
      <c r="M47" s="65">
        <v>1</v>
      </c>
      <c r="N47" s="65">
        <f>+M47+1</f>
        <v>2</v>
      </c>
      <c r="O47" s="65">
        <f>+N47+1</f>
        <v>3</v>
      </c>
      <c r="P47" s="65">
        <f>+O47+1</f>
        <v>4</v>
      </c>
    </row>
    <row r="48" spans="2:19" ht="14" customHeight="1" x14ac:dyDescent="0.35">
      <c r="B48" s="5" t="s">
        <v>39</v>
      </c>
      <c r="D48" s="100">
        <f>+H36</f>
        <v>0.35739814152966404</v>
      </c>
      <c r="E48" s="92" t="s">
        <v>67</v>
      </c>
      <c r="H48" s="4"/>
      <c r="I48" s="4"/>
      <c r="J48" s="33" t="str">
        <f>"Discount Factor @ "&amp;TEXT($D$47,"#,0%")&amp;" Ke"</f>
        <v>Discount Factor @ 14,3% Ke</v>
      </c>
      <c r="K48" s="25"/>
      <c r="L48" s="32"/>
      <c r="M48" s="32">
        <f>1/((1+$D$47)^M47)</f>
        <v>0.87520673272951344</v>
      </c>
      <c r="N48" s="32">
        <f>1/((1+$D$47)^N47)</f>
        <v>0.76598682501506998</v>
      </c>
      <c r="O48" s="32">
        <f>1/((1+$D$47)^O47)</f>
        <v>0.67039682643529286</v>
      </c>
      <c r="P48" s="32">
        <f>1/((1+$D$47)^P47)</f>
        <v>0.58673581609666736</v>
      </c>
      <c r="Q48" s="32"/>
      <c r="S48" s="68" t="s">
        <v>118</v>
      </c>
    </row>
    <row r="49" spans="2:30" ht="14" customHeight="1" x14ac:dyDescent="0.35">
      <c r="B49" s="10" t="s">
        <v>40</v>
      </c>
      <c r="C49" s="4"/>
      <c r="D49" s="75">
        <f>D46*D48+D47*(1-D48)</f>
        <v>0.11414287516293152</v>
      </c>
      <c r="E49" s="93" t="s">
        <v>68</v>
      </c>
      <c r="F49" s="4"/>
      <c r="G49" s="4"/>
      <c r="H49" s="4"/>
      <c r="I49" s="4"/>
      <c r="J49" s="22" t="s">
        <v>54</v>
      </c>
      <c r="K49" s="25"/>
      <c r="L49" s="2"/>
      <c r="M49" s="2">
        <f>(M44+M45)*M48</f>
        <v>1531.6117822766485</v>
      </c>
      <c r="N49" s="2">
        <f>(N44+N45)*N48</f>
        <v>1570.2729912808934</v>
      </c>
      <c r="O49" s="2">
        <f>(O44+O45)*O48</f>
        <v>1575.4325421229382</v>
      </c>
      <c r="P49" s="19">
        <f>(P44+P45)*P48</f>
        <v>15779.340577093824</v>
      </c>
      <c r="Q49" s="2"/>
      <c r="S49" s="5" t="s">
        <v>47</v>
      </c>
      <c r="Z49" s="2">
        <f>P33</f>
        <v>45292.010673755845</v>
      </c>
    </row>
    <row r="50" spans="2:30" ht="14" customHeight="1" x14ac:dyDescent="0.65">
      <c r="E50" s="91"/>
      <c r="I50" s="4"/>
      <c r="M50" s="27"/>
      <c r="N50" s="27"/>
      <c r="O50" s="27"/>
      <c r="P50" s="27"/>
      <c r="Q50" s="121" t="s">
        <v>110</v>
      </c>
      <c r="R50" s="4"/>
      <c r="S50" s="22" t="s">
        <v>120</v>
      </c>
      <c r="Z50" s="40">
        <f>-H16+H33+AA50</f>
        <v>-7362.5000000000009</v>
      </c>
      <c r="AA50" s="76">
        <f>(H7+H9+H11+H22+H23+H24)/12*AA51</f>
        <v>-945.83333333333337</v>
      </c>
      <c r="AB50" s="77"/>
    </row>
    <row r="51" spans="2:30" ht="14" customHeight="1" x14ac:dyDescent="0.35">
      <c r="B51" s="68" t="s">
        <v>70</v>
      </c>
      <c r="C51" s="4"/>
      <c r="D51" s="4"/>
      <c r="E51" s="4"/>
      <c r="F51" s="4"/>
      <c r="G51" s="4"/>
      <c r="H51" s="4"/>
      <c r="I51" s="4"/>
      <c r="J51" s="48" t="s">
        <v>37</v>
      </c>
      <c r="K51" s="49"/>
      <c r="L51" s="43">
        <f>SUM(M49:P49)</f>
        <v>20456.657892774303</v>
      </c>
      <c r="M51" s="99" t="s">
        <v>103</v>
      </c>
      <c r="P51" s="22"/>
      <c r="Q51" s="120">
        <f>+P45*P48/L51</f>
        <v>0.69534773172611086</v>
      </c>
      <c r="R51" s="4"/>
      <c r="S51" s="22" t="s">
        <v>48</v>
      </c>
      <c r="Z51" s="20">
        <f>+Z49+Z50</f>
        <v>37929.510673755845</v>
      </c>
      <c r="AA51" s="5">
        <f>+R41</f>
        <v>1</v>
      </c>
      <c r="AB51" s="5" t="s">
        <v>117</v>
      </c>
    </row>
    <row r="52" spans="2:30" ht="14" customHeight="1" x14ac:dyDescent="0.35">
      <c r="B52" s="70" t="s">
        <v>73</v>
      </c>
      <c r="C52" s="4"/>
      <c r="D52" s="87">
        <v>1.25</v>
      </c>
      <c r="E52" s="92" t="s">
        <v>85</v>
      </c>
      <c r="F52" s="4"/>
      <c r="G52" s="4"/>
      <c r="H52" s="4"/>
      <c r="I52" s="4"/>
      <c r="R52" s="4"/>
    </row>
    <row r="53" spans="2:30" ht="14" customHeight="1" x14ac:dyDescent="0.4">
      <c r="B53" s="67" t="s">
        <v>71</v>
      </c>
      <c r="C53" s="4"/>
      <c r="D53" s="84">
        <f>D52/(1+((D36/(1-D36))*(1-0.3)))</f>
        <v>0.73529411764705888</v>
      </c>
      <c r="E53" s="94" t="s">
        <v>97</v>
      </c>
      <c r="F53" s="4"/>
      <c r="G53" s="4"/>
      <c r="H53" s="4"/>
      <c r="I53" s="4"/>
      <c r="L53" s="59">
        <f>L51/L41</f>
        <v>0.87665275265700537</v>
      </c>
      <c r="M53" s="60" t="s">
        <v>104</v>
      </c>
      <c r="R53" s="63" t="s">
        <v>65</v>
      </c>
      <c r="S53" s="64"/>
      <c r="T53" s="64"/>
      <c r="U53" s="64"/>
      <c r="V53" s="64"/>
      <c r="W53" s="64"/>
      <c r="X53" s="64"/>
      <c r="Y53" s="64"/>
      <c r="Z53" s="64"/>
      <c r="AA53" s="64"/>
      <c r="AB53" s="64"/>
    </row>
    <row r="54" spans="2:30" ht="16" thickBot="1" x14ac:dyDescent="0.4">
      <c r="B54" s="67" t="s">
        <v>72</v>
      </c>
      <c r="C54" s="4"/>
      <c r="D54" s="7">
        <f>D48/(1-D48)</f>
        <v>0.55617352614015581</v>
      </c>
      <c r="E54" s="93" t="s">
        <v>99</v>
      </c>
      <c r="F54" s="4"/>
      <c r="G54" s="4"/>
      <c r="H54" s="4"/>
      <c r="I54" s="4"/>
      <c r="P54" s="4"/>
      <c r="Q54" s="4"/>
      <c r="R54" s="4"/>
      <c r="T54" s="61" t="s">
        <v>63</v>
      </c>
      <c r="U54" s="61"/>
      <c r="V54" s="61"/>
      <c r="W54" s="61"/>
      <c r="X54" s="61"/>
      <c r="Y54" s="61"/>
      <c r="Z54" s="61"/>
      <c r="AA54" s="61"/>
      <c r="AB54" s="61"/>
    </row>
    <row r="55" spans="2:30" ht="17.5" thickTop="1" x14ac:dyDescent="0.4">
      <c r="B55" s="67" t="s">
        <v>79</v>
      </c>
      <c r="D55" s="84">
        <f>D53*(1+((1-0.3)*D54))</f>
        <v>1.0215599031603744</v>
      </c>
      <c r="E55" s="94" t="s">
        <v>98</v>
      </c>
      <c r="F55" s="4"/>
      <c r="G55" s="4"/>
      <c r="H55" s="4"/>
      <c r="I55" s="4"/>
      <c r="J55" s="28" t="s">
        <v>78</v>
      </c>
      <c r="K55" s="4"/>
      <c r="L55" s="89" t="s">
        <v>91</v>
      </c>
      <c r="M55" s="90" t="s">
        <v>92</v>
      </c>
      <c r="N55" s="90" t="s">
        <v>93</v>
      </c>
      <c r="O55" s="90" t="s">
        <v>94</v>
      </c>
      <c r="P55" s="90" t="s">
        <v>95</v>
      </c>
      <c r="Q55" s="4"/>
      <c r="R55" s="4"/>
      <c r="S55" s="58">
        <f>L41</f>
        <v>23334.961112907233</v>
      </c>
      <c r="T55" s="55">
        <v>0.1</v>
      </c>
      <c r="U55" s="55">
        <v>0.11</v>
      </c>
      <c r="V55" s="55">
        <v>0.12</v>
      </c>
      <c r="W55" s="55">
        <v>0.13</v>
      </c>
      <c r="X55" s="55">
        <v>0.14000000000000001</v>
      </c>
      <c r="Y55" s="55">
        <v>0.15</v>
      </c>
      <c r="Z55" s="55">
        <v>0.16</v>
      </c>
      <c r="AA55" s="55">
        <v>0.17</v>
      </c>
      <c r="AB55" s="55">
        <v>0.18</v>
      </c>
      <c r="AC55" s="59">
        <f>S55-T56</f>
        <v>1322.9973009880196</v>
      </c>
      <c r="AD55" s="60" t="s">
        <v>62</v>
      </c>
    </row>
    <row r="56" spans="2:30" x14ac:dyDescent="0.35">
      <c r="C56" s="4"/>
      <c r="D56" s="4"/>
      <c r="E56" s="4"/>
      <c r="F56" s="4"/>
      <c r="G56" s="4"/>
      <c r="H56" s="4"/>
      <c r="I56" s="4"/>
      <c r="J56" s="3" t="s">
        <v>81</v>
      </c>
      <c r="K56" s="4"/>
      <c r="L56" s="4"/>
      <c r="M56" s="4"/>
      <c r="N56" s="4"/>
      <c r="O56" s="4"/>
      <c r="P56" s="4"/>
      <c r="Q56" s="4"/>
      <c r="R56" s="57"/>
      <c r="S56" s="55">
        <v>0.5</v>
      </c>
      <c r="T56" s="34">
        <f t="dataTable" ref="T56:AB64" dt2D="1" dtr="1" r1="D37" r2="D36"/>
        <v>22011.963811919213</v>
      </c>
      <c r="U56" s="4">
        <v>20736.127424902741</v>
      </c>
      <c r="V56" s="4">
        <v>19504.732424725495</v>
      </c>
      <c r="W56" s="4">
        <v>18315.264815781411</v>
      </c>
      <c r="X56" s="4">
        <v>17165.397089666829</v>
      </c>
      <c r="Y56" s="4">
        <v>16052.971260343009</v>
      </c>
      <c r="Z56" s="4">
        <v>14975.983718633128</v>
      </c>
      <c r="AA56" s="4">
        <v>13932.571682444672</v>
      </c>
      <c r="AB56" s="4">
        <v>12921.001049976516</v>
      </c>
    </row>
    <row r="57" spans="2:30" x14ac:dyDescent="0.35">
      <c r="B57" s="3" t="s">
        <v>83</v>
      </c>
      <c r="H57" s="4"/>
      <c r="I57" s="4"/>
      <c r="J57" s="5" t="s">
        <v>101</v>
      </c>
      <c r="K57" s="1"/>
      <c r="L57" s="2"/>
      <c r="M57" s="2">
        <f>M32</f>
        <v>2800</v>
      </c>
      <c r="N57" s="2">
        <f>N32</f>
        <v>3100</v>
      </c>
      <c r="O57" s="2">
        <f>O32</f>
        <v>3400</v>
      </c>
      <c r="P57" s="2">
        <f>P32</f>
        <v>3700</v>
      </c>
      <c r="Q57" s="4"/>
      <c r="R57" s="57"/>
      <c r="S57" s="55">
        <v>0.55000000000000004</v>
      </c>
      <c r="T57" s="4">
        <v>22886.310509829877</v>
      </c>
      <c r="U57" s="4">
        <v>21284.923645880084</v>
      </c>
      <c r="V57" s="4">
        <v>19752.88581877208</v>
      </c>
      <c r="W57" s="4">
        <v>18285.401567111923</v>
      </c>
      <c r="X57" s="4">
        <v>16878.10827664566</v>
      </c>
      <c r="Y57" s="4">
        <v>15527.028444814689</v>
      </c>
      <c r="Z57" s="4">
        <v>14228.528127235724</v>
      </c>
      <c r="AA57" s="4">
        <v>12979.280651872446</v>
      </c>
      <c r="AB57" s="4">
        <v>11776.234837990989</v>
      </c>
    </row>
    <row r="58" spans="2:30" x14ac:dyDescent="0.35">
      <c r="B58" s="67" t="s">
        <v>79</v>
      </c>
      <c r="D58" s="88">
        <f>D52</f>
        <v>1.25</v>
      </c>
      <c r="E58" s="92" t="s">
        <v>85</v>
      </c>
      <c r="H58" s="4"/>
      <c r="I58" s="4"/>
      <c r="J58" s="5" t="s">
        <v>47</v>
      </c>
      <c r="K58" s="25"/>
      <c r="L58" s="26"/>
      <c r="M58" s="26"/>
      <c r="N58" s="26"/>
      <c r="O58" s="26"/>
      <c r="P58" s="2">
        <f>P57*(1+0.03)/(D62-0.03)</f>
        <v>48712.030075187955</v>
      </c>
      <c r="Q58" s="4"/>
      <c r="R58" s="57"/>
      <c r="S58" s="55">
        <v>0.60000000000000009</v>
      </c>
      <c r="T58" s="4">
        <v>24173.848511114178</v>
      </c>
      <c r="U58" s="4">
        <v>22158.08397092174</v>
      </c>
      <c r="V58" s="4">
        <v>20250.19285569507</v>
      </c>
      <c r="W58" s="4">
        <v>18441.111703155555</v>
      </c>
      <c r="X58" s="4">
        <v>16722.765885363617</v>
      </c>
      <c r="Y58" s="4">
        <v>15087.93838008802</v>
      </c>
      <c r="Z58" s="4">
        <v>13530.15890234273</v>
      </c>
      <c r="AA58" s="4">
        <v>12043.609803721884</v>
      </c>
      <c r="AB58" s="4">
        <v>10623.045853750653</v>
      </c>
    </row>
    <row r="59" spans="2:30" x14ac:dyDescent="0.35">
      <c r="B59" s="67" t="s">
        <v>71</v>
      </c>
      <c r="C59" s="4"/>
      <c r="D59" s="83">
        <f>D58/(1+((D36/(1-D36))*(1-0.3)))</f>
        <v>0.73529411764705888</v>
      </c>
      <c r="E59" s="94" t="s">
        <v>97</v>
      </c>
      <c r="H59" s="4"/>
      <c r="I59" s="4"/>
      <c r="K59" s="4"/>
      <c r="L59" s="4"/>
      <c r="M59" s="4"/>
      <c r="N59" s="4"/>
      <c r="O59" s="4"/>
      <c r="P59" s="4"/>
      <c r="Q59" s="4"/>
      <c r="R59" s="57"/>
      <c r="S59" s="55">
        <v>0.65000000000000013</v>
      </c>
      <c r="T59" s="4">
        <v>25975.731857129646</v>
      </c>
      <c r="U59" s="4">
        <v>23424.189597647663</v>
      </c>
      <c r="V59" s="4">
        <v>21040.64478168749</v>
      </c>
      <c r="W59" s="4">
        <v>18808.02433315328</v>
      </c>
      <c r="X59" s="4">
        <v>16711.49476599232</v>
      </c>
      <c r="Y59" s="4">
        <v>14738.106698069289</v>
      </c>
      <c r="Z59" s="4">
        <v>12876.504996424839</v>
      </c>
      <c r="AA59" s="4">
        <v>11116.690839472409</v>
      </c>
      <c r="AB59" s="4">
        <v>9449.8251619560615</v>
      </c>
    </row>
    <row r="60" spans="2:30" x14ac:dyDescent="0.35">
      <c r="B60" s="67" t="s">
        <v>72</v>
      </c>
      <c r="C60" s="4"/>
      <c r="D60" s="86">
        <v>0</v>
      </c>
      <c r="E60" s="92" t="s">
        <v>80</v>
      </c>
      <c r="G60" s="4"/>
      <c r="H60" s="4"/>
      <c r="I60" s="4"/>
      <c r="J60" s="5" t="s">
        <v>33</v>
      </c>
      <c r="K60" s="1"/>
      <c r="L60" s="26"/>
      <c r="M60" s="65">
        <v>1</v>
      </c>
      <c r="N60" s="65">
        <f>+M60+1</f>
        <v>2</v>
      </c>
      <c r="O60" s="65">
        <f>+N60+1</f>
        <v>3</v>
      </c>
      <c r="P60" s="65">
        <f>+O60+1</f>
        <v>4</v>
      </c>
      <c r="Q60" s="4"/>
      <c r="R60" s="62" t="s">
        <v>9</v>
      </c>
      <c r="S60" s="55">
        <v>0.70000000000000018</v>
      </c>
      <c r="T60" s="4">
        <v>28428.685590879606</v>
      </c>
      <c r="U60" s="4">
        <v>25172.123310346378</v>
      </c>
      <c r="V60" s="4">
        <v>22178.580598615095</v>
      </c>
      <c r="W60" s="4">
        <v>19415.831879519923</v>
      </c>
      <c r="X60" s="4">
        <v>16856.712670598354</v>
      </c>
      <c r="Y60" s="4">
        <v>14478.163693839524</v>
      </c>
      <c r="Z60" s="4">
        <v>12260.483754832825</v>
      </c>
      <c r="AA60" s="4">
        <v>10186.740064311067</v>
      </c>
      <c r="AB60" s="4">
        <v>8242.2986080215014</v>
      </c>
    </row>
    <row r="61" spans="2:30" x14ac:dyDescent="0.35">
      <c r="B61" s="67" t="s">
        <v>79</v>
      </c>
      <c r="D61" s="84">
        <f>D59*(1+((1-0.3)*D60))</f>
        <v>0.73529411764705888</v>
      </c>
      <c r="E61" s="94" t="s">
        <v>98</v>
      </c>
      <c r="G61" s="4"/>
      <c r="H61" s="4"/>
      <c r="I61" s="4"/>
      <c r="J61" s="33" t="str">
        <f>"Discount Factor @ "&amp;TEXT(D62,"#,0%")&amp;" Ke"</f>
        <v>Discount Factor @ 10,8% Ke</v>
      </c>
      <c r="K61" s="25"/>
      <c r="L61" s="71"/>
      <c r="M61" s="97">
        <f>1/((1+$D$62)^M60)</f>
        <v>0.90233545647558389</v>
      </c>
      <c r="N61" s="97">
        <f>1/((1+$D$62)^N60)</f>
        <v>0.81420927601300042</v>
      </c>
      <c r="O61" s="97">
        <f>1/((1+$D$62)^O60)</f>
        <v>0.73468989873784551</v>
      </c>
      <c r="P61" s="97">
        <f>1/((1+$D$62)^P60)</f>
        <v>0.6629367451456144</v>
      </c>
      <c r="Q61" s="4"/>
      <c r="R61" s="57"/>
      <c r="S61" s="55">
        <v>0.75000000000000022</v>
      </c>
      <c r="T61" s="4">
        <v>31722.080700106846</v>
      </c>
      <c r="U61" s="4">
        <v>27519.081039200988</v>
      </c>
      <c r="V61" s="4">
        <v>23731.76371726955</v>
      </c>
      <c r="W61" s="4">
        <v>20298.866702430852</v>
      </c>
      <c r="X61" s="4">
        <v>17170.60768918963</v>
      </c>
      <c r="Y61" s="4">
        <v>14306.115733759183</v>
      </c>
      <c r="Z61" s="4">
        <v>11671.522915808426</v>
      </c>
      <c r="AA61" s="4">
        <v>9238.5262699512023</v>
      </c>
      <c r="AB61" s="4">
        <v>6983.2901189739314</v>
      </c>
    </row>
    <row r="62" spans="2:30" x14ac:dyDescent="0.35">
      <c r="B62" s="10" t="s">
        <v>38</v>
      </c>
      <c r="C62" s="4"/>
      <c r="D62" s="95">
        <f>0.02+D61*(0.07+0.05)</f>
        <v>0.10823529411764708</v>
      </c>
      <c r="E62" s="93" t="s">
        <v>122</v>
      </c>
      <c r="G62" s="4"/>
      <c r="H62" s="4"/>
      <c r="I62" s="4"/>
      <c r="J62" s="78" t="s">
        <v>55</v>
      </c>
      <c r="K62" s="79"/>
      <c r="L62" s="12"/>
      <c r="M62" s="12">
        <f>(M57+M58)*M61</f>
        <v>2526.539278131635</v>
      </c>
      <c r="N62" s="12">
        <f>(N57+N58)*N61</f>
        <v>2524.0487556403014</v>
      </c>
      <c r="O62" s="12">
        <f>(O57+O58)*O61</f>
        <v>2497.9456557086746</v>
      </c>
      <c r="P62" s="12">
        <f>(P57+P58)*P61</f>
        <v>34745.860624519155</v>
      </c>
      <c r="Q62" s="4"/>
      <c r="R62" s="57"/>
      <c r="S62" s="55">
        <v>0.80000000000000027</v>
      </c>
      <c r="T62" s="4">
        <v>36125.873643078943</v>
      </c>
      <c r="U62" s="4">
        <v>30622.675749042122</v>
      </c>
      <c r="V62" s="4">
        <v>25785.575830151272</v>
      </c>
      <c r="W62" s="4">
        <v>21496.659949723806</v>
      </c>
      <c r="X62" s="4">
        <v>17664.303063067575</v>
      </c>
      <c r="Y62" s="4">
        <v>14216.229852271917</v>
      </c>
      <c r="Z62" s="4">
        <v>11094.663347404992</v>
      </c>
      <c r="AA62" s="4">
        <v>8252.8634851372626</v>
      </c>
      <c r="AB62" s="4">
        <v>5652.6121874469172</v>
      </c>
    </row>
    <row r="63" spans="2:30" x14ac:dyDescent="0.35">
      <c r="C63" s="4"/>
      <c r="D63" s="4"/>
      <c r="E63" s="4"/>
      <c r="F63" s="4"/>
      <c r="G63" s="4"/>
      <c r="H63" s="4"/>
      <c r="I63" s="4"/>
      <c r="J63" s="41" t="s">
        <v>88</v>
      </c>
      <c r="K63" s="42"/>
      <c r="L63" s="43">
        <f>SUM(M62:P62)</f>
        <v>42294.394313999765</v>
      </c>
      <c r="M63" s="4"/>
      <c r="N63" s="4"/>
      <c r="O63" s="4"/>
      <c r="P63" s="4"/>
      <c r="Q63" s="4"/>
      <c r="R63" s="57"/>
      <c r="S63" s="55">
        <v>0.85000000000000031</v>
      </c>
      <c r="T63" s="4">
        <v>42038.427882368393</v>
      </c>
      <c r="U63" s="4">
        <v>34699.790559090405</v>
      </c>
      <c r="V63" s="4">
        <v>28448.811119759266</v>
      </c>
      <c r="W63" s="4">
        <v>23054.388210887853</v>
      </c>
      <c r="X63" s="4">
        <v>18346.575084651326</v>
      </c>
      <c r="Y63" s="4">
        <v>14197.606894064767</v>
      </c>
      <c r="Z63" s="4">
        <v>10509.578714165978</v>
      </c>
      <c r="AA63" s="4">
        <v>7206.2045109741994</v>
      </c>
      <c r="AB63" s="4">
        <v>4227.1627047483744</v>
      </c>
    </row>
    <row r="64" spans="2:30" x14ac:dyDescent="0.35">
      <c r="C64" s="4"/>
      <c r="D64" s="4"/>
      <c r="E64" s="4"/>
      <c r="F64" s="4"/>
      <c r="G64" s="4"/>
      <c r="H64" s="4"/>
      <c r="I64" s="4"/>
      <c r="Q64" s="4"/>
      <c r="R64" s="57"/>
      <c r="S64" s="55">
        <v>0.90000000000000036</v>
      </c>
      <c r="T64" s="4">
        <v>50072.937372406377</v>
      </c>
      <c r="U64" s="4">
        <v>40057.007363337849</v>
      </c>
      <c r="V64" s="4">
        <v>31861.797537330138</v>
      </c>
      <c r="W64" s="4">
        <v>25023.034158686598</v>
      </c>
      <c r="X64" s="4">
        <v>19221.94884626173</v>
      </c>
      <c r="Y64" s="4">
        <v>14232.418926753926</v>
      </c>
      <c r="Z64" s="4">
        <v>9889.5906187390719</v>
      </c>
      <c r="AA64" s="4">
        <v>6070.445194900065</v>
      </c>
      <c r="AB64" s="4">
        <v>2681.3209953947735</v>
      </c>
    </row>
    <row r="65" spans="3:40" x14ac:dyDescent="0.35">
      <c r="C65" s="4"/>
      <c r="D65" s="4"/>
      <c r="E65" s="4"/>
      <c r="F65" s="4"/>
      <c r="G65" s="4"/>
      <c r="H65" s="4"/>
      <c r="I65" s="4"/>
      <c r="J65" s="3" t="s">
        <v>82</v>
      </c>
      <c r="K65" s="4"/>
      <c r="L65" s="4"/>
      <c r="M65" s="4"/>
      <c r="N65" s="4"/>
      <c r="O65" s="4"/>
      <c r="P65" s="4"/>
      <c r="Q65" s="4"/>
      <c r="R65" s="4"/>
    </row>
    <row r="66" spans="3:40" x14ac:dyDescent="0.35">
      <c r="C66" s="4"/>
      <c r="D66" s="4"/>
      <c r="E66" s="4"/>
      <c r="F66" s="4"/>
      <c r="G66" s="4"/>
      <c r="H66" s="4"/>
      <c r="I66" s="4"/>
      <c r="J66" s="5" t="s">
        <v>100</v>
      </c>
      <c r="K66" s="1"/>
      <c r="L66" s="2"/>
      <c r="M66" s="2">
        <f>M16</f>
        <v>450</v>
      </c>
      <c r="N66" s="2">
        <f>N16</f>
        <v>450</v>
      </c>
      <c r="O66" s="2">
        <f>O16</f>
        <v>450</v>
      </c>
      <c r="P66" s="2">
        <f>P16</f>
        <v>450</v>
      </c>
      <c r="Q66" s="4"/>
      <c r="R66" s="4"/>
    </row>
    <row r="67" spans="3:40" x14ac:dyDescent="0.35">
      <c r="C67" s="4"/>
      <c r="D67" s="4"/>
      <c r="E67" s="4"/>
      <c r="F67" s="4"/>
      <c r="G67" s="4"/>
      <c r="H67" s="4"/>
      <c r="I67" s="4"/>
      <c r="J67" s="5" t="s">
        <v>76</v>
      </c>
      <c r="K67" s="25"/>
      <c r="L67" s="26"/>
      <c r="M67" s="26"/>
      <c r="N67" s="26"/>
      <c r="O67" s="26"/>
      <c r="P67" s="2">
        <f>P66*(1+0.03)/(E37-0.03)</f>
        <v>7725</v>
      </c>
      <c r="Q67" s="4"/>
      <c r="R67" s="4"/>
    </row>
    <row r="68" spans="3:40" x14ac:dyDescent="0.35">
      <c r="C68" s="4"/>
      <c r="D68" s="4"/>
      <c r="E68" s="4"/>
      <c r="F68" s="4"/>
      <c r="G68" s="4"/>
      <c r="H68" s="4"/>
      <c r="I68" s="4"/>
      <c r="K68" s="4"/>
      <c r="L68" s="4"/>
      <c r="M68" s="4"/>
      <c r="N68" s="4"/>
      <c r="O68" s="4"/>
      <c r="P68" s="4"/>
      <c r="Q68" s="4"/>
      <c r="R68" s="4"/>
    </row>
    <row r="69" spans="3:40" ht="17" x14ac:dyDescent="0.4">
      <c r="C69" s="4"/>
      <c r="D69" s="4"/>
      <c r="E69" s="4"/>
      <c r="F69" s="4"/>
      <c r="G69" s="4"/>
      <c r="H69" s="4"/>
      <c r="I69" s="4"/>
      <c r="J69" s="5" t="s">
        <v>33</v>
      </c>
      <c r="K69" s="1"/>
      <c r="L69" s="26"/>
      <c r="M69" s="65">
        <v>1</v>
      </c>
      <c r="N69" s="65">
        <f>+M69+1</f>
        <v>2</v>
      </c>
      <c r="O69" s="65">
        <f>+N69+1</f>
        <v>3</v>
      </c>
      <c r="P69" s="65">
        <f>+O69+1</f>
        <v>4</v>
      </c>
      <c r="Q69" s="4"/>
      <c r="R69" s="63" t="s">
        <v>64</v>
      </c>
      <c r="S69" s="64"/>
      <c r="T69" s="64"/>
      <c r="U69" s="64"/>
      <c r="V69" s="64"/>
      <c r="W69" s="64"/>
      <c r="X69" s="64"/>
      <c r="Y69" s="64"/>
      <c r="Z69" s="64"/>
      <c r="AA69" s="64"/>
      <c r="AB69" s="64"/>
    </row>
    <row r="70" spans="3:40" ht="16" thickBot="1" x14ac:dyDescent="0.4">
      <c r="C70" s="4"/>
      <c r="D70" s="4"/>
      <c r="E70" s="4"/>
      <c r="F70" s="4"/>
      <c r="G70" s="4"/>
      <c r="H70" s="4"/>
      <c r="I70" s="4"/>
      <c r="J70" s="33" t="str">
        <f>"Discount Fact.@ "&amp;TEXT(E37,"#,0%")&amp;" Kd (Pre-tax)"</f>
        <v>Discount Fact.@ 9,0% Kd (Pre-tax)</v>
      </c>
      <c r="K70" s="25"/>
      <c r="L70" s="71"/>
      <c r="M70" s="97">
        <f>1/((1+$E$37)^M69)</f>
        <v>0.9174311926605504</v>
      </c>
      <c r="N70" s="97">
        <f>1/((1+$E$37)^N69)</f>
        <v>0.84167999326655996</v>
      </c>
      <c r="O70" s="97">
        <f>1/((1+$E$37)^O69)</f>
        <v>0.77218348006106419</v>
      </c>
      <c r="P70" s="97">
        <f>1/((1+$E$37)^P69)</f>
        <v>0.7084252110651964</v>
      </c>
      <c r="Q70" s="4"/>
      <c r="R70" s="4"/>
      <c r="T70" s="61" t="s">
        <v>63</v>
      </c>
      <c r="U70" s="61"/>
      <c r="V70" s="61"/>
      <c r="W70" s="61"/>
      <c r="X70" s="61"/>
      <c r="Y70" s="61"/>
      <c r="Z70" s="61"/>
      <c r="AA70" s="61"/>
      <c r="AB70" s="61"/>
    </row>
    <row r="71" spans="3:40" ht="16" thickTop="1" x14ac:dyDescent="0.35">
      <c r="C71" s="4"/>
      <c r="D71" s="4"/>
      <c r="E71" s="4"/>
      <c r="F71" s="4"/>
      <c r="G71" s="4"/>
      <c r="H71" s="4"/>
      <c r="I71" s="4"/>
      <c r="J71" s="78" t="s">
        <v>77</v>
      </c>
      <c r="K71" s="79"/>
      <c r="L71" s="12"/>
      <c r="M71" s="12">
        <f>(M66+M67)*M70</f>
        <v>412.8440366972477</v>
      </c>
      <c r="N71" s="12">
        <f>(N66+N67)*N70</f>
        <v>378.75599696995198</v>
      </c>
      <c r="O71" s="12">
        <f>(O66+O67)*O70</f>
        <v>347.48256602747887</v>
      </c>
      <c r="P71" s="12">
        <f>(P66+P67)*P70</f>
        <v>5791.376100457981</v>
      </c>
      <c r="Q71" s="4"/>
      <c r="R71" s="4"/>
      <c r="S71" s="58">
        <f>L51</f>
        <v>20456.657892774303</v>
      </c>
      <c r="T71" s="55">
        <v>0.1</v>
      </c>
      <c r="U71" s="55">
        <v>0.11</v>
      </c>
      <c r="V71" s="55">
        <v>0.12</v>
      </c>
      <c r="W71" s="55">
        <v>0.13</v>
      </c>
      <c r="X71" s="55">
        <v>0.14000000000000001</v>
      </c>
      <c r="Y71" s="55">
        <v>0.15</v>
      </c>
      <c r="Z71" s="55">
        <v>0.16</v>
      </c>
      <c r="AA71" s="55">
        <v>0.17</v>
      </c>
      <c r="AB71" s="55">
        <v>0.18</v>
      </c>
      <c r="AC71" s="59">
        <f>S71-T72</f>
        <v>1062.452891117995</v>
      </c>
      <c r="AD71" s="60" t="s">
        <v>62</v>
      </c>
      <c r="AE71" s="58">
        <f>X53</f>
        <v>0</v>
      </c>
      <c r="AF71" s="55">
        <v>0.1</v>
      </c>
      <c r="AG71" s="55">
        <v>0.11</v>
      </c>
      <c r="AH71" s="55">
        <v>0.12</v>
      </c>
      <c r="AI71" s="55">
        <v>0.13</v>
      </c>
      <c r="AJ71" s="55">
        <v>0.14000000000000001</v>
      </c>
      <c r="AK71" s="55">
        <v>0.15</v>
      </c>
      <c r="AL71" s="55">
        <v>0.16</v>
      </c>
      <c r="AM71" s="55">
        <v>0.17</v>
      </c>
      <c r="AN71" s="55">
        <v>0.18</v>
      </c>
    </row>
    <row r="72" spans="3:40" x14ac:dyDescent="0.35">
      <c r="C72" s="4"/>
      <c r="D72" s="4"/>
      <c r="E72" s="4"/>
      <c r="F72" s="4"/>
      <c r="G72" s="4"/>
      <c r="H72" s="4"/>
      <c r="I72" s="4"/>
      <c r="J72" s="41" t="s">
        <v>87</v>
      </c>
      <c r="K72" s="42"/>
      <c r="L72" s="43">
        <f>SUM(M71:P71)</f>
        <v>6930.4587001526597</v>
      </c>
      <c r="M72" s="4"/>
      <c r="N72" s="4"/>
      <c r="O72" s="4"/>
      <c r="P72" s="4"/>
      <c r="Q72" s="4"/>
      <c r="R72" s="57"/>
      <c r="S72" s="55">
        <v>0.5</v>
      </c>
      <c r="T72" s="34">
        <f t="dataTable" ref="T72:AB80" dt2D="1" dtr="1" r1="D37" r2="D36" ca="1"/>
        <v>19394.205001656308</v>
      </c>
      <c r="U72" s="4">
        <v>18338.825482033404</v>
      </c>
      <c r="V72" s="4">
        <v>17290.757334580376</v>
      </c>
      <c r="W72" s="4">
        <v>16250.249370616508</v>
      </c>
      <c r="X72" s="4">
        <v>15217.561833955191</v>
      </c>
      <c r="Y72" s="4">
        <v>14192.967066275725</v>
      </c>
      <c r="Z72" s="4">
        <v>13176.750219624637</v>
      </c>
      <c r="AA72" s="4">
        <v>12169.210020001337</v>
      </c>
      <c r="AB72" s="4">
        <v>11170.659586368527</v>
      </c>
      <c r="AE72" s="55">
        <v>0.5</v>
      </c>
      <c r="AF72" s="69">
        <f>+T72/T56</f>
        <v>0.8810756353849073</v>
      </c>
      <c r="AG72" s="69">
        <f t="shared" ref="AG72:AN72" si="5">+U72/U56</f>
        <v>0.88439008433222044</v>
      </c>
      <c r="AH72" s="69">
        <f t="shared" si="5"/>
        <v>0.88649036336748011</v>
      </c>
      <c r="AI72" s="69">
        <f t="shared" si="5"/>
        <v>0.88725167416713646</v>
      </c>
      <c r="AJ72" s="69">
        <f t="shared" si="5"/>
        <v>0.88652547648407221</v>
      </c>
      <c r="AK72" s="69">
        <f t="shared" si="5"/>
        <v>0.88413333806544547</v>
      </c>
      <c r="AL72" s="69">
        <f t="shared" si="5"/>
        <v>0.87985874365168526</v>
      </c>
      <c r="AM72" s="69">
        <f t="shared" si="5"/>
        <v>0.87343602440135248</v>
      </c>
      <c r="AN72" s="69">
        <f t="shared" si="5"/>
        <v>0.86453515042387752</v>
      </c>
    </row>
    <row r="73" spans="3:40" x14ac:dyDescent="0.35">
      <c r="C73" s="4"/>
      <c r="D73" s="4"/>
      <c r="E73" s="4"/>
      <c r="F73" s="4"/>
      <c r="G73" s="4"/>
      <c r="H73" s="4"/>
      <c r="I73" s="4"/>
      <c r="M73" s="4"/>
      <c r="N73" s="4"/>
      <c r="O73" s="4"/>
      <c r="P73" s="4"/>
      <c r="Q73" s="4"/>
      <c r="R73" s="57"/>
      <c r="S73" s="55">
        <v>0.55000000000000004</v>
      </c>
      <c r="T73" s="4">
        <v>19215.638495760697</v>
      </c>
      <c r="U73" s="4">
        <v>17991.571876814567</v>
      </c>
      <c r="V73" s="4">
        <v>16778.868854156957</v>
      </c>
      <c r="W73" s="4">
        <v>15577.963302326729</v>
      </c>
      <c r="X73" s="4">
        <v>14389.311506045206</v>
      </c>
      <c r="Y73" s="4">
        <v>13213.393629810886</v>
      </c>
      <c r="Z73" s="4">
        <v>12050.715305138547</v>
      </c>
      <c r="AA73" s="4">
        <v>10901.809346645578</v>
      </c>
      <c r="AB73" s="4">
        <v>9767.2376094357132</v>
      </c>
      <c r="AE73" s="55">
        <v>0.55000000000000004</v>
      </c>
      <c r="AF73" s="69">
        <f t="shared" ref="AF73:AN73" si="6">+T73/T57</f>
        <v>0.83961276709530819</v>
      </c>
      <c r="AG73" s="69">
        <f t="shared" si="6"/>
        <v>0.84527302874760468</v>
      </c>
      <c r="AH73" s="69">
        <f t="shared" si="6"/>
        <v>0.84943886215406683</v>
      </c>
      <c r="AI73" s="69">
        <f t="shared" si="6"/>
        <v>0.85193443770713873</v>
      </c>
      <c r="AJ73" s="69">
        <f t="shared" si="6"/>
        <v>0.85254290766434904</v>
      </c>
      <c r="AK73" s="69">
        <f t="shared" si="6"/>
        <v>0.85099307164749538</v>
      </c>
      <c r="AL73" s="69">
        <f t="shared" si="6"/>
        <v>0.84694040011570215</v>
      </c>
      <c r="AM73" s="69">
        <f t="shared" si="6"/>
        <v>0.83993941105455916</v>
      </c>
      <c r="AN73" s="69">
        <f t="shared" si="6"/>
        <v>0.82940241459230202</v>
      </c>
    </row>
    <row r="74" spans="3:40" x14ac:dyDescent="0.35">
      <c r="C74" s="4"/>
      <c r="D74" s="4"/>
      <c r="E74" s="4"/>
      <c r="F74" s="4"/>
      <c r="G74" s="4"/>
      <c r="H74" s="4"/>
      <c r="I74" s="4"/>
      <c r="J74" s="41" t="s">
        <v>89</v>
      </c>
      <c r="K74" s="42"/>
      <c r="L74" s="43">
        <f>L63+L72</f>
        <v>49224.853014152424</v>
      </c>
      <c r="M74" s="80" t="s">
        <v>111</v>
      </c>
      <c r="N74" s="4"/>
      <c r="O74" s="4"/>
      <c r="P74" s="4"/>
      <c r="Q74" s="4"/>
      <c r="R74" s="57"/>
      <c r="S74" s="55">
        <v>0.60000000000000009</v>
      </c>
      <c r="T74" s="4">
        <v>19138.46034034088</v>
      </c>
      <c r="U74" s="4">
        <v>17718.09908263672</v>
      </c>
      <c r="V74" s="4">
        <v>16315.235660374243</v>
      </c>
      <c r="W74" s="4">
        <v>14930.612210791123</v>
      </c>
      <c r="X74" s="4">
        <v>13565.013545079459</v>
      </c>
      <c r="Y74" s="4">
        <v>12219.270272858485</v>
      </c>
      <c r="Z74" s="4">
        <v>10894.262207084639</v>
      </c>
      <c r="AA74" s="4">
        <v>9590.9220795333295</v>
      </c>
      <c r="AB74" s="4">
        <v>8310.2396008117557</v>
      </c>
      <c r="AE74" s="55">
        <v>0.60000000000000009</v>
      </c>
      <c r="AF74" s="69">
        <f t="shared" ref="AF74:AN74" si="7">+T74/T58</f>
        <v>0.79170101242016855</v>
      </c>
      <c r="AG74" s="69">
        <f t="shared" si="7"/>
        <v>0.79962234577178903</v>
      </c>
      <c r="AH74" s="69">
        <f t="shared" si="7"/>
        <v>0.80568297678141976</v>
      </c>
      <c r="AI74" s="69">
        <f t="shared" si="7"/>
        <v>0.8096373174853807</v>
      </c>
      <c r="AJ74" s="69">
        <f t="shared" si="7"/>
        <v>0.81117045099292218</v>
      </c>
      <c r="AK74" s="69">
        <f t="shared" si="7"/>
        <v>0.80987010717014862</v>
      </c>
      <c r="AL74" s="69">
        <f t="shared" si="7"/>
        <v>0.80518361134681959</v>
      </c>
      <c r="AM74" s="69">
        <f t="shared" si="7"/>
        <v>0.7963494530161056</v>
      </c>
      <c r="AN74" s="69">
        <f t="shared" si="7"/>
        <v>0.78228407513440978</v>
      </c>
    </row>
    <row r="75" spans="3:40" ht="18.5" x14ac:dyDescent="0.65">
      <c r="C75" s="4"/>
      <c r="D75" s="4"/>
      <c r="E75" s="4"/>
      <c r="F75" s="4"/>
      <c r="G75" s="4"/>
      <c r="H75" s="4"/>
      <c r="I75" s="4"/>
      <c r="J75" s="44" t="s">
        <v>17</v>
      </c>
      <c r="K75" s="44" t="s">
        <v>96</v>
      </c>
      <c r="L75" s="45">
        <f>+L40</f>
        <v>-15929.166666666668</v>
      </c>
      <c r="M75" s="98" t="str">
        <f>"[Excludes "&amp;TEXT($R$41,"#0")&amp;"-month Cash Reserve]"</f>
        <v>[Excludes 1-month Cash Reserve]</v>
      </c>
      <c r="N75" s="4"/>
      <c r="O75" s="4"/>
      <c r="P75" s="4"/>
      <c r="Q75" s="121" t="s">
        <v>110</v>
      </c>
      <c r="R75" s="57"/>
      <c r="S75" s="55">
        <v>0.65000000000000013</v>
      </c>
      <c r="T75" s="4">
        <v>19209.35774182259</v>
      </c>
      <c r="U75" s="4">
        <v>17553.414298712865</v>
      </c>
      <c r="V75" s="4">
        <v>15924.382856962302</v>
      </c>
      <c r="W75" s="4">
        <v>14323.519012505791</v>
      </c>
      <c r="X75" s="4">
        <v>12752.157983431916</v>
      </c>
      <c r="Y75" s="4">
        <v>11211.721063864034</v>
      </c>
      <c r="Z75" s="4">
        <v>9703.7227232282221</v>
      </c>
      <c r="AA75" s="4">
        <v>8229.7784290351137</v>
      </c>
      <c r="AB75" s="4">
        <v>6791.6132826883013</v>
      </c>
      <c r="AE75" s="55">
        <v>0.65000000000000013</v>
      </c>
      <c r="AF75" s="69">
        <f t="shared" ref="AF75:AN75" si="8">+T75/T59</f>
        <v>0.73951170452008397</v>
      </c>
      <c r="AG75" s="69">
        <f t="shared" si="8"/>
        <v>0.74937125254807702</v>
      </c>
      <c r="AH75" s="69">
        <f t="shared" si="8"/>
        <v>0.75683910936141685</v>
      </c>
      <c r="AI75" s="69">
        <f t="shared" si="8"/>
        <v>0.76156425357539748</v>
      </c>
      <c r="AJ75" s="69">
        <f t="shared" si="8"/>
        <v>0.76307704140161037</v>
      </c>
      <c r="AK75" s="69">
        <f t="shared" si="8"/>
        <v>0.76073007839825069</v>
      </c>
      <c r="AL75" s="69">
        <f t="shared" si="8"/>
        <v>0.75359911139881974</v>
      </c>
      <c r="AM75" s="69">
        <f t="shared" si="8"/>
        <v>0.74030829388664499</v>
      </c>
      <c r="AN75" s="69">
        <f t="shared" si="8"/>
        <v>0.71870253325221045</v>
      </c>
    </row>
    <row r="76" spans="3:40" x14ac:dyDescent="0.35">
      <c r="C76" s="4"/>
      <c r="D76" s="4"/>
      <c r="E76" s="4"/>
      <c r="F76" s="4"/>
      <c r="G76" s="4"/>
      <c r="H76" s="4"/>
      <c r="I76" s="4"/>
      <c r="J76" s="41" t="s">
        <v>90</v>
      </c>
      <c r="K76" s="46"/>
      <c r="L76" s="47">
        <f>L74+L75</f>
        <v>33295.686347485753</v>
      </c>
      <c r="M76" s="4"/>
      <c r="N76" s="4"/>
      <c r="O76" s="4"/>
      <c r="P76" s="4"/>
      <c r="Q76" s="120">
        <f>+(P58*P61+P67*P70)/L74</f>
        <v>0.76720552953405885</v>
      </c>
      <c r="R76" s="62" t="s">
        <v>9</v>
      </c>
      <c r="S76" s="55">
        <v>0.70000000000000018</v>
      </c>
      <c r="T76" s="4">
        <v>19507.798647456148</v>
      </c>
      <c r="U76" s="4">
        <v>17557.177034658554</v>
      </c>
      <c r="V76" s="4">
        <v>15648.285953931689</v>
      </c>
      <c r="W76" s="4">
        <v>13783.244126394726</v>
      </c>
      <c r="X76" s="4">
        <v>11964.316929517132</v>
      </c>
      <c r="Y76" s="4">
        <v>10193.929444207428</v>
      </c>
      <c r="Z76" s="4">
        <v>8474.680949361722</v>
      </c>
      <c r="AA76" s="4">
        <v>6809.3610624361017</v>
      </c>
      <c r="AB76" s="4">
        <v>5200.9677587002052</v>
      </c>
      <c r="AE76" s="55">
        <v>0.70000000000000018</v>
      </c>
      <c r="AF76" s="69">
        <f t="shared" ref="AF76:AN76" si="9">+T76/T60</f>
        <v>0.68620121690446967</v>
      </c>
      <c r="AG76" s="69">
        <f t="shared" si="9"/>
        <v>0.69748494468252153</v>
      </c>
      <c r="AH76" s="69">
        <f t="shared" si="9"/>
        <v>0.70555849524963832</v>
      </c>
      <c r="AI76" s="69">
        <f t="shared" si="9"/>
        <v>0.70989717112937478</v>
      </c>
      <c r="AJ76" s="69">
        <f t="shared" si="9"/>
        <v>0.70976572735830112</v>
      </c>
      <c r="AK76" s="69">
        <f t="shared" si="9"/>
        <v>0.70408994260404423</v>
      </c>
      <c r="AL76" s="69">
        <f t="shared" si="9"/>
        <v>0.69121913285201175</v>
      </c>
      <c r="AM76" s="69">
        <f t="shared" si="9"/>
        <v>0.6684534030953132</v>
      </c>
      <c r="AN76" s="69">
        <f t="shared" si="9"/>
        <v>0.63100938294550046</v>
      </c>
    </row>
    <row r="77" spans="3:40" x14ac:dyDescent="0.35">
      <c r="C77" s="4"/>
      <c r="D77" s="4"/>
      <c r="E77" s="4"/>
      <c r="F77" s="4"/>
      <c r="G77" s="4"/>
      <c r="H77" s="4"/>
      <c r="I77" s="4"/>
      <c r="K77" s="4"/>
      <c r="L77" s="4"/>
      <c r="M77" s="4"/>
      <c r="N77" s="4"/>
      <c r="O77" s="4"/>
      <c r="P77" s="4"/>
      <c r="Q77" s="4"/>
      <c r="R77" s="57"/>
      <c r="S77" s="55">
        <v>0.75000000000000022</v>
      </c>
      <c r="T77" s="4">
        <v>20180.686306758562</v>
      </c>
      <c r="U77" s="4">
        <v>17839.682289361182</v>
      </c>
      <c r="V77" s="4">
        <v>15564.73298125059</v>
      </c>
      <c r="W77" s="4">
        <v>13359.437357112609</v>
      </c>
      <c r="X77" s="4">
        <v>11227.662763626704</v>
      </c>
      <c r="Y77" s="4">
        <v>9173.5708644288825</v>
      </c>
      <c r="Z77" s="4">
        <v>7201.6467775987985</v>
      </c>
      <c r="AA77" s="4">
        <v>5316.7319137073182</v>
      </c>
      <c r="AB77" s="4">
        <v>3524.0611320554499</v>
      </c>
      <c r="AE77" s="55">
        <v>0.75000000000000022</v>
      </c>
      <c r="AF77" s="69">
        <f t="shared" ref="AF77:AN77" si="10">+T77/T61</f>
        <v>0.63617158336939073</v>
      </c>
      <c r="AG77" s="69">
        <f t="shared" si="10"/>
        <v>0.64826591643625442</v>
      </c>
      <c r="AH77" s="69">
        <f t="shared" si="10"/>
        <v>0.65586077658122688</v>
      </c>
      <c r="AI77" s="69">
        <f t="shared" si="10"/>
        <v>0.65813710454647079</v>
      </c>
      <c r="AJ77" s="69">
        <f t="shared" si="10"/>
        <v>0.65388849170990493</v>
      </c>
      <c r="AK77" s="69">
        <f t="shared" si="10"/>
        <v>0.64123421305626227</v>
      </c>
      <c r="AL77" s="69">
        <f t="shared" si="10"/>
        <v>0.61702717199351687</v>
      </c>
      <c r="AM77" s="69">
        <f t="shared" si="10"/>
        <v>0.57549567521394307</v>
      </c>
      <c r="AN77" s="69">
        <f t="shared" si="10"/>
        <v>0.50464194842491339</v>
      </c>
    </row>
    <row r="78" spans="3:40" x14ac:dyDescent="0.35">
      <c r="C78" s="4"/>
      <c r="D78" s="4"/>
      <c r="E78" s="4"/>
      <c r="F78" s="4"/>
      <c r="G78" s="4"/>
      <c r="H78" s="4"/>
      <c r="I78" s="4"/>
      <c r="K78" s="4"/>
      <c r="L78" s="59">
        <f>+L76/L41</f>
        <v>1.4268584458479752</v>
      </c>
      <c r="M78" s="110" t="s">
        <v>107</v>
      </c>
      <c r="N78" s="4"/>
      <c r="O78" s="4"/>
      <c r="P78" s="4"/>
      <c r="Q78" s="4"/>
      <c r="R78" s="57"/>
      <c r="S78" s="55">
        <v>0.80000000000000027</v>
      </c>
      <c r="T78" s="4">
        <v>21532.649589559744</v>
      </c>
      <c r="U78" s="4">
        <v>18629.341294532653</v>
      </c>
      <c r="V78" s="4">
        <v>15834.862797112972</v>
      </c>
      <c r="W78" s="4">
        <v>13155.438352742762</v>
      </c>
      <c r="X78" s="4">
        <v>10597.78196831646</v>
      </c>
      <c r="Y78" s="4">
        <v>8169.148154764538</v>
      </c>
      <c r="Z78" s="4">
        <v>5877.3896807092924</v>
      </c>
      <c r="AA78" s="4">
        <v>3731.0237096779429</v>
      </c>
      <c r="AB78" s="4">
        <v>1739.3081303200261</v>
      </c>
      <c r="AE78" s="55">
        <v>0.80000000000000027</v>
      </c>
      <c r="AF78" s="69">
        <f t="shared" ref="AF78:AN78" si="11">+T78/T62</f>
        <v>0.59604508951951685</v>
      </c>
      <c r="AG78" s="69">
        <f t="shared" si="11"/>
        <v>0.60835119201219312</v>
      </c>
      <c r="AH78" s="69">
        <f t="shared" si="11"/>
        <v>0.61409769948193849</v>
      </c>
      <c r="AI78" s="69">
        <f t="shared" si="11"/>
        <v>0.61197592479532081</v>
      </c>
      <c r="AJ78" s="69">
        <f t="shared" si="11"/>
        <v>0.59995471830837432</v>
      </c>
      <c r="AK78" s="69">
        <f t="shared" si="11"/>
        <v>0.57463534563342855</v>
      </c>
      <c r="AL78" s="69">
        <f t="shared" si="11"/>
        <v>0.52974925842017517</v>
      </c>
      <c r="AM78" s="69">
        <f t="shared" si="11"/>
        <v>0.45208838318932743</v>
      </c>
      <c r="AN78" s="69">
        <f t="shared" si="11"/>
        <v>0.30769988682093002</v>
      </c>
    </row>
    <row r="79" spans="3:40" x14ac:dyDescent="0.35">
      <c r="C79" s="4"/>
      <c r="D79" s="4"/>
      <c r="E79" s="4"/>
      <c r="F79" s="4"/>
      <c r="G79" s="4"/>
      <c r="H79" s="4"/>
      <c r="I79" s="4"/>
      <c r="K79" s="4"/>
      <c r="L79" s="59">
        <f>+L76/L51</f>
        <v>1.6276210181549964</v>
      </c>
      <c r="M79" s="110" t="s">
        <v>108</v>
      </c>
      <c r="N79" s="4"/>
      <c r="O79" s="4"/>
      <c r="P79" s="4"/>
      <c r="Q79" s="4"/>
      <c r="R79" s="57"/>
      <c r="S79" s="55">
        <v>0.85000000000000031</v>
      </c>
      <c r="T79" s="4">
        <v>24314.092062301497</v>
      </c>
      <c r="U79" s="4">
        <v>20486.869821633063</v>
      </c>
      <c r="V79" s="4">
        <v>16853.277023756382</v>
      </c>
      <c r="W79" s="4">
        <v>13424.423237755618</v>
      </c>
      <c r="X79" s="4">
        <v>10212.301949984321</v>
      </c>
      <c r="Y79" s="4">
        <v>7229.8864827769048</v>
      </c>
      <c r="Z79" s="4">
        <v>4491.2414888418079</v>
      </c>
      <c r="AA79" s="4">
        <v>2011.6545517771401</v>
      </c>
      <c r="AB79" s="4">
        <v>-192.20518636792758</v>
      </c>
      <c r="AE79" s="55">
        <v>0.85000000000000031</v>
      </c>
      <c r="AF79" s="69">
        <f t="shared" ref="AF79:AN79" si="12">+T79/T63</f>
        <v>0.57837776736887025</v>
      </c>
      <c r="AG79" s="69">
        <f t="shared" si="12"/>
        <v>0.59040327020838623</v>
      </c>
      <c r="AH79" s="69">
        <f t="shared" si="12"/>
        <v>0.59240707644372714</v>
      </c>
      <c r="AI79" s="69">
        <f t="shared" si="12"/>
        <v>0.58229362301688359</v>
      </c>
      <c r="AJ79" s="69">
        <f t="shared" si="12"/>
        <v>0.55663260869479092</v>
      </c>
      <c r="AK79" s="69">
        <f t="shared" si="12"/>
        <v>0.50923275568358772</v>
      </c>
      <c r="AL79" s="69">
        <f t="shared" si="12"/>
        <v>0.42734743332651509</v>
      </c>
      <c r="AM79" s="69">
        <f t="shared" si="12"/>
        <v>0.27915590637396254</v>
      </c>
      <c r="AN79" s="69">
        <f t="shared" si="12"/>
        <v>-4.5469076965507713E-2</v>
      </c>
    </row>
    <row r="80" spans="3:40" x14ac:dyDescent="0.35">
      <c r="C80" s="4"/>
      <c r="D80" s="4"/>
      <c r="E80" s="4"/>
      <c r="F80" s="4"/>
      <c r="G80" s="4"/>
      <c r="H80" s="4"/>
      <c r="I80" s="4"/>
      <c r="Q80" s="4"/>
      <c r="R80" s="57"/>
      <c r="S80" s="55">
        <v>0.90000000000000036</v>
      </c>
      <c r="T80" s="4">
        <v>31001.946747348302</v>
      </c>
      <c r="U80" s="4">
        <v>25248.820253380476</v>
      </c>
      <c r="V80" s="4">
        <v>19902.993723360476</v>
      </c>
      <c r="W80" s="4">
        <v>14984.859380460743</v>
      </c>
      <c r="X80" s="4">
        <v>10516.249476955903</v>
      </c>
      <c r="Y80" s="4">
        <v>6520.5927052968664</v>
      </c>
      <c r="Z80" s="4">
        <v>3023.1082190802331</v>
      </c>
      <c r="AA80" s="4">
        <v>51.059632698129462</v>
      </c>
      <c r="AB80" s="4">
        <v>-2365.886355365702</v>
      </c>
      <c r="AE80" s="55">
        <v>0.90000000000000036</v>
      </c>
      <c r="AF80" s="69">
        <f t="shared" ref="AF80:AN80" si="13">+T80/T64</f>
        <v>0.6191357722191968</v>
      </c>
      <c r="AG80" s="69">
        <f t="shared" si="13"/>
        <v>0.63032218119443051</v>
      </c>
      <c r="AH80" s="69">
        <f t="shared" si="13"/>
        <v>0.62466637985636542</v>
      </c>
      <c r="AI80" s="69">
        <f t="shared" si="13"/>
        <v>0.59884262177929515</v>
      </c>
      <c r="AJ80" s="69">
        <f t="shared" si="13"/>
        <v>0.54709590380587736</v>
      </c>
      <c r="AK80" s="69">
        <f t="shared" si="13"/>
        <v>0.45815070079475645</v>
      </c>
      <c r="AL80" s="69">
        <f t="shared" si="13"/>
        <v>0.30568588080400044</v>
      </c>
      <c r="AM80" s="69">
        <f t="shared" si="13"/>
        <v>8.4111841979935768E-3</v>
      </c>
      <c r="AN80" s="69">
        <f t="shared" si="13"/>
        <v>-0.88235849397709665</v>
      </c>
    </row>
    <row r="81" spans="3:31" x14ac:dyDescent="0.35">
      <c r="C81" s="4"/>
      <c r="D81" s="4"/>
      <c r="E81" s="4"/>
      <c r="F81" s="4"/>
      <c r="G81" s="4"/>
      <c r="H81" s="4"/>
      <c r="I81" s="4"/>
      <c r="Q81" s="4"/>
      <c r="R81" s="4"/>
      <c r="AE81" s="122" t="s">
        <v>112</v>
      </c>
    </row>
    <row r="82" spans="3:31" x14ac:dyDescent="0.35">
      <c r="C82" s="4"/>
      <c r="D82" s="4"/>
      <c r="E82" s="4"/>
      <c r="F82" s="4"/>
      <c r="G82" s="4"/>
      <c r="H82" s="4"/>
      <c r="I82" s="4"/>
      <c r="K82" s="4"/>
      <c r="L82" s="4"/>
      <c r="M82" s="4"/>
      <c r="N82" s="4"/>
      <c r="O82" s="4"/>
      <c r="P82" s="4"/>
      <c r="Q82" s="4"/>
      <c r="R82" s="4"/>
      <c r="AE82" s="119" t="s">
        <v>109</v>
      </c>
    </row>
    <row r="83" spans="3:31" x14ac:dyDescent="0.35">
      <c r="C83" s="4"/>
      <c r="D83" s="4"/>
      <c r="E83" s="4"/>
      <c r="F83" s="4"/>
      <c r="G83" s="4"/>
      <c r="H83" s="4"/>
      <c r="I83" s="4"/>
      <c r="K83" s="4"/>
      <c r="L83" s="4"/>
      <c r="M83" s="4"/>
      <c r="N83" s="4"/>
      <c r="O83" s="4"/>
      <c r="P83" s="4"/>
      <c r="Q83" s="4"/>
      <c r="S83" s="4"/>
      <c r="T83" s="52" t="s">
        <v>58</v>
      </c>
      <c r="U83" s="52" t="s">
        <v>59</v>
      </c>
      <c r="AE83" s="119" t="s">
        <v>113</v>
      </c>
    </row>
    <row r="84" spans="3:31" x14ac:dyDescent="0.35">
      <c r="C84" s="4"/>
      <c r="D84" s="4"/>
      <c r="E84" s="4"/>
      <c r="F84" s="4"/>
      <c r="G84" s="4"/>
      <c r="H84" s="4"/>
      <c r="I84" s="4"/>
      <c r="K84" s="4"/>
      <c r="L84" s="4"/>
      <c r="M84" s="4"/>
      <c r="N84" s="4"/>
      <c r="O84" s="4"/>
      <c r="P84" s="4"/>
      <c r="Q84" s="4"/>
      <c r="R84" s="53" t="s">
        <v>9</v>
      </c>
      <c r="S84" s="54" t="s">
        <v>57</v>
      </c>
      <c r="T84" s="56" t="s">
        <v>60</v>
      </c>
      <c r="U84" s="56" t="s">
        <v>61</v>
      </c>
    </row>
    <row r="85" spans="3:31" x14ac:dyDescent="0.35">
      <c r="C85" s="4"/>
      <c r="D85" s="4"/>
      <c r="E85" s="4"/>
      <c r="F85" s="4"/>
      <c r="G85" s="4"/>
      <c r="H85" s="4"/>
      <c r="I85" s="4"/>
      <c r="K85" s="4"/>
      <c r="L85" s="4"/>
      <c r="M85" s="4"/>
      <c r="N85" s="4"/>
      <c r="O85" s="4"/>
      <c r="P85" s="4"/>
      <c r="Q85" s="4"/>
      <c r="R85" s="55">
        <v>0.5</v>
      </c>
      <c r="S85" s="55">
        <v>0.1</v>
      </c>
      <c r="T85" s="4">
        <f>T56</f>
        <v>22011.963811919213</v>
      </c>
      <c r="U85" s="4">
        <f>T72</f>
        <v>19394.205001656308</v>
      </c>
      <c r="V85" s="69">
        <f t="shared" ref="V85:V93" si="14">+U85/T85</f>
        <v>0.8810756353849073</v>
      </c>
    </row>
    <row r="86" spans="3:31" x14ac:dyDescent="0.35">
      <c r="C86" s="4"/>
      <c r="D86" s="4"/>
      <c r="E86" s="4"/>
      <c r="F86" s="4"/>
      <c r="G86" s="4"/>
      <c r="H86" s="4"/>
      <c r="I86" s="4"/>
      <c r="K86" s="4"/>
      <c r="L86" s="4"/>
      <c r="M86" s="4"/>
      <c r="N86" s="4"/>
      <c r="O86" s="4"/>
      <c r="P86" s="4"/>
      <c r="Q86" s="4"/>
      <c r="R86" s="55">
        <f t="shared" ref="R86:R93" si="15">R85+0.05</f>
        <v>0.55000000000000004</v>
      </c>
      <c r="S86" s="55">
        <f t="shared" ref="S86:S93" si="16">S85+0.01</f>
        <v>0.11</v>
      </c>
      <c r="T86" s="4">
        <f>U57</f>
        <v>21284.923645880084</v>
      </c>
      <c r="U86" s="4">
        <f>U73</f>
        <v>17991.571876814567</v>
      </c>
      <c r="V86" s="69">
        <f t="shared" si="14"/>
        <v>0.84527302874760468</v>
      </c>
    </row>
    <row r="87" spans="3:31" x14ac:dyDescent="0.35">
      <c r="C87" s="4"/>
      <c r="D87" s="4"/>
      <c r="E87" s="4"/>
      <c r="F87" s="4"/>
      <c r="G87" s="4"/>
      <c r="H87" s="4"/>
      <c r="I87" s="4"/>
      <c r="K87" s="4"/>
      <c r="L87" s="4"/>
      <c r="M87" s="4"/>
      <c r="N87" s="4"/>
      <c r="O87" s="4"/>
      <c r="P87" s="4"/>
      <c r="Q87" s="4"/>
      <c r="R87" s="55">
        <f t="shared" si="15"/>
        <v>0.60000000000000009</v>
      </c>
      <c r="S87" s="55">
        <f t="shared" si="16"/>
        <v>0.12</v>
      </c>
      <c r="T87" s="4">
        <f>V58</f>
        <v>20250.19285569507</v>
      </c>
      <c r="U87" s="4">
        <f>V74</f>
        <v>16315.235660374243</v>
      </c>
      <c r="V87" s="69">
        <f t="shared" si="14"/>
        <v>0.80568297678141976</v>
      </c>
    </row>
    <row r="88" spans="3:31" x14ac:dyDescent="0.35">
      <c r="C88" s="4"/>
      <c r="D88" s="4"/>
      <c r="E88" s="4"/>
      <c r="F88" s="4"/>
      <c r="G88" s="4"/>
      <c r="H88" s="4"/>
      <c r="I88" s="4"/>
      <c r="K88" s="4"/>
      <c r="L88" s="4"/>
      <c r="M88" s="4"/>
      <c r="N88" s="4"/>
      <c r="O88" s="4"/>
      <c r="P88" s="4"/>
      <c r="Q88" s="4"/>
      <c r="R88" s="55">
        <f t="shared" si="15"/>
        <v>0.65000000000000013</v>
      </c>
      <c r="S88" s="55">
        <f t="shared" si="16"/>
        <v>0.13</v>
      </c>
      <c r="T88" s="4">
        <f>W59</f>
        <v>18808.02433315328</v>
      </c>
      <c r="U88" s="4">
        <f>W75</f>
        <v>14323.519012505791</v>
      </c>
      <c r="V88" s="69">
        <f t="shared" si="14"/>
        <v>0.76156425357539748</v>
      </c>
    </row>
    <row r="89" spans="3:31" x14ac:dyDescent="0.35">
      <c r="C89" s="4"/>
      <c r="D89" s="4"/>
      <c r="E89" s="4"/>
      <c r="F89" s="4"/>
      <c r="G89" s="4"/>
      <c r="H89" s="4"/>
      <c r="I89" s="4"/>
      <c r="K89" s="4"/>
      <c r="L89" s="4"/>
      <c r="M89" s="4"/>
      <c r="N89" s="4"/>
      <c r="O89" s="4"/>
      <c r="P89" s="4"/>
      <c r="Q89" s="4"/>
      <c r="R89" s="55">
        <f t="shared" si="15"/>
        <v>0.70000000000000018</v>
      </c>
      <c r="S89" s="55">
        <f t="shared" si="16"/>
        <v>0.14000000000000001</v>
      </c>
      <c r="T89" s="4">
        <f>X60</f>
        <v>16856.712670598354</v>
      </c>
      <c r="U89" s="4">
        <f>X76</f>
        <v>11964.316929517132</v>
      </c>
      <c r="V89" s="69">
        <f t="shared" si="14"/>
        <v>0.70976572735830112</v>
      </c>
    </row>
    <row r="90" spans="3:31" x14ac:dyDescent="0.35">
      <c r="C90" s="4"/>
      <c r="D90" s="4"/>
      <c r="E90" s="4"/>
      <c r="F90" s="4"/>
      <c r="G90" s="4"/>
      <c r="H90" s="4"/>
      <c r="I90" s="4"/>
      <c r="K90" s="4"/>
      <c r="L90" s="4"/>
      <c r="M90" s="4"/>
      <c r="N90" s="4"/>
      <c r="O90" s="4"/>
      <c r="P90" s="4"/>
      <c r="Q90" s="4"/>
      <c r="R90" s="55">
        <f t="shared" si="15"/>
        <v>0.75000000000000022</v>
      </c>
      <c r="S90" s="55">
        <f t="shared" si="16"/>
        <v>0.15000000000000002</v>
      </c>
      <c r="T90" s="4">
        <f>Y61</f>
        <v>14306.115733759183</v>
      </c>
      <c r="U90" s="4">
        <f>Y77</f>
        <v>9173.5708644288825</v>
      </c>
      <c r="V90" s="69">
        <f t="shared" si="14"/>
        <v>0.64123421305626227</v>
      </c>
    </row>
    <row r="91" spans="3:31" x14ac:dyDescent="0.35">
      <c r="C91" s="4"/>
      <c r="D91" s="4"/>
      <c r="E91" s="4"/>
      <c r="F91" s="4"/>
      <c r="G91" s="4"/>
      <c r="H91" s="4"/>
      <c r="I91" s="4"/>
      <c r="K91" s="4"/>
      <c r="L91" s="4"/>
      <c r="M91" s="4"/>
      <c r="N91" s="4"/>
      <c r="O91" s="4"/>
      <c r="P91" s="4"/>
      <c r="Q91" s="4"/>
      <c r="R91" s="55">
        <f t="shared" si="15"/>
        <v>0.80000000000000027</v>
      </c>
      <c r="S91" s="55">
        <f t="shared" si="16"/>
        <v>0.16000000000000003</v>
      </c>
      <c r="T91" s="4">
        <f>Z62</f>
        <v>11094.663347404992</v>
      </c>
      <c r="U91" s="4">
        <f>Z78</f>
        <v>5877.3896807092924</v>
      </c>
      <c r="V91" s="69">
        <f t="shared" si="14"/>
        <v>0.52974925842017517</v>
      </c>
    </row>
    <row r="92" spans="3:31" x14ac:dyDescent="0.35">
      <c r="C92" s="4"/>
      <c r="D92" s="4"/>
      <c r="E92" s="4"/>
      <c r="F92" s="4"/>
      <c r="G92" s="4"/>
      <c r="H92" s="4"/>
      <c r="I92" s="4"/>
      <c r="K92" s="4"/>
      <c r="L92" s="4"/>
      <c r="M92" s="4"/>
      <c r="N92" s="4"/>
      <c r="O92" s="4"/>
      <c r="P92" s="4"/>
      <c r="Q92" s="4"/>
      <c r="R92" s="55">
        <f t="shared" si="15"/>
        <v>0.85000000000000031</v>
      </c>
      <c r="S92" s="55">
        <f t="shared" si="16"/>
        <v>0.17000000000000004</v>
      </c>
      <c r="T92" s="4">
        <f>AA63</f>
        <v>7206.2045109741994</v>
      </c>
      <c r="U92" s="4">
        <f>AA79</f>
        <v>2011.6545517771401</v>
      </c>
      <c r="V92" s="69">
        <f t="shared" si="14"/>
        <v>0.27915590637396254</v>
      </c>
    </row>
    <row r="93" spans="3:31" x14ac:dyDescent="0.35">
      <c r="C93" s="4"/>
      <c r="D93" s="4"/>
      <c r="E93" s="4"/>
      <c r="F93" s="4"/>
      <c r="G93" s="4"/>
      <c r="H93" s="4"/>
      <c r="I93" s="4"/>
      <c r="K93" s="4"/>
      <c r="L93" s="4"/>
      <c r="M93" s="4"/>
      <c r="N93" s="4"/>
      <c r="O93" s="4"/>
      <c r="P93" s="4"/>
      <c r="Q93" s="4"/>
      <c r="R93" s="55">
        <f t="shared" si="15"/>
        <v>0.90000000000000036</v>
      </c>
      <c r="S93" s="55">
        <f t="shared" si="16"/>
        <v>0.18000000000000005</v>
      </c>
      <c r="T93" s="4">
        <f>AB64</f>
        <v>2681.3209953947735</v>
      </c>
      <c r="U93" s="4">
        <f>AB80</f>
        <v>-2365.886355365702</v>
      </c>
      <c r="V93" s="69">
        <f t="shared" si="14"/>
        <v>-0.88235849397709665</v>
      </c>
    </row>
    <row r="94" spans="3:31" x14ac:dyDescent="0.35">
      <c r="C94" s="4"/>
      <c r="D94" s="4"/>
      <c r="E94" s="4"/>
      <c r="F94" s="4"/>
      <c r="G94" s="4"/>
      <c r="H94" s="4"/>
      <c r="I94" s="4"/>
      <c r="K94" s="4"/>
      <c r="L94" s="4"/>
      <c r="M94" s="4"/>
      <c r="N94" s="4"/>
      <c r="O94" s="4"/>
      <c r="P94" s="4"/>
      <c r="Q94" s="4"/>
      <c r="R94" s="4"/>
    </row>
    <row r="95" spans="3:31" x14ac:dyDescent="0.35">
      <c r="C95" s="4"/>
      <c r="D95" s="4"/>
      <c r="E95" s="4"/>
      <c r="F95" s="4"/>
      <c r="G95" s="4"/>
      <c r="H95" s="4"/>
      <c r="I95" s="4"/>
      <c r="K95" s="4"/>
      <c r="L95" s="4"/>
      <c r="M95" s="4"/>
      <c r="N95" s="4"/>
      <c r="O95" s="4"/>
      <c r="P95" s="4"/>
      <c r="Q95" s="4"/>
      <c r="R95" s="4"/>
    </row>
    <row r="96" spans="3:31" x14ac:dyDescent="0.35">
      <c r="C96" s="4"/>
      <c r="D96" s="4"/>
      <c r="E96" s="4"/>
      <c r="F96" s="4"/>
      <c r="G96" s="4"/>
      <c r="H96" s="4"/>
      <c r="I96" s="4"/>
      <c r="K96" s="4"/>
      <c r="L96" s="4"/>
      <c r="M96" s="4"/>
      <c r="N96" s="4"/>
      <c r="O96" s="4"/>
      <c r="P96" s="4"/>
      <c r="Q96" s="4"/>
      <c r="R96" s="4"/>
    </row>
    <row r="97" spans="3:18" x14ac:dyDescent="0.35"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  <c r="P97" s="4"/>
      <c r="Q97" s="4"/>
      <c r="R97" s="4"/>
    </row>
    <row r="98" spans="3:18" x14ac:dyDescent="0.35">
      <c r="C98" s="4"/>
      <c r="D98" s="4"/>
      <c r="E98" s="4"/>
      <c r="F98" s="4"/>
      <c r="G98" s="4"/>
      <c r="H98" s="4"/>
      <c r="I98" s="4"/>
      <c r="K98" s="4"/>
      <c r="L98" s="4"/>
      <c r="M98" s="4"/>
      <c r="N98" s="4"/>
      <c r="O98" s="4"/>
      <c r="P98" s="4"/>
      <c r="Q98" s="4"/>
      <c r="R98" s="4"/>
    </row>
    <row r="99" spans="3:18" x14ac:dyDescent="0.35">
      <c r="C99" s="4"/>
      <c r="D99" s="4"/>
      <c r="E99" s="4"/>
      <c r="F99" s="4"/>
      <c r="G99" s="4"/>
      <c r="H99" s="4"/>
      <c r="I99" s="4"/>
      <c r="K99" s="4"/>
      <c r="L99" s="4"/>
      <c r="M99" s="4"/>
      <c r="N99" s="4"/>
      <c r="O99" s="4"/>
      <c r="P99" s="4"/>
      <c r="Q99" s="4"/>
      <c r="R99" s="4"/>
    </row>
    <row r="100" spans="3:18" x14ac:dyDescent="0.35">
      <c r="C100" s="4"/>
      <c r="D100" s="4"/>
      <c r="E100" s="4"/>
      <c r="F100" s="4"/>
      <c r="G100" s="4"/>
      <c r="H100" s="4"/>
      <c r="I100" s="4"/>
      <c r="K100" s="4"/>
      <c r="L100" s="4"/>
      <c r="M100" s="4"/>
      <c r="N100" s="4"/>
      <c r="O100" s="4"/>
      <c r="P100" s="4"/>
      <c r="Q100" s="4"/>
      <c r="R100" s="4"/>
    </row>
    <row r="101" spans="3:18" x14ac:dyDescent="0.35">
      <c r="C101" s="4"/>
      <c r="D101" s="4"/>
      <c r="E101" s="4"/>
      <c r="F101" s="4"/>
      <c r="G101" s="4"/>
      <c r="H101" s="4"/>
      <c r="I101" s="4"/>
      <c r="K101" s="4"/>
      <c r="L101" s="4"/>
      <c r="M101" s="4"/>
      <c r="N101" s="4"/>
      <c r="O101" s="4"/>
      <c r="P101" s="4"/>
      <c r="Q101" s="4"/>
      <c r="R101" s="4"/>
    </row>
    <row r="102" spans="3:18" x14ac:dyDescent="0.35">
      <c r="C102" s="4"/>
      <c r="D102" s="4"/>
      <c r="E102" s="4"/>
      <c r="F102" s="4"/>
      <c r="G102" s="4"/>
      <c r="H102" s="4"/>
      <c r="I102" s="4"/>
      <c r="K102" s="4"/>
      <c r="L102" s="4"/>
      <c r="M102" s="4"/>
      <c r="N102" s="4"/>
      <c r="O102" s="4"/>
      <c r="P102" s="4"/>
      <c r="Q102" s="4"/>
      <c r="R102" s="4"/>
    </row>
    <row r="103" spans="3:18" x14ac:dyDescent="0.35">
      <c r="C103" s="4"/>
      <c r="D103" s="4"/>
      <c r="E103" s="4"/>
      <c r="F103" s="4"/>
      <c r="G103" s="4"/>
      <c r="H103" s="4"/>
      <c r="I103" s="4"/>
      <c r="K103" s="4"/>
      <c r="L103" s="4"/>
      <c r="M103" s="4"/>
      <c r="N103" s="4"/>
      <c r="O103" s="4"/>
      <c r="P103" s="4"/>
      <c r="Q103" s="4"/>
      <c r="R103" s="4"/>
    </row>
    <row r="104" spans="3:18" x14ac:dyDescent="0.35">
      <c r="C104" s="4"/>
      <c r="D104" s="4"/>
      <c r="E104" s="4"/>
      <c r="F104" s="4"/>
      <c r="G104" s="4"/>
      <c r="H104" s="4"/>
      <c r="I104" s="4"/>
      <c r="K104" s="4"/>
      <c r="L104" s="4"/>
      <c r="M104" s="4"/>
      <c r="N104" s="4"/>
      <c r="O104" s="4"/>
      <c r="P104" s="4"/>
      <c r="Q104" s="4"/>
      <c r="R104" s="4"/>
    </row>
    <row r="105" spans="3:18" x14ac:dyDescent="0.35">
      <c r="C105" s="4"/>
      <c r="D105" s="4"/>
      <c r="E105" s="4"/>
      <c r="F105" s="4"/>
      <c r="G105" s="4"/>
      <c r="H105" s="4"/>
      <c r="I105" s="4"/>
      <c r="K105" s="4"/>
      <c r="L105" s="4"/>
      <c r="M105" s="4"/>
      <c r="N105" s="4"/>
      <c r="O105" s="4"/>
      <c r="P105" s="4"/>
      <c r="Q105" s="4"/>
      <c r="R105" s="4"/>
    </row>
    <row r="106" spans="3:18" x14ac:dyDescent="0.35">
      <c r="C106" s="4"/>
      <c r="D106" s="4"/>
      <c r="E106" s="4"/>
      <c r="F106" s="4"/>
      <c r="G106" s="4"/>
      <c r="H106" s="4"/>
      <c r="I106" s="4"/>
      <c r="K106" s="4"/>
      <c r="L106" s="4"/>
      <c r="M106" s="4"/>
      <c r="N106" s="4"/>
      <c r="O106" s="4"/>
      <c r="P106" s="4"/>
      <c r="Q106" s="4"/>
      <c r="R106" s="4"/>
    </row>
    <row r="107" spans="3:18" x14ac:dyDescent="0.35">
      <c r="C107" s="4"/>
      <c r="D107" s="4"/>
      <c r="E107" s="4"/>
      <c r="F107" s="4"/>
      <c r="G107" s="4"/>
      <c r="H107" s="4"/>
      <c r="I107" s="4"/>
      <c r="K107" s="4"/>
      <c r="L107" s="4"/>
      <c r="M107" s="4"/>
      <c r="N107" s="4"/>
      <c r="O107" s="4"/>
      <c r="P107" s="4"/>
      <c r="Q107" s="4"/>
      <c r="R107" s="4"/>
    </row>
    <row r="108" spans="3:18" x14ac:dyDescent="0.35">
      <c r="C108" s="4"/>
      <c r="D108" s="4"/>
      <c r="E108" s="4"/>
      <c r="F108" s="4"/>
      <c r="G108" s="4"/>
      <c r="H108" s="4"/>
      <c r="I108" s="4"/>
      <c r="K108" s="4"/>
      <c r="L108" s="4"/>
      <c r="M108" s="4"/>
      <c r="N108" s="4"/>
      <c r="O108" s="4"/>
      <c r="P108" s="4"/>
      <c r="Q108" s="4"/>
      <c r="R108" s="4"/>
    </row>
    <row r="109" spans="3:18" x14ac:dyDescent="0.35">
      <c r="C109" s="4"/>
      <c r="D109" s="4"/>
      <c r="E109" s="4"/>
      <c r="F109" s="4"/>
      <c r="G109" s="4"/>
      <c r="H109" s="4"/>
      <c r="I109" s="4"/>
      <c r="K109" s="4"/>
      <c r="L109" s="4"/>
      <c r="M109" s="4"/>
      <c r="N109" s="4"/>
      <c r="O109" s="4"/>
      <c r="P109" s="4"/>
      <c r="Q109" s="4"/>
      <c r="R109" s="4"/>
    </row>
    <row r="110" spans="3:18" x14ac:dyDescent="0.35">
      <c r="C110" s="4"/>
      <c r="D110" s="4"/>
      <c r="E110" s="4"/>
      <c r="F110" s="4"/>
      <c r="G110" s="4"/>
      <c r="H110" s="4"/>
      <c r="I110" s="4"/>
      <c r="K110" s="4"/>
      <c r="L110" s="4"/>
      <c r="M110" s="4"/>
      <c r="N110" s="4"/>
      <c r="O110" s="4"/>
      <c r="P110" s="4"/>
      <c r="Q110" s="4"/>
      <c r="R110" s="4"/>
    </row>
    <row r="111" spans="3:18" x14ac:dyDescent="0.35">
      <c r="C111" s="4"/>
      <c r="D111" s="4"/>
      <c r="E111" s="4"/>
      <c r="F111" s="4"/>
      <c r="G111" s="4"/>
      <c r="H111" s="4"/>
      <c r="I111" s="4"/>
      <c r="K111" s="4"/>
      <c r="L111" s="4"/>
      <c r="M111" s="4"/>
      <c r="N111" s="4"/>
      <c r="O111" s="4"/>
      <c r="P111" s="4"/>
      <c r="Q111" s="4"/>
      <c r="R111" s="4"/>
    </row>
    <row r="112" spans="3:18" x14ac:dyDescent="0.35">
      <c r="C112" s="4"/>
      <c r="D112" s="4"/>
      <c r="E112" s="4"/>
      <c r="F112" s="4"/>
      <c r="G112" s="4"/>
      <c r="H112" s="4"/>
      <c r="I112" s="4"/>
      <c r="K112" s="4"/>
      <c r="L112" s="4"/>
      <c r="M112" s="4"/>
      <c r="N112" s="4"/>
      <c r="O112" s="4"/>
      <c r="P112" s="4"/>
      <c r="Q112" s="4"/>
      <c r="R112" s="4"/>
    </row>
    <row r="113" spans="3:18" x14ac:dyDescent="0.35">
      <c r="C113" s="4"/>
      <c r="D113" s="4"/>
      <c r="E113" s="4"/>
      <c r="F113" s="4"/>
      <c r="G113" s="4"/>
      <c r="H113" s="4"/>
      <c r="I113" s="4"/>
      <c r="K113" s="4"/>
      <c r="L113" s="4"/>
      <c r="M113" s="4"/>
      <c r="N113" s="4"/>
      <c r="O113" s="4"/>
      <c r="P113" s="4"/>
      <c r="Q113" s="4"/>
      <c r="R113" s="4"/>
    </row>
    <row r="114" spans="3:18" x14ac:dyDescent="0.35">
      <c r="C114" s="4"/>
      <c r="D114" s="4"/>
      <c r="E114" s="4"/>
      <c r="F114" s="4"/>
      <c r="G114" s="4"/>
      <c r="H114" s="4"/>
      <c r="I114" s="4"/>
      <c r="K114" s="4"/>
      <c r="L114" s="4"/>
      <c r="M114" s="4"/>
      <c r="N114" s="4"/>
      <c r="O114" s="4"/>
      <c r="P114" s="4"/>
      <c r="Q114" s="4"/>
      <c r="R114" s="4"/>
    </row>
    <row r="115" spans="3:18" x14ac:dyDescent="0.35">
      <c r="C115" s="4"/>
      <c r="D115" s="4"/>
      <c r="E115" s="4"/>
      <c r="F115" s="4"/>
      <c r="G115" s="4"/>
      <c r="H115" s="4"/>
      <c r="I115" s="4"/>
      <c r="K115" s="4"/>
      <c r="L115" s="4"/>
      <c r="M115" s="4"/>
      <c r="N115" s="4"/>
      <c r="O115" s="4"/>
      <c r="P115" s="4"/>
      <c r="Q115" s="4"/>
      <c r="R115" s="4"/>
    </row>
    <row r="116" spans="3:18" x14ac:dyDescent="0.35">
      <c r="C116" s="4"/>
      <c r="D116" s="4"/>
      <c r="E116" s="4"/>
      <c r="F116" s="4"/>
      <c r="G116" s="4"/>
      <c r="H116" s="4"/>
      <c r="I116" s="4"/>
      <c r="K116" s="4"/>
      <c r="L116" s="4"/>
      <c r="M116" s="4"/>
      <c r="N116" s="4"/>
      <c r="O116" s="4"/>
      <c r="P116" s="4"/>
      <c r="Q116" s="4"/>
      <c r="R116" s="4"/>
    </row>
    <row r="117" spans="3:18" x14ac:dyDescent="0.35">
      <c r="C117" s="4"/>
      <c r="D117" s="4"/>
      <c r="E117" s="4"/>
      <c r="F117" s="4"/>
      <c r="G117" s="4"/>
      <c r="H117" s="4"/>
      <c r="I117" s="4"/>
      <c r="K117" s="4"/>
      <c r="L117" s="4"/>
      <c r="M117" s="4"/>
      <c r="N117" s="4"/>
      <c r="O117" s="4"/>
      <c r="P117" s="4"/>
      <c r="Q117" s="4"/>
      <c r="R117" s="4"/>
    </row>
    <row r="118" spans="3:18" x14ac:dyDescent="0.35">
      <c r="C118" s="4"/>
      <c r="D118" s="4"/>
      <c r="E118" s="4"/>
      <c r="F118" s="4"/>
      <c r="G118" s="4"/>
      <c r="H118" s="4"/>
      <c r="I118" s="4"/>
      <c r="K118" s="4"/>
      <c r="L118" s="4"/>
      <c r="M118" s="4"/>
      <c r="N118" s="4"/>
      <c r="O118" s="4"/>
      <c r="P118" s="4"/>
      <c r="Q118" s="4"/>
      <c r="R118" s="4"/>
    </row>
    <row r="119" spans="3:18" x14ac:dyDescent="0.35">
      <c r="C119" s="4"/>
      <c r="D119" s="4"/>
      <c r="E119" s="4"/>
      <c r="F119" s="4"/>
      <c r="G119" s="4"/>
      <c r="H119" s="4"/>
      <c r="I119" s="4"/>
      <c r="K119" s="4"/>
      <c r="L119" s="4"/>
      <c r="M119" s="4"/>
      <c r="N119" s="4"/>
      <c r="O119" s="4"/>
      <c r="P119" s="4"/>
      <c r="Q119" s="4"/>
      <c r="R119" s="4"/>
    </row>
    <row r="120" spans="3:18" x14ac:dyDescent="0.35">
      <c r="C120" s="4"/>
      <c r="D120" s="4"/>
      <c r="E120" s="4"/>
      <c r="F120" s="4"/>
      <c r="G120" s="4"/>
      <c r="H120" s="4"/>
      <c r="I120" s="4"/>
      <c r="K120" s="4"/>
      <c r="L120" s="4"/>
      <c r="M120" s="4"/>
      <c r="N120" s="4"/>
      <c r="O120" s="4"/>
      <c r="P120" s="4"/>
      <c r="Q120" s="4"/>
      <c r="R120" s="4"/>
    </row>
    <row r="121" spans="3:18" x14ac:dyDescent="0.35">
      <c r="C121" s="4"/>
      <c r="D121" s="4"/>
      <c r="E121" s="4"/>
      <c r="F121" s="4"/>
      <c r="G121" s="4"/>
      <c r="H121" s="4"/>
      <c r="I121" s="4"/>
      <c r="K121" s="4"/>
      <c r="L121" s="4"/>
      <c r="M121" s="4"/>
      <c r="N121" s="4"/>
      <c r="O121" s="4"/>
      <c r="P121" s="4"/>
      <c r="Q121" s="4"/>
      <c r="R12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2DE-8B21-475D-A7C3-F678793E0695}">
  <dimension ref="A1:AD121"/>
  <sheetViews>
    <sheetView showGridLines="0" topLeftCell="A27" zoomScale="87" zoomScaleNormal="90" workbookViewId="0">
      <selection activeCell="K52" sqref="K52"/>
    </sheetView>
  </sheetViews>
  <sheetFormatPr baseColWidth="10" defaultRowHeight="15.5" x14ac:dyDescent="0.35"/>
  <cols>
    <col min="1" max="1" width="3.08984375" style="5" customWidth="1"/>
    <col min="2" max="2" width="4.453125" style="5" customWidth="1"/>
    <col min="3" max="3" width="24" style="5" customWidth="1"/>
    <col min="4" max="8" width="9.54296875" style="5" customWidth="1"/>
    <col min="9" max="9" width="10.90625" style="5"/>
    <col min="10" max="10" width="4.453125" style="5" customWidth="1"/>
    <col min="11" max="11" width="27.1796875" style="5" customWidth="1"/>
    <col min="12" max="17" width="9.54296875" style="5" customWidth="1"/>
    <col min="18" max="18" width="9.08984375" style="5" bestFit="1" customWidth="1"/>
    <col min="19" max="19" width="8.81640625" style="5" customWidth="1"/>
    <col min="20" max="20" width="10" style="5" customWidth="1"/>
    <col min="21" max="25" width="8.81640625" style="5" customWidth="1"/>
    <col min="26" max="26" width="9.81640625" style="5" customWidth="1"/>
    <col min="27" max="28" width="8.81640625" style="5" customWidth="1"/>
    <col min="29" max="16384" width="10.90625" style="5"/>
  </cols>
  <sheetData>
    <row r="1" spans="1:18" ht="19" thickBot="1" x14ac:dyDescent="0.5">
      <c r="A1" s="14" t="s">
        <v>127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3" spans="1:18" ht="18.5" x14ac:dyDescent="0.45">
      <c r="B3" s="16" t="s">
        <v>25</v>
      </c>
      <c r="C3" s="17"/>
      <c r="D3" s="17"/>
      <c r="E3" s="17"/>
      <c r="F3" s="17"/>
      <c r="G3" s="17"/>
      <c r="H3" s="18"/>
      <c r="J3" s="29" t="s">
        <v>26</v>
      </c>
      <c r="K3" s="30"/>
      <c r="L3" s="30"/>
      <c r="M3" s="30"/>
      <c r="N3" s="30"/>
      <c r="O3" s="30"/>
      <c r="P3" s="31"/>
    </row>
    <row r="4" spans="1:18" ht="6" customHeight="1" x14ac:dyDescent="0.35"/>
    <row r="5" spans="1:18" ht="14" customHeight="1" x14ac:dyDescent="0.4">
      <c r="B5" s="28" t="s">
        <v>4</v>
      </c>
      <c r="C5" s="4"/>
      <c r="D5" s="89" t="s">
        <v>91</v>
      </c>
      <c r="E5" s="90" t="s">
        <v>92</v>
      </c>
      <c r="F5" s="90" t="s">
        <v>93</v>
      </c>
      <c r="G5" s="90" t="s">
        <v>94</v>
      </c>
      <c r="H5" s="90" t="s">
        <v>95</v>
      </c>
      <c r="I5" s="4"/>
      <c r="J5" s="28" t="s">
        <v>27</v>
      </c>
      <c r="K5" s="4"/>
      <c r="L5" s="89" t="s">
        <v>91</v>
      </c>
      <c r="M5" s="90" t="s">
        <v>92</v>
      </c>
      <c r="N5" s="90" t="s">
        <v>93</v>
      </c>
      <c r="O5" s="90" t="s">
        <v>94</v>
      </c>
      <c r="P5" s="90" t="s">
        <v>95</v>
      </c>
      <c r="Q5" s="73"/>
      <c r="R5" s="4"/>
    </row>
    <row r="6" spans="1:18" ht="14" customHeight="1" x14ac:dyDescent="0.35">
      <c r="B6" s="5" t="s">
        <v>2</v>
      </c>
      <c r="C6" s="1"/>
      <c r="D6" s="2">
        <v>10000</v>
      </c>
      <c r="E6" s="50">
        <f>D6+1000+((D38+0.05)*E27/D36)</f>
        <v>15000</v>
      </c>
      <c r="F6" s="50">
        <f>E6+2000</f>
        <v>17000</v>
      </c>
      <c r="G6" s="50">
        <f>F6+2000</f>
        <v>19000</v>
      </c>
      <c r="H6" s="50">
        <f>G6+2000</f>
        <v>21000</v>
      </c>
      <c r="I6" s="2"/>
      <c r="J6" s="5" t="s">
        <v>0</v>
      </c>
      <c r="K6" s="1"/>
      <c r="L6" s="2">
        <f>D8</f>
        <v>5000</v>
      </c>
      <c r="M6" s="2">
        <f>E8</f>
        <v>7500</v>
      </c>
      <c r="N6" s="2">
        <f>F8</f>
        <v>8500</v>
      </c>
      <c r="O6" s="2">
        <f>G8</f>
        <v>9500</v>
      </c>
      <c r="P6" s="2">
        <f>H8</f>
        <v>10500</v>
      </c>
      <c r="Q6" s="2"/>
      <c r="R6" s="4"/>
    </row>
    <row r="7" spans="1:18" ht="14" customHeight="1" x14ac:dyDescent="0.35">
      <c r="B7" s="5" t="s">
        <v>3</v>
      </c>
      <c r="C7" s="1"/>
      <c r="D7" s="6">
        <f>-D6*0.5</f>
        <v>-5000</v>
      </c>
      <c r="E7" s="6">
        <f>-E6*0.5</f>
        <v>-7500</v>
      </c>
      <c r="F7" s="6">
        <f>-F6*0.5</f>
        <v>-8500</v>
      </c>
      <c r="G7" s="6">
        <f>-G6*0.5</f>
        <v>-9500</v>
      </c>
      <c r="H7" s="6">
        <f>-H6*0.5</f>
        <v>-10500</v>
      </c>
      <c r="I7" s="2"/>
      <c r="J7" s="5" t="s">
        <v>17</v>
      </c>
      <c r="K7" s="5" t="s">
        <v>44</v>
      </c>
      <c r="L7" s="19">
        <f>-L6*0.3</f>
        <v>-1500</v>
      </c>
      <c r="M7" s="19">
        <f>-M6*0.3</f>
        <v>-2250</v>
      </c>
      <c r="N7" s="19">
        <f>-N6*0.3</f>
        <v>-2550</v>
      </c>
      <c r="O7" s="19">
        <f>-O6*0.3</f>
        <v>-2850</v>
      </c>
      <c r="P7" s="19">
        <f>-P6*0.3</f>
        <v>-3150</v>
      </c>
      <c r="Q7" s="19"/>
      <c r="R7" s="4"/>
    </row>
    <row r="8" spans="1:18" ht="14" customHeight="1" x14ac:dyDescent="0.35">
      <c r="B8" s="5" t="s">
        <v>0</v>
      </c>
      <c r="C8" s="1"/>
      <c r="D8" s="2">
        <f>D6+D7</f>
        <v>5000</v>
      </c>
      <c r="E8" s="2">
        <f>E6+E7</f>
        <v>7500</v>
      </c>
      <c r="F8" s="2">
        <f>F6+F7</f>
        <v>8500</v>
      </c>
      <c r="G8" s="2">
        <f>G6+G7</f>
        <v>9500</v>
      </c>
      <c r="H8" s="2">
        <f>H6+H7</f>
        <v>10500</v>
      </c>
      <c r="I8" s="2"/>
      <c r="J8" s="9" t="s">
        <v>14</v>
      </c>
      <c r="K8" s="5" t="s">
        <v>1</v>
      </c>
      <c r="L8" s="2">
        <f t="shared" ref="L8:P10" si="0">D22</f>
        <v>1000</v>
      </c>
      <c r="M8" s="2">
        <f t="shared" si="0"/>
        <v>1500</v>
      </c>
      <c r="N8" s="2">
        <f t="shared" si="0"/>
        <v>1700</v>
      </c>
      <c r="O8" s="2">
        <f t="shared" si="0"/>
        <v>1900</v>
      </c>
      <c r="P8" s="2">
        <f t="shared" si="0"/>
        <v>2100</v>
      </c>
      <c r="Q8" s="2"/>
      <c r="R8" s="4"/>
    </row>
    <row r="9" spans="1:18" ht="14" customHeight="1" x14ac:dyDescent="0.35">
      <c r="B9" s="5" t="s">
        <v>84</v>
      </c>
      <c r="C9" s="1"/>
      <c r="D9" s="6">
        <f>-D16*D37</f>
        <v>-1500</v>
      </c>
      <c r="E9" s="6">
        <f>-E16*E37</f>
        <v>-2400</v>
      </c>
      <c r="F9" s="6">
        <f>-F16*F37</f>
        <v>-2400</v>
      </c>
      <c r="G9" s="6">
        <f>-G16*G37</f>
        <v>-2400</v>
      </c>
      <c r="H9" s="6">
        <f>-H16*H37</f>
        <v>-2400</v>
      </c>
      <c r="I9" s="2"/>
      <c r="J9" s="5" t="s">
        <v>17</v>
      </c>
      <c r="K9" s="1" t="s">
        <v>18</v>
      </c>
      <c r="L9" s="2">
        <f t="shared" si="0"/>
        <v>-1500</v>
      </c>
      <c r="M9" s="2">
        <f t="shared" si="0"/>
        <v>-11600</v>
      </c>
      <c r="N9" s="2">
        <f t="shared" si="0"/>
        <v>-1800</v>
      </c>
      <c r="O9" s="2">
        <f t="shared" si="0"/>
        <v>-2000</v>
      </c>
      <c r="P9" s="2">
        <f t="shared" si="0"/>
        <v>-2200</v>
      </c>
      <c r="Q9" s="2"/>
      <c r="R9" s="4"/>
    </row>
    <row r="10" spans="1:18" ht="14" customHeight="1" x14ac:dyDescent="0.35">
      <c r="B10" s="5" t="s">
        <v>5</v>
      </c>
      <c r="C10" s="1"/>
      <c r="D10" s="2">
        <f>D8+D9</f>
        <v>3500</v>
      </c>
      <c r="E10" s="2">
        <f>E8+E9</f>
        <v>5100</v>
      </c>
      <c r="F10" s="2">
        <f>F8+F9</f>
        <v>6100</v>
      </c>
      <c r="G10" s="2">
        <f>G8+G9</f>
        <v>7100</v>
      </c>
      <c r="H10" s="2">
        <f>H8+H9</f>
        <v>8100</v>
      </c>
      <c r="I10" s="2"/>
      <c r="J10" s="5" t="s">
        <v>15</v>
      </c>
      <c r="K10" s="1" t="s">
        <v>16</v>
      </c>
      <c r="L10" s="6">
        <f t="shared" si="0"/>
        <v>-500</v>
      </c>
      <c r="M10" s="6">
        <f t="shared" si="0"/>
        <v>-750</v>
      </c>
      <c r="N10" s="6">
        <f t="shared" si="0"/>
        <v>-850</v>
      </c>
      <c r="O10" s="6">
        <f t="shared" si="0"/>
        <v>-950</v>
      </c>
      <c r="P10" s="6">
        <f t="shared" si="0"/>
        <v>-1050</v>
      </c>
      <c r="Q10" s="19"/>
      <c r="R10" s="4"/>
    </row>
    <row r="11" spans="1:18" ht="14" customHeight="1" x14ac:dyDescent="0.35">
      <c r="B11" s="5" t="s">
        <v>43</v>
      </c>
      <c r="C11" s="1"/>
      <c r="D11" s="6">
        <f>-D10*0.3</f>
        <v>-1050</v>
      </c>
      <c r="E11" s="6">
        <f>-E10*0.3</f>
        <v>-1530</v>
      </c>
      <c r="F11" s="6">
        <f>-F10*0.3</f>
        <v>-1830</v>
      </c>
      <c r="G11" s="6">
        <f>-G10*0.3</f>
        <v>-2130</v>
      </c>
      <c r="H11" s="6">
        <f>-H10*0.3</f>
        <v>-2430</v>
      </c>
      <c r="I11" s="2"/>
      <c r="J11" s="10" t="s">
        <v>27</v>
      </c>
      <c r="K11" s="1"/>
      <c r="L11" s="12">
        <f>SUM(L6:L10)</f>
        <v>2500</v>
      </c>
      <c r="M11" s="12">
        <f>SUM(M6:M10)</f>
        <v>-5600</v>
      </c>
      <c r="N11" s="12">
        <f>SUM(N6:N10)</f>
        <v>5000</v>
      </c>
      <c r="O11" s="12">
        <f>SUM(O6:O10)</f>
        <v>5600</v>
      </c>
      <c r="P11" s="12">
        <f>SUM(P6:P10)</f>
        <v>6200</v>
      </c>
      <c r="Q11" s="12"/>
      <c r="R11" s="4"/>
    </row>
    <row r="12" spans="1:18" ht="14" customHeight="1" x14ac:dyDescent="0.35">
      <c r="B12" s="10" t="s">
        <v>6</v>
      </c>
      <c r="C12" s="11"/>
      <c r="D12" s="12">
        <f>D10+D11</f>
        <v>2450</v>
      </c>
      <c r="E12" s="12">
        <f>E10+E11</f>
        <v>3570</v>
      </c>
      <c r="F12" s="12">
        <f>F10+F11</f>
        <v>4270</v>
      </c>
      <c r="G12" s="12">
        <f>G10+G11</f>
        <v>4970</v>
      </c>
      <c r="H12" s="12">
        <f>H10+H11</f>
        <v>5670</v>
      </c>
      <c r="I12" s="2"/>
      <c r="J12" s="10"/>
      <c r="K12" s="11"/>
      <c r="L12" s="102"/>
      <c r="M12" s="102"/>
      <c r="N12" s="102"/>
      <c r="O12" s="102"/>
      <c r="P12" s="102"/>
      <c r="Q12" s="12"/>
      <c r="R12" s="4"/>
    </row>
    <row r="13" spans="1:18" ht="14" customHeight="1" x14ac:dyDescent="0.35">
      <c r="C13" s="1"/>
      <c r="D13" s="101"/>
      <c r="E13" s="101"/>
      <c r="F13" s="101"/>
      <c r="G13" s="101"/>
      <c r="H13" s="101"/>
      <c r="I13" s="2"/>
      <c r="J13" s="3" t="s">
        <v>42</v>
      </c>
      <c r="K13" s="1"/>
      <c r="L13" s="2"/>
      <c r="M13" s="2"/>
      <c r="N13" s="2"/>
      <c r="O13" s="2"/>
      <c r="P13" s="2"/>
      <c r="Q13" s="2"/>
      <c r="R13" s="4"/>
    </row>
    <row r="14" spans="1:18" ht="14" customHeight="1" x14ac:dyDescent="0.4">
      <c r="B14" s="28" t="s">
        <v>7</v>
      </c>
      <c r="C14" s="1"/>
      <c r="D14" s="2"/>
      <c r="E14" s="2"/>
      <c r="F14" s="2"/>
      <c r="G14" s="2"/>
      <c r="H14" s="2"/>
      <c r="I14" s="2"/>
      <c r="J14" s="5" t="s">
        <v>27</v>
      </c>
      <c r="K14" s="1"/>
      <c r="L14" s="2">
        <f>L11</f>
        <v>2500</v>
      </c>
      <c r="M14" s="2">
        <f>M11</f>
        <v>-5600</v>
      </c>
      <c r="N14" s="2">
        <f>N11</f>
        <v>5000</v>
      </c>
      <c r="O14" s="2">
        <f>O11</f>
        <v>5600</v>
      </c>
      <c r="P14" s="2">
        <f>P11</f>
        <v>6200</v>
      </c>
      <c r="Q14" s="2"/>
      <c r="R14" s="4"/>
    </row>
    <row r="15" spans="1:18" ht="14" customHeight="1" x14ac:dyDescent="0.35">
      <c r="B15" s="5" t="s">
        <v>53</v>
      </c>
      <c r="C15" s="1"/>
      <c r="D15" s="2">
        <f>D8/D38</f>
        <v>33333.333333333336</v>
      </c>
      <c r="E15" s="2">
        <f>D15+E31-E23-E22-E24</f>
        <v>46903.333333333336</v>
      </c>
      <c r="F15" s="2">
        <f>E15+F31-F23-F22-F24</f>
        <v>51173.333333333336</v>
      </c>
      <c r="G15" s="2">
        <f>F15+G31-G23-G22-G24</f>
        <v>56143.333333333336</v>
      </c>
      <c r="H15" s="2">
        <f>G15+H31-H23-H22-H24</f>
        <v>61813.333333333336</v>
      </c>
      <c r="I15" s="2"/>
      <c r="J15" s="5" t="s">
        <v>17</v>
      </c>
      <c r="K15" s="5" t="s">
        <v>84</v>
      </c>
      <c r="L15" s="2">
        <f>D9</f>
        <v>-1500</v>
      </c>
      <c r="M15" s="2">
        <f>E9</f>
        <v>-2400</v>
      </c>
      <c r="N15" s="2">
        <f>F9</f>
        <v>-2400</v>
      </c>
      <c r="O15" s="2">
        <f>G9</f>
        <v>-2400</v>
      </c>
      <c r="P15" s="2">
        <f>H9</f>
        <v>-2400</v>
      </c>
      <c r="Q15" s="2"/>
      <c r="R15" s="4"/>
    </row>
    <row r="16" spans="1:18" ht="14" customHeight="1" x14ac:dyDescent="0.35">
      <c r="B16" s="5" t="s">
        <v>52</v>
      </c>
      <c r="D16" s="2">
        <f>D15*D36</f>
        <v>16666.666666666668</v>
      </c>
      <c r="E16" s="2">
        <f>D16+E26+E27</f>
        <v>26666.666666666668</v>
      </c>
      <c r="F16" s="2">
        <f>E16+F26+F27</f>
        <v>26666.666666666668</v>
      </c>
      <c r="G16" s="2">
        <f>F16+G26+G27</f>
        <v>26666.666666666668</v>
      </c>
      <c r="H16" s="2">
        <f>G16+H26+H27</f>
        <v>26666.666666666668</v>
      </c>
      <c r="I16" s="2"/>
      <c r="J16" s="9" t="s">
        <v>14</v>
      </c>
      <c r="K16" s="5" t="s">
        <v>28</v>
      </c>
      <c r="L16" s="6">
        <f>-L15*0.3</f>
        <v>450</v>
      </c>
      <c r="M16" s="6">
        <f>-M15*0.3</f>
        <v>720</v>
      </c>
      <c r="N16" s="6">
        <f>-N15*0.3</f>
        <v>720</v>
      </c>
      <c r="O16" s="6">
        <f>-O15*0.3</f>
        <v>720</v>
      </c>
      <c r="P16" s="6">
        <f>-P15*0.3</f>
        <v>720</v>
      </c>
      <c r="Q16" s="19"/>
      <c r="R16" s="4"/>
    </row>
    <row r="17" spans="2:18" ht="14" customHeight="1" x14ac:dyDescent="0.35">
      <c r="B17" s="5" t="s">
        <v>51</v>
      </c>
      <c r="D17" s="2">
        <f>D15-D16</f>
        <v>16666.666666666668</v>
      </c>
      <c r="E17" s="2">
        <f>D17+E12+E28+E29</f>
        <v>20236.666666666668</v>
      </c>
      <c r="F17" s="2">
        <f>E17+F12+F28+F29</f>
        <v>24506.666666666668</v>
      </c>
      <c r="G17" s="2">
        <f>F17+G12+G28+G29</f>
        <v>29476.666666666668</v>
      </c>
      <c r="H17" s="2">
        <f>G17+H12+H28+H29</f>
        <v>35146.666666666672</v>
      </c>
      <c r="I17" s="2"/>
      <c r="J17" s="5" t="s">
        <v>19</v>
      </c>
      <c r="L17" s="2">
        <f>SUM(L14:L16)</f>
        <v>1450</v>
      </c>
      <c r="M17" s="2">
        <f>SUM(M14:M16)</f>
        <v>-7280</v>
      </c>
      <c r="N17" s="2">
        <f>SUM(N14:N16)</f>
        <v>3320</v>
      </c>
      <c r="O17" s="2">
        <f>SUM(O14:O16)</f>
        <v>3920</v>
      </c>
      <c r="P17" s="2">
        <f>SUM(P14:P16)</f>
        <v>4520</v>
      </c>
      <c r="Q17" s="2"/>
      <c r="R17" s="4"/>
    </row>
    <row r="18" spans="2:18" ht="14" customHeight="1" x14ac:dyDescent="0.35">
      <c r="B18" s="36" t="s">
        <v>29</v>
      </c>
      <c r="C18" s="37"/>
      <c r="D18" s="38">
        <f>D16+D17-D15</f>
        <v>0</v>
      </c>
      <c r="E18" s="38">
        <f>E16+E17-E15</f>
        <v>0</v>
      </c>
      <c r="F18" s="38">
        <f>F16+F17-F15</f>
        <v>0</v>
      </c>
      <c r="G18" s="38">
        <f>G16+G17-G15</f>
        <v>0</v>
      </c>
      <c r="H18" s="38">
        <f>H16+H17-H15</f>
        <v>0</v>
      </c>
      <c r="I18" s="39"/>
      <c r="J18" s="36" t="s">
        <v>106</v>
      </c>
      <c r="K18" s="37"/>
      <c r="L18" s="38">
        <f>L17-D25</f>
        <v>0</v>
      </c>
      <c r="M18" s="38">
        <f>M17-E25</f>
        <v>0</v>
      </c>
      <c r="N18" s="38">
        <f>N17-F25</f>
        <v>0</v>
      </c>
      <c r="O18" s="38">
        <f>O17-G25</f>
        <v>0</v>
      </c>
      <c r="P18" s="38">
        <f>P17-H25</f>
        <v>0</v>
      </c>
      <c r="Q18" s="38"/>
      <c r="R18" s="4"/>
    </row>
    <row r="19" spans="2:18" ht="14" customHeight="1" x14ac:dyDescent="0.35">
      <c r="D19" s="2"/>
      <c r="E19" s="2"/>
      <c r="F19" s="2"/>
      <c r="G19" s="2"/>
      <c r="H19" s="2"/>
      <c r="I19" s="2"/>
      <c r="L19" s="2"/>
      <c r="M19" s="2"/>
      <c r="N19" s="2"/>
      <c r="O19" s="2"/>
      <c r="P19" s="2"/>
      <c r="Q19" s="2"/>
      <c r="R19" s="4"/>
    </row>
    <row r="20" spans="2:18" ht="14" customHeight="1" x14ac:dyDescent="0.4">
      <c r="B20" s="28" t="s">
        <v>8</v>
      </c>
      <c r="I20" s="2"/>
      <c r="J20" s="28" t="s">
        <v>30</v>
      </c>
      <c r="L20" s="2"/>
      <c r="M20" s="2"/>
      <c r="N20" s="2"/>
      <c r="O20" s="2"/>
      <c r="P20" s="2"/>
      <c r="Q20" s="2"/>
      <c r="R20" s="4"/>
    </row>
    <row r="21" spans="2:18" ht="14" customHeight="1" x14ac:dyDescent="0.35">
      <c r="B21" s="5" t="s">
        <v>6</v>
      </c>
      <c r="D21" s="2">
        <f>D12</f>
        <v>2450</v>
      </c>
      <c r="E21" s="2">
        <f>E12</f>
        <v>3570</v>
      </c>
      <c r="F21" s="2">
        <f>F12</f>
        <v>4270</v>
      </c>
      <c r="G21" s="2">
        <f>G12</f>
        <v>4970</v>
      </c>
      <c r="H21" s="2">
        <f>H12</f>
        <v>5670</v>
      </c>
      <c r="I21" s="2"/>
      <c r="J21" s="5" t="s">
        <v>27</v>
      </c>
      <c r="L21" s="2">
        <f>L11</f>
        <v>2500</v>
      </c>
      <c r="M21" s="2">
        <f>M11</f>
        <v>-5600</v>
      </c>
      <c r="N21" s="2">
        <f>N11</f>
        <v>5000</v>
      </c>
      <c r="O21" s="2">
        <f>O11</f>
        <v>5600</v>
      </c>
      <c r="P21" s="2">
        <f>P11</f>
        <v>6200</v>
      </c>
      <c r="Q21" s="2"/>
      <c r="R21" s="4"/>
    </row>
    <row r="22" spans="2:18" ht="14" customHeight="1" x14ac:dyDescent="0.35">
      <c r="B22" s="9" t="s">
        <v>14</v>
      </c>
      <c r="C22" s="5" t="s">
        <v>1</v>
      </c>
      <c r="D22" s="2">
        <f>0.1*D6</f>
        <v>1000</v>
      </c>
      <c r="E22" s="2">
        <f>0.1*E6</f>
        <v>1500</v>
      </c>
      <c r="F22" s="2">
        <f>0.1*F6</f>
        <v>1700</v>
      </c>
      <c r="G22" s="2">
        <f>0.1*G6</f>
        <v>1900</v>
      </c>
      <c r="H22" s="2">
        <f>0.1*H6</f>
        <v>2100</v>
      </c>
      <c r="I22" s="2"/>
      <c r="J22" s="5" t="s">
        <v>17</v>
      </c>
      <c r="K22" s="5" t="s">
        <v>84</v>
      </c>
      <c r="L22" s="20">
        <f t="shared" ref="L22:P23" si="1">L15</f>
        <v>-1500</v>
      </c>
      <c r="M22" s="20">
        <f t="shared" si="1"/>
        <v>-2400</v>
      </c>
      <c r="N22" s="20">
        <f t="shared" si="1"/>
        <v>-2400</v>
      </c>
      <c r="O22" s="20">
        <f t="shared" si="1"/>
        <v>-2400</v>
      </c>
      <c r="P22" s="20">
        <f t="shared" si="1"/>
        <v>-2400</v>
      </c>
      <c r="Q22" s="20"/>
      <c r="R22" s="4"/>
    </row>
    <row r="23" spans="2:18" ht="14" customHeight="1" x14ac:dyDescent="0.35">
      <c r="B23" s="5" t="s">
        <v>17</v>
      </c>
      <c r="C23" s="1" t="s">
        <v>18</v>
      </c>
      <c r="D23" s="2">
        <v>-1500</v>
      </c>
      <c r="E23" s="50">
        <f>D23-100-E27</f>
        <v>-11600</v>
      </c>
      <c r="F23" s="50">
        <f>D23-100-200</f>
        <v>-1800</v>
      </c>
      <c r="G23" s="50">
        <f>F23-200</f>
        <v>-2000</v>
      </c>
      <c r="H23" s="50">
        <f>G23-200</f>
        <v>-2200</v>
      </c>
      <c r="I23" s="2"/>
      <c r="J23" s="9" t="s">
        <v>14</v>
      </c>
      <c r="K23" s="5" t="s">
        <v>28</v>
      </c>
      <c r="L23" s="20">
        <f t="shared" si="1"/>
        <v>450</v>
      </c>
      <c r="M23" s="20">
        <f t="shared" si="1"/>
        <v>720</v>
      </c>
      <c r="N23" s="20">
        <f t="shared" si="1"/>
        <v>720</v>
      </c>
      <c r="O23" s="20">
        <f t="shared" si="1"/>
        <v>720</v>
      </c>
      <c r="P23" s="20">
        <f t="shared" si="1"/>
        <v>720</v>
      </c>
      <c r="Q23" s="20"/>
      <c r="R23" s="4"/>
    </row>
    <row r="24" spans="2:18" ht="14" customHeight="1" x14ac:dyDescent="0.35">
      <c r="B24" s="5" t="s">
        <v>15</v>
      </c>
      <c r="C24" s="1" t="s">
        <v>16</v>
      </c>
      <c r="D24" s="6">
        <f>-D6*0.05</f>
        <v>-500</v>
      </c>
      <c r="E24" s="6">
        <f>-E6*0.05</f>
        <v>-750</v>
      </c>
      <c r="F24" s="6">
        <f>-F6*0.05</f>
        <v>-850</v>
      </c>
      <c r="G24" s="6">
        <f>-G6*0.05</f>
        <v>-950</v>
      </c>
      <c r="H24" s="6">
        <f>-H6*0.05</f>
        <v>-1050</v>
      </c>
      <c r="I24" s="2"/>
      <c r="J24" s="5" t="s">
        <v>17</v>
      </c>
      <c r="K24" s="5" t="s">
        <v>20</v>
      </c>
      <c r="L24" s="2">
        <f>D26</f>
        <v>0</v>
      </c>
      <c r="M24" s="2">
        <f t="shared" ref="M24:P24" si="2">E26</f>
        <v>0</v>
      </c>
      <c r="N24" s="2">
        <f t="shared" si="2"/>
        <v>0</v>
      </c>
      <c r="O24" s="2">
        <f t="shared" si="2"/>
        <v>0</v>
      </c>
      <c r="P24" s="2">
        <f t="shared" si="2"/>
        <v>-10000</v>
      </c>
      <c r="Q24" s="2"/>
      <c r="R24" s="4"/>
    </row>
    <row r="25" spans="2:18" ht="14" customHeight="1" x14ac:dyDescent="0.35">
      <c r="B25" s="10" t="s">
        <v>19</v>
      </c>
      <c r="C25" s="1"/>
      <c r="D25" s="12">
        <f>SUM(D21:D24)</f>
        <v>1450</v>
      </c>
      <c r="E25" s="12">
        <f>SUM(E21:E24)</f>
        <v>-7280</v>
      </c>
      <c r="F25" s="12">
        <f>SUM(F21:F24)</f>
        <v>3320</v>
      </c>
      <c r="G25" s="12">
        <f>SUM(G21:G24)</f>
        <v>3920</v>
      </c>
      <c r="H25" s="12">
        <f>SUM(H21:H24)</f>
        <v>4520</v>
      </c>
      <c r="I25" s="1"/>
      <c r="J25" s="9" t="s">
        <v>14</v>
      </c>
      <c r="K25" s="5" t="s">
        <v>21</v>
      </c>
      <c r="L25" s="6">
        <f t="shared" ref="L25:P25" si="3">D27</f>
        <v>0</v>
      </c>
      <c r="M25" s="6">
        <f t="shared" si="3"/>
        <v>10000</v>
      </c>
      <c r="N25" s="6">
        <f t="shared" si="3"/>
        <v>0</v>
      </c>
      <c r="O25" s="6">
        <f t="shared" si="3"/>
        <v>0</v>
      </c>
      <c r="P25" s="6">
        <f t="shared" si="3"/>
        <v>10000</v>
      </c>
      <c r="Q25" s="19"/>
      <c r="R25" s="4"/>
    </row>
    <row r="26" spans="2:18" ht="14" customHeight="1" x14ac:dyDescent="0.35">
      <c r="B26" s="5" t="s">
        <v>17</v>
      </c>
      <c r="C26" s="5" t="s">
        <v>20</v>
      </c>
      <c r="D26" s="50">
        <v>0</v>
      </c>
      <c r="E26" s="50">
        <v>0</v>
      </c>
      <c r="F26" s="50">
        <v>0</v>
      </c>
      <c r="G26" s="50">
        <v>0</v>
      </c>
      <c r="H26" s="2">
        <f>-E27</f>
        <v>-10000</v>
      </c>
      <c r="I26" s="2"/>
      <c r="J26" s="10" t="s">
        <v>30</v>
      </c>
      <c r="L26" s="21">
        <f>SUM(L21:L25)</f>
        <v>1450</v>
      </c>
      <c r="M26" s="21">
        <f>SUM(M21:M25)</f>
        <v>2720</v>
      </c>
      <c r="N26" s="21">
        <f>SUM(N21:N25)</f>
        <v>3320</v>
      </c>
      <c r="O26" s="21">
        <f>SUM(O21:O25)</f>
        <v>3920</v>
      </c>
      <c r="P26" s="21">
        <f>SUM(P21:P25)</f>
        <v>4520</v>
      </c>
      <c r="Q26" s="21"/>
      <c r="R26" s="2"/>
    </row>
    <row r="27" spans="2:18" ht="14" customHeight="1" x14ac:dyDescent="0.35">
      <c r="B27" s="9" t="s">
        <v>14</v>
      </c>
      <c r="C27" s="5" t="s">
        <v>21</v>
      </c>
      <c r="D27" s="50">
        <f>-D26</f>
        <v>0</v>
      </c>
      <c r="E27" s="50">
        <v>10000</v>
      </c>
      <c r="F27" s="50">
        <f>-F26</f>
        <v>0</v>
      </c>
      <c r="G27" s="50">
        <f>-G26</f>
        <v>0</v>
      </c>
      <c r="H27" s="2">
        <f>-H26</f>
        <v>10000</v>
      </c>
      <c r="I27" s="2"/>
      <c r="J27" s="72"/>
      <c r="K27" s="22"/>
      <c r="L27" s="19"/>
      <c r="M27" s="19"/>
      <c r="N27" s="19"/>
      <c r="O27" s="19"/>
      <c r="P27" s="19"/>
      <c r="Q27" s="19"/>
      <c r="R27" s="2"/>
    </row>
    <row r="28" spans="2:18" ht="14" customHeight="1" x14ac:dyDescent="0.35">
      <c r="B28" s="5" t="s">
        <v>17</v>
      </c>
      <c r="C28" s="5" t="s">
        <v>105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R28" s="2"/>
    </row>
    <row r="29" spans="2:18" ht="14" customHeight="1" x14ac:dyDescent="0.35">
      <c r="B29" s="9" t="s">
        <v>14</v>
      </c>
      <c r="C29" s="5" t="s">
        <v>22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2"/>
      <c r="J29" s="22"/>
      <c r="K29" s="22"/>
      <c r="L29" s="22"/>
      <c r="M29" s="22"/>
      <c r="N29" s="22"/>
      <c r="O29" s="22"/>
      <c r="P29" s="22"/>
      <c r="Q29" s="22"/>
      <c r="R29" s="2"/>
    </row>
    <row r="30" spans="2:18" ht="14" customHeight="1" x14ac:dyDescent="0.4">
      <c r="B30" s="10" t="s">
        <v>23</v>
      </c>
      <c r="D30" s="13">
        <f>SUM(D26:D29)</f>
        <v>0</v>
      </c>
      <c r="E30" s="13">
        <f>SUM(E26:E29)</f>
        <v>10000</v>
      </c>
      <c r="F30" s="13">
        <f>SUM(F26:F29)</f>
        <v>0</v>
      </c>
      <c r="G30" s="13">
        <f>SUM(G26:G29)</f>
        <v>0</v>
      </c>
      <c r="H30" s="13">
        <f>SUM(H26:H29)</f>
        <v>0</v>
      </c>
      <c r="I30" s="2"/>
      <c r="J30" s="35" t="s">
        <v>31</v>
      </c>
      <c r="K30" s="22"/>
      <c r="L30" s="89" t="s">
        <v>91</v>
      </c>
      <c r="M30" s="90" t="s">
        <v>92</v>
      </c>
      <c r="N30" s="90" t="s">
        <v>93</v>
      </c>
      <c r="O30" s="90" t="s">
        <v>94</v>
      </c>
      <c r="P30" s="90" t="s">
        <v>95</v>
      </c>
      <c r="Q30" s="73"/>
      <c r="R30" s="2"/>
    </row>
    <row r="31" spans="2:18" ht="14" customHeight="1" x14ac:dyDescent="0.4">
      <c r="B31" s="10" t="s">
        <v>24</v>
      </c>
      <c r="C31" s="1"/>
      <c r="D31" s="12">
        <f>D25+D30</f>
        <v>1450</v>
      </c>
      <c r="E31" s="12">
        <f>E25+E30</f>
        <v>2720</v>
      </c>
      <c r="F31" s="12">
        <f>F25+F30</f>
        <v>3320</v>
      </c>
      <c r="G31" s="12">
        <f>G25+G30</f>
        <v>3920</v>
      </c>
      <c r="H31" s="12">
        <f>H25+H30</f>
        <v>4520</v>
      </c>
      <c r="I31" s="2"/>
      <c r="J31" s="35" t="s">
        <v>46</v>
      </c>
      <c r="K31" s="24"/>
      <c r="L31" s="23"/>
      <c r="M31" s="23"/>
      <c r="N31" s="23"/>
      <c r="O31" s="23"/>
      <c r="P31" s="23"/>
      <c r="Q31" s="23"/>
      <c r="R31" s="2"/>
    </row>
    <row r="32" spans="2:18" ht="14" customHeight="1" x14ac:dyDescent="0.35">
      <c r="B32" s="5" t="s">
        <v>49</v>
      </c>
      <c r="C32" s="1"/>
      <c r="D32" s="2">
        <v>0</v>
      </c>
      <c r="E32" s="2">
        <f>D33</f>
        <v>1450</v>
      </c>
      <c r="F32" s="2">
        <f>E33</f>
        <v>4170</v>
      </c>
      <c r="G32" s="2">
        <f>F33</f>
        <v>7490</v>
      </c>
      <c r="H32" s="2">
        <f>G33</f>
        <v>11410</v>
      </c>
      <c r="I32" s="2"/>
      <c r="J32" s="5" t="s">
        <v>36</v>
      </c>
      <c r="K32" s="1"/>
      <c r="L32" s="2"/>
      <c r="M32" s="2">
        <f>M11</f>
        <v>-5600</v>
      </c>
      <c r="N32" s="2">
        <f>N11</f>
        <v>5000</v>
      </c>
      <c r="O32" s="2">
        <f>O11</f>
        <v>5600</v>
      </c>
      <c r="P32" s="2">
        <f>P11</f>
        <v>6200</v>
      </c>
      <c r="Q32" s="2"/>
      <c r="R32" s="2"/>
    </row>
    <row r="33" spans="2:19" ht="14" customHeight="1" x14ac:dyDescent="0.35">
      <c r="B33" s="5" t="s">
        <v>50</v>
      </c>
      <c r="D33" s="2">
        <f>D31+D32</f>
        <v>1450</v>
      </c>
      <c r="E33" s="2">
        <f>E31+E32</f>
        <v>4170</v>
      </c>
      <c r="F33" s="2">
        <f>F31+F32</f>
        <v>7490</v>
      </c>
      <c r="G33" s="2">
        <f>G31+G32</f>
        <v>11410</v>
      </c>
      <c r="H33" s="2">
        <f>H31+H32</f>
        <v>15930</v>
      </c>
      <c r="I33" s="4"/>
      <c r="J33" s="5" t="s">
        <v>47</v>
      </c>
      <c r="K33" s="25"/>
      <c r="L33" s="26"/>
      <c r="M33" s="26"/>
      <c r="N33" s="26"/>
      <c r="O33" s="26"/>
      <c r="P33" s="2">
        <f>P32*(1+0.03)/(D49-0.03)</f>
        <v>74807.135680184554</v>
      </c>
      <c r="Q33" s="2"/>
      <c r="R33" s="4"/>
    </row>
    <row r="34" spans="2:19" ht="14" customHeight="1" x14ac:dyDescent="0.35">
      <c r="I34" s="4"/>
      <c r="J34" s="22"/>
      <c r="K34" s="25"/>
      <c r="L34" s="26"/>
      <c r="M34" s="26"/>
      <c r="N34" s="26"/>
      <c r="O34" s="26"/>
      <c r="P34" s="26"/>
      <c r="Q34" s="26"/>
      <c r="R34" s="4"/>
    </row>
    <row r="35" spans="2:19" ht="14" customHeight="1" x14ac:dyDescent="0.4">
      <c r="B35" s="28" t="s">
        <v>32</v>
      </c>
      <c r="D35" s="89" t="s">
        <v>91</v>
      </c>
      <c r="E35" s="90" t="s">
        <v>92</v>
      </c>
      <c r="F35" s="90" t="s">
        <v>93</v>
      </c>
      <c r="G35" s="90" t="s">
        <v>94</v>
      </c>
      <c r="H35" s="90" t="s">
        <v>95</v>
      </c>
      <c r="I35" s="4"/>
      <c r="J35" s="5" t="s">
        <v>33</v>
      </c>
      <c r="K35" s="1"/>
      <c r="L35" s="26"/>
      <c r="M35" s="65">
        <v>1</v>
      </c>
      <c r="N35" s="65">
        <f>+M35+1</f>
        <v>2</v>
      </c>
      <c r="O35" s="65">
        <f>+N35+1</f>
        <v>3</v>
      </c>
      <c r="P35" s="65">
        <f>+O35+1</f>
        <v>4</v>
      </c>
      <c r="R35" s="4"/>
    </row>
    <row r="36" spans="2:19" ht="14" customHeight="1" x14ac:dyDescent="0.35">
      <c r="B36" s="5" t="s">
        <v>35</v>
      </c>
      <c r="C36" s="4"/>
      <c r="D36" s="126">
        <f>+'Caso A'!D36</f>
        <v>0.5</v>
      </c>
      <c r="E36" s="7">
        <f>E16/E15</f>
        <v>0.56854523488025011</v>
      </c>
      <c r="F36" s="7">
        <f>F16/F15</f>
        <v>0.52110474205315271</v>
      </c>
      <c r="G36" s="7">
        <f>G16/G15</f>
        <v>0.47497476696550495</v>
      </c>
      <c r="H36" s="7">
        <f>H16/H15</f>
        <v>0.43140638481449528</v>
      </c>
      <c r="I36" s="4"/>
      <c r="J36" s="33" t="str">
        <f>"Discount Factor @ "&amp;TEXT($D$49,"#,0%")&amp;" WACC"</f>
        <v>Discount Factor @ 11,5% WACC</v>
      </c>
      <c r="K36" s="25"/>
      <c r="L36" s="32"/>
      <c r="M36" s="32">
        <f>1/((1+$D$49)^M35)</f>
        <v>0.89656653649471285</v>
      </c>
      <c r="N36" s="32">
        <f>1/((1+$D$49)^N35)</f>
        <v>0.80383155436212528</v>
      </c>
      <c r="O36" s="32">
        <f>1/((1+$D$49)^O35)</f>
        <v>0.72068847261961211</v>
      </c>
      <c r="P36" s="32">
        <f>1/((1+$D$49)^P35)</f>
        <v>0.64614516778823028</v>
      </c>
      <c r="Q36" s="32"/>
      <c r="R36" s="4"/>
    </row>
    <row r="37" spans="2:19" ht="14" customHeight="1" x14ac:dyDescent="0.35">
      <c r="B37" s="5" t="s">
        <v>10</v>
      </c>
      <c r="C37" s="4"/>
      <c r="D37" s="126">
        <f>+'Caso A'!D37</f>
        <v>0.09</v>
      </c>
      <c r="E37" s="7">
        <f>D37</f>
        <v>0.09</v>
      </c>
      <c r="F37" s="7">
        <f t="shared" ref="F37:H37" si="4">E37</f>
        <v>0.09</v>
      </c>
      <c r="G37" s="7">
        <f t="shared" si="4"/>
        <v>0.09</v>
      </c>
      <c r="H37" s="7">
        <f t="shared" si="4"/>
        <v>0.09</v>
      </c>
      <c r="I37" s="4"/>
      <c r="J37" s="22" t="s">
        <v>55</v>
      </c>
      <c r="K37" s="25"/>
      <c r="L37" s="2"/>
      <c r="M37" s="2">
        <f>(M32+M33)*M36</f>
        <v>-5020.7726043703924</v>
      </c>
      <c r="N37" s="2">
        <f>(N32+N33)*N36</f>
        <v>4019.1577718106264</v>
      </c>
      <c r="O37" s="2">
        <f>(O32+O33)*O36</f>
        <v>4035.8554466698279</v>
      </c>
      <c r="P37" s="2">
        <f>(P32+P33)*P36</f>
        <v>52342.369276116784</v>
      </c>
      <c r="Q37" s="2"/>
      <c r="R37" s="4"/>
    </row>
    <row r="38" spans="2:19" ht="14" customHeight="1" x14ac:dyDescent="0.65">
      <c r="B38" s="5" t="s">
        <v>74</v>
      </c>
      <c r="C38" s="4"/>
      <c r="D38" s="126">
        <f>+'Caso A'!D38</f>
        <v>0.15</v>
      </c>
      <c r="E38" s="74">
        <f>E8/E15</f>
        <v>0.15990334731007036</v>
      </c>
      <c r="F38" s="74">
        <f>F8/F15</f>
        <v>0.16610213652944242</v>
      </c>
      <c r="G38" s="74">
        <f>G8/G15</f>
        <v>0.16920976073146113</v>
      </c>
      <c r="H38" s="74">
        <f>H8/H15</f>
        <v>0.16986626402070751</v>
      </c>
      <c r="I38" s="4"/>
      <c r="Q38" s="121" t="s">
        <v>110</v>
      </c>
      <c r="R38" s="4"/>
    </row>
    <row r="39" spans="2:19" ht="14" customHeight="1" x14ac:dyDescent="0.35">
      <c r="B39" s="5" t="s">
        <v>75</v>
      </c>
      <c r="C39" s="4"/>
      <c r="D39" s="7">
        <f>D12/D17</f>
        <v>0.14699999999999999</v>
      </c>
      <c r="E39" s="7">
        <f>E12/E17</f>
        <v>0.17641245264371602</v>
      </c>
      <c r="F39" s="7">
        <f>F12/F17</f>
        <v>0.17423830250272035</v>
      </c>
      <c r="G39" s="7">
        <f>G12/G17</f>
        <v>0.16860793848241545</v>
      </c>
      <c r="H39" s="7">
        <f>H12/H17</f>
        <v>0.16132397572078905</v>
      </c>
      <c r="I39" s="4"/>
      <c r="J39" s="41" t="s">
        <v>34</v>
      </c>
      <c r="K39" s="42"/>
      <c r="L39" s="43">
        <f>SUM(M37:P37)</f>
        <v>55376.609890226842</v>
      </c>
      <c r="M39" s="27"/>
      <c r="N39" s="27"/>
      <c r="O39" s="27"/>
      <c r="P39" s="96"/>
      <c r="Q39" s="120">
        <f>+P33*P36/L39</f>
        <v>0.8728643615354359</v>
      </c>
      <c r="R39" s="4"/>
    </row>
    <row r="40" spans="2:19" ht="14" customHeight="1" x14ac:dyDescent="0.35">
      <c r="B40" s="5" t="s">
        <v>13</v>
      </c>
      <c r="C40" s="4"/>
      <c r="D40" s="8">
        <f>D16/(D8+D22)</f>
        <v>2.7777777777777781</v>
      </c>
      <c r="E40" s="8">
        <f>E16/(E8+E22)</f>
        <v>2.9629629629629632</v>
      </c>
      <c r="F40" s="8">
        <f>F16/(F8+F22)</f>
        <v>2.6143790849673203</v>
      </c>
      <c r="G40" s="8">
        <f>G16/(G8+G22)</f>
        <v>2.3391812865497079</v>
      </c>
      <c r="H40" s="8">
        <f>H16/(H8+H22)</f>
        <v>2.1164021164021163</v>
      </c>
      <c r="I40" s="4"/>
      <c r="J40" s="44" t="s">
        <v>17</v>
      </c>
      <c r="K40" s="44" t="s">
        <v>96</v>
      </c>
      <c r="L40" s="45">
        <f>-D16+D33+R40</f>
        <v>-15929.166666666668</v>
      </c>
      <c r="M40" s="98" t="str">
        <f>"[Excludes "&amp;TEXT($R$41,"#0")&amp;"-month Cash Reserve]"</f>
        <v>[Excludes 1-month Cash Reserve]</v>
      </c>
      <c r="R40" s="76">
        <f>(D7+D9+D11+D22+D23+D24)/12*R41</f>
        <v>-712.5</v>
      </c>
      <c r="S40" s="77"/>
    </row>
    <row r="41" spans="2:19" ht="14" customHeight="1" x14ac:dyDescent="0.35">
      <c r="B41" s="5" t="s">
        <v>11</v>
      </c>
      <c r="C41" s="4"/>
      <c r="D41" s="8">
        <f>(D8+D22)/-D9</f>
        <v>4</v>
      </c>
      <c r="E41" s="8">
        <f>(E8+E22)/-E9</f>
        <v>3.75</v>
      </c>
      <c r="F41" s="8">
        <f>(F8+F22)/-F9</f>
        <v>4.25</v>
      </c>
      <c r="G41" s="8">
        <f>(G8+G22)/-G9</f>
        <v>4.75</v>
      </c>
      <c r="H41" s="8">
        <f>(H8+H22)/-H9</f>
        <v>5.25</v>
      </c>
      <c r="I41" s="4"/>
      <c r="J41" s="48" t="s">
        <v>37</v>
      </c>
      <c r="K41" s="46"/>
      <c r="L41" s="47">
        <f>L39+L40</f>
        <v>39447.443223560171</v>
      </c>
      <c r="M41" s="99" t="s">
        <v>102</v>
      </c>
      <c r="N41" s="4"/>
      <c r="O41" s="4"/>
      <c r="P41" s="4"/>
      <c r="Q41" s="4"/>
      <c r="R41" s="77">
        <v>1</v>
      </c>
      <c r="S41" s="77" t="s">
        <v>117</v>
      </c>
    </row>
    <row r="42" spans="2:19" ht="14" customHeight="1" x14ac:dyDescent="0.35">
      <c r="B42" s="5" t="s">
        <v>12</v>
      </c>
      <c r="C42" s="4"/>
      <c r="D42" s="8">
        <f>L11/-D9</f>
        <v>1.6666666666666667</v>
      </c>
      <c r="E42" s="8">
        <f>M11/-E9</f>
        <v>-2.3333333333333335</v>
      </c>
      <c r="F42" s="8">
        <f>N11/-F9</f>
        <v>2.0833333333333335</v>
      </c>
      <c r="G42" s="8">
        <f>O11/-G9</f>
        <v>2.3333333333333335</v>
      </c>
      <c r="H42" s="8">
        <f>P11/-H9</f>
        <v>2.5833333333333335</v>
      </c>
      <c r="I42" s="4"/>
      <c r="K42" s="4"/>
      <c r="L42" s="4"/>
      <c r="M42" s="4"/>
      <c r="N42" s="4"/>
      <c r="O42" s="4"/>
      <c r="P42" s="4"/>
      <c r="Q42" s="4"/>
      <c r="R42" s="4"/>
    </row>
    <row r="43" spans="2:19" ht="14" customHeight="1" x14ac:dyDescent="0.4">
      <c r="C43" s="4"/>
      <c r="D43" s="4"/>
      <c r="E43" s="4"/>
      <c r="F43" s="4"/>
      <c r="G43" s="4"/>
      <c r="H43" s="4"/>
      <c r="I43" s="4"/>
      <c r="J43" s="35" t="s">
        <v>45</v>
      </c>
      <c r="K43" s="24"/>
      <c r="L43" s="23"/>
      <c r="M43" s="23"/>
      <c r="N43" s="23"/>
      <c r="O43" s="23"/>
      <c r="P43" s="23"/>
      <c r="Q43" s="23"/>
      <c r="R43" s="4"/>
    </row>
    <row r="44" spans="2:19" ht="14" customHeight="1" x14ac:dyDescent="0.35">
      <c r="I44" s="4"/>
      <c r="J44" s="5" t="s">
        <v>41</v>
      </c>
      <c r="K44" s="1"/>
      <c r="L44" s="2"/>
      <c r="M44" s="2">
        <f>M26</f>
        <v>2720</v>
      </c>
      <c r="N44" s="2">
        <f>N26</f>
        <v>3320</v>
      </c>
      <c r="O44" s="2">
        <f>O26</f>
        <v>3920</v>
      </c>
      <c r="P44" s="2">
        <f>P26</f>
        <v>4520</v>
      </c>
      <c r="Q44" s="2"/>
      <c r="R44" s="4"/>
    </row>
    <row r="45" spans="2:19" ht="14" customHeight="1" x14ac:dyDescent="0.4">
      <c r="B45" s="28" t="s">
        <v>56</v>
      </c>
      <c r="C45" s="4"/>
      <c r="D45" s="4"/>
      <c r="E45" s="65" t="s">
        <v>66</v>
      </c>
      <c r="F45" s="65"/>
      <c r="G45" s="65"/>
      <c r="H45" s="66"/>
      <c r="I45" s="4"/>
      <c r="J45" s="22" t="s">
        <v>119</v>
      </c>
      <c r="P45" s="20">
        <f>+P44*(1+0.03)/(D47-0.03)</f>
        <v>37215.699800923314</v>
      </c>
      <c r="Q45" s="20"/>
      <c r="R45" s="4"/>
    </row>
    <row r="46" spans="2:19" ht="14" customHeight="1" x14ac:dyDescent="0.35">
      <c r="B46" s="5" t="s">
        <v>86</v>
      </c>
      <c r="C46" s="4"/>
      <c r="D46" s="81">
        <f>D37*(1-0.3)</f>
        <v>6.3E-2</v>
      </c>
      <c r="E46" s="92" t="str">
        <f>"Kd of "&amp;TEXT(D37,"#0,0%")&amp;", after income tax of 30%"</f>
        <v>Kd of 9,0%, after income tax of 30%</v>
      </c>
      <c r="H46" s="4"/>
      <c r="I46" s="4"/>
    </row>
    <row r="47" spans="2:19" ht="14" customHeight="1" x14ac:dyDescent="0.35">
      <c r="B47" s="5" t="s">
        <v>38</v>
      </c>
      <c r="C47" s="4"/>
      <c r="D47" s="85">
        <f>0.02+D55*(0.07+0.05)</f>
        <v>0.15509774167633672</v>
      </c>
      <c r="E47" s="92" t="str">
        <f>"Risk-free rate 2% + Beta "&amp;TEXT(D55,"#0,00")&amp;" * ¨Private¨ ERP 12%"</f>
        <v>Risk-free rate 2% + Beta 1,13 * ¨Private¨ ERP 12%</v>
      </c>
      <c r="H47" s="4"/>
      <c r="I47" s="4"/>
      <c r="J47" s="5" t="s">
        <v>33</v>
      </c>
      <c r="K47" s="1"/>
      <c r="L47" s="26"/>
      <c r="M47" s="65">
        <v>1</v>
      </c>
      <c r="N47" s="65">
        <f>+M47+1</f>
        <v>2</v>
      </c>
      <c r="O47" s="65">
        <f>+N47+1</f>
        <v>3</v>
      </c>
      <c r="P47" s="65">
        <f>+O47+1</f>
        <v>4</v>
      </c>
    </row>
    <row r="48" spans="2:19" ht="14" customHeight="1" x14ac:dyDescent="0.35">
      <c r="B48" s="5" t="s">
        <v>39</v>
      </c>
      <c r="D48" s="100">
        <f>+H36</f>
        <v>0.43140638481449528</v>
      </c>
      <c r="E48" s="92" t="s">
        <v>67</v>
      </c>
      <c r="H48" s="4"/>
      <c r="I48" s="4"/>
      <c r="J48" s="33" t="str">
        <f>"Discount Factor @ "&amp;TEXT($D$47,"#,0%")&amp;" Ke"</f>
        <v>Discount Factor @ 15,5% Ke</v>
      </c>
      <c r="K48" s="25"/>
      <c r="L48" s="32"/>
      <c r="M48" s="32">
        <f>1/((1+$D$47)^M47)</f>
        <v>0.86572760375130586</v>
      </c>
      <c r="N48" s="32">
        <f>1/((1+$D$47)^N47)</f>
        <v>0.74948428389697808</v>
      </c>
      <c r="O48" s="32">
        <f>1/((1+$D$47)^O47)</f>
        <v>0.64884923314739429</v>
      </c>
      <c r="P48" s="32">
        <f>1/((1+$D$47)^P47)</f>
        <v>0.56172669180856605</v>
      </c>
      <c r="Q48" s="32"/>
      <c r="R48" s="4"/>
      <c r="S48" s="68" t="s">
        <v>118</v>
      </c>
    </row>
    <row r="49" spans="2:30" ht="14" customHeight="1" x14ac:dyDescent="0.35">
      <c r="B49" s="10" t="s">
        <v>40</v>
      </c>
      <c r="C49" s="4"/>
      <c r="D49" s="75">
        <f>D46*D48+D47*(1-D48)</f>
        <v>0.115366187890169</v>
      </c>
      <c r="E49" s="93" t="s">
        <v>68</v>
      </c>
      <c r="F49" s="4"/>
      <c r="G49" s="4"/>
      <c r="H49" s="4"/>
      <c r="I49" s="4"/>
      <c r="J49" s="22" t="s">
        <v>54</v>
      </c>
      <c r="K49" s="25"/>
      <c r="L49" s="2"/>
      <c r="M49" s="2">
        <f>(M44+M45)*M48</f>
        <v>2354.7790822035518</v>
      </c>
      <c r="N49" s="2">
        <f>(N44+N45)*N48</f>
        <v>2488.2878225379673</v>
      </c>
      <c r="O49" s="2">
        <f>(O44+O45)*O48</f>
        <v>2543.4889939377858</v>
      </c>
      <c r="P49" s="19">
        <f>(P44+P45)*P48</f>
        <v>23444.056579488082</v>
      </c>
      <c r="Q49" s="2"/>
      <c r="R49" s="4"/>
      <c r="S49" s="5" t="s">
        <v>47</v>
      </c>
      <c r="Z49" s="20">
        <f>P33</f>
        <v>74807.135680184554</v>
      </c>
    </row>
    <row r="50" spans="2:30" ht="14" customHeight="1" x14ac:dyDescent="0.65">
      <c r="E50" s="91"/>
      <c r="I50" s="4"/>
      <c r="M50" s="27"/>
      <c r="N50" s="27"/>
      <c r="O50" s="27"/>
      <c r="P50" s="27"/>
      <c r="Q50" s="121" t="s">
        <v>110</v>
      </c>
      <c r="R50" s="4"/>
      <c r="S50" s="22" t="s">
        <v>120</v>
      </c>
      <c r="Z50" s="40">
        <f>-H16+H33+AA50</f>
        <v>-12110.000000000002</v>
      </c>
      <c r="AA50" s="76">
        <f>(H7+H9+H11+H22+H23+H24)/12*AA51</f>
        <v>-1373.3333333333333</v>
      </c>
      <c r="AB50" s="77"/>
    </row>
    <row r="51" spans="2:30" ht="14" customHeight="1" x14ac:dyDescent="0.35">
      <c r="B51" s="68" t="s">
        <v>70</v>
      </c>
      <c r="C51" s="4"/>
      <c r="D51" s="4"/>
      <c r="E51" s="4"/>
      <c r="F51" s="4"/>
      <c r="G51" s="4"/>
      <c r="H51" s="4"/>
      <c r="I51" s="4"/>
      <c r="J51" s="48" t="s">
        <v>37</v>
      </c>
      <c r="K51" s="49"/>
      <c r="L51" s="43">
        <f>SUM(M49:P49)</f>
        <v>30830.612478167386</v>
      </c>
      <c r="M51" s="99" t="s">
        <v>103</v>
      </c>
      <c r="P51" s="22"/>
      <c r="Q51" s="120">
        <f>+P45*P48/L51</f>
        <v>0.6780615191254219</v>
      </c>
      <c r="R51" s="4"/>
      <c r="S51" s="22" t="s">
        <v>48</v>
      </c>
      <c r="Z51" s="20">
        <f>Z49+Z50</f>
        <v>62697.135680184554</v>
      </c>
      <c r="AA51" s="5">
        <f>+R41</f>
        <v>1</v>
      </c>
      <c r="AB51" s="5" t="s">
        <v>117</v>
      </c>
    </row>
    <row r="52" spans="2:30" ht="14" customHeight="1" x14ac:dyDescent="0.35">
      <c r="B52" s="70" t="s">
        <v>73</v>
      </c>
      <c r="C52" s="4"/>
      <c r="D52" s="117">
        <f>+'Caso A'!D52</f>
        <v>1.25</v>
      </c>
      <c r="E52" s="92" t="s">
        <v>85</v>
      </c>
      <c r="F52" s="4"/>
      <c r="G52" s="4"/>
      <c r="H52" s="4"/>
      <c r="I52" s="4"/>
      <c r="P52" s="4"/>
      <c r="Q52" s="4"/>
      <c r="R52" s="4"/>
    </row>
    <row r="53" spans="2:30" ht="14" customHeight="1" x14ac:dyDescent="0.35">
      <c r="B53" s="67" t="s">
        <v>71</v>
      </c>
      <c r="C53" s="4"/>
      <c r="D53" s="84">
        <f>D52/(1+((D36/(1-D36))*(1-0.3)))</f>
        <v>0.73529411764705888</v>
      </c>
      <c r="E53" s="94" t="s">
        <v>97</v>
      </c>
      <c r="F53" s="4"/>
      <c r="G53" s="4"/>
      <c r="H53" s="4"/>
      <c r="I53" s="4"/>
      <c r="L53" s="59">
        <f>L51/L41</f>
        <v>0.78156174288511704</v>
      </c>
      <c r="M53" s="60" t="s">
        <v>104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35">
      <c r="B54" s="67" t="s">
        <v>72</v>
      </c>
      <c r="C54" s="4"/>
      <c r="D54" s="7">
        <f>D48/(1-D48)</f>
        <v>0.7587253414264038</v>
      </c>
      <c r="E54" s="93" t="s">
        <v>99</v>
      </c>
      <c r="F54" s="4"/>
      <c r="G54" s="4"/>
      <c r="H54" s="4"/>
      <c r="I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ht="17" x14ac:dyDescent="0.4">
      <c r="B55" s="67" t="s">
        <v>79</v>
      </c>
      <c r="D55" s="84">
        <f>D53*(1+((1-0.3)*D54))</f>
        <v>1.1258145139694726</v>
      </c>
      <c r="E55" s="94" t="s">
        <v>98</v>
      </c>
      <c r="F55" s="4"/>
      <c r="G55" s="4"/>
      <c r="H55" s="4"/>
      <c r="I55" s="4"/>
      <c r="J55" s="28" t="s">
        <v>78</v>
      </c>
      <c r="K55" s="4"/>
      <c r="L55" s="89" t="s">
        <v>91</v>
      </c>
      <c r="M55" s="90" t="s">
        <v>92</v>
      </c>
      <c r="N55" s="90" t="s">
        <v>93</v>
      </c>
      <c r="O55" s="90" t="s">
        <v>94</v>
      </c>
      <c r="P55" s="90" t="s">
        <v>95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35">
      <c r="C56" s="4"/>
      <c r="D56" s="4"/>
      <c r="E56" s="4"/>
      <c r="F56" s="4"/>
      <c r="G56" s="4"/>
      <c r="H56" s="4"/>
      <c r="I56" s="4"/>
      <c r="J56" s="3" t="s">
        <v>81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35">
      <c r="B57" s="3" t="s">
        <v>83</v>
      </c>
      <c r="H57" s="4"/>
      <c r="I57" s="4"/>
      <c r="J57" s="5" t="s">
        <v>101</v>
      </c>
      <c r="K57" s="1"/>
      <c r="L57" s="2"/>
      <c r="M57" s="2">
        <f>M32</f>
        <v>-5600</v>
      </c>
      <c r="N57" s="2">
        <f>N32</f>
        <v>5000</v>
      </c>
      <c r="O57" s="2">
        <f>O32</f>
        <v>5600</v>
      </c>
      <c r="P57" s="2">
        <f>P32</f>
        <v>6200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35">
      <c r="B58" s="67" t="s">
        <v>79</v>
      </c>
      <c r="D58" s="88">
        <f>D52</f>
        <v>1.25</v>
      </c>
      <c r="E58" s="92" t="s">
        <v>85</v>
      </c>
      <c r="H58" s="4"/>
      <c r="I58" s="4"/>
      <c r="J58" s="5" t="s">
        <v>47</v>
      </c>
      <c r="K58" s="25"/>
      <c r="L58" s="26"/>
      <c r="M58" s="26"/>
      <c r="N58" s="26"/>
      <c r="O58" s="26"/>
      <c r="P58" s="2">
        <f>P57*(1+0.03)/(D62-0.03)</f>
        <v>81625.563909774413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35">
      <c r="B59" s="67" t="s">
        <v>71</v>
      </c>
      <c r="C59" s="4"/>
      <c r="D59" s="83">
        <f>D58/(1+((D36/(1-D36))*(1-0.3)))</f>
        <v>0.73529411764705888</v>
      </c>
      <c r="E59" s="94" t="s">
        <v>97</v>
      </c>
      <c r="H59" s="4"/>
      <c r="I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35">
      <c r="B60" s="67" t="s">
        <v>72</v>
      </c>
      <c r="C60" s="4"/>
      <c r="D60" s="86">
        <v>0</v>
      </c>
      <c r="E60" s="92" t="s">
        <v>80</v>
      </c>
      <c r="G60" s="4"/>
      <c r="H60" s="4"/>
      <c r="I60" s="4"/>
      <c r="J60" s="5" t="s">
        <v>33</v>
      </c>
      <c r="K60" s="1"/>
      <c r="L60" s="26"/>
      <c r="M60" s="65">
        <v>1</v>
      </c>
      <c r="N60" s="65">
        <f>+M60+1</f>
        <v>2</v>
      </c>
      <c r="O60" s="65">
        <f>+N60+1</f>
        <v>3</v>
      </c>
      <c r="P60" s="65">
        <f>+O60+1</f>
        <v>4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35">
      <c r="B61" s="67" t="s">
        <v>79</v>
      </c>
      <c r="D61" s="84">
        <f>D59*(1+((1-0.3)*D60))</f>
        <v>0.73529411764705888</v>
      </c>
      <c r="E61" s="94" t="s">
        <v>98</v>
      </c>
      <c r="G61" s="4"/>
      <c r="H61" s="4"/>
      <c r="I61" s="4"/>
      <c r="J61" s="33" t="str">
        <f>"Discount Factor @ "&amp;TEXT(D62,"#,0%")&amp;" Ke"</f>
        <v>Discount Factor @ 10,8% Ke</v>
      </c>
      <c r="K61" s="25"/>
      <c r="L61" s="71"/>
      <c r="M61" s="97">
        <f>1/((1+$D$62)^M60)</f>
        <v>0.90233545647558389</v>
      </c>
      <c r="N61" s="97">
        <f>1/((1+$D$62)^N60)</f>
        <v>0.81420927601300042</v>
      </c>
      <c r="O61" s="97">
        <f>1/((1+$D$62)^O60)</f>
        <v>0.73468989873784551</v>
      </c>
      <c r="P61" s="97">
        <f>1/((1+$D$62)^P60)</f>
        <v>0.6629367451456144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35">
      <c r="B62" s="10" t="s">
        <v>38</v>
      </c>
      <c r="C62" s="4"/>
      <c r="D62" s="95">
        <f>0.02+D61*(0.07+0.05)</f>
        <v>0.10823529411764708</v>
      </c>
      <c r="E62" s="93" t="s">
        <v>122</v>
      </c>
      <c r="G62" s="4"/>
      <c r="H62" s="4"/>
      <c r="I62" s="4"/>
      <c r="J62" s="78" t="s">
        <v>55</v>
      </c>
      <c r="K62" s="79"/>
      <c r="L62" s="12"/>
      <c r="M62" s="12">
        <f>(M57+M58)*M61</f>
        <v>-5053.07855626327</v>
      </c>
      <c r="N62" s="12">
        <f>(N57+N58)*N61</f>
        <v>4071.0463800650023</v>
      </c>
      <c r="O62" s="12">
        <f>(O57+O58)*O61</f>
        <v>4114.2634329319353</v>
      </c>
      <c r="P62" s="12">
        <f>(P57+P58)*P61</f>
        <v>58222.793478923988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35">
      <c r="C63" s="4"/>
      <c r="D63" s="4"/>
      <c r="E63" s="4"/>
      <c r="F63" s="4"/>
      <c r="G63" s="4"/>
      <c r="H63" s="4"/>
      <c r="I63" s="4"/>
      <c r="J63" s="41" t="s">
        <v>88</v>
      </c>
      <c r="K63" s="42"/>
      <c r="L63" s="43">
        <f>SUM(M62:P62)</f>
        <v>61355.024735657658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35">
      <c r="C64" s="4"/>
      <c r="D64" s="4"/>
      <c r="E64" s="4"/>
      <c r="F64" s="4"/>
      <c r="G64" s="4"/>
      <c r="H64" s="4"/>
      <c r="I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3:30" x14ac:dyDescent="0.35">
      <c r="C65" s="4"/>
      <c r="D65" s="4"/>
      <c r="E65" s="4"/>
      <c r="F65" s="4"/>
      <c r="G65" s="4"/>
      <c r="H65" s="4"/>
      <c r="I65" s="4"/>
      <c r="J65" s="3" t="s">
        <v>82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3:30" x14ac:dyDescent="0.35">
      <c r="C66" s="4"/>
      <c r="D66" s="4"/>
      <c r="E66" s="4"/>
      <c r="F66" s="4"/>
      <c r="G66" s="4"/>
      <c r="H66" s="4"/>
      <c r="I66" s="4"/>
      <c r="J66" s="5" t="s">
        <v>100</v>
      </c>
      <c r="K66" s="1"/>
      <c r="L66" s="2"/>
      <c r="M66" s="2">
        <f>M16</f>
        <v>720</v>
      </c>
      <c r="N66" s="2">
        <f>N16</f>
        <v>720</v>
      </c>
      <c r="O66" s="2">
        <f>O16</f>
        <v>720</v>
      </c>
      <c r="P66" s="2">
        <f>P16</f>
        <v>720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3:30" x14ac:dyDescent="0.35">
      <c r="C67" s="4"/>
      <c r="D67" s="4"/>
      <c r="E67" s="4"/>
      <c r="F67" s="4"/>
      <c r="G67" s="4"/>
      <c r="H67" s="4"/>
      <c r="I67" s="4"/>
      <c r="J67" s="5" t="s">
        <v>76</v>
      </c>
      <c r="K67" s="25"/>
      <c r="L67" s="26"/>
      <c r="M67" s="26"/>
      <c r="N67" s="26"/>
      <c r="O67" s="26"/>
      <c r="P67" s="2">
        <f>P66*(1+0.03)/(E37-0.03)</f>
        <v>12360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3:30" x14ac:dyDescent="0.35">
      <c r="C68" s="4"/>
      <c r="D68" s="4"/>
      <c r="E68" s="4"/>
      <c r="F68" s="4"/>
      <c r="G68" s="4"/>
      <c r="H68" s="4"/>
      <c r="I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3:30" x14ac:dyDescent="0.35">
      <c r="C69" s="4"/>
      <c r="D69" s="4"/>
      <c r="E69" s="4"/>
      <c r="F69" s="4"/>
      <c r="G69" s="4"/>
      <c r="H69" s="4"/>
      <c r="I69" s="4"/>
      <c r="J69" s="5" t="s">
        <v>33</v>
      </c>
      <c r="K69" s="1"/>
      <c r="L69" s="26"/>
      <c r="M69" s="65">
        <v>1</v>
      </c>
      <c r="N69" s="65">
        <f>+M69+1</f>
        <v>2</v>
      </c>
      <c r="O69" s="65">
        <f>+N69+1</f>
        <v>3</v>
      </c>
      <c r="P69" s="65">
        <f>+O69+1</f>
        <v>4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3:30" x14ac:dyDescent="0.35">
      <c r="C70" s="4"/>
      <c r="D70" s="4"/>
      <c r="E70" s="4"/>
      <c r="F70" s="4"/>
      <c r="G70" s="4"/>
      <c r="H70" s="4"/>
      <c r="I70" s="4"/>
      <c r="J70" s="33" t="str">
        <f>"Discount Fact.@ "&amp;TEXT(E37,"#,0%")&amp;" Kd (Pre-tax)"</f>
        <v>Discount Fact.@ 9,0% Kd (Pre-tax)</v>
      </c>
      <c r="K70" s="25"/>
      <c r="L70" s="71"/>
      <c r="M70" s="97">
        <f>1/((1+$E$37)^M69)</f>
        <v>0.9174311926605504</v>
      </c>
      <c r="N70" s="97">
        <f>1/((1+$E$37)^N69)</f>
        <v>0.84167999326655996</v>
      </c>
      <c r="O70" s="97">
        <f>1/((1+$E$37)^O69)</f>
        <v>0.77218348006106419</v>
      </c>
      <c r="P70" s="97">
        <f>1/((1+$E$37)^P69)</f>
        <v>0.7084252110651964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3:30" x14ac:dyDescent="0.35">
      <c r="C71" s="4"/>
      <c r="D71" s="4"/>
      <c r="E71" s="4"/>
      <c r="F71" s="4"/>
      <c r="G71" s="4"/>
      <c r="H71" s="4"/>
      <c r="I71" s="4"/>
      <c r="J71" s="78" t="s">
        <v>77</v>
      </c>
      <c r="K71" s="79"/>
      <c r="L71" s="12"/>
      <c r="M71" s="12">
        <f>(M66+M67)*M70</f>
        <v>660.55045871559628</v>
      </c>
      <c r="N71" s="12">
        <f>(N66+N67)*N70</f>
        <v>606.00959515192312</v>
      </c>
      <c r="O71" s="12">
        <f>(O66+O67)*O70</f>
        <v>555.97210564396619</v>
      </c>
      <c r="P71" s="12">
        <f>(P66+P67)*P70</f>
        <v>9266.2017607327689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3:30" x14ac:dyDescent="0.35">
      <c r="C72" s="4"/>
      <c r="D72" s="4"/>
      <c r="E72" s="4"/>
      <c r="F72" s="4"/>
      <c r="G72" s="4"/>
      <c r="H72" s="4"/>
      <c r="I72" s="4"/>
      <c r="J72" s="41" t="s">
        <v>87</v>
      </c>
      <c r="K72" s="42"/>
      <c r="L72" s="43">
        <f>SUM(M71:P71)</f>
        <v>11088.733920244254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3:30" ht="18.5" x14ac:dyDescent="0.65">
      <c r="C73" s="4"/>
      <c r="D73" s="4"/>
      <c r="E73" s="4"/>
      <c r="F73" s="4"/>
      <c r="G73" s="4"/>
      <c r="H73" s="4"/>
      <c r="I73" s="4"/>
      <c r="M73" s="4"/>
      <c r="N73" s="4"/>
      <c r="O73" s="4"/>
      <c r="P73" s="4"/>
      <c r="Q73" s="121" t="s">
        <v>110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3:30" x14ac:dyDescent="0.35">
      <c r="C74" s="4"/>
      <c r="D74" s="4"/>
      <c r="E74" s="4"/>
      <c r="F74" s="4"/>
      <c r="G74" s="4"/>
      <c r="H74" s="4"/>
      <c r="I74" s="4"/>
      <c r="J74" s="41" t="s">
        <v>89</v>
      </c>
      <c r="K74" s="42"/>
      <c r="L74" s="43">
        <f>L63+L72</f>
        <v>72443.758655901911</v>
      </c>
      <c r="M74" s="80" t="s">
        <v>111</v>
      </c>
      <c r="N74" s="4"/>
      <c r="O74" s="4"/>
      <c r="P74" s="4"/>
      <c r="Q74" s="120">
        <f>+(P58*P61+P67*P70)/L74</f>
        <v>0.86782798731364785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3:30" x14ac:dyDescent="0.35">
      <c r="C75" s="4"/>
      <c r="D75" s="4"/>
      <c r="E75" s="4"/>
      <c r="F75" s="4"/>
      <c r="G75" s="4"/>
      <c r="H75" s="4"/>
      <c r="I75" s="4"/>
      <c r="J75" s="44" t="s">
        <v>17</v>
      </c>
      <c r="K75" s="44" t="s">
        <v>96</v>
      </c>
      <c r="L75" s="45">
        <f>+L40</f>
        <v>-15929.166666666668</v>
      </c>
      <c r="M75" s="98" t="str">
        <f>"[Excludes "&amp;TEXT($R$41,"#0")&amp;"-month Cash Reserve]"</f>
        <v>[Excludes 1-month Cash Reserve]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3:30" x14ac:dyDescent="0.35">
      <c r="C76" s="4"/>
      <c r="D76" s="4"/>
      <c r="E76" s="4"/>
      <c r="F76" s="4"/>
      <c r="G76" s="4"/>
      <c r="H76" s="4"/>
      <c r="I76" s="4"/>
      <c r="J76" s="41" t="s">
        <v>90</v>
      </c>
      <c r="K76" s="46"/>
      <c r="L76" s="47">
        <f>L74+L75</f>
        <v>56514.591989235239</v>
      </c>
      <c r="M76" s="99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3:30" x14ac:dyDescent="0.35">
      <c r="C77" s="4"/>
      <c r="D77" s="4"/>
      <c r="E77" s="4"/>
      <c r="F77" s="4"/>
      <c r="G77" s="4"/>
      <c r="H77" s="4"/>
      <c r="I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3:30" x14ac:dyDescent="0.35">
      <c r="C78" s="4"/>
      <c r="D78" s="4"/>
      <c r="E78" s="4"/>
      <c r="F78" s="4"/>
      <c r="G78" s="4"/>
      <c r="H78" s="4"/>
      <c r="I78" s="4"/>
      <c r="K78" s="4"/>
      <c r="L78" s="59">
        <f>+L76/L41</f>
        <v>1.4326553857736877</v>
      </c>
      <c r="M78" s="110" t="s">
        <v>107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3:30" x14ac:dyDescent="0.35">
      <c r="C79" s="4"/>
      <c r="D79" s="4"/>
      <c r="E79" s="4"/>
      <c r="F79" s="4"/>
      <c r="G79" s="4"/>
      <c r="H79" s="4"/>
      <c r="I79" s="4"/>
      <c r="K79" s="4"/>
      <c r="L79" s="59">
        <f>+L76/L51</f>
        <v>1.8330674432516023</v>
      </c>
      <c r="M79" s="110" t="s">
        <v>108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3:30" x14ac:dyDescent="0.35">
      <c r="C80" s="4"/>
      <c r="D80" s="4"/>
      <c r="E80" s="4"/>
      <c r="F80" s="4"/>
      <c r="G80" s="4"/>
      <c r="H80" s="4"/>
      <c r="I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3:30" x14ac:dyDescent="0.35">
      <c r="C81" s="4"/>
      <c r="D81" s="4"/>
      <c r="E81" s="4"/>
      <c r="F81" s="4"/>
      <c r="G81" s="4"/>
      <c r="H81" s="4"/>
      <c r="I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3:30" x14ac:dyDescent="0.35">
      <c r="C82" s="4"/>
      <c r="D82" s="4"/>
      <c r="E82" s="4"/>
      <c r="F82" s="4"/>
      <c r="G82" s="4"/>
      <c r="H82" s="4"/>
      <c r="I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3:30" x14ac:dyDescent="0.35">
      <c r="C83" s="4"/>
      <c r="D83" s="4"/>
      <c r="E83" s="4"/>
      <c r="F83" s="4"/>
      <c r="G83" s="4"/>
      <c r="H83" s="4"/>
      <c r="I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3:30" x14ac:dyDescent="0.35">
      <c r="C84" s="4"/>
      <c r="D84" s="4"/>
      <c r="E84" s="4"/>
      <c r="F84" s="4"/>
      <c r="G84" s="4"/>
      <c r="H84" s="4"/>
      <c r="I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3:30" x14ac:dyDescent="0.35">
      <c r="C85" s="4"/>
      <c r="D85" s="4"/>
      <c r="E85" s="4"/>
      <c r="F85" s="4"/>
      <c r="G85" s="4"/>
      <c r="H85" s="4"/>
      <c r="I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3:30" x14ac:dyDescent="0.35">
      <c r="C86" s="4"/>
      <c r="D86" s="4"/>
      <c r="E86" s="4"/>
      <c r="F86" s="4"/>
      <c r="G86" s="4"/>
      <c r="H86" s="4"/>
      <c r="I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3:30" x14ac:dyDescent="0.35">
      <c r="C87" s="4"/>
      <c r="D87" s="4"/>
      <c r="E87" s="4"/>
      <c r="F87" s="4"/>
      <c r="G87" s="4"/>
      <c r="H87" s="4"/>
      <c r="I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3:30" x14ac:dyDescent="0.35">
      <c r="C88" s="4"/>
      <c r="D88" s="4"/>
      <c r="E88" s="4"/>
      <c r="F88" s="4"/>
      <c r="G88" s="4"/>
      <c r="H88" s="4"/>
      <c r="I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3:30" x14ac:dyDescent="0.35">
      <c r="C89" s="4"/>
      <c r="D89" s="4"/>
      <c r="E89" s="4"/>
      <c r="F89" s="4"/>
      <c r="G89" s="4"/>
      <c r="H89" s="4"/>
      <c r="I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3:30" x14ac:dyDescent="0.35">
      <c r="C90" s="4"/>
      <c r="D90" s="4"/>
      <c r="E90" s="4"/>
      <c r="F90" s="4"/>
      <c r="G90" s="4"/>
      <c r="H90" s="4"/>
      <c r="I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3:30" x14ac:dyDescent="0.35">
      <c r="C91" s="4"/>
      <c r="D91" s="4"/>
      <c r="E91" s="4"/>
      <c r="F91" s="4"/>
      <c r="G91" s="4"/>
      <c r="H91" s="4"/>
      <c r="I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3:30" x14ac:dyDescent="0.35">
      <c r="C92" s="4"/>
      <c r="D92" s="4"/>
      <c r="E92" s="4"/>
      <c r="F92" s="4"/>
      <c r="G92" s="4"/>
      <c r="H92" s="4"/>
      <c r="I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3:30" x14ac:dyDescent="0.35">
      <c r="C93" s="4"/>
      <c r="D93" s="4"/>
      <c r="E93" s="4"/>
      <c r="F93" s="4"/>
      <c r="G93" s="4"/>
      <c r="H93" s="4"/>
      <c r="I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3:30" x14ac:dyDescent="0.35">
      <c r="C94" s="4"/>
      <c r="D94" s="4"/>
      <c r="E94" s="4"/>
      <c r="F94" s="4"/>
      <c r="G94" s="4"/>
      <c r="H94" s="4"/>
      <c r="I94" s="4"/>
      <c r="K94" s="4"/>
      <c r="L94" s="4"/>
      <c r="M94" s="4"/>
      <c r="N94" s="4"/>
      <c r="O94" s="4"/>
      <c r="P94" s="4"/>
      <c r="Q94" s="4"/>
      <c r="R94" s="4"/>
    </row>
    <row r="95" spans="3:30" x14ac:dyDescent="0.35">
      <c r="C95" s="4"/>
      <c r="D95" s="4"/>
      <c r="E95" s="4"/>
      <c r="F95" s="4"/>
      <c r="G95" s="4"/>
      <c r="H95" s="4"/>
      <c r="I95" s="4"/>
      <c r="K95" s="4"/>
      <c r="L95" s="4"/>
      <c r="M95" s="4"/>
      <c r="N95" s="4"/>
      <c r="O95" s="4"/>
      <c r="P95" s="4"/>
      <c r="Q95" s="4"/>
      <c r="R95" s="4"/>
    </row>
    <row r="96" spans="3:30" x14ac:dyDescent="0.35">
      <c r="C96" s="4"/>
      <c r="D96" s="4"/>
      <c r="E96" s="4"/>
      <c r="F96" s="4"/>
      <c r="G96" s="4"/>
      <c r="H96" s="4"/>
      <c r="I96" s="4"/>
      <c r="K96" s="4"/>
      <c r="L96" s="4"/>
      <c r="M96" s="4"/>
      <c r="N96" s="4"/>
      <c r="O96" s="4"/>
      <c r="P96" s="4"/>
      <c r="Q96" s="4"/>
      <c r="R96" s="4"/>
    </row>
    <row r="97" spans="3:18" x14ac:dyDescent="0.35"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  <c r="P97" s="4"/>
      <c r="Q97" s="4"/>
      <c r="R97" s="4"/>
    </row>
    <row r="98" spans="3:18" x14ac:dyDescent="0.35">
      <c r="C98" s="4"/>
      <c r="D98" s="4"/>
      <c r="E98" s="4"/>
      <c r="F98" s="4"/>
      <c r="G98" s="4"/>
      <c r="H98" s="4"/>
      <c r="I98" s="4"/>
      <c r="K98" s="4"/>
      <c r="L98" s="4"/>
      <c r="M98" s="4"/>
      <c r="N98" s="4"/>
      <c r="O98" s="4"/>
      <c r="P98" s="4"/>
      <c r="Q98" s="4"/>
      <c r="R98" s="4"/>
    </row>
    <row r="99" spans="3:18" x14ac:dyDescent="0.35">
      <c r="C99" s="4"/>
      <c r="D99" s="4"/>
      <c r="E99" s="4"/>
      <c r="F99" s="4"/>
      <c r="G99" s="4"/>
      <c r="H99" s="4"/>
      <c r="I99" s="4"/>
      <c r="K99" s="4"/>
      <c r="L99" s="4"/>
      <c r="M99" s="4"/>
      <c r="N99" s="4"/>
      <c r="O99" s="4"/>
      <c r="P99" s="4"/>
      <c r="Q99" s="4"/>
      <c r="R99" s="4"/>
    </row>
    <row r="100" spans="3:18" x14ac:dyDescent="0.35">
      <c r="C100" s="4"/>
      <c r="D100" s="4"/>
      <c r="E100" s="4"/>
      <c r="F100" s="4"/>
      <c r="G100" s="4"/>
      <c r="H100" s="4"/>
      <c r="I100" s="4"/>
      <c r="K100" s="4"/>
      <c r="L100" s="4"/>
      <c r="M100" s="4"/>
      <c r="N100" s="4"/>
      <c r="O100" s="4"/>
      <c r="P100" s="4"/>
      <c r="Q100" s="4"/>
      <c r="R100" s="4"/>
    </row>
    <row r="101" spans="3:18" x14ac:dyDescent="0.35">
      <c r="C101" s="4"/>
      <c r="D101" s="4"/>
      <c r="E101" s="4"/>
      <c r="F101" s="4"/>
      <c r="G101" s="4"/>
      <c r="H101" s="4"/>
      <c r="I101" s="4"/>
      <c r="K101" s="4"/>
      <c r="L101" s="4"/>
      <c r="M101" s="4"/>
      <c r="N101" s="4"/>
      <c r="O101" s="4"/>
      <c r="P101" s="4"/>
      <c r="Q101" s="4"/>
      <c r="R101" s="4"/>
    </row>
    <row r="102" spans="3:18" x14ac:dyDescent="0.35">
      <c r="C102" s="4"/>
      <c r="D102" s="4"/>
      <c r="E102" s="4"/>
      <c r="F102" s="4"/>
      <c r="G102" s="4"/>
      <c r="H102" s="4"/>
      <c r="I102" s="4"/>
      <c r="K102" s="4"/>
      <c r="L102" s="4"/>
      <c r="M102" s="4"/>
      <c r="N102" s="4"/>
      <c r="O102" s="4"/>
      <c r="P102" s="4"/>
      <c r="Q102" s="4"/>
      <c r="R102" s="4"/>
    </row>
    <row r="103" spans="3:18" x14ac:dyDescent="0.35">
      <c r="C103" s="4"/>
      <c r="D103" s="4"/>
      <c r="E103" s="4"/>
      <c r="F103" s="4"/>
      <c r="G103" s="4"/>
      <c r="H103" s="4"/>
      <c r="I103" s="4"/>
      <c r="K103" s="4"/>
      <c r="L103" s="4"/>
      <c r="M103" s="4"/>
      <c r="N103" s="4"/>
      <c r="O103" s="4"/>
      <c r="P103" s="4"/>
      <c r="Q103" s="4"/>
      <c r="R103" s="4"/>
    </row>
    <row r="104" spans="3:18" x14ac:dyDescent="0.35">
      <c r="C104" s="4"/>
      <c r="D104" s="4"/>
      <c r="E104" s="4"/>
      <c r="F104" s="4"/>
      <c r="G104" s="4"/>
      <c r="H104" s="4"/>
      <c r="I104" s="4"/>
      <c r="K104" s="4"/>
      <c r="L104" s="4"/>
      <c r="M104" s="4"/>
      <c r="N104" s="4"/>
      <c r="O104" s="4"/>
      <c r="P104" s="4"/>
      <c r="Q104" s="4"/>
      <c r="R104" s="4"/>
    </row>
    <row r="105" spans="3:18" x14ac:dyDescent="0.35">
      <c r="C105" s="4"/>
      <c r="D105" s="4"/>
      <c r="E105" s="4"/>
      <c r="F105" s="4"/>
      <c r="G105" s="4"/>
      <c r="H105" s="4"/>
      <c r="I105" s="4"/>
      <c r="K105" s="4"/>
      <c r="L105" s="4"/>
      <c r="M105" s="4"/>
      <c r="N105" s="4"/>
      <c r="O105" s="4"/>
      <c r="P105" s="4"/>
      <c r="Q105" s="4"/>
      <c r="R105" s="4"/>
    </row>
    <row r="106" spans="3:18" x14ac:dyDescent="0.35">
      <c r="C106" s="4"/>
      <c r="D106" s="4"/>
      <c r="E106" s="4"/>
      <c r="F106" s="4"/>
      <c r="G106" s="4"/>
      <c r="H106" s="4"/>
      <c r="I106" s="4"/>
      <c r="K106" s="4"/>
      <c r="L106" s="4"/>
      <c r="M106" s="4"/>
      <c r="N106" s="4"/>
      <c r="O106" s="4"/>
      <c r="P106" s="4"/>
      <c r="Q106" s="4"/>
      <c r="R106" s="4"/>
    </row>
    <row r="107" spans="3:18" x14ac:dyDescent="0.35">
      <c r="C107" s="4"/>
      <c r="D107" s="4"/>
      <c r="E107" s="4"/>
      <c r="F107" s="4"/>
      <c r="G107" s="4"/>
      <c r="H107" s="4"/>
      <c r="I107" s="4"/>
      <c r="K107" s="4"/>
      <c r="L107" s="4"/>
      <c r="M107" s="4"/>
      <c r="N107" s="4"/>
      <c r="O107" s="4"/>
      <c r="P107" s="4"/>
      <c r="Q107" s="4"/>
      <c r="R107" s="4"/>
    </row>
    <row r="108" spans="3:18" x14ac:dyDescent="0.35">
      <c r="C108" s="4"/>
      <c r="D108" s="4"/>
      <c r="E108" s="4"/>
      <c r="F108" s="4"/>
      <c r="G108" s="4"/>
      <c r="H108" s="4"/>
      <c r="I108" s="4"/>
      <c r="K108" s="4"/>
      <c r="L108" s="4"/>
      <c r="M108" s="4"/>
      <c r="N108" s="4"/>
      <c r="O108" s="4"/>
      <c r="P108" s="4"/>
      <c r="Q108" s="4"/>
      <c r="R108" s="4"/>
    </row>
    <row r="109" spans="3:18" x14ac:dyDescent="0.35">
      <c r="C109" s="4"/>
      <c r="D109" s="4"/>
      <c r="E109" s="4"/>
      <c r="F109" s="4"/>
      <c r="G109" s="4"/>
      <c r="H109" s="4"/>
      <c r="I109" s="4"/>
      <c r="K109" s="4"/>
      <c r="L109" s="4"/>
      <c r="M109" s="4"/>
      <c r="N109" s="4"/>
      <c r="O109" s="4"/>
      <c r="P109" s="4"/>
      <c r="Q109" s="4"/>
      <c r="R109" s="4"/>
    </row>
    <row r="110" spans="3:18" x14ac:dyDescent="0.35">
      <c r="C110" s="4"/>
      <c r="D110" s="4"/>
      <c r="E110" s="4"/>
      <c r="F110" s="4"/>
      <c r="G110" s="4"/>
      <c r="H110" s="4"/>
      <c r="I110" s="4"/>
      <c r="K110" s="4"/>
      <c r="L110" s="4"/>
      <c r="M110" s="4"/>
      <c r="N110" s="4"/>
      <c r="O110" s="4"/>
      <c r="P110" s="4"/>
      <c r="Q110" s="4"/>
      <c r="R110" s="4"/>
    </row>
    <row r="111" spans="3:18" x14ac:dyDescent="0.35">
      <c r="C111" s="4"/>
      <c r="D111" s="4"/>
      <c r="E111" s="4"/>
      <c r="F111" s="4"/>
      <c r="G111" s="4"/>
      <c r="H111" s="4"/>
      <c r="I111" s="4"/>
      <c r="K111" s="4"/>
      <c r="L111" s="4"/>
      <c r="M111" s="4"/>
      <c r="N111" s="4"/>
      <c r="O111" s="4"/>
      <c r="P111" s="4"/>
      <c r="Q111" s="4"/>
      <c r="R111" s="4"/>
    </row>
    <row r="112" spans="3:18" x14ac:dyDescent="0.35">
      <c r="C112" s="4"/>
      <c r="D112" s="4"/>
      <c r="E112" s="4"/>
      <c r="F112" s="4"/>
      <c r="G112" s="4"/>
      <c r="H112" s="4"/>
      <c r="I112" s="4"/>
      <c r="K112" s="4"/>
      <c r="L112" s="4"/>
      <c r="M112" s="4"/>
      <c r="N112" s="4"/>
      <c r="O112" s="4"/>
      <c r="P112" s="4"/>
      <c r="Q112" s="4"/>
      <c r="R112" s="4"/>
    </row>
    <row r="113" spans="3:18" x14ac:dyDescent="0.35">
      <c r="C113" s="4"/>
      <c r="D113" s="4"/>
      <c r="E113" s="4"/>
      <c r="F113" s="4"/>
      <c r="G113" s="4"/>
      <c r="H113" s="4"/>
      <c r="I113" s="4"/>
      <c r="K113" s="4"/>
      <c r="L113" s="4"/>
      <c r="M113" s="4"/>
      <c r="N113" s="4"/>
      <c r="O113" s="4"/>
      <c r="P113" s="4"/>
      <c r="Q113" s="4"/>
      <c r="R113" s="4"/>
    </row>
    <row r="114" spans="3:18" x14ac:dyDescent="0.35">
      <c r="C114" s="4"/>
      <c r="D114" s="4"/>
      <c r="E114" s="4"/>
      <c r="F114" s="4"/>
      <c r="G114" s="4"/>
      <c r="H114" s="4"/>
      <c r="I114" s="4"/>
      <c r="K114" s="4"/>
      <c r="L114" s="4"/>
      <c r="M114" s="4"/>
      <c r="N114" s="4"/>
      <c r="O114" s="4"/>
      <c r="P114" s="4"/>
      <c r="Q114" s="4"/>
      <c r="R114" s="4"/>
    </row>
    <row r="115" spans="3:18" x14ac:dyDescent="0.35">
      <c r="C115" s="4"/>
      <c r="D115" s="4"/>
      <c r="E115" s="4"/>
      <c r="F115" s="4"/>
      <c r="G115" s="4"/>
      <c r="H115" s="4"/>
      <c r="I115" s="4"/>
      <c r="K115" s="4"/>
      <c r="L115" s="4"/>
      <c r="M115" s="4"/>
      <c r="N115" s="4"/>
      <c r="O115" s="4"/>
      <c r="P115" s="4"/>
      <c r="Q115" s="4"/>
      <c r="R115" s="4"/>
    </row>
    <row r="116" spans="3:18" x14ac:dyDescent="0.35">
      <c r="C116" s="4"/>
      <c r="D116" s="4"/>
      <c r="E116" s="4"/>
      <c r="F116" s="4"/>
      <c r="G116" s="4"/>
      <c r="H116" s="4"/>
      <c r="I116" s="4"/>
      <c r="K116" s="4"/>
      <c r="L116" s="4"/>
      <c r="M116" s="4"/>
      <c r="N116" s="4"/>
      <c r="O116" s="4"/>
      <c r="P116" s="4"/>
      <c r="Q116" s="4"/>
      <c r="R116" s="4"/>
    </row>
    <row r="117" spans="3:18" x14ac:dyDescent="0.35">
      <c r="C117" s="4"/>
      <c r="D117" s="4"/>
      <c r="E117" s="4"/>
      <c r="F117" s="4"/>
      <c r="G117" s="4"/>
      <c r="H117" s="4"/>
      <c r="I117" s="4"/>
      <c r="K117" s="4"/>
      <c r="L117" s="4"/>
      <c r="M117" s="4"/>
      <c r="N117" s="4"/>
      <c r="O117" s="4"/>
      <c r="P117" s="4"/>
      <c r="Q117" s="4"/>
      <c r="R117" s="4"/>
    </row>
    <row r="118" spans="3:18" x14ac:dyDescent="0.35">
      <c r="C118" s="4"/>
      <c r="D118" s="4"/>
      <c r="E118" s="4"/>
      <c r="F118" s="4"/>
      <c r="G118" s="4"/>
      <c r="H118" s="4"/>
      <c r="I118" s="4"/>
      <c r="K118" s="4"/>
      <c r="L118" s="4"/>
      <c r="M118" s="4"/>
      <c r="N118" s="4"/>
      <c r="O118" s="4"/>
      <c r="P118" s="4"/>
      <c r="Q118" s="4"/>
      <c r="R118" s="4"/>
    </row>
    <row r="119" spans="3:18" x14ac:dyDescent="0.35">
      <c r="C119" s="4"/>
      <c r="D119" s="4"/>
      <c r="E119" s="4"/>
      <c r="F119" s="4"/>
      <c r="G119" s="4"/>
      <c r="H119" s="4"/>
      <c r="I119" s="4"/>
      <c r="K119" s="4"/>
      <c r="L119" s="4"/>
      <c r="M119" s="4"/>
      <c r="N119" s="4"/>
      <c r="O119" s="4"/>
      <c r="P119" s="4"/>
      <c r="Q119" s="4"/>
      <c r="R119" s="4"/>
    </row>
    <row r="120" spans="3:18" x14ac:dyDescent="0.35">
      <c r="C120" s="4"/>
      <c r="D120" s="4"/>
      <c r="E120" s="4"/>
      <c r="F120" s="4"/>
      <c r="G120" s="4"/>
      <c r="H120" s="4"/>
      <c r="I120" s="4"/>
      <c r="K120" s="4"/>
      <c r="L120" s="4"/>
      <c r="M120" s="4"/>
      <c r="N120" s="4"/>
      <c r="O120" s="4"/>
      <c r="P120" s="4"/>
      <c r="Q120" s="4"/>
      <c r="R120" s="4"/>
    </row>
    <row r="121" spans="3:18" x14ac:dyDescent="0.35">
      <c r="C121" s="4"/>
      <c r="D121" s="4"/>
      <c r="E121" s="4"/>
      <c r="F121" s="4"/>
      <c r="G121" s="4"/>
      <c r="H121" s="4"/>
      <c r="I121" s="4"/>
      <c r="K121" s="4"/>
      <c r="L121" s="4"/>
      <c r="M121" s="4"/>
      <c r="N121" s="4"/>
      <c r="O121" s="4"/>
      <c r="P121" s="4"/>
      <c r="Q121" s="4"/>
      <c r="R1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6E78-A184-4392-9BDD-43EEF0D2A982}">
  <dimension ref="A1:AD121"/>
  <sheetViews>
    <sheetView showGridLines="0" topLeftCell="A55" zoomScale="83" zoomScaleNormal="83" workbookViewId="0">
      <selection activeCell="I75" sqref="I75"/>
    </sheetView>
  </sheetViews>
  <sheetFormatPr baseColWidth="10" defaultRowHeight="15.5" x14ac:dyDescent="0.35"/>
  <cols>
    <col min="1" max="1" width="3.08984375" style="5" customWidth="1"/>
    <col min="2" max="2" width="4.453125" style="5" customWidth="1"/>
    <col min="3" max="3" width="24" style="5" customWidth="1"/>
    <col min="4" max="8" width="9.54296875" style="5" customWidth="1"/>
    <col min="9" max="9" width="10.90625" style="5"/>
    <col min="10" max="10" width="4.453125" style="5" customWidth="1"/>
    <col min="11" max="11" width="27.1796875" style="5" customWidth="1"/>
    <col min="12" max="17" width="9.54296875" style="5" customWidth="1"/>
    <col min="18" max="18" width="9.08984375" style="5" bestFit="1" customWidth="1"/>
    <col min="19" max="19" width="8.81640625" style="5" customWidth="1"/>
    <col min="20" max="20" width="10" style="5" customWidth="1"/>
    <col min="21" max="25" width="8.81640625" style="5" customWidth="1"/>
    <col min="26" max="26" width="9.81640625" style="5" customWidth="1"/>
    <col min="27" max="28" width="8.81640625" style="5" customWidth="1"/>
    <col min="29" max="16384" width="10.90625" style="5"/>
  </cols>
  <sheetData>
    <row r="1" spans="1:18" ht="19" thickBot="1" x14ac:dyDescent="0.5">
      <c r="A1" s="14" t="s">
        <v>125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3" spans="1:18" ht="18.5" x14ac:dyDescent="0.45">
      <c r="B3" s="16" t="s">
        <v>25</v>
      </c>
      <c r="C3" s="17"/>
      <c r="D3" s="17"/>
      <c r="E3" s="17"/>
      <c r="F3" s="17"/>
      <c r="G3" s="17"/>
      <c r="H3" s="18"/>
      <c r="J3" s="29" t="s">
        <v>26</v>
      </c>
      <c r="K3" s="30"/>
      <c r="L3" s="30"/>
      <c r="M3" s="30"/>
      <c r="N3" s="30"/>
      <c r="O3" s="30"/>
      <c r="P3" s="31"/>
    </row>
    <row r="4" spans="1:18" ht="6" customHeight="1" x14ac:dyDescent="0.35"/>
    <row r="5" spans="1:18" ht="14" customHeight="1" x14ac:dyDescent="0.4">
      <c r="B5" s="28" t="s">
        <v>4</v>
      </c>
      <c r="C5" s="4"/>
      <c r="D5" s="89" t="s">
        <v>91</v>
      </c>
      <c r="E5" s="90" t="s">
        <v>92</v>
      </c>
      <c r="F5" s="90" t="s">
        <v>93</v>
      </c>
      <c r="G5" s="90" t="s">
        <v>94</v>
      </c>
      <c r="H5" s="90" t="s">
        <v>95</v>
      </c>
      <c r="I5" s="4"/>
      <c r="J5" s="28" t="s">
        <v>27</v>
      </c>
      <c r="K5" s="4"/>
      <c r="L5" s="89" t="s">
        <v>91</v>
      </c>
      <c r="M5" s="90" t="s">
        <v>92</v>
      </c>
      <c r="N5" s="90" t="s">
        <v>93</v>
      </c>
      <c r="O5" s="90" t="s">
        <v>94</v>
      </c>
      <c r="P5" s="90" t="s">
        <v>95</v>
      </c>
      <c r="Q5" s="73"/>
      <c r="R5" s="4"/>
    </row>
    <row r="6" spans="1:18" ht="14" customHeight="1" x14ac:dyDescent="0.35">
      <c r="B6" s="5" t="s">
        <v>2</v>
      </c>
      <c r="C6" s="1"/>
      <c r="D6" s="2">
        <v>10000</v>
      </c>
      <c r="E6" s="50">
        <f>D6+1000+((D38+0.05)*E27/D36)</f>
        <v>15000</v>
      </c>
      <c r="F6" s="50">
        <f>E6+2000</f>
        <v>17000</v>
      </c>
      <c r="G6" s="50">
        <f>F6+2000</f>
        <v>19000</v>
      </c>
      <c r="H6" s="50">
        <f>G6+2000</f>
        <v>21000</v>
      </c>
      <c r="I6" s="2"/>
      <c r="J6" s="5" t="s">
        <v>0</v>
      </c>
      <c r="K6" s="1"/>
      <c r="L6" s="2">
        <f>D8</f>
        <v>5000</v>
      </c>
      <c r="M6" s="2">
        <f>E8</f>
        <v>7500</v>
      </c>
      <c r="N6" s="2">
        <f>F8</f>
        <v>8500</v>
      </c>
      <c r="O6" s="2">
        <f>G8</f>
        <v>9500</v>
      </c>
      <c r="P6" s="2">
        <f>H8</f>
        <v>10500</v>
      </c>
      <c r="Q6" s="2"/>
      <c r="R6" s="4"/>
    </row>
    <row r="7" spans="1:18" ht="14" customHeight="1" x14ac:dyDescent="0.35">
      <c r="B7" s="5" t="s">
        <v>3</v>
      </c>
      <c r="C7" s="1"/>
      <c r="D7" s="6">
        <f>-D6*0.5</f>
        <v>-5000</v>
      </c>
      <c r="E7" s="6">
        <f>-E6*0.5</f>
        <v>-7500</v>
      </c>
      <c r="F7" s="6">
        <f>-F6*0.5</f>
        <v>-8500</v>
      </c>
      <c r="G7" s="6">
        <f>-G6*0.5</f>
        <v>-9500</v>
      </c>
      <c r="H7" s="6">
        <f>-H6*0.5</f>
        <v>-10500</v>
      </c>
      <c r="I7" s="2"/>
      <c r="J7" s="5" t="s">
        <v>17</v>
      </c>
      <c r="K7" s="5" t="s">
        <v>44</v>
      </c>
      <c r="L7" s="19">
        <f>-L6*0.3</f>
        <v>-1500</v>
      </c>
      <c r="M7" s="19">
        <f>-M6*0.3</f>
        <v>-2250</v>
      </c>
      <c r="N7" s="19">
        <f>-N6*0.3</f>
        <v>-2550</v>
      </c>
      <c r="O7" s="19">
        <f>-O6*0.3</f>
        <v>-2850</v>
      </c>
      <c r="P7" s="19">
        <f>-P6*0.3</f>
        <v>-3150</v>
      </c>
      <c r="Q7" s="19"/>
      <c r="R7" s="4"/>
    </row>
    <row r="8" spans="1:18" ht="14" customHeight="1" x14ac:dyDescent="0.35">
      <c r="B8" s="5" t="s">
        <v>0</v>
      </c>
      <c r="C8" s="1"/>
      <c r="D8" s="2">
        <f>D6+D7</f>
        <v>5000</v>
      </c>
      <c r="E8" s="2">
        <f>E6+E7</f>
        <v>7500</v>
      </c>
      <c r="F8" s="2">
        <f>F6+F7</f>
        <v>8500</v>
      </c>
      <c r="G8" s="2">
        <f>G6+G7</f>
        <v>9500</v>
      </c>
      <c r="H8" s="2">
        <f>H6+H7</f>
        <v>10500</v>
      </c>
      <c r="I8" s="2"/>
      <c r="J8" s="9" t="s">
        <v>14</v>
      </c>
      <c r="K8" s="5" t="s">
        <v>1</v>
      </c>
      <c r="L8" s="2">
        <f t="shared" ref="L8:P10" si="0">D22</f>
        <v>1000</v>
      </c>
      <c r="M8" s="2">
        <f t="shared" si="0"/>
        <v>1500</v>
      </c>
      <c r="N8" s="2">
        <f t="shared" si="0"/>
        <v>1700</v>
      </c>
      <c r="O8" s="2">
        <f t="shared" si="0"/>
        <v>1900</v>
      </c>
      <c r="P8" s="2">
        <f t="shared" si="0"/>
        <v>2100</v>
      </c>
      <c r="Q8" s="2"/>
      <c r="R8" s="4"/>
    </row>
    <row r="9" spans="1:18" ht="14" customHeight="1" x14ac:dyDescent="0.35">
      <c r="B9" s="5" t="s">
        <v>84</v>
      </c>
      <c r="C9" s="1"/>
      <c r="D9" s="6">
        <f>-D16*D37</f>
        <v>-1500</v>
      </c>
      <c r="E9" s="6">
        <f>-E16*E37</f>
        <v>-2400</v>
      </c>
      <c r="F9" s="6">
        <f>-F16*F37</f>
        <v>-2625</v>
      </c>
      <c r="G9" s="6">
        <f>-G16*G37</f>
        <v>-2850</v>
      </c>
      <c r="H9" s="6">
        <f>-H16*H37</f>
        <v>-3075.0000000000005</v>
      </c>
      <c r="I9" s="2"/>
      <c r="J9" s="5" t="s">
        <v>17</v>
      </c>
      <c r="K9" s="1" t="s">
        <v>18</v>
      </c>
      <c r="L9" s="2">
        <f t="shared" si="0"/>
        <v>-1500</v>
      </c>
      <c r="M9" s="2">
        <f t="shared" si="0"/>
        <v>-11600</v>
      </c>
      <c r="N9" s="2">
        <f t="shared" si="0"/>
        <v>-1800</v>
      </c>
      <c r="O9" s="2">
        <f t="shared" si="0"/>
        <v>-2000</v>
      </c>
      <c r="P9" s="2">
        <f t="shared" si="0"/>
        <v>-2200</v>
      </c>
      <c r="Q9" s="2"/>
      <c r="R9" s="4"/>
    </row>
    <row r="10" spans="1:18" ht="14" customHeight="1" x14ac:dyDescent="0.35">
      <c r="B10" s="5" t="s">
        <v>5</v>
      </c>
      <c r="C10" s="1"/>
      <c r="D10" s="2">
        <f>D8+D9</f>
        <v>3500</v>
      </c>
      <c r="E10" s="2">
        <f>E8+E9</f>
        <v>5100</v>
      </c>
      <c r="F10" s="2">
        <f>F8+F9</f>
        <v>5875</v>
      </c>
      <c r="G10" s="2">
        <f>G8+G9</f>
        <v>6650</v>
      </c>
      <c r="H10" s="2">
        <f>H8+H9</f>
        <v>7425</v>
      </c>
      <c r="I10" s="2"/>
      <c r="J10" s="5" t="s">
        <v>15</v>
      </c>
      <c r="K10" s="1" t="s">
        <v>16</v>
      </c>
      <c r="L10" s="6">
        <f t="shared" si="0"/>
        <v>-500</v>
      </c>
      <c r="M10" s="6">
        <f t="shared" si="0"/>
        <v>-750</v>
      </c>
      <c r="N10" s="6">
        <f t="shared" si="0"/>
        <v>-850</v>
      </c>
      <c r="O10" s="6">
        <f t="shared" si="0"/>
        <v>-950</v>
      </c>
      <c r="P10" s="6">
        <f t="shared" si="0"/>
        <v>-1050</v>
      </c>
      <c r="Q10" s="19"/>
      <c r="R10" s="4"/>
    </row>
    <row r="11" spans="1:18" ht="14" customHeight="1" x14ac:dyDescent="0.35">
      <c r="B11" s="5" t="s">
        <v>43</v>
      </c>
      <c r="C11" s="1"/>
      <c r="D11" s="6">
        <f>-D10*0.3</f>
        <v>-1050</v>
      </c>
      <c r="E11" s="6">
        <f>-E10*0.3</f>
        <v>-1530</v>
      </c>
      <c r="F11" s="6">
        <f>-F10*0.3</f>
        <v>-1762.5</v>
      </c>
      <c r="G11" s="6">
        <f>-G10*0.3</f>
        <v>-1995</v>
      </c>
      <c r="H11" s="6">
        <f>-H10*0.3</f>
        <v>-2227.5</v>
      </c>
      <c r="I11" s="2"/>
      <c r="J11" s="10" t="s">
        <v>27</v>
      </c>
      <c r="K11" s="1"/>
      <c r="L11" s="12">
        <f>SUM(L6:L10)</f>
        <v>2500</v>
      </c>
      <c r="M11" s="12">
        <f>SUM(M6:M10)</f>
        <v>-5600</v>
      </c>
      <c r="N11" s="12">
        <f>SUM(N6:N10)</f>
        <v>5000</v>
      </c>
      <c r="O11" s="12">
        <f>SUM(O6:O10)</f>
        <v>5600</v>
      </c>
      <c r="P11" s="12">
        <f>SUM(P6:P10)</f>
        <v>6200</v>
      </c>
      <c r="Q11" s="12"/>
      <c r="R11" s="4"/>
    </row>
    <row r="12" spans="1:18" ht="14" customHeight="1" x14ac:dyDescent="0.35">
      <c r="B12" s="10" t="s">
        <v>6</v>
      </c>
      <c r="C12" s="11"/>
      <c r="D12" s="12">
        <f>D10+D11</f>
        <v>2450</v>
      </c>
      <c r="E12" s="12">
        <f>E10+E11</f>
        <v>3570</v>
      </c>
      <c r="F12" s="12">
        <f>F10+F11</f>
        <v>4112.5</v>
      </c>
      <c r="G12" s="12">
        <f>G10+G11</f>
        <v>4655</v>
      </c>
      <c r="H12" s="12">
        <f>H10+H11</f>
        <v>5197.5</v>
      </c>
      <c r="I12" s="2"/>
      <c r="J12" s="10"/>
      <c r="K12" s="11"/>
      <c r="L12" s="102"/>
      <c r="M12" s="102"/>
      <c r="N12" s="102"/>
      <c r="O12" s="102"/>
      <c r="P12" s="102"/>
      <c r="Q12" s="12"/>
      <c r="R12" s="4"/>
    </row>
    <row r="13" spans="1:18" ht="14" customHeight="1" x14ac:dyDescent="0.35">
      <c r="C13" s="1"/>
      <c r="D13" s="101"/>
      <c r="E13" s="101"/>
      <c r="F13" s="101"/>
      <c r="G13" s="101"/>
      <c r="H13" s="101"/>
      <c r="I13" s="2"/>
      <c r="J13" s="3" t="s">
        <v>42</v>
      </c>
      <c r="K13" s="1"/>
      <c r="L13" s="2"/>
      <c r="M13" s="2"/>
      <c r="N13" s="2"/>
      <c r="O13" s="2"/>
      <c r="P13" s="2"/>
      <c r="Q13" s="2"/>
      <c r="R13" s="4"/>
    </row>
    <row r="14" spans="1:18" ht="14" customHeight="1" x14ac:dyDescent="0.4">
      <c r="B14" s="28" t="s">
        <v>7</v>
      </c>
      <c r="C14" s="1"/>
      <c r="D14" s="2"/>
      <c r="E14" s="2"/>
      <c r="F14" s="2"/>
      <c r="G14" s="2"/>
      <c r="H14" s="2"/>
      <c r="I14" s="2"/>
      <c r="J14" s="5" t="s">
        <v>27</v>
      </c>
      <c r="K14" s="1"/>
      <c r="L14" s="2">
        <f>L11</f>
        <v>2500</v>
      </c>
      <c r="M14" s="2">
        <f>M11</f>
        <v>-5600</v>
      </c>
      <c r="N14" s="2">
        <f>N11</f>
        <v>5000</v>
      </c>
      <c r="O14" s="2">
        <f>O11</f>
        <v>5600</v>
      </c>
      <c r="P14" s="2">
        <f>P11</f>
        <v>6200</v>
      </c>
      <c r="Q14" s="2"/>
      <c r="R14" s="4"/>
    </row>
    <row r="15" spans="1:18" ht="14" customHeight="1" x14ac:dyDescent="0.35">
      <c r="B15" s="5" t="s">
        <v>53</v>
      </c>
      <c r="C15" s="1"/>
      <c r="D15" s="2">
        <f>D8/D38</f>
        <v>33333.333333333336</v>
      </c>
      <c r="E15" s="2">
        <f>D15+E31-E23-E22-E24</f>
        <v>46903.333333333336</v>
      </c>
      <c r="F15" s="2">
        <f>E15+F31-F23-F22-F24</f>
        <v>53515.833333333336</v>
      </c>
      <c r="G15" s="2">
        <f>F15+G31-G23-G22-G24</f>
        <v>60670.833333333336</v>
      </c>
      <c r="H15" s="2">
        <f>G15+H31-H23-H22-H24</f>
        <v>68368.333333333343</v>
      </c>
      <c r="I15" s="2"/>
      <c r="J15" s="5" t="s">
        <v>17</v>
      </c>
      <c r="K15" s="5" t="s">
        <v>84</v>
      </c>
      <c r="L15" s="2">
        <f>D9</f>
        <v>-1500</v>
      </c>
      <c r="M15" s="2">
        <f>E9</f>
        <v>-2400</v>
      </c>
      <c r="N15" s="2">
        <f>F9</f>
        <v>-2625</v>
      </c>
      <c r="O15" s="2">
        <f>G9</f>
        <v>-2850</v>
      </c>
      <c r="P15" s="2">
        <f>H9</f>
        <v>-3075.0000000000005</v>
      </c>
      <c r="Q15" s="2"/>
      <c r="R15" s="4"/>
    </row>
    <row r="16" spans="1:18" ht="14" customHeight="1" x14ac:dyDescent="0.35">
      <c r="B16" s="5" t="s">
        <v>52</v>
      </c>
      <c r="D16" s="2">
        <f>D15*D36</f>
        <v>16666.666666666668</v>
      </c>
      <c r="E16" s="2">
        <f>D16+E26+E27</f>
        <v>26666.666666666668</v>
      </c>
      <c r="F16" s="2">
        <f>E16+F26+F27</f>
        <v>29166.666666666668</v>
      </c>
      <c r="G16" s="2">
        <f>F16+G26+G27</f>
        <v>31666.666666666668</v>
      </c>
      <c r="H16" s="2">
        <f>G16+H26+H27</f>
        <v>34166.666666666672</v>
      </c>
      <c r="I16" s="2"/>
      <c r="J16" s="9" t="s">
        <v>14</v>
      </c>
      <c r="K16" s="5" t="s">
        <v>28</v>
      </c>
      <c r="L16" s="6">
        <f>-L15*0.3</f>
        <v>450</v>
      </c>
      <c r="M16" s="6">
        <f>-M15*0.3</f>
        <v>720</v>
      </c>
      <c r="N16" s="6">
        <f>-N15*0.3</f>
        <v>787.5</v>
      </c>
      <c r="O16" s="6">
        <f>-O15*0.3</f>
        <v>855</v>
      </c>
      <c r="P16" s="6">
        <f>-P15*0.3</f>
        <v>922.50000000000011</v>
      </c>
      <c r="Q16" s="19"/>
      <c r="R16" s="4"/>
    </row>
    <row r="17" spans="2:18" ht="14" customHeight="1" x14ac:dyDescent="0.35">
      <c r="B17" s="5" t="s">
        <v>51</v>
      </c>
      <c r="D17" s="2">
        <f>D15-D16</f>
        <v>16666.666666666668</v>
      </c>
      <c r="E17" s="2">
        <f>D17+E12+E28+E29</f>
        <v>20236.666666666668</v>
      </c>
      <c r="F17" s="2">
        <f>E17+F12+F28+F29</f>
        <v>24349.166666666668</v>
      </c>
      <c r="G17" s="2">
        <f>F17+G12+G28+G29</f>
        <v>29004.166666666668</v>
      </c>
      <c r="H17" s="2">
        <f>G17+H12+H28+H29</f>
        <v>34201.666666666672</v>
      </c>
      <c r="I17" s="2"/>
      <c r="J17" s="5" t="s">
        <v>19</v>
      </c>
      <c r="L17" s="2">
        <f>SUM(L14:L16)</f>
        <v>1450</v>
      </c>
      <c r="M17" s="2">
        <f>SUM(M14:M16)</f>
        <v>-7280</v>
      </c>
      <c r="N17" s="2">
        <f>SUM(N14:N16)</f>
        <v>3162.5</v>
      </c>
      <c r="O17" s="2">
        <f>SUM(O14:O16)</f>
        <v>3605</v>
      </c>
      <c r="P17" s="2">
        <f>SUM(P14:P16)</f>
        <v>4047.4999999999995</v>
      </c>
      <c r="Q17" s="2"/>
      <c r="R17" s="4"/>
    </row>
    <row r="18" spans="2:18" ht="14" customHeight="1" x14ac:dyDescent="0.35">
      <c r="B18" s="36" t="s">
        <v>29</v>
      </c>
      <c r="C18" s="37"/>
      <c r="D18" s="38">
        <f>D16+D17-D15</f>
        <v>0</v>
      </c>
      <c r="E18" s="38">
        <f>E16+E17-E15</f>
        <v>0</v>
      </c>
      <c r="F18" s="38">
        <f>F16+F17-F15</f>
        <v>0</v>
      </c>
      <c r="G18" s="38">
        <f>G16+G17-G15</f>
        <v>0</v>
      </c>
      <c r="H18" s="38">
        <f>H16+H17-H15</f>
        <v>0</v>
      </c>
      <c r="I18" s="39"/>
      <c r="J18" s="36" t="s">
        <v>106</v>
      </c>
      <c r="K18" s="37"/>
      <c r="L18" s="38">
        <f>L17-D25</f>
        <v>0</v>
      </c>
      <c r="M18" s="38">
        <f>M17-E25</f>
        <v>0</v>
      </c>
      <c r="N18" s="38">
        <f>N17-F25</f>
        <v>0</v>
      </c>
      <c r="O18" s="38">
        <f>O17-G25</f>
        <v>0</v>
      </c>
      <c r="P18" s="38">
        <f>P17-H25</f>
        <v>0</v>
      </c>
      <c r="Q18" s="38"/>
      <c r="R18" s="4"/>
    </row>
    <row r="19" spans="2:18" ht="14" customHeight="1" x14ac:dyDescent="0.35">
      <c r="D19" s="2"/>
      <c r="E19" s="2"/>
      <c r="F19" s="2"/>
      <c r="G19" s="2"/>
      <c r="H19" s="2"/>
      <c r="I19" s="2"/>
      <c r="L19" s="2"/>
      <c r="M19" s="2"/>
      <c r="N19" s="2"/>
      <c r="O19" s="2"/>
      <c r="P19" s="2"/>
      <c r="Q19" s="2"/>
      <c r="R19" s="4"/>
    </row>
    <row r="20" spans="2:18" ht="14" customHeight="1" x14ac:dyDescent="0.4">
      <c r="B20" s="28" t="s">
        <v>8</v>
      </c>
      <c r="I20" s="2"/>
      <c r="J20" s="28" t="s">
        <v>30</v>
      </c>
      <c r="L20" s="2"/>
      <c r="M20" s="2"/>
      <c r="N20" s="2"/>
      <c r="O20" s="2"/>
      <c r="P20" s="2"/>
      <c r="Q20" s="2"/>
      <c r="R20" s="4"/>
    </row>
    <row r="21" spans="2:18" ht="14" customHeight="1" x14ac:dyDescent="0.35">
      <c r="B21" s="5" t="s">
        <v>6</v>
      </c>
      <c r="D21" s="2">
        <f>D12</f>
        <v>2450</v>
      </c>
      <c r="E21" s="2">
        <f>E12</f>
        <v>3570</v>
      </c>
      <c r="F21" s="2">
        <f>F12</f>
        <v>4112.5</v>
      </c>
      <c r="G21" s="2">
        <f>G12</f>
        <v>4655</v>
      </c>
      <c r="H21" s="2">
        <f>H12</f>
        <v>5197.5</v>
      </c>
      <c r="I21" s="2"/>
      <c r="J21" s="5" t="s">
        <v>27</v>
      </c>
      <c r="L21" s="2">
        <f>L11</f>
        <v>2500</v>
      </c>
      <c r="M21" s="2">
        <f>M11</f>
        <v>-5600</v>
      </c>
      <c r="N21" s="2">
        <f>N11</f>
        <v>5000</v>
      </c>
      <c r="O21" s="2">
        <f>O11</f>
        <v>5600</v>
      </c>
      <c r="P21" s="2">
        <f>P11</f>
        <v>6200</v>
      </c>
      <c r="Q21" s="2"/>
      <c r="R21" s="4"/>
    </row>
    <row r="22" spans="2:18" ht="14" customHeight="1" x14ac:dyDescent="0.35">
      <c r="B22" s="9" t="s">
        <v>14</v>
      </c>
      <c r="C22" s="5" t="s">
        <v>1</v>
      </c>
      <c r="D22" s="2">
        <f>0.1*D6</f>
        <v>1000</v>
      </c>
      <c r="E22" s="2">
        <f>0.1*E6</f>
        <v>1500</v>
      </c>
      <c r="F22" s="2">
        <f>0.1*F6</f>
        <v>1700</v>
      </c>
      <c r="G22" s="2">
        <f>0.1*G6</f>
        <v>1900</v>
      </c>
      <c r="H22" s="2">
        <f>0.1*H6</f>
        <v>2100</v>
      </c>
      <c r="I22" s="2"/>
      <c r="J22" s="5" t="s">
        <v>17</v>
      </c>
      <c r="K22" s="5" t="s">
        <v>84</v>
      </c>
      <c r="L22" s="20">
        <f t="shared" ref="L22:P23" si="1">L15</f>
        <v>-1500</v>
      </c>
      <c r="M22" s="20">
        <f t="shared" si="1"/>
        <v>-2400</v>
      </c>
      <c r="N22" s="20">
        <f t="shared" si="1"/>
        <v>-2625</v>
      </c>
      <c r="O22" s="20">
        <f t="shared" si="1"/>
        <v>-2850</v>
      </c>
      <c r="P22" s="20">
        <f t="shared" si="1"/>
        <v>-3075.0000000000005</v>
      </c>
      <c r="Q22" s="20"/>
      <c r="R22" s="4"/>
    </row>
    <row r="23" spans="2:18" ht="14" customHeight="1" x14ac:dyDescent="0.35">
      <c r="B23" s="5" t="s">
        <v>17</v>
      </c>
      <c r="C23" s="1" t="s">
        <v>18</v>
      </c>
      <c r="D23" s="2">
        <v>-1500</v>
      </c>
      <c r="E23" s="50">
        <f>D23-100-E27</f>
        <v>-11600</v>
      </c>
      <c r="F23" s="50">
        <f>D23-100-200</f>
        <v>-1800</v>
      </c>
      <c r="G23" s="50">
        <f>F23-200</f>
        <v>-2000</v>
      </c>
      <c r="H23" s="50">
        <f>G23-200</f>
        <v>-2200</v>
      </c>
      <c r="I23" s="2"/>
      <c r="J23" s="9" t="s">
        <v>14</v>
      </c>
      <c r="K23" s="5" t="s">
        <v>28</v>
      </c>
      <c r="L23" s="20">
        <f t="shared" si="1"/>
        <v>450</v>
      </c>
      <c r="M23" s="20">
        <f t="shared" si="1"/>
        <v>720</v>
      </c>
      <c r="N23" s="20">
        <f t="shared" si="1"/>
        <v>787.5</v>
      </c>
      <c r="O23" s="20">
        <f t="shared" si="1"/>
        <v>855</v>
      </c>
      <c r="P23" s="20">
        <f t="shared" si="1"/>
        <v>922.50000000000011</v>
      </c>
      <c r="Q23" s="20"/>
      <c r="R23" s="4"/>
    </row>
    <row r="24" spans="2:18" ht="14" customHeight="1" x14ac:dyDescent="0.35">
      <c r="B24" s="5" t="s">
        <v>15</v>
      </c>
      <c r="C24" s="1" t="s">
        <v>16</v>
      </c>
      <c r="D24" s="6">
        <f>-D6*0.05</f>
        <v>-500</v>
      </c>
      <c r="E24" s="6">
        <f>-E6*0.05</f>
        <v>-750</v>
      </c>
      <c r="F24" s="6">
        <f>-F6*0.05</f>
        <v>-850</v>
      </c>
      <c r="G24" s="6">
        <f>-G6*0.05</f>
        <v>-950</v>
      </c>
      <c r="H24" s="6">
        <f>-H6*0.05</f>
        <v>-1050</v>
      </c>
      <c r="I24" s="2"/>
      <c r="J24" s="5" t="s">
        <v>17</v>
      </c>
      <c r="K24" s="5" t="s">
        <v>20</v>
      </c>
      <c r="L24" s="2">
        <f>D26</f>
        <v>0</v>
      </c>
      <c r="M24" s="2">
        <f t="shared" ref="M24:P24" si="2">E26</f>
        <v>0</v>
      </c>
      <c r="N24" s="2">
        <f t="shared" si="2"/>
        <v>0</v>
      </c>
      <c r="O24" s="2">
        <f t="shared" si="2"/>
        <v>0</v>
      </c>
      <c r="P24" s="2">
        <f t="shared" si="2"/>
        <v>-10000</v>
      </c>
      <c r="Q24" s="2"/>
      <c r="R24" s="4"/>
    </row>
    <row r="25" spans="2:18" ht="14" customHeight="1" x14ac:dyDescent="0.35">
      <c r="B25" s="10" t="s">
        <v>19</v>
      </c>
      <c r="C25" s="1"/>
      <c r="D25" s="12">
        <f>SUM(D21:D24)</f>
        <v>1450</v>
      </c>
      <c r="E25" s="12">
        <f>SUM(E21:E24)</f>
        <v>-7280</v>
      </c>
      <c r="F25" s="12">
        <f>SUM(F21:F24)</f>
        <v>3162.5</v>
      </c>
      <c r="G25" s="12">
        <f>SUM(G21:G24)</f>
        <v>3605</v>
      </c>
      <c r="H25" s="12">
        <f>SUM(H21:H24)</f>
        <v>4047.5</v>
      </c>
      <c r="I25" s="1"/>
      <c r="J25" s="9" t="s">
        <v>14</v>
      </c>
      <c r="K25" s="5" t="s">
        <v>21</v>
      </c>
      <c r="L25" s="6">
        <f t="shared" ref="L25:P25" si="3">D27</f>
        <v>0</v>
      </c>
      <c r="M25" s="6">
        <f t="shared" si="3"/>
        <v>10000</v>
      </c>
      <c r="N25" s="6">
        <f t="shared" si="3"/>
        <v>2500</v>
      </c>
      <c r="O25" s="6">
        <f t="shared" si="3"/>
        <v>2500</v>
      </c>
      <c r="P25" s="6">
        <f t="shared" si="3"/>
        <v>12500</v>
      </c>
      <c r="Q25" s="19"/>
      <c r="R25" s="4"/>
    </row>
    <row r="26" spans="2:18" ht="14" customHeight="1" x14ac:dyDescent="0.35">
      <c r="B26" s="5" t="s">
        <v>17</v>
      </c>
      <c r="C26" s="5" t="s">
        <v>20</v>
      </c>
      <c r="D26" s="50">
        <v>0</v>
      </c>
      <c r="E26" s="50">
        <v>0</v>
      </c>
      <c r="F26" s="50">
        <v>0</v>
      </c>
      <c r="G26" s="50">
        <v>0</v>
      </c>
      <c r="H26" s="50">
        <f>-E27</f>
        <v>-10000</v>
      </c>
      <c r="I26" s="2"/>
      <c r="J26" s="10" t="s">
        <v>30</v>
      </c>
      <c r="L26" s="21">
        <f>SUM(L21:L25)</f>
        <v>1450</v>
      </c>
      <c r="M26" s="21">
        <f>SUM(M21:M25)</f>
        <v>2720</v>
      </c>
      <c r="N26" s="21">
        <f>SUM(N21:N25)</f>
        <v>5662.5</v>
      </c>
      <c r="O26" s="21">
        <f>SUM(O21:O25)</f>
        <v>6105</v>
      </c>
      <c r="P26" s="21">
        <f>SUM(P21:P25)</f>
        <v>6547.5</v>
      </c>
      <c r="Q26" s="21"/>
      <c r="R26" s="2"/>
    </row>
    <row r="27" spans="2:18" ht="14" customHeight="1" x14ac:dyDescent="0.35">
      <c r="B27" s="9" t="s">
        <v>14</v>
      </c>
      <c r="C27" s="5" t="s">
        <v>21</v>
      </c>
      <c r="D27" s="50">
        <f>-D26</f>
        <v>0</v>
      </c>
      <c r="E27" s="50">
        <v>10000</v>
      </c>
      <c r="F27" s="50">
        <v>2500</v>
      </c>
      <c r="G27" s="50">
        <v>2500</v>
      </c>
      <c r="H27" s="50">
        <f>+E27+2500</f>
        <v>12500</v>
      </c>
      <c r="I27" s="2"/>
      <c r="J27" s="72"/>
      <c r="K27" s="22"/>
      <c r="L27" s="19"/>
      <c r="M27" s="19"/>
      <c r="N27" s="19"/>
      <c r="O27" s="19"/>
      <c r="P27" s="19"/>
      <c r="Q27" s="19"/>
      <c r="R27" s="2"/>
    </row>
    <row r="28" spans="2:18" ht="14" customHeight="1" x14ac:dyDescent="0.35">
      <c r="B28" s="5" t="s">
        <v>17</v>
      </c>
      <c r="C28" s="5" t="s">
        <v>105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R28" s="2"/>
    </row>
    <row r="29" spans="2:18" ht="14" customHeight="1" x14ac:dyDescent="0.35">
      <c r="B29" s="9" t="s">
        <v>14</v>
      </c>
      <c r="C29" s="5" t="s">
        <v>22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2"/>
      <c r="J29" s="22"/>
      <c r="K29" s="22"/>
      <c r="L29" s="22"/>
      <c r="M29" s="22"/>
      <c r="N29" s="22"/>
      <c r="O29" s="22"/>
      <c r="P29" s="22"/>
      <c r="Q29" s="22"/>
      <c r="R29" s="2"/>
    </row>
    <row r="30" spans="2:18" ht="14" customHeight="1" x14ac:dyDescent="0.4">
      <c r="B30" s="10" t="s">
        <v>23</v>
      </c>
      <c r="D30" s="13">
        <f>SUM(D26:D29)</f>
        <v>0</v>
      </c>
      <c r="E30" s="13">
        <f>SUM(E26:E29)</f>
        <v>10000</v>
      </c>
      <c r="F30" s="13">
        <f>SUM(F26:F29)</f>
        <v>2500</v>
      </c>
      <c r="G30" s="13">
        <f>SUM(G26:G29)</f>
        <v>2500</v>
      </c>
      <c r="H30" s="13">
        <f>SUM(H26:H29)</f>
        <v>2500</v>
      </c>
      <c r="I30" s="2"/>
      <c r="J30" s="35" t="s">
        <v>31</v>
      </c>
      <c r="K30" s="22"/>
      <c r="L30" s="89" t="s">
        <v>91</v>
      </c>
      <c r="M30" s="90" t="s">
        <v>92</v>
      </c>
      <c r="N30" s="90" t="s">
        <v>93</v>
      </c>
      <c r="O30" s="90" t="s">
        <v>94</v>
      </c>
      <c r="P30" s="90" t="s">
        <v>95</v>
      </c>
      <c r="Q30" s="73"/>
      <c r="R30" s="2"/>
    </row>
    <row r="31" spans="2:18" ht="14" customHeight="1" x14ac:dyDescent="0.4">
      <c r="B31" s="10" t="s">
        <v>24</v>
      </c>
      <c r="C31" s="1"/>
      <c r="D31" s="12">
        <f>D25+D30</f>
        <v>1450</v>
      </c>
      <c r="E31" s="12">
        <f>E25+E30</f>
        <v>2720</v>
      </c>
      <c r="F31" s="12">
        <f>F25+F30</f>
        <v>5662.5</v>
      </c>
      <c r="G31" s="12">
        <f>G25+G30</f>
        <v>6105</v>
      </c>
      <c r="H31" s="12">
        <f>H25+H30</f>
        <v>6547.5</v>
      </c>
      <c r="I31" s="2"/>
      <c r="J31" s="35" t="s">
        <v>46</v>
      </c>
      <c r="K31" s="24"/>
      <c r="L31" s="23"/>
      <c r="M31" s="23"/>
      <c r="N31" s="23"/>
      <c r="O31" s="23"/>
      <c r="P31" s="23"/>
      <c r="Q31" s="23"/>
      <c r="R31" s="2"/>
    </row>
    <row r="32" spans="2:18" ht="14" customHeight="1" x14ac:dyDescent="0.35">
      <c r="B32" s="5" t="s">
        <v>49</v>
      </c>
      <c r="C32" s="1"/>
      <c r="D32" s="2">
        <v>0</v>
      </c>
      <c r="E32" s="2">
        <f>D33</f>
        <v>1450</v>
      </c>
      <c r="F32" s="2">
        <f>E33</f>
        <v>4170</v>
      </c>
      <c r="G32" s="2">
        <f>F33</f>
        <v>9832.5</v>
      </c>
      <c r="H32" s="2">
        <f>G33</f>
        <v>15937.5</v>
      </c>
      <c r="I32" s="2"/>
      <c r="J32" s="5" t="s">
        <v>36</v>
      </c>
      <c r="K32" s="1"/>
      <c r="L32" s="2"/>
      <c r="M32" s="2">
        <f>M11</f>
        <v>-5600</v>
      </c>
      <c r="N32" s="2">
        <f>N11</f>
        <v>5000</v>
      </c>
      <c r="O32" s="2">
        <f>O11</f>
        <v>5600</v>
      </c>
      <c r="P32" s="2">
        <f>P11</f>
        <v>6200</v>
      </c>
      <c r="Q32" s="2"/>
      <c r="R32" s="2"/>
    </row>
    <row r="33" spans="2:19" ht="14" customHeight="1" x14ac:dyDescent="0.35">
      <c r="B33" s="5" t="s">
        <v>50</v>
      </c>
      <c r="D33" s="2">
        <f>D31+D32</f>
        <v>1450</v>
      </c>
      <c r="E33" s="2">
        <f>E31+E32</f>
        <v>4170</v>
      </c>
      <c r="F33" s="2">
        <f>F31+F32</f>
        <v>9832.5</v>
      </c>
      <c r="G33" s="2">
        <f>G31+G32</f>
        <v>15937.5</v>
      </c>
      <c r="H33" s="2">
        <f>H31+H32</f>
        <v>22485</v>
      </c>
      <c r="I33" s="4"/>
      <c r="J33" s="5" t="s">
        <v>47</v>
      </c>
      <c r="K33" s="25"/>
      <c r="L33" s="26"/>
      <c r="M33" s="26"/>
      <c r="N33" s="26"/>
      <c r="O33" s="26"/>
      <c r="P33" s="2">
        <f>P32*(1+0.03)/(D49-0.03)</f>
        <v>73830.200852376278</v>
      </c>
      <c r="Q33" s="2"/>
      <c r="R33" s="4"/>
    </row>
    <row r="34" spans="2:19" ht="14" customHeight="1" x14ac:dyDescent="0.35">
      <c r="I34" s="4"/>
      <c r="J34" s="22"/>
      <c r="K34" s="25"/>
      <c r="L34" s="26"/>
      <c r="M34" s="26"/>
      <c r="N34" s="26"/>
      <c r="O34" s="26"/>
      <c r="P34" s="26"/>
      <c r="Q34" s="26"/>
      <c r="R34" s="4"/>
    </row>
    <row r="35" spans="2:19" ht="14" customHeight="1" x14ac:dyDescent="0.4">
      <c r="B35" s="28" t="s">
        <v>32</v>
      </c>
      <c r="D35" s="89" t="s">
        <v>91</v>
      </c>
      <c r="E35" s="90" t="s">
        <v>92</v>
      </c>
      <c r="F35" s="90" t="s">
        <v>93</v>
      </c>
      <c r="G35" s="90" t="s">
        <v>94</v>
      </c>
      <c r="H35" s="90" t="s">
        <v>95</v>
      </c>
      <c r="I35" s="4"/>
      <c r="J35" s="5" t="s">
        <v>33</v>
      </c>
      <c r="K35" s="1"/>
      <c r="L35" s="26"/>
      <c r="M35" s="65">
        <v>1</v>
      </c>
      <c r="N35" s="65">
        <f>+M35+1</f>
        <v>2</v>
      </c>
      <c r="O35" s="65">
        <f>+N35+1</f>
        <v>3</v>
      </c>
      <c r="P35" s="65">
        <f>+O35+1</f>
        <v>4</v>
      </c>
      <c r="R35" s="4"/>
    </row>
    <row r="36" spans="2:19" ht="14" customHeight="1" x14ac:dyDescent="0.35">
      <c r="B36" s="5" t="s">
        <v>35</v>
      </c>
      <c r="C36" s="4"/>
      <c r="D36" s="126">
        <f>+'Caso A'!D36</f>
        <v>0.5</v>
      </c>
      <c r="E36" s="7">
        <f>E16/E15</f>
        <v>0.56854523488025011</v>
      </c>
      <c r="F36" s="7">
        <f>F16/F15</f>
        <v>0.54501004375652062</v>
      </c>
      <c r="G36" s="7">
        <f>G16/G15</f>
        <v>0.52194217430121559</v>
      </c>
      <c r="H36" s="7">
        <f>H16/H15</f>
        <v>0.49974403354379465</v>
      </c>
      <c r="I36" s="4"/>
      <c r="J36" s="33" t="str">
        <f>"Discount Factor @ "&amp;TEXT($D$49,"#,0%")&amp;" WACC"</f>
        <v>Discount Factor @ 11,6% WACC</v>
      </c>
      <c r="K36" s="25"/>
      <c r="L36" s="32"/>
      <c r="M36" s="32">
        <f>1/((1+$D$49)^M35)</f>
        <v>0.89565946216995118</v>
      </c>
      <c r="N36" s="32">
        <f>1/((1+$D$49)^N35)</f>
        <v>0.80220587217456607</v>
      </c>
      <c r="O36" s="32">
        <f>1/((1+$D$49)^O35)</f>
        <v>0.71850328002144848</v>
      </c>
      <c r="P36" s="32">
        <f>1/((1+$D$49)^P35)</f>
        <v>0.64353426135135638</v>
      </c>
      <c r="Q36" s="32"/>
      <c r="R36" s="4"/>
    </row>
    <row r="37" spans="2:19" ht="14" customHeight="1" x14ac:dyDescent="0.35">
      <c r="B37" s="5" t="s">
        <v>10</v>
      </c>
      <c r="C37" s="4"/>
      <c r="D37" s="126">
        <f>+'Caso A'!D37</f>
        <v>0.09</v>
      </c>
      <c r="E37" s="7">
        <f>D37</f>
        <v>0.09</v>
      </c>
      <c r="F37" s="7">
        <f t="shared" ref="F37:H37" si="4">E37</f>
        <v>0.09</v>
      </c>
      <c r="G37" s="7">
        <f t="shared" si="4"/>
        <v>0.09</v>
      </c>
      <c r="H37" s="7">
        <f t="shared" si="4"/>
        <v>0.09</v>
      </c>
      <c r="I37" s="4"/>
      <c r="J37" s="22" t="s">
        <v>55</v>
      </c>
      <c r="K37" s="25"/>
      <c r="L37" s="2"/>
      <c r="M37" s="2">
        <f>(M32+M33)*M36</f>
        <v>-5015.6929881517262</v>
      </c>
      <c r="N37" s="2">
        <f>(N32+N33)*N36</f>
        <v>4011.0293608728302</v>
      </c>
      <c r="O37" s="2">
        <f>(O32+O33)*O36</f>
        <v>4023.6183681201114</v>
      </c>
      <c r="P37" s="2">
        <f>(P32+P33)*P36</f>
        <v>51502.176191334664</v>
      </c>
      <c r="Q37" s="2"/>
      <c r="R37" s="4"/>
    </row>
    <row r="38" spans="2:19" ht="14" customHeight="1" x14ac:dyDescent="0.65">
      <c r="B38" s="5" t="s">
        <v>74</v>
      </c>
      <c r="C38" s="4"/>
      <c r="D38" s="126">
        <f>+'Caso A'!D38</f>
        <v>0.15</v>
      </c>
      <c r="E38" s="7">
        <f>E8/E15</f>
        <v>0.15990334731007036</v>
      </c>
      <c r="F38" s="7">
        <f>F8/F15</f>
        <v>0.15883149846618602</v>
      </c>
      <c r="G38" s="7">
        <f>G8/G15</f>
        <v>0.15658265229036467</v>
      </c>
      <c r="H38" s="7">
        <f>H8/H15</f>
        <v>0.15357987372321491</v>
      </c>
      <c r="I38" s="4"/>
      <c r="Q38" s="121" t="s">
        <v>110</v>
      </c>
      <c r="R38" s="4"/>
    </row>
    <row r="39" spans="2:19" ht="14" customHeight="1" x14ac:dyDescent="0.35">
      <c r="B39" s="5" t="s">
        <v>75</v>
      </c>
      <c r="C39" s="4"/>
      <c r="D39" s="7">
        <f>D12/D17</f>
        <v>0.14699999999999999</v>
      </c>
      <c r="E39" s="7">
        <f>E12/E17</f>
        <v>0.17641245264371602</v>
      </c>
      <c r="F39" s="7">
        <f>F12/F17</f>
        <v>0.16889695061432627</v>
      </c>
      <c r="G39" s="7">
        <f>G12/G17</f>
        <v>0.16049418187042092</v>
      </c>
      <c r="H39" s="7">
        <f>H12/H17</f>
        <v>0.15196627844646945</v>
      </c>
      <c r="I39" s="123"/>
      <c r="J39" s="41" t="s">
        <v>34</v>
      </c>
      <c r="K39" s="42"/>
      <c r="L39" s="43">
        <f>SUM(M37:P37)</f>
        <v>54521.130932175882</v>
      </c>
      <c r="M39" s="27"/>
      <c r="N39" s="27"/>
      <c r="O39" s="27"/>
      <c r="P39" s="96"/>
      <c r="Q39" s="120">
        <f>+P33*P36/L39</f>
        <v>0.87144677593099373</v>
      </c>
      <c r="R39" s="4"/>
    </row>
    <row r="40" spans="2:19" ht="14" customHeight="1" x14ac:dyDescent="0.35">
      <c r="B40" s="5" t="s">
        <v>13</v>
      </c>
      <c r="C40" s="4"/>
      <c r="D40" s="8">
        <f>D16/(D8+D22)</f>
        <v>2.7777777777777781</v>
      </c>
      <c r="E40" s="8">
        <f>E16/(E8+E22)</f>
        <v>2.9629629629629632</v>
      </c>
      <c r="F40" s="8">
        <f>F16/(F8+F22)</f>
        <v>2.8594771241830066</v>
      </c>
      <c r="G40" s="8">
        <f>G16/(G8+G22)</f>
        <v>2.7777777777777777</v>
      </c>
      <c r="H40" s="8">
        <f>H16/(H8+H22)</f>
        <v>2.7116402116402121</v>
      </c>
      <c r="I40" s="4"/>
      <c r="J40" s="44" t="s">
        <v>17</v>
      </c>
      <c r="K40" s="44" t="s">
        <v>96</v>
      </c>
      <c r="L40" s="45">
        <f>-D16+D33+R40</f>
        <v>-15929.166666666668</v>
      </c>
      <c r="M40" s="98" t="str">
        <f>"[Excludes "&amp;TEXT($R$41,"#0")&amp;"-month Cash Reserve]"</f>
        <v>[Excludes 1-month Cash Reserve]</v>
      </c>
      <c r="R40" s="76">
        <f>(D7+D9+D11+D22+D23+D24)/12*R41</f>
        <v>-712.5</v>
      </c>
      <c r="S40" s="77"/>
    </row>
    <row r="41" spans="2:19" ht="14" customHeight="1" x14ac:dyDescent="0.35">
      <c r="B41" s="5" t="s">
        <v>11</v>
      </c>
      <c r="C41" s="4"/>
      <c r="D41" s="8">
        <f>(D8+D22)/-D9</f>
        <v>4</v>
      </c>
      <c r="E41" s="8">
        <f>(E8+E22)/-E9</f>
        <v>3.75</v>
      </c>
      <c r="F41" s="8">
        <f>(F8+F22)/-F9</f>
        <v>3.8857142857142857</v>
      </c>
      <c r="G41" s="8">
        <f>(G8+G22)/-G9</f>
        <v>4</v>
      </c>
      <c r="H41" s="8">
        <f>(H8+H22)/-H9</f>
        <v>4.0975609756097553</v>
      </c>
      <c r="I41" s="4"/>
      <c r="J41" s="48" t="s">
        <v>37</v>
      </c>
      <c r="K41" s="46"/>
      <c r="L41" s="47">
        <f>L39+L40</f>
        <v>38591.964265509218</v>
      </c>
      <c r="M41" s="99" t="s">
        <v>102</v>
      </c>
      <c r="N41" s="4"/>
      <c r="O41" s="4"/>
      <c r="P41" s="4"/>
      <c r="Q41" s="4"/>
      <c r="R41" s="77">
        <v>1</v>
      </c>
      <c r="S41" s="77" t="s">
        <v>117</v>
      </c>
    </row>
    <row r="42" spans="2:19" ht="14" customHeight="1" x14ac:dyDescent="0.35">
      <c r="B42" s="5" t="s">
        <v>12</v>
      </c>
      <c r="C42" s="4"/>
      <c r="D42" s="8">
        <f>L11/-D9</f>
        <v>1.6666666666666667</v>
      </c>
      <c r="E42" s="8">
        <f>M11/-E9</f>
        <v>-2.3333333333333335</v>
      </c>
      <c r="F42" s="8">
        <f>N11/-F9</f>
        <v>1.9047619047619047</v>
      </c>
      <c r="G42" s="8">
        <f>O11/-G9</f>
        <v>1.9649122807017543</v>
      </c>
      <c r="H42" s="8">
        <f>P11/-H9</f>
        <v>2.0162601626016259</v>
      </c>
      <c r="I42" s="4"/>
      <c r="K42" s="4"/>
      <c r="L42" s="4"/>
      <c r="M42" s="4"/>
      <c r="N42" s="4"/>
      <c r="O42" s="4"/>
      <c r="P42" s="4"/>
      <c r="Q42" s="4"/>
      <c r="R42" s="4"/>
    </row>
    <row r="43" spans="2:19" ht="14" customHeight="1" x14ac:dyDescent="0.4">
      <c r="C43" s="4"/>
      <c r="D43" s="4"/>
      <c r="E43" s="4"/>
      <c r="F43" s="4"/>
      <c r="G43" s="4"/>
      <c r="H43" s="4"/>
      <c r="I43" s="4"/>
      <c r="J43" s="35" t="s">
        <v>45</v>
      </c>
      <c r="K43" s="24"/>
      <c r="L43" s="23"/>
      <c r="M43" s="23"/>
      <c r="N43" s="23"/>
      <c r="O43" s="23"/>
      <c r="P43" s="23"/>
      <c r="Q43" s="23"/>
      <c r="R43" s="4"/>
    </row>
    <row r="44" spans="2:19" ht="14" customHeight="1" x14ac:dyDescent="0.35">
      <c r="I44" s="4"/>
      <c r="J44" s="5" t="s">
        <v>41</v>
      </c>
      <c r="K44" s="1"/>
      <c r="L44" s="2"/>
      <c r="M44" s="2">
        <f>M26</f>
        <v>2720</v>
      </c>
      <c r="N44" s="2">
        <f>N26</f>
        <v>5662.5</v>
      </c>
      <c r="O44" s="2">
        <f>O26</f>
        <v>6105</v>
      </c>
      <c r="P44" s="2">
        <f>P26</f>
        <v>6547.5</v>
      </c>
      <c r="Q44" s="2"/>
      <c r="R44" s="4"/>
    </row>
    <row r="45" spans="2:19" ht="14" customHeight="1" x14ac:dyDescent="0.4">
      <c r="B45" s="28" t="s">
        <v>56</v>
      </c>
      <c r="C45" s="4"/>
      <c r="D45" s="4"/>
      <c r="E45" s="65" t="s">
        <v>66</v>
      </c>
      <c r="F45" s="65"/>
      <c r="G45" s="65"/>
      <c r="H45" s="66"/>
      <c r="I45" s="4"/>
      <c r="J45" s="22" t="s">
        <v>119</v>
      </c>
      <c r="P45" s="20">
        <f>+P44*(1+0.03)/(D47-0.03)</f>
        <v>48192.65060450125</v>
      </c>
      <c r="Q45" s="20"/>
      <c r="R45" s="4"/>
    </row>
    <row r="46" spans="2:19" ht="14" customHeight="1" x14ac:dyDescent="0.35">
      <c r="B46" s="5" t="s">
        <v>86</v>
      </c>
      <c r="C46" s="4"/>
      <c r="D46" s="81">
        <f>D37*(1-0.3)</f>
        <v>6.3E-2</v>
      </c>
      <c r="E46" s="92" t="str">
        <f>"Kd of "&amp;TEXT(D37,"#0,0%")&amp;", after income tax of 30%"</f>
        <v>Kd of 9,0%, after income tax of 30%</v>
      </c>
      <c r="H46" s="4"/>
      <c r="I46" s="4"/>
    </row>
    <row r="47" spans="2:19" ht="14" customHeight="1" x14ac:dyDescent="0.35">
      <c r="B47" s="5" t="s">
        <v>38</v>
      </c>
      <c r="C47" s="4"/>
      <c r="D47" s="85">
        <f>0.02+D55*(0.07+0.05)</f>
        <v>0.16993679358591057</v>
      </c>
      <c r="E47" s="92" t="str">
        <f>"Risk-free rate 2% + Beta "&amp;TEXT(D55,"#0,00")&amp;" * ¨Private¨ ERP 12%"</f>
        <v>Risk-free rate 2% + Beta 1,25 * ¨Private¨ ERP 12%</v>
      </c>
      <c r="H47" s="4"/>
      <c r="I47" s="4"/>
      <c r="J47" s="5" t="s">
        <v>33</v>
      </c>
      <c r="K47" s="1"/>
      <c r="L47" s="26"/>
      <c r="M47" s="65">
        <v>1</v>
      </c>
      <c r="N47" s="65">
        <f>+M47+1</f>
        <v>2</v>
      </c>
      <c r="O47" s="65">
        <f>+N47+1</f>
        <v>3</v>
      </c>
      <c r="P47" s="65">
        <f>+O47+1</f>
        <v>4</v>
      </c>
    </row>
    <row r="48" spans="2:19" ht="14" customHeight="1" x14ac:dyDescent="0.35">
      <c r="B48" s="5" t="s">
        <v>39</v>
      </c>
      <c r="D48" s="100">
        <f>+H36</f>
        <v>0.49974403354379465</v>
      </c>
      <c r="E48" s="92" t="s">
        <v>67</v>
      </c>
      <c r="H48" s="4"/>
      <c r="I48" s="4"/>
      <c r="J48" s="33" t="str">
        <f>"Discount Factor @ "&amp;TEXT($D$47,"#,0%")&amp;" Ke"</f>
        <v>Discount Factor @ 17,0% Ke</v>
      </c>
      <c r="K48" s="25"/>
      <c r="L48" s="32"/>
      <c r="M48" s="32">
        <f>1/((1+$D$47)^M47)</f>
        <v>0.85474703033738564</v>
      </c>
      <c r="N48" s="32">
        <f>1/((1+$D$47)^N47)</f>
        <v>0.73059248587057957</v>
      </c>
      <c r="O48" s="32">
        <f>1/((1+$D$47)^O47)</f>
        <v>0.62447175768468621</v>
      </c>
      <c r="P48" s="32">
        <f>1/((1+$D$47)^P47)</f>
        <v>0.53376538041055299</v>
      </c>
      <c r="Q48" s="32"/>
      <c r="R48" s="4"/>
      <c r="S48" s="68" t="s">
        <v>118</v>
      </c>
    </row>
    <row r="49" spans="2:30" ht="14" customHeight="1" x14ac:dyDescent="0.35">
      <c r="B49" s="10" t="s">
        <v>40</v>
      </c>
      <c r="C49" s="4"/>
      <c r="D49" s="75">
        <f>D46*D48+D47*(1-D48)</f>
        <v>0.11649576902504745</v>
      </c>
      <c r="E49" s="93" t="s">
        <v>68</v>
      </c>
      <c r="F49" s="4"/>
      <c r="G49" s="4"/>
      <c r="H49" s="4"/>
      <c r="I49" s="4"/>
      <c r="J49" s="22" t="s">
        <v>54</v>
      </c>
      <c r="K49" s="25"/>
      <c r="L49" s="2"/>
      <c r="M49" s="2">
        <f>(M44+M45)*M48</f>
        <v>2324.9119225176892</v>
      </c>
      <c r="N49" s="2">
        <f>(N44+N45)*N48</f>
        <v>4136.9799512421569</v>
      </c>
      <c r="O49" s="2">
        <f>(O44+O45)*O48</f>
        <v>3812.4000806650092</v>
      </c>
      <c r="P49" s="19">
        <f>(P44+P45)*P48</f>
        <v>29218.397311142573</v>
      </c>
      <c r="Q49" s="2"/>
      <c r="R49" s="4"/>
      <c r="S49" s="5" t="s">
        <v>47</v>
      </c>
      <c r="Z49" s="20">
        <f>P33</f>
        <v>73830.200852376278</v>
      </c>
    </row>
    <row r="50" spans="2:30" ht="14" customHeight="1" x14ac:dyDescent="0.65">
      <c r="E50" s="91"/>
      <c r="I50" s="4"/>
      <c r="M50" s="27"/>
      <c r="N50" s="27"/>
      <c r="O50" s="27"/>
      <c r="P50" s="27"/>
      <c r="Q50" s="121" t="s">
        <v>110</v>
      </c>
      <c r="R50" s="4"/>
      <c r="S50" s="22" t="s">
        <v>120</v>
      </c>
      <c r="Z50" s="40">
        <f>-H16+H33+AA50</f>
        <v>-13094.375000000005</v>
      </c>
      <c r="AA50" s="76">
        <f>(H7+H9+H11+H22+H23+H24)/12*AA51</f>
        <v>-1412.7083333333333</v>
      </c>
      <c r="AB50" s="77"/>
    </row>
    <row r="51" spans="2:30" ht="14" customHeight="1" x14ac:dyDescent="0.35">
      <c r="B51" s="68" t="s">
        <v>70</v>
      </c>
      <c r="C51" s="4"/>
      <c r="D51" s="4"/>
      <c r="E51" s="4"/>
      <c r="F51" s="4"/>
      <c r="G51" s="4"/>
      <c r="H51" s="4"/>
      <c r="I51" s="4"/>
      <c r="J51" s="48" t="s">
        <v>37</v>
      </c>
      <c r="K51" s="49"/>
      <c r="L51" s="43">
        <f>SUM(M49:P49)</f>
        <v>39492.689265567431</v>
      </c>
      <c r="M51" s="99" t="s">
        <v>103</v>
      </c>
      <c r="P51" s="22"/>
      <c r="Q51" s="120">
        <f>+P45*P48/L51</f>
        <v>0.65135013495604455</v>
      </c>
      <c r="R51" s="4"/>
      <c r="S51" s="22" t="s">
        <v>48</v>
      </c>
      <c r="Z51" s="20">
        <f>Z49+Z50</f>
        <v>60735.825852376271</v>
      </c>
      <c r="AA51" s="5">
        <f>+R41</f>
        <v>1</v>
      </c>
      <c r="AB51" s="5" t="s">
        <v>117</v>
      </c>
    </row>
    <row r="52" spans="2:30" ht="14" customHeight="1" x14ac:dyDescent="0.35">
      <c r="B52" s="70" t="s">
        <v>73</v>
      </c>
      <c r="C52" s="4"/>
      <c r="D52" s="117">
        <f>+'Caso A'!D52</f>
        <v>1.25</v>
      </c>
      <c r="E52" s="92" t="s">
        <v>85</v>
      </c>
      <c r="F52" s="4"/>
      <c r="G52" s="4"/>
      <c r="H52" s="4"/>
      <c r="I52" s="4"/>
      <c r="P52" s="4"/>
      <c r="Q52" s="4"/>
      <c r="R52" s="4"/>
    </row>
    <row r="53" spans="2:30" ht="14" customHeight="1" x14ac:dyDescent="0.35">
      <c r="B53" s="67" t="s">
        <v>71</v>
      </c>
      <c r="C53" s="4"/>
      <c r="D53" s="84">
        <f>D52/(1+((D36/(1-D36))*(1-0.3)))</f>
        <v>0.73529411764705888</v>
      </c>
      <c r="E53" s="94" t="s">
        <v>97</v>
      </c>
      <c r="F53" s="4"/>
      <c r="G53" s="4"/>
      <c r="H53" s="4"/>
      <c r="I53" s="4"/>
      <c r="L53" s="59">
        <f>L51/L41</f>
        <v>1.0233397034123817</v>
      </c>
      <c r="M53" s="60" t="s">
        <v>104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35">
      <c r="B54" s="67" t="s">
        <v>72</v>
      </c>
      <c r="C54" s="4"/>
      <c r="D54" s="7">
        <f>D48/(1-D48)</f>
        <v>0.9989766580575995</v>
      </c>
      <c r="E54" s="93" t="s">
        <v>99</v>
      </c>
      <c r="F54" s="4"/>
      <c r="G54" s="4"/>
      <c r="H54" s="4"/>
      <c r="I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ht="17" x14ac:dyDescent="0.4">
      <c r="B55" s="67" t="s">
        <v>79</v>
      </c>
      <c r="D55" s="84">
        <f>D53*(1+((1-0.3)*D54))</f>
        <v>1.2494732798825881</v>
      </c>
      <c r="E55" s="94" t="s">
        <v>98</v>
      </c>
      <c r="F55" s="4"/>
      <c r="G55" s="4"/>
      <c r="H55" s="4"/>
      <c r="I55" s="4"/>
      <c r="J55" s="28" t="s">
        <v>78</v>
      </c>
      <c r="K55" s="4"/>
      <c r="L55" s="89" t="s">
        <v>91</v>
      </c>
      <c r="M55" s="90" t="s">
        <v>92</v>
      </c>
      <c r="N55" s="90" t="s">
        <v>93</v>
      </c>
      <c r="O55" s="90" t="s">
        <v>94</v>
      </c>
      <c r="P55" s="90" t="s">
        <v>95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35">
      <c r="C56" s="4"/>
      <c r="D56" s="4"/>
      <c r="E56" s="4"/>
      <c r="F56" s="4"/>
      <c r="G56" s="4"/>
      <c r="H56" s="4"/>
      <c r="I56" s="4"/>
      <c r="J56" s="3" t="s">
        <v>81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35">
      <c r="B57" s="3" t="s">
        <v>83</v>
      </c>
      <c r="H57" s="4"/>
      <c r="I57" s="4"/>
      <c r="J57" s="5" t="s">
        <v>101</v>
      </c>
      <c r="K57" s="1"/>
      <c r="L57" s="2"/>
      <c r="M57" s="2">
        <f>M32</f>
        <v>-5600</v>
      </c>
      <c r="N57" s="2">
        <f>N32</f>
        <v>5000</v>
      </c>
      <c r="O57" s="2">
        <f>O32</f>
        <v>5600</v>
      </c>
      <c r="P57" s="2">
        <f>P32</f>
        <v>6200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35">
      <c r="B58" s="67" t="s">
        <v>79</v>
      </c>
      <c r="D58" s="88">
        <f>D52</f>
        <v>1.25</v>
      </c>
      <c r="E58" s="92" t="s">
        <v>85</v>
      </c>
      <c r="H58" s="4"/>
      <c r="I58" s="4"/>
      <c r="J58" s="5" t="s">
        <v>47</v>
      </c>
      <c r="K58" s="25"/>
      <c r="L58" s="26"/>
      <c r="M58" s="26"/>
      <c r="N58" s="26"/>
      <c r="O58" s="26"/>
      <c r="P58" s="2">
        <f>P57*(1+0.03)/(D62-0.03)</f>
        <v>81625.563909774413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35">
      <c r="B59" s="67" t="s">
        <v>71</v>
      </c>
      <c r="C59" s="4"/>
      <c r="D59" s="83">
        <f>D58/(1+((D36/(1-D36))*(1-0.3)))</f>
        <v>0.73529411764705888</v>
      </c>
      <c r="E59" s="94" t="s">
        <v>97</v>
      </c>
      <c r="H59" s="4"/>
      <c r="I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35">
      <c r="B60" s="67" t="s">
        <v>72</v>
      </c>
      <c r="C60" s="4"/>
      <c r="D60" s="86">
        <v>0</v>
      </c>
      <c r="E60" s="92" t="s">
        <v>80</v>
      </c>
      <c r="G60" s="4"/>
      <c r="H60" s="4"/>
      <c r="I60" s="4"/>
      <c r="J60" s="5" t="s">
        <v>33</v>
      </c>
      <c r="K60" s="1"/>
      <c r="L60" s="26"/>
      <c r="M60" s="65">
        <v>1</v>
      </c>
      <c r="N60" s="65">
        <f>+M60+1</f>
        <v>2</v>
      </c>
      <c r="O60" s="65">
        <f>+N60+1</f>
        <v>3</v>
      </c>
      <c r="P60" s="65">
        <f>+O60+1</f>
        <v>4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35">
      <c r="B61" s="67" t="s">
        <v>79</v>
      </c>
      <c r="D61" s="84">
        <f>D59*(1+((1-0.3)*D60))</f>
        <v>0.73529411764705888</v>
      </c>
      <c r="E61" s="94" t="s">
        <v>98</v>
      </c>
      <c r="G61" s="4"/>
      <c r="H61" s="4"/>
      <c r="I61" s="4"/>
      <c r="J61" s="33" t="str">
        <f>"Discount Factor @ "&amp;TEXT(D62,"#,0%")&amp;" Ke"</f>
        <v>Discount Factor @ 10,8% Ke</v>
      </c>
      <c r="K61" s="25"/>
      <c r="L61" s="71"/>
      <c r="M61" s="97">
        <f>1/((1+$D$62)^M60)</f>
        <v>0.90233545647558389</v>
      </c>
      <c r="N61" s="97">
        <f>1/((1+$D$62)^N60)</f>
        <v>0.81420927601300042</v>
      </c>
      <c r="O61" s="97">
        <f>1/((1+$D$62)^O60)</f>
        <v>0.73468989873784551</v>
      </c>
      <c r="P61" s="97">
        <f>1/((1+$D$62)^P60)</f>
        <v>0.6629367451456144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35">
      <c r="B62" s="10" t="s">
        <v>38</v>
      </c>
      <c r="C62" s="4"/>
      <c r="D62" s="95">
        <f>0.02+D61*(0.07+0.05)</f>
        <v>0.10823529411764708</v>
      </c>
      <c r="E62" s="93" t="s">
        <v>122</v>
      </c>
      <c r="G62" s="4"/>
      <c r="H62" s="4"/>
      <c r="I62" s="4"/>
      <c r="J62" s="78" t="s">
        <v>55</v>
      </c>
      <c r="K62" s="79"/>
      <c r="L62" s="12"/>
      <c r="M62" s="12">
        <f>(M57+M58)*M61</f>
        <v>-5053.07855626327</v>
      </c>
      <c r="N62" s="12">
        <f>(N57+N58)*N61</f>
        <v>4071.0463800650023</v>
      </c>
      <c r="O62" s="12">
        <f>(O57+O58)*O61</f>
        <v>4114.2634329319353</v>
      </c>
      <c r="P62" s="12">
        <f>(P57+P58)*P61</f>
        <v>58222.793478923988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35">
      <c r="C63" s="4"/>
      <c r="D63" s="4"/>
      <c r="E63" s="4"/>
      <c r="F63" s="4"/>
      <c r="G63" s="4"/>
      <c r="H63" s="4"/>
      <c r="I63" s="4"/>
      <c r="J63" s="41" t="s">
        <v>88</v>
      </c>
      <c r="K63" s="42"/>
      <c r="L63" s="43">
        <f>SUM(M62:P62)</f>
        <v>61355.024735657658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35">
      <c r="C64" s="4"/>
      <c r="D64" s="4"/>
      <c r="E64" s="4"/>
      <c r="F64" s="4"/>
      <c r="G64" s="4"/>
      <c r="H64" s="4"/>
      <c r="I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3:30" x14ac:dyDescent="0.35">
      <c r="C65" s="4"/>
      <c r="D65" s="4"/>
      <c r="E65" s="4"/>
      <c r="F65" s="4"/>
      <c r="G65" s="4"/>
      <c r="H65" s="4"/>
      <c r="I65" s="4"/>
      <c r="J65" s="3" t="s">
        <v>82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3:30" x14ac:dyDescent="0.35">
      <c r="C66" s="4"/>
      <c r="D66" s="4"/>
      <c r="E66" s="4"/>
      <c r="F66" s="4"/>
      <c r="G66" s="4"/>
      <c r="H66" s="4"/>
      <c r="I66" s="4"/>
      <c r="J66" s="5" t="s">
        <v>100</v>
      </c>
      <c r="K66" s="1"/>
      <c r="L66" s="2"/>
      <c r="M66" s="2">
        <f>M16</f>
        <v>720</v>
      </c>
      <c r="N66" s="2">
        <f>N16</f>
        <v>787.5</v>
      </c>
      <c r="O66" s="2">
        <f>O16</f>
        <v>855</v>
      </c>
      <c r="P66" s="2">
        <f>P16</f>
        <v>922.50000000000011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3:30" x14ac:dyDescent="0.35">
      <c r="C67" s="4"/>
      <c r="D67" s="4"/>
      <c r="E67" s="4"/>
      <c r="F67" s="4"/>
      <c r="G67" s="4"/>
      <c r="H67" s="4"/>
      <c r="I67" s="4"/>
      <c r="J67" s="5" t="s">
        <v>76</v>
      </c>
      <c r="K67" s="25"/>
      <c r="L67" s="26"/>
      <c r="M67" s="26"/>
      <c r="N67" s="26"/>
      <c r="O67" s="26"/>
      <c r="P67" s="2">
        <f>P66*(1+0.03)/(E37-0.03)</f>
        <v>15836.250000000004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3:30" x14ac:dyDescent="0.35">
      <c r="C68" s="4"/>
      <c r="D68" s="4"/>
      <c r="E68" s="4"/>
      <c r="F68" s="4"/>
      <c r="G68" s="4"/>
      <c r="H68" s="4"/>
      <c r="I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3:30" x14ac:dyDescent="0.35">
      <c r="C69" s="4"/>
      <c r="D69" s="4"/>
      <c r="E69" s="4"/>
      <c r="F69" s="4"/>
      <c r="G69" s="4"/>
      <c r="H69" s="4"/>
      <c r="I69" s="4"/>
      <c r="J69" s="5" t="s">
        <v>33</v>
      </c>
      <c r="K69" s="1"/>
      <c r="L69" s="26"/>
      <c r="M69" s="65">
        <v>1</v>
      </c>
      <c r="N69" s="65">
        <f>+M69+1</f>
        <v>2</v>
      </c>
      <c r="O69" s="65">
        <f>+N69+1</f>
        <v>3</v>
      </c>
      <c r="P69" s="65">
        <f>+O69+1</f>
        <v>4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3:30" x14ac:dyDescent="0.35">
      <c r="C70" s="4"/>
      <c r="D70" s="4"/>
      <c r="E70" s="4"/>
      <c r="F70" s="4"/>
      <c r="G70" s="4"/>
      <c r="H70" s="4"/>
      <c r="I70" s="4"/>
      <c r="J70" s="33" t="str">
        <f>"Discount Fact.@ "&amp;TEXT(E37,"#,0%")&amp;" Kd (Pre-tax)"</f>
        <v>Discount Fact.@ 9,0% Kd (Pre-tax)</v>
      </c>
      <c r="K70" s="25"/>
      <c r="L70" s="71"/>
      <c r="M70" s="97">
        <f>1/((1+$E$37)^M69)</f>
        <v>0.9174311926605504</v>
      </c>
      <c r="N70" s="97">
        <f>1/((1+$E$37)^N69)</f>
        <v>0.84167999326655996</v>
      </c>
      <c r="O70" s="97">
        <f>1/((1+$E$37)^O69)</f>
        <v>0.77218348006106419</v>
      </c>
      <c r="P70" s="97">
        <f>1/((1+$E$37)^P69)</f>
        <v>0.7084252110651964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3:30" x14ac:dyDescent="0.35">
      <c r="C71" s="4"/>
      <c r="D71" s="4"/>
      <c r="E71" s="4"/>
      <c r="F71" s="4"/>
      <c r="G71" s="4"/>
      <c r="H71" s="4"/>
      <c r="I71" s="4"/>
      <c r="J71" s="78" t="s">
        <v>77</v>
      </c>
      <c r="K71" s="79"/>
      <c r="L71" s="12"/>
      <c r="M71" s="12">
        <f>(M66+M67)*M70</f>
        <v>660.55045871559628</v>
      </c>
      <c r="N71" s="12">
        <f>(N66+N67)*N70</f>
        <v>662.82299469741599</v>
      </c>
      <c r="O71" s="12">
        <f>(O66+O67)*O70</f>
        <v>660.21687545220993</v>
      </c>
      <c r="P71" s="12">
        <f>(P66+P67)*P70</f>
        <v>11872.321005938862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3:30" x14ac:dyDescent="0.35">
      <c r="C72" s="4"/>
      <c r="D72" s="4"/>
      <c r="E72" s="4"/>
      <c r="F72" s="4"/>
      <c r="G72" s="4"/>
      <c r="H72" s="4"/>
      <c r="I72" s="4"/>
      <c r="J72" s="41" t="s">
        <v>87</v>
      </c>
      <c r="K72" s="42"/>
      <c r="L72" s="43">
        <f>SUM(M71:P71)</f>
        <v>13855.911334804085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3:30" ht="18.5" x14ac:dyDescent="0.65">
      <c r="C73" s="4"/>
      <c r="D73" s="4"/>
      <c r="E73" s="4"/>
      <c r="F73" s="4"/>
      <c r="G73" s="4"/>
      <c r="H73" s="4"/>
      <c r="I73" s="4"/>
      <c r="M73" s="4"/>
      <c r="N73" s="4"/>
      <c r="O73" s="4"/>
      <c r="P73" s="4"/>
      <c r="Q73" s="121" t="s">
        <v>110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3:30" x14ac:dyDescent="0.35">
      <c r="C74" s="4"/>
      <c r="D74" s="4"/>
      <c r="E74" s="4"/>
      <c r="F74" s="4"/>
      <c r="G74" s="4"/>
      <c r="H74" s="4"/>
      <c r="I74" s="4"/>
      <c r="J74" s="41" t="s">
        <v>89</v>
      </c>
      <c r="K74" s="42"/>
      <c r="L74" s="43">
        <f>L63+L72</f>
        <v>75210.936070461743</v>
      </c>
      <c r="M74" s="80" t="s">
        <v>111</v>
      </c>
      <c r="N74" s="4"/>
      <c r="O74" s="4"/>
      <c r="P74" s="4"/>
      <c r="Q74" s="120">
        <f>+(P58*P61+P67*P70)/L74</f>
        <v>0.86864208612622995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3:30" x14ac:dyDescent="0.35">
      <c r="C75" s="4"/>
      <c r="D75" s="4"/>
      <c r="E75" s="4"/>
      <c r="F75" s="4"/>
      <c r="G75" s="4"/>
      <c r="H75" s="4"/>
      <c r="I75" s="4"/>
      <c r="J75" s="44" t="s">
        <v>17</v>
      </c>
      <c r="K75" s="44" t="s">
        <v>96</v>
      </c>
      <c r="L75" s="45">
        <f>+L40</f>
        <v>-15929.166666666668</v>
      </c>
      <c r="M75" s="98" t="str">
        <f>"[Excludes "&amp;TEXT($R$41,"#0")&amp;"-month Cash Reserve]"</f>
        <v>[Excludes 1-month Cash Reserve]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3:30" x14ac:dyDescent="0.35">
      <c r="C76" s="4"/>
      <c r="D76" s="4"/>
      <c r="E76" s="4"/>
      <c r="F76" s="4"/>
      <c r="G76" s="4"/>
      <c r="H76" s="4"/>
      <c r="I76" s="4"/>
      <c r="J76" s="41" t="s">
        <v>90</v>
      </c>
      <c r="K76" s="46"/>
      <c r="L76" s="47">
        <f>L74+L75</f>
        <v>59281.769403795071</v>
      </c>
      <c r="M76" s="98" t="str">
        <f>"[vs. FCFF = "&amp;TEXT(L41,"#.#0")&amp;" and FCFE = "&amp;TEXT(L51,"$#.#0")&amp;"]"</f>
        <v>[vs. FCFF = 38.592 and FCFE = $39.493]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3:30" x14ac:dyDescent="0.35">
      <c r="C77" s="4"/>
      <c r="D77" s="4"/>
      <c r="E77" s="4"/>
      <c r="F77" s="4"/>
      <c r="G77" s="4"/>
      <c r="H77" s="4"/>
      <c r="I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3:30" x14ac:dyDescent="0.35">
      <c r="C78" s="4"/>
      <c r="D78" s="4"/>
      <c r="E78" s="4"/>
      <c r="F78" s="4"/>
      <c r="G78" s="4"/>
      <c r="H78" s="4"/>
      <c r="I78" s="4"/>
      <c r="K78" s="4"/>
      <c r="L78" s="59">
        <f>+L76/L41</f>
        <v>1.5361169230967844</v>
      </c>
      <c r="M78" s="110" t="s">
        <v>107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3:30" x14ac:dyDescent="0.35">
      <c r="C79" s="4"/>
      <c r="D79" s="4"/>
      <c r="E79" s="4"/>
      <c r="F79" s="4"/>
      <c r="G79" s="4"/>
      <c r="H79" s="4"/>
      <c r="I79" s="4"/>
      <c r="K79" s="4"/>
      <c r="L79" s="59">
        <f>+L76/L51</f>
        <v>1.5010821118095188</v>
      </c>
      <c r="M79" s="110" t="s">
        <v>108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3:30" x14ac:dyDescent="0.35">
      <c r="C80" s="4"/>
      <c r="D80" s="4"/>
      <c r="E80" s="4"/>
      <c r="F80" s="4"/>
      <c r="G80" s="4"/>
      <c r="H80" s="4"/>
      <c r="I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3:30" x14ac:dyDescent="0.35">
      <c r="C81" s="4"/>
      <c r="D81" s="4"/>
      <c r="E81" s="4"/>
      <c r="F81" s="4"/>
      <c r="G81" s="4"/>
      <c r="H81" s="4"/>
      <c r="I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3:30" x14ac:dyDescent="0.35">
      <c r="C82" s="4"/>
      <c r="D82" s="4"/>
      <c r="E82" s="4"/>
      <c r="F82" s="4"/>
      <c r="G82" s="4"/>
      <c r="H82" s="4"/>
      <c r="I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3:30" x14ac:dyDescent="0.35">
      <c r="C83" s="4"/>
      <c r="D83" s="4"/>
      <c r="E83" s="4"/>
      <c r="F83" s="4"/>
      <c r="G83" s="4"/>
      <c r="H83" s="4"/>
      <c r="I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3:30" x14ac:dyDescent="0.35">
      <c r="C84" s="4"/>
      <c r="D84" s="4"/>
      <c r="E84" s="4"/>
      <c r="F84" s="4"/>
      <c r="G84" s="4"/>
      <c r="H84" s="4"/>
      <c r="I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3:30" x14ac:dyDescent="0.35">
      <c r="C85" s="4"/>
      <c r="D85" s="4"/>
      <c r="E85" s="4"/>
      <c r="F85" s="4"/>
      <c r="G85" s="4"/>
      <c r="H85" s="4"/>
      <c r="I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3:30" x14ac:dyDescent="0.35">
      <c r="C86" s="4"/>
      <c r="D86" s="4"/>
      <c r="E86" s="4"/>
      <c r="F86" s="4"/>
      <c r="G86" s="4"/>
      <c r="H86" s="4"/>
      <c r="I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3:30" x14ac:dyDescent="0.35">
      <c r="C87" s="4"/>
      <c r="D87" s="4"/>
      <c r="E87" s="4"/>
      <c r="F87" s="4"/>
      <c r="G87" s="4"/>
      <c r="H87" s="4"/>
      <c r="I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3:30" x14ac:dyDescent="0.35">
      <c r="C88" s="4"/>
      <c r="D88" s="4"/>
      <c r="E88" s="4"/>
      <c r="F88" s="4"/>
      <c r="G88" s="4"/>
      <c r="H88" s="4"/>
      <c r="I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3:30" x14ac:dyDescent="0.35">
      <c r="C89" s="4"/>
      <c r="D89" s="4"/>
      <c r="E89" s="4"/>
      <c r="F89" s="4"/>
      <c r="G89" s="4"/>
      <c r="H89" s="4"/>
      <c r="I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3:30" x14ac:dyDescent="0.35">
      <c r="C90" s="4"/>
      <c r="D90" s="4"/>
      <c r="E90" s="4"/>
      <c r="F90" s="4"/>
      <c r="G90" s="4"/>
      <c r="H90" s="4"/>
      <c r="I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3:30" x14ac:dyDescent="0.35">
      <c r="C91" s="4"/>
      <c r="D91" s="4"/>
      <c r="E91" s="4"/>
      <c r="F91" s="4"/>
      <c r="G91" s="4"/>
      <c r="H91" s="4"/>
      <c r="I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3:30" x14ac:dyDescent="0.35">
      <c r="C92" s="4"/>
      <c r="D92" s="4"/>
      <c r="E92" s="4"/>
      <c r="F92" s="4"/>
      <c r="G92" s="4"/>
      <c r="H92" s="4"/>
      <c r="I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3:30" x14ac:dyDescent="0.35">
      <c r="C93" s="4"/>
      <c r="D93" s="4"/>
      <c r="E93" s="4"/>
      <c r="F93" s="4"/>
      <c r="G93" s="4"/>
      <c r="H93" s="4"/>
      <c r="I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3:30" x14ac:dyDescent="0.35">
      <c r="C94" s="4"/>
      <c r="D94" s="4"/>
      <c r="E94" s="4"/>
      <c r="F94" s="4"/>
      <c r="G94" s="4"/>
      <c r="H94" s="4"/>
      <c r="I94" s="4"/>
      <c r="K94" s="4"/>
      <c r="L94" s="4"/>
      <c r="M94" s="4"/>
      <c r="N94" s="4"/>
      <c r="O94" s="4"/>
      <c r="P94" s="4"/>
      <c r="Q94" s="4"/>
      <c r="R94" s="4"/>
    </row>
    <row r="95" spans="3:30" x14ac:dyDescent="0.35">
      <c r="C95" s="4"/>
      <c r="D95" s="4"/>
      <c r="E95" s="4"/>
      <c r="F95" s="4"/>
      <c r="G95" s="4"/>
      <c r="H95" s="4"/>
      <c r="I95" s="4"/>
      <c r="K95" s="4"/>
      <c r="L95" s="4"/>
      <c r="M95" s="4"/>
      <c r="N95" s="4"/>
      <c r="O95" s="4"/>
      <c r="P95" s="4"/>
      <c r="Q95" s="4"/>
      <c r="R95" s="4"/>
    </row>
    <row r="96" spans="3:30" x14ac:dyDescent="0.35">
      <c r="C96" s="4"/>
      <c r="D96" s="4"/>
      <c r="E96" s="4"/>
      <c r="F96" s="4"/>
      <c r="G96" s="4"/>
      <c r="H96" s="4"/>
      <c r="I96" s="4"/>
      <c r="K96" s="4"/>
      <c r="L96" s="4"/>
      <c r="M96" s="4"/>
      <c r="N96" s="4"/>
      <c r="O96" s="4"/>
      <c r="P96" s="4"/>
      <c r="Q96" s="4"/>
      <c r="R96" s="4"/>
    </row>
    <row r="97" spans="3:18" x14ac:dyDescent="0.35"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  <c r="P97" s="4"/>
      <c r="Q97" s="4"/>
      <c r="R97" s="4"/>
    </row>
    <row r="98" spans="3:18" x14ac:dyDescent="0.35">
      <c r="C98" s="4"/>
      <c r="D98" s="4"/>
      <c r="E98" s="4"/>
      <c r="F98" s="4"/>
      <c r="G98" s="4"/>
      <c r="H98" s="4"/>
      <c r="I98" s="4"/>
      <c r="K98" s="4"/>
      <c r="L98" s="4"/>
      <c r="M98" s="4"/>
      <c r="N98" s="4"/>
      <c r="O98" s="4"/>
      <c r="P98" s="4"/>
      <c r="Q98" s="4"/>
      <c r="R98" s="4"/>
    </row>
    <row r="99" spans="3:18" x14ac:dyDescent="0.35">
      <c r="C99" s="4"/>
      <c r="D99" s="4"/>
      <c r="E99" s="4"/>
      <c r="F99" s="4"/>
      <c r="G99" s="4"/>
      <c r="H99" s="4"/>
      <c r="I99" s="4"/>
      <c r="K99" s="4"/>
      <c r="L99" s="4"/>
      <c r="M99" s="4"/>
      <c r="N99" s="4"/>
      <c r="O99" s="4"/>
      <c r="P99" s="4"/>
      <c r="Q99" s="4"/>
      <c r="R99" s="4"/>
    </row>
    <row r="100" spans="3:18" x14ac:dyDescent="0.35">
      <c r="C100" s="4"/>
      <c r="D100" s="4"/>
      <c r="E100" s="4"/>
      <c r="F100" s="4"/>
      <c r="G100" s="4"/>
      <c r="H100" s="4"/>
      <c r="I100" s="4"/>
      <c r="K100" s="4"/>
      <c r="L100" s="4"/>
      <c r="M100" s="4"/>
      <c r="N100" s="4"/>
      <c r="O100" s="4"/>
      <c r="P100" s="4"/>
      <c r="Q100" s="4"/>
      <c r="R100" s="4"/>
    </row>
    <row r="101" spans="3:18" x14ac:dyDescent="0.35">
      <c r="C101" s="4"/>
      <c r="D101" s="4"/>
      <c r="E101" s="4"/>
      <c r="F101" s="4"/>
      <c r="G101" s="4"/>
      <c r="H101" s="4"/>
      <c r="I101" s="4"/>
      <c r="K101" s="4"/>
      <c r="L101" s="4"/>
      <c r="M101" s="4"/>
      <c r="N101" s="4"/>
      <c r="O101" s="4"/>
      <c r="P101" s="4"/>
      <c r="Q101" s="4"/>
      <c r="R101" s="4"/>
    </row>
    <row r="102" spans="3:18" x14ac:dyDescent="0.35">
      <c r="C102" s="4"/>
      <c r="D102" s="4"/>
      <c r="E102" s="4"/>
      <c r="F102" s="4"/>
      <c r="G102" s="4"/>
      <c r="H102" s="4"/>
      <c r="I102" s="4"/>
      <c r="K102" s="4"/>
      <c r="L102" s="4"/>
      <c r="M102" s="4"/>
      <c r="N102" s="4"/>
      <c r="O102" s="4"/>
      <c r="P102" s="4"/>
      <c r="Q102" s="4"/>
      <c r="R102" s="4"/>
    </row>
    <row r="103" spans="3:18" x14ac:dyDescent="0.35">
      <c r="C103" s="4"/>
      <c r="D103" s="4"/>
      <c r="E103" s="4"/>
      <c r="F103" s="4"/>
      <c r="G103" s="4"/>
      <c r="H103" s="4"/>
      <c r="I103" s="4"/>
      <c r="K103" s="4"/>
      <c r="L103" s="4"/>
      <c r="M103" s="4"/>
      <c r="N103" s="4"/>
      <c r="O103" s="4"/>
      <c r="P103" s="4"/>
      <c r="Q103" s="4"/>
      <c r="R103" s="4"/>
    </row>
    <row r="104" spans="3:18" x14ac:dyDescent="0.35">
      <c r="C104" s="4"/>
      <c r="D104" s="4"/>
      <c r="E104" s="4"/>
      <c r="F104" s="4"/>
      <c r="G104" s="4"/>
      <c r="H104" s="4"/>
      <c r="I104" s="4"/>
      <c r="K104" s="4"/>
      <c r="L104" s="4"/>
      <c r="M104" s="4"/>
      <c r="N104" s="4"/>
      <c r="O104" s="4"/>
      <c r="P104" s="4"/>
      <c r="Q104" s="4"/>
      <c r="R104" s="4"/>
    </row>
    <row r="105" spans="3:18" x14ac:dyDescent="0.35">
      <c r="C105" s="4"/>
      <c r="D105" s="4"/>
      <c r="E105" s="4"/>
      <c r="F105" s="4"/>
      <c r="G105" s="4"/>
      <c r="H105" s="4"/>
      <c r="I105" s="4"/>
      <c r="K105" s="4"/>
      <c r="L105" s="4"/>
      <c r="M105" s="4"/>
      <c r="N105" s="4"/>
      <c r="O105" s="4"/>
      <c r="P105" s="4"/>
      <c r="Q105" s="4"/>
      <c r="R105" s="4"/>
    </row>
    <row r="106" spans="3:18" x14ac:dyDescent="0.35">
      <c r="C106" s="4"/>
      <c r="D106" s="4"/>
      <c r="E106" s="4"/>
      <c r="F106" s="4"/>
      <c r="G106" s="4"/>
      <c r="H106" s="4"/>
      <c r="I106" s="4"/>
      <c r="K106" s="4"/>
      <c r="L106" s="4"/>
      <c r="M106" s="4"/>
      <c r="N106" s="4"/>
      <c r="O106" s="4"/>
      <c r="P106" s="4"/>
      <c r="Q106" s="4"/>
      <c r="R106" s="4"/>
    </row>
    <row r="107" spans="3:18" x14ac:dyDescent="0.35">
      <c r="C107" s="4"/>
      <c r="D107" s="4"/>
      <c r="E107" s="4"/>
      <c r="F107" s="4"/>
      <c r="G107" s="4"/>
      <c r="H107" s="4"/>
      <c r="I107" s="4"/>
      <c r="K107" s="4"/>
      <c r="L107" s="4"/>
      <c r="M107" s="4"/>
      <c r="N107" s="4"/>
      <c r="O107" s="4"/>
      <c r="P107" s="4"/>
      <c r="Q107" s="4"/>
      <c r="R107" s="4"/>
    </row>
    <row r="108" spans="3:18" x14ac:dyDescent="0.35">
      <c r="C108" s="4"/>
      <c r="D108" s="4"/>
      <c r="E108" s="4"/>
      <c r="F108" s="4"/>
      <c r="G108" s="4"/>
      <c r="H108" s="4"/>
      <c r="I108" s="4"/>
      <c r="K108" s="4"/>
      <c r="L108" s="4"/>
      <c r="M108" s="4"/>
      <c r="N108" s="4"/>
      <c r="O108" s="4"/>
      <c r="P108" s="4"/>
      <c r="Q108" s="4"/>
      <c r="R108" s="4"/>
    </row>
    <row r="109" spans="3:18" x14ac:dyDescent="0.35">
      <c r="C109" s="4"/>
      <c r="D109" s="4"/>
      <c r="E109" s="4"/>
      <c r="F109" s="4"/>
      <c r="G109" s="4"/>
      <c r="H109" s="4"/>
      <c r="I109" s="4"/>
      <c r="K109" s="4"/>
      <c r="L109" s="4"/>
      <c r="M109" s="4"/>
      <c r="N109" s="4"/>
      <c r="O109" s="4"/>
      <c r="P109" s="4"/>
      <c r="Q109" s="4"/>
      <c r="R109" s="4"/>
    </row>
    <row r="110" spans="3:18" x14ac:dyDescent="0.35">
      <c r="C110" s="4"/>
      <c r="D110" s="4"/>
      <c r="E110" s="4"/>
      <c r="F110" s="4"/>
      <c r="G110" s="4"/>
      <c r="H110" s="4"/>
      <c r="I110" s="4"/>
      <c r="K110" s="4"/>
      <c r="L110" s="4"/>
      <c r="M110" s="4"/>
      <c r="N110" s="4"/>
      <c r="O110" s="4"/>
      <c r="P110" s="4"/>
      <c r="Q110" s="4"/>
      <c r="R110" s="4"/>
    </row>
    <row r="111" spans="3:18" x14ac:dyDescent="0.35">
      <c r="C111" s="4"/>
      <c r="D111" s="4"/>
      <c r="E111" s="4"/>
      <c r="F111" s="4"/>
      <c r="G111" s="4"/>
      <c r="H111" s="4"/>
      <c r="I111" s="4"/>
      <c r="K111" s="4"/>
      <c r="L111" s="4"/>
      <c r="M111" s="4"/>
      <c r="N111" s="4"/>
      <c r="O111" s="4"/>
      <c r="P111" s="4"/>
      <c r="Q111" s="4"/>
      <c r="R111" s="4"/>
    </row>
    <row r="112" spans="3:18" x14ac:dyDescent="0.35">
      <c r="C112" s="4"/>
      <c r="D112" s="4"/>
      <c r="E112" s="4"/>
      <c r="F112" s="4"/>
      <c r="G112" s="4"/>
      <c r="H112" s="4"/>
      <c r="I112" s="4"/>
      <c r="K112" s="4"/>
      <c r="L112" s="4"/>
      <c r="M112" s="4"/>
      <c r="N112" s="4"/>
      <c r="O112" s="4"/>
      <c r="P112" s="4"/>
      <c r="Q112" s="4"/>
      <c r="R112" s="4"/>
    </row>
    <row r="113" spans="3:18" x14ac:dyDescent="0.35">
      <c r="C113" s="4"/>
      <c r="D113" s="4"/>
      <c r="E113" s="4"/>
      <c r="F113" s="4"/>
      <c r="G113" s="4"/>
      <c r="H113" s="4"/>
      <c r="I113" s="4"/>
      <c r="K113" s="4"/>
      <c r="L113" s="4"/>
      <c r="M113" s="4"/>
      <c r="N113" s="4"/>
      <c r="O113" s="4"/>
      <c r="P113" s="4"/>
      <c r="Q113" s="4"/>
      <c r="R113" s="4"/>
    </row>
    <row r="114" spans="3:18" x14ac:dyDescent="0.35">
      <c r="C114" s="4"/>
      <c r="D114" s="4"/>
      <c r="E114" s="4"/>
      <c r="F114" s="4"/>
      <c r="G114" s="4"/>
      <c r="H114" s="4"/>
      <c r="I114" s="4"/>
      <c r="K114" s="4"/>
      <c r="L114" s="4"/>
      <c r="M114" s="4"/>
      <c r="N114" s="4"/>
      <c r="O114" s="4"/>
      <c r="P114" s="4"/>
      <c r="Q114" s="4"/>
      <c r="R114" s="4"/>
    </row>
    <row r="115" spans="3:18" x14ac:dyDescent="0.35">
      <c r="C115" s="4"/>
      <c r="D115" s="4"/>
      <c r="E115" s="4"/>
      <c r="F115" s="4"/>
      <c r="G115" s="4"/>
      <c r="H115" s="4"/>
      <c r="I115" s="4"/>
      <c r="K115" s="4"/>
      <c r="L115" s="4"/>
      <c r="M115" s="4"/>
      <c r="N115" s="4"/>
      <c r="O115" s="4"/>
      <c r="P115" s="4"/>
      <c r="Q115" s="4"/>
      <c r="R115" s="4"/>
    </row>
    <row r="116" spans="3:18" x14ac:dyDescent="0.35">
      <c r="C116" s="4"/>
      <c r="D116" s="4"/>
      <c r="E116" s="4"/>
      <c r="F116" s="4"/>
      <c r="G116" s="4"/>
      <c r="H116" s="4"/>
      <c r="I116" s="4"/>
      <c r="K116" s="4"/>
      <c r="L116" s="4"/>
      <c r="M116" s="4"/>
      <c r="N116" s="4"/>
      <c r="O116" s="4"/>
      <c r="P116" s="4"/>
      <c r="Q116" s="4"/>
      <c r="R116" s="4"/>
    </row>
    <row r="117" spans="3:18" x14ac:dyDescent="0.35">
      <c r="C117" s="4"/>
      <c r="D117" s="4"/>
      <c r="E117" s="4"/>
      <c r="F117" s="4"/>
      <c r="G117" s="4"/>
      <c r="H117" s="4"/>
      <c r="I117" s="4"/>
      <c r="K117" s="4"/>
      <c r="L117" s="4"/>
      <c r="M117" s="4"/>
      <c r="N117" s="4"/>
      <c r="O117" s="4"/>
      <c r="P117" s="4"/>
      <c r="Q117" s="4"/>
      <c r="R117" s="4"/>
    </row>
    <row r="118" spans="3:18" x14ac:dyDescent="0.35">
      <c r="C118" s="4"/>
      <c r="D118" s="4"/>
      <c r="E118" s="4"/>
      <c r="F118" s="4"/>
      <c r="G118" s="4"/>
      <c r="H118" s="4"/>
      <c r="I118" s="4"/>
      <c r="K118" s="4"/>
      <c r="L118" s="4"/>
      <c r="M118" s="4"/>
      <c r="N118" s="4"/>
      <c r="O118" s="4"/>
      <c r="P118" s="4"/>
      <c r="Q118" s="4"/>
      <c r="R118" s="4"/>
    </row>
    <row r="119" spans="3:18" x14ac:dyDescent="0.35">
      <c r="C119" s="4"/>
      <c r="D119" s="4"/>
      <c r="E119" s="4"/>
      <c r="F119" s="4"/>
      <c r="G119" s="4"/>
      <c r="H119" s="4"/>
      <c r="I119" s="4"/>
      <c r="K119" s="4"/>
      <c r="L119" s="4"/>
      <c r="M119" s="4"/>
      <c r="N119" s="4"/>
      <c r="O119" s="4"/>
      <c r="P119" s="4"/>
      <c r="Q119" s="4"/>
      <c r="R119" s="4"/>
    </row>
    <row r="120" spans="3:18" x14ac:dyDescent="0.35">
      <c r="C120" s="4"/>
      <c r="D120" s="4"/>
      <c r="E120" s="4"/>
      <c r="F120" s="4"/>
      <c r="G120" s="4"/>
      <c r="H120" s="4"/>
      <c r="I120" s="4"/>
      <c r="K120" s="4"/>
      <c r="L120" s="4"/>
      <c r="M120" s="4"/>
      <c r="N120" s="4"/>
      <c r="O120" s="4"/>
      <c r="P120" s="4"/>
      <c r="Q120" s="4"/>
      <c r="R120" s="4"/>
    </row>
    <row r="121" spans="3:18" x14ac:dyDescent="0.35">
      <c r="C121" s="4"/>
      <c r="D121" s="4"/>
      <c r="E121" s="4"/>
      <c r="F121" s="4"/>
      <c r="G121" s="4"/>
      <c r="H121" s="4"/>
      <c r="I121" s="4"/>
      <c r="K121" s="4"/>
      <c r="L121" s="4"/>
      <c r="M121" s="4"/>
      <c r="N121" s="4"/>
      <c r="O121" s="4"/>
      <c r="P121" s="4"/>
      <c r="Q121" s="4"/>
      <c r="R121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D0BD-3153-411F-8677-CDB0948AA9C2}">
  <dimension ref="A1:AD121"/>
  <sheetViews>
    <sheetView showGridLines="0" tabSelected="1" topLeftCell="A56" zoomScale="90" zoomScaleNormal="90" workbookViewId="0">
      <selection activeCell="G70" sqref="G70"/>
    </sheetView>
  </sheetViews>
  <sheetFormatPr baseColWidth="10" defaultRowHeight="15.5" x14ac:dyDescent="0.35"/>
  <cols>
    <col min="1" max="1" width="3.08984375" style="5" customWidth="1"/>
    <col min="2" max="2" width="4.453125" style="5" customWidth="1"/>
    <col min="3" max="3" width="24" style="5" customWidth="1"/>
    <col min="4" max="8" width="9.54296875" style="5" customWidth="1"/>
    <col min="9" max="9" width="10.90625" style="5"/>
    <col min="10" max="10" width="4.453125" style="5" customWidth="1"/>
    <col min="11" max="11" width="27.1796875" style="5" customWidth="1"/>
    <col min="12" max="17" width="9.54296875" style="5" customWidth="1"/>
    <col min="18" max="18" width="9.08984375" style="5" bestFit="1" customWidth="1"/>
    <col min="19" max="19" width="8.81640625" style="5" customWidth="1"/>
    <col min="20" max="20" width="10" style="5" customWidth="1"/>
    <col min="21" max="25" width="8.81640625" style="5" customWidth="1"/>
    <col min="26" max="26" width="9.26953125" style="5" customWidth="1"/>
    <col min="27" max="28" width="8.81640625" style="5" customWidth="1"/>
    <col min="29" max="16384" width="10.90625" style="5"/>
  </cols>
  <sheetData>
    <row r="1" spans="1:18" ht="19" thickBot="1" x14ac:dyDescent="0.5">
      <c r="A1" s="14" t="s">
        <v>128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3" spans="1:18" ht="18.5" x14ac:dyDescent="0.45">
      <c r="B3" s="16" t="s">
        <v>25</v>
      </c>
      <c r="C3" s="17"/>
      <c r="D3" s="17"/>
      <c r="E3" s="17"/>
      <c r="F3" s="17"/>
      <c r="G3" s="17"/>
      <c r="H3" s="18"/>
      <c r="J3" s="29" t="s">
        <v>26</v>
      </c>
      <c r="K3" s="30"/>
      <c r="L3" s="30"/>
      <c r="M3" s="30"/>
      <c r="N3" s="30"/>
      <c r="O3" s="30"/>
      <c r="P3" s="31"/>
    </row>
    <row r="4" spans="1:18" ht="6" customHeight="1" x14ac:dyDescent="0.35"/>
    <row r="5" spans="1:18" ht="14" customHeight="1" x14ac:dyDescent="0.4">
      <c r="B5" s="28" t="s">
        <v>4</v>
      </c>
      <c r="C5" s="4"/>
      <c r="D5" s="89" t="s">
        <v>91</v>
      </c>
      <c r="E5" s="90" t="s">
        <v>92</v>
      </c>
      <c r="F5" s="90" t="s">
        <v>93</v>
      </c>
      <c r="G5" s="90" t="s">
        <v>94</v>
      </c>
      <c r="H5" s="90" t="s">
        <v>95</v>
      </c>
      <c r="I5" s="4"/>
      <c r="J5" s="28" t="s">
        <v>27</v>
      </c>
      <c r="K5" s="4"/>
      <c r="L5" s="89" t="s">
        <v>91</v>
      </c>
      <c r="M5" s="90" t="s">
        <v>92</v>
      </c>
      <c r="N5" s="90" t="s">
        <v>93</v>
      </c>
      <c r="O5" s="90" t="s">
        <v>94</v>
      </c>
      <c r="P5" s="90" t="s">
        <v>95</v>
      </c>
      <c r="Q5" s="73"/>
      <c r="R5" s="4"/>
    </row>
    <row r="6" spans="1:18" ht="14" customHeight="1" x14ac:dyDescent="0.35">
      <c r="B6" s="5" t="s">
        <v>2</v>
      </c>
      <c r="C6" s="1"/>
      <c r="D6" s="2">
        <v>10000</v>
      </c>
      <c r="E6" s="50">
        <f>D6+1000+((D38+0.05)*E27/D36)</f>
        <v>15000</v>
      </c>
      <c r="F6" s="50">
        <f>E6+2000</f>
        <v>17000</v>
      </c>
      <c r="G6" s="50">
        <f>F6+2000</f>
        <v>19000</v>
      </c>
      <c r="H6" s="50">
        <f>G6+2000</f>
        <v>21000</v>
      </c>
      <c r="I6" s="2"/>
      <c r="J6" s="5" t="s">
        <v>0</v>
      </c>
      <c r="K6" s="1"/>
      <c r="L6" s="2">
        <f>D8</f>
        <v>5000</v>
      </c>
      <c r="M6" s="2">
        <f>E8</f>
        <v>7500</v>
      </c>
      <c r="N6" s="2">
        <f>F8</f>
        <v>8500</v>
      </c>
      <c r="O6" s="2">
        <f>G8</f>
        <v>9500</v>
      </c>
      <c r="P6" s="2">
        <f>H8</f>
        <v>10500</v>
      </c>
      <c r="Q6" s="2"/>
      <c r="R6" s="4"/>
    </row>
    <row r="7" spans="1:18" ht="14" customHeight="1" x14ac:dyDescent="0.35">
      <c r="B7" s="5" t="s">
        <v>3</v>
      </c>
      <c r="C7" s="1"/>
      <c r="D7" s="6">
        <f>-D6*0.5</f>
        <v>-5000</v>
      </c>
      <c r="E7" s="6">
        <f>-E6*0.5</f>
        <v>-7500</v>
      </c>
      <c r="F7" s="6">
        <f>-F6*0.5</f>
        <v>-8500</v>
      </c>
      <c r="G7" s="6">
        <f>-G6*0.5</f>
        <v>-9500</v>
      </c>
      <c r="H7" s="6">
        <f>-H6*0.5</f>
        <v>-10500</v>
      </c>
      <c r="I7" s="2"/>
      <c r="J7" s="5" t="s">
        <v>17</v>
      </c>
      <c r="K7" s="5" t="s">
        <v>44</v>
      </c>
      <c r="L7" s="19">
        <f>-L6*0.3</f>
        <v>-1500</v>
      </c>
      <c r="M7" s="19">
        <f>-M6*0.3</f>
        <v>-2250</v>
      </c>
      <c r="N7" s="19">
        <f>-N6*0.3</f>
        <v>-2550</v>
      </c>
      <c r="O7" s="19">
        <f>-O6*0.3</f>
        <v>-2850</v>
      </c>
      <c r="P7" s="19">
        <f>-P6*0.3</f>
        <v>-3150</v>
      </c>
      <c r="Q7" s="19"/>
      <c r="R7" s="4"/>
    </row>
    <row r="8" spans="1:18" ht="14" customHeight="1" x14ac:dyDescent="0.35">
      <c r="B8" s="5" t="s">
        <v>0</v>
      </c>
      <c r="C8" s="1"/>
      <c r="D8" s="2">
        <f>D6+D7</f>
        <v>5000</v>
      </c>
      <c r="E8" s="2">
        <f>E6+E7</f>
        <v>7500</v>
      </c>
      <c r="F8" s="2">
        <f>F6+F7</f>
        <v>8500</v>
      </c>
      <c r="G8" s="2">
        <f>G6+G7</f>
        <v>9500</v>
      </c>
      <c r="H8" s="2">
        <f>H6+H7</f>
        <v>10500</v>
      </c>
      <c r="I8" s="2"/>
      <c r="J8" s="9" t="s">
        <v>14</v>
      </c>
      <c r="K8" s="5" t="s">
        <v>1</v>
      </c>
      <c r="L8" s="2">
        <f t="shared" ref="L8:P10" si="0">D22</f>
        <v>1000</v>
      </c>
      <c r="M8" s="2">
        <f t="shared" si="0"/>
        <v>1500</v>
      </c>
      <c r="N8" s="2">
        <f t="shared" si="0"/>
        <v>1700</v>
      </c>
      <c r="O8" s="2">
        <f t="shared" si="0"/>
        <v>1900</v>
      </c>
      <c r="P8" s="2">
        <f t="shared" si="0"/>
        <v>2100</v>
      </c>
      <c r="Q8" s="2"/>
      <c r="R8" s="4"/>
    </row>
    <row r="9" spans="1:18" ht="14" customHeight="1" x14ac:dyDescent="0.35">
      <c r="B9" s="5" t="s">
        <v>84</v>
      </c>
      <c r="C9" s="1"/>
      <c r="D9" s="6">
        <f>-D16*D37</f>
        <v>-1500</v>
      </c>
      <c r="E9" s="6">
        <f>-E16*E37</f>
        <v>-2400</v>
      </c>
      <c r="F9" s="6">
        <f>-F16*F37</f>
        <v>-2625</v>
      </c>
      <c r="G9" s="6">
        <f>-G16*G37</f>
        <v>-2850</v>
      </c>
      <c r="H9" s="6">
        <f>-H16*H37</f>
        <v>-3075.0000000000005</v>
      </c>
      <c r="I9" s="2"/>
      <c r="J9" s="5" t="s">
        <v>17</v>
      </c>
      <c r="K9" s="1" t="s">
        <v>18</v>
      </c>
      <c r="L9" s="2">
        <f t="shared" si="0"/>
        <v>-1500</v>
      </c>
      <c r="M9" s="2">
        <f t="shared" si="0"/>
        <v>-11600</v>
      </c>
      <c r="N9" s="2">
        <f t="shared" si="0"/>
        <v>-1800</v>
      </c>
      <c r="O9" s="2">
        <f t="shared" si="0"/>
        <v>-2000</v>
      </c>
      <c r="P9" s="2">
        <f t="shared" si="0"/>
        <v>-2200</v>
      </c>
      <c r="Q9" s="2"/>
      <c r="R9" s="4"/>
    </row>
    <row r="10" spans="1:18" ht="14" customHeight="1" x14ac:dyDescent="0.35">
      <c r="B10" s="5" t="s">
        <v>5</v>
      </c>
      <c r="C10" s="1"/>
      <c r="D10" s="2">
        <f>D8+D9</f>
        <v>3500</v>
      </c>
      <c r="E10" s="2">
        <f>E8+E9</f>
        <v>5100</v>
      </c>
      <c r="F10" s="2">
        <f>F8+F9</f>
        <v>5875</v>
      </c>
      <c r="G10" s="2">
        <f>G8+G9</f>
        <v>6650</v>
      </c>
      <c r="H10" s="2">
        <f>H8+H9</f>
        <v>7425</v>
      </c>
      <c r="I10" s="2"/>
      <c r="J10" s="5" t="s">
        <v>15</v>
      </c>
      <c r="K10" s="1" t="s">
        <v>16</v>
      </c>
      <c r="L10" s="6">
        <f t="shared" si="0"/>
        <v>-500</v>
      </c>
      <c r="M10" s="6">
        <f t="shared" si="0"/>
        <v>-750</v>
      </c>
      <c r="N10" s="6">
        <f t="shared" si="0"/>
        <v>-850</v>
      </c>
      <c r="O10" s="6">
        <f t="shared" si="0"/>
        <v>-950</v>
      </c>
      <c r="P10" s="6">
        <f t="shared" si="0"/>
        <v>-1050</v>
      </c>
      <c r="Q10" s="19"/>
      <c r="R10" s="4"/>
    </row>
    <row r="11" spans="1:18" ht="14" customHeight="1" x14ac:dyDescent="0.35">
      <c r="B11" s="5" t="s">
        <v>43</v>
      </c>
      <c r="C11" s="1"/>
      <c r="D11" s="6">
        <f>-D10*0.3</f>
        <v>-1050</v>
      </c>
      <c r="E11" s="6">
        <f>-E10*0.3</f>
        <v>-1530</v>
      </c>
      <c r="F11" s="6">
        <f>-F10*0.3</f>
        <v>-1762.5</v>
      </c>
      <c r="G11" s="6">
        <f>-G10*0.3</f>
        <v>-1995</v>
      </c>
      <c r="H11" s="6">
        <f>-H10*0.3</f>
        <v>-2227.5</v>
      </c>
      <c r="I11" s="2"/>
      <c r="J11" s="10" t="s">
        <v>27</v>
      </c>
      <c r="K11" s="1"/>
      <c r="L11" s="12">
        <f>SUM(L6:L10)</f>
        <v>2500</v>
      </c>
      <c r="M11" s="12">
        <f>SUM(M6:M10)</f>
        <v>-5600</v>
      </c>
      <c r="N11" s="12">
        <f>SUM(N6:N10)</f>
        <v>5000</v>
      </c>
      <c r="O11" s="12">
        <f>SUM(O6:O10)</f>
        <v>5600</v>
      </c>
      <c r="P11" s="12">
        <f>SUM(P6:P10)</f>
        <v>6200</v>
      </c>
      <c r="Q11" s="12"/>
      <c r="R11" s="4"/>
    </row>
    <row r="12" spans="1:18" ht="14" customHeight="1" x14ac:dyDescent="0.35">
      <c r="B12" s="10" t="s">
        <v>6</v>
      </c>
      <c r="C12" s="11"/>
      <c r="D12" s="12">
        <f>D10+D11</f>
        <v>2450</v>
      </c>
      <c r="E12" s="12">
        <f>E10+E11</f>
        <v>3570</v>
      </c>
      <c r="F12" s="12">
        <f>F10+F11</f>
        <v>4112.5</v>
      </c>
      <c r="G12" s="12">
        <f>G10+G11</f>
        <v>4655</v>
      </c>
      <c r="H12" s="12">
        <f>H10+H11</f>
        <v>5197.5</v>
      </c>
      <c r="I12" s="2"/>
      <c r="J12" s="10"/>
      <c r="K12" s="11"/>
      <c r="L12" s="102"/>
      <c r="M12" s="102"/>
      <c r="N12" s="102"/>
      <c r="O12" s="102"/>
      <c r="P12" s="102"/>
      <c r="Q12" s="12"/>
      <c r="R12" s="4"/>
    </row>
    <row r="13" spans="1:18" ht="14" customHeight="1" x14ac:dyDescent="0.35">
      <c r="C13" s="1"/>
      <c r="D13" s="101"/>
      <c r="E13" s="101"/>
      <c r="F13" s="101"/>
      <c r="G13" s="101"/>
      <c r="H13" s="101"/>
      <c r="I13" s="2"/>
      <c r="J13" s="3" t="s">
        <v>42</v>
      </c>
      <c r="K13" s="1"/>
      <c r="L13" s="2"/>
      <c r="M13" s="2"/>
      <c r="N13" s="2"/>
      <c r="O13" s="2"/>
      <c r="P13" s="2"/>
      <c r="Q13" s="2"/>
      <c r="R13" s="4"/>
    </row>
    <row r="14" spans="1:18" ht="14" customHeight="1" x14ac:dyDescent="0.4">
      <c r="B14" s="28" t="s">
        <v>7</v>
      </c>
      <c r="C14" s="1"/>
      <c r="D14" s="2"/>
      <c r="E14" s="2"/>
      <c r="F14" s="2"/>
      <c r="G14" s="2"/>
      <c r="H14" s="2"/>
      <c r="I14" s="2"/>
      <c r="J14" s="5" t="s">
        <v>27</v>
      </c>
      <c r="K14" s="1"/>
      <c r="L14" s="2">
        <f>L11</f>
        <v>2500</v>
      </c>
      <c r="M14" s="2">
        <f>M11</f>
        <v>-5600</v>
      </c>
      <c r="N14" s="2">
        <f>N11</f>
        <v>5000</v>
      </c>
      <c r="O14" s="2">
        <f>O11</f>
        <v>5600</v>
      </c>
      <c r="P14" s="2">
        <f>P11</f>
        <v>6200</v>
      </c>
      <c r="Q14" s="2"/>
      <c r="R14" s="4"/>
    </row>
    <row r="15" spans="1:18" ht="14" customHeight="1" x14ac:dyDescent="0.35">
      <c r="B15" s="5" t="s">
        <v>53</v>
      </c>
      <c r="C15" s="1"/>
      <c r="D15" s="2">
        <f>D8/D38</f>
        <v>33333.333333333336</v>
      </c>
      <c r="E15" s="2">
        <f>D15+E31-E23-E22-E24</f>
        <v>46903.333333333336</v>
      </c>
      <c r="F15" s="2">
        <f>E15+F31-F23-F22-F24</f>
        <v>53515.833333333336</v>
      </c>
      <c r="G15" s="2">
        <f>F15+G31-G23-G22-G24</f>
        <v>60670.833333333336</v>
      </c>
      <c r="H15" s="2">
        <f>G15+H31-H23-H22-H24</f>
        <v>68368.333333333343</v>
      </c>
      <c r="I15" s="2"/>
      <c r="J15" s="5" t="s">
        <v>17</v>
      </c>
      <c r="K15" s="5" t="s">
        <v>84</v>
      </c>
      <c r="L15" s="2">
        <f>D9</f>
        <v>-1500</v>
      </c>
      <c r="M15" s="2">
        <f>E9</f>
        <v>-2400</v>
      </c>
      <c r="N15" s="2">
        <f>F9</f>
        <v>-2625</v>
      </c>
      <c r="O15" s="2">
        <f>G9</f>
        <v>-2850</v>
      </c>
      <c r="P15" s="2">
        <f>H9</f>
        <v>-3075.0000000000005</v>
      </c>
      <c r="Q15" s="2"/>
      <c r="R15" s="4"/>
    </row>
    <row r="16" spans="1:18" ht="14" customHeight="1" x14ac:dyDescent="0.35">
      <c r="B16" s="5" t="s">
        <v>52</v>
      </c>
      <c r="D16" s="2">
        <f>D15*D36</f>
        <v>16666.666666666668</v>
      </c>
      <c r="E16" s="2">
        <f>D16+E26+E27</f>
        <v>26666.666666666668</v>
      </c>
      <c r="F16" s="2">
        <f>E16+F26+F27</f>
        <v>29166.666666666668</v>
      </c>
      <c r="G16" s="2">
        <f>F16+G26+G27</f>
        <v>31666.666666666668</v>
      </c>
      <c r="H16" s="2">
        <f>G16+H26+H27</f>
        <v>34166.666666666672</v>
      </c>
      <c r="I16" s="2"/>
      <c r="J16" s="9" t="s">
        <v>14</v>
      </c>
      <c r="K16" s="5" t="s">
        <v>28</v>
      </c>
      <c r="L16" s="6">
        <f>-L15*0.3</f>
        <v>450</v>
      </c>
      <c r="M16" s="6">
        <f>-M15*0.3</f>
        <v>720</v>
      </c>
      <c r="N16" s="6">
        <f>-N15*0.3</f>
        <v>787.5</v>
      </c>
      <c r="O16" s="6">
        <f>-O15*0.3</f>
        <v>855</v>
      </c>
      <c r="P16" s="6">
        <f>-P15*0.3</f>
        <v>922.50000000000011</v>
      </c>
      <c r="Q16" s="19"/>
      <c r="R16" s="4"/>
    </row>
    <row r="17" spans="2:18" ht="14" customHeight="1" x14ac:dyDescent="0.35">
      <c r="B17" s="5" t="s">
        <v>51</v>
      </c>
      <c r="D17" s="2">
        <f>D15-D16</f>
        <v>16666.666666666668</v>
      </c>
      <c r="E17" s="2">
        <f>D17+E12+E28+E29</f>
        <v>20236.666666666668</v>
      </c>
      <c r="F17" s="2">
        <f>E17+F12+F28+F29</f>
        <v>24349.166666666668</v>
      </c>
      <c r="G17" s="2">
        <f>F17+G12+G28+G29</f>
        <v>29004.166666666668</v>
      </c>
      <c r="H17" s="2">
        <f>G17+H12+H28+H29</f>
        <v>34201.666666666672</v>
      </c>
      <c r="I17" s="2"/>
      <c r="J17" s="5" t="s">
        <v>19</v>
      </c>
      <c r="L17" s="2">
        <f>SUM(L14:L16)</f>
        <v>1450</v>
      </c>
      <c r="M17" s="2">
        <f>SUM(M14:M16)</f>
        <v>-7280</v>
      </c>
      <c r="N17" s="2">
        <f>SUM(N14:N16)</f>
        <v>3162.5</v>
      </c>
      <c r="O17" s="2">
        <f>SUM(O14:O16)</f>
        <v>3605</v>
      </c>
      <c r="P17" s="2">
        <f>SUM(P14:P16)</f>
        <v>4047.4999999999995</v>
      </c>
      <c r="Q17" s="2"/>
      <c r="R17" s="4"/>
    </row>
    <row r="18" spans="2:18" ht="14" customHeight="1" x14ac:dyDescent="0.35">
      <c r="B18" s="36" t="s">
        <v>29</v>
      </c>
      <c r="C18" s="37"/>
      <c r="D18" s="38">
        <f>D16+D17-D15</f>
        <v>0</v>
      </c>
      <c r="E18" s="38">
        <f>E16+E17-E15</f>
        <v>0</v>
      </c>
      <c r="F18" s="38">
        <f>F16+F17-F15</f>
        <v>0</v>
      </c>
      <c r="G18" s="38">
        <f>G16+G17-G15</f>
        <v>0</v>
      </c>
      <c r="H18" s="38">
        <f>H16+H17-H15</f>
        <v>0</v>
      </c>
      <c r="I18" s="39"/>
      <c r="J18" s="36" t="s">
        <v>106</v>
      </c>
      <c r="K18" s="37"/>
      <c r="L18" s="38">
        <f>L17-D25</f>
        <v>0</v>
      </c>
      <c r="M18" s="38">
        <f>M17-E25</f>
        <v>0</v>
      </c>
      <c r="N18" s="38">
        <f>N17-F25</f>
        <v>0</v>
      </c>
      <c r="O18" s="38">
        <f>O17-G25</f>
        <v>0</v>
      </c>
      <c r="P18" s="38">
        <f>P17-H25</f>
        <v>0</v>
      </c>
      <c r="Q18" s="38"/>
      <c r="R18" s="4"/>
    </row>
    <row r="19" spans="2:18" ht="14" customHeight="1" x14ac:dyDescent="0.35">
      <c r="D19" s="2"/>
      <c r="E19" s="2"/>
      <c r="F19" s="2"/>
      <c r="G19" s="2"/>
      <c r="H19" s="2"/>
      <c r="I19" s="2"/>
      <c r="L19" s="2"/>
      <c r="M19" s="2"/>
      <c r="N19" s="2"/>
      <c r="O19" s="2"/>
      <c r="P19" s="2"/>
      <c r="Q19" s="2"/>
      <c r="R19" s="4"/>
    </row>
    <row r="20" spans="2:18" ht="14" customHeight="1" x14ac:dyDescent="0.4">
      <c r="B20" s="28" t="s">
        <v>8</v>
      </c>
      <c r="I20" s="2"/>
      <c r="J20" s="28" t="s">
        <v>30</v>
      </c>
      <c r="L20" s="2"/>
      <c r="M20" s="2"/>
      <c r="N20" s="2"/>
      <c r="O20" s="2"/>
      <c r="P20" s="2"/>
      <c r="Q20" s="2"/>
      <c r="R20" s="4"/>
    </row>
    <row r="21" spans="2:18" ht="14" customHeight="1" x14ac:dyDescent="0.35">
      <c r="B21" s="5" t="s">
        <v>6</v>
      </c>
      <c r="D21" s="2">
        <f>D12</f>
        <v>2450</v>
      </c>
      <c r="E21" s="2">
        <f>E12</f>
        <v>3570</v>
      </c>
      <c r="F21" s="2">
        <f>F12</f>
        <v>4112.5</v>
      </c>
      <c r="G21" s="2">
        <f>G12</f>
        <v>4655</v>
      </c>
      <c r="H21" s="2">
        <f>H12</f>
        <v>5197.5</v>
      </c>
      <c r="I21" s="2"/>
      <c r="J21" s="5" t="s">
        <v>27</v>
      </c>
      <c r="L21" s="2">
        <f>L11</f>
        <v>2500</v>
      </c>
      <c r="M21" s="2">
        <f>M11</f>
        <v>-5600</v>
      </c>
      <c r="N21" s="2">
        <f>N11</f>
        <v>5000</v>
      </c>
      <c r="O21" s="2">
        <f>O11</f>
        <v>5600</v>
      </c>
      <c r="P21" s="2">
        <f>P11</f>
        <v>6200</v>
      </c>
      <c r="Q21" s="2"/>
      <c r="R21" s="4"/>
    </row>
    <row r="22" spans="2:18" ht="14" customHeight="1" x14ac:dyDescent="0.35">
      <c r="B22" s="9" t="s">
        <v>14</v>
      </c>
      <c r="C22" s="5" t="s">
        <v>1</v>
      </c>
      <c r="D22" s="2">
        <f>0.1*D6</f>
        <v>1000</v>
      </c>
      <c r="E22" s="2">
        <f>0.1*E6</f>
        <v>1500</v>
      </c>
      <c r="F22" s="2">
        <f>0.1*F6</f>
        <v>1700</v>
      </c>
      <c r="G22" s="2">
        <f>0.1*G6</f>
        <v>1900</v>
      </c>
      <c r="H22" s="2">
        <f>0.1*H6</f>
        <v>2100</v>
      </c>
      <c r="I22" s="2"/>
      <c r="J22" s="5" t="s">
        <v>17</v>
      </c>
      <c r="K22" s="5" t="s">
        <v>84</v>
      </c>
      <c r="L22" s="20">
        <f t="shared" ref="L22:P23" si="1">L15</f>
        <v>-1500</v>
      </c>
      <c r="M22" s="20">
        <f t="shared" si="1"/>
        <v>-2400</v>
      </c>
      <c r="N22" s="20">
        <f t="shared" si="1"/>
        <v>-2625</v>
      </c>
      <c r="O22" s="20">
        <f t="shared" si="1"/>
        <v>-2850</v>
      </c>
      <c r="P22" s="20">
        <f t="shared" si="1"/>
        <v>-3075.0000000000005</v>
      </c>
      <c r="Q22" s="20"/>
      <c r="R22" s="4"/>
    </row>
    <row r="23" spans="2:18" ht="14" customHeight="1" x14ac:dyDescent="0.35">
      <c r="B23" s="5" t="s">
        <v>17</v>
      </c>
      <c r="C23" s="1" t="s">
        <v>18</v>
      </c>
      <c r="D23" s="2">
        <v>-1500</v>
      </c>
      <c r="E23" s="50">
        <f>D23-100-E27</f>
        <v>-11600</v>
      </c>
      <c r="F23" s="50">
        <f>D23-100-200</f>
        <v>-1800</v>
      </c>
      <c r="G23" s="50">
        <f>F23-200</f>
        <v>-2000</v>
      </c>
      <c r="H23" s="50">
        <f>G23-200</f>
        <v>-2200</v>
      </c>
      <c r="I23" s="2"/>
      <c r="J23" s="9" t="s">
        <v>14</v>
      </c>
      <c r="K23" s="5" t="s">
        <v>28</v>
      </c>
      <c r="L23" s="20">
        <f t="shared" si="1"/>
        <v>450</v>
      </c>
      <c r="M23" s="20">
        <f t="shared" si="1"/>
        <v>720</v>
      </c>
      <c r="N23" s="20">
        <f t="shared" si="1"/>
        <v>787.5</v>
      </c>
      <c r="O23" s="20">
        <f t="shared" si="1"/>
        <v>855</v>
      </c>
      <c r="P23" s="20">
        <f t="shared" si="1"/>
        <v>922.50000000000011</v>
      </c>
      <c r="Q23" s="20"/>
      <c r="R23" s="4"/>
    </row>
    <row r="24" spans="2:18" ht="14" customHeight="1" x14ac:dyDescent="0.35">
      <c r="B24" s="5" t="s">
        <v>15</v>
      </c>
      <c r="C24" s="1" t="s">
        <v>16</v>
      </c>
      <c r="D24" s="6">
        <f>-D6*0.05</f>
        <v>-500</v>
      </c>
      <c r="E24" s="6">
        <f>-E6*0.05</f>
        <v>-750</v>
      </c>
      <c r="F24" s="6">
        <f>-F6*0.05</f>
        <v>-850</v>
      </c>
      <c r="G24" s="6">
        <f>-G6*0.05</f>
        <v>-950</v>
      </c>
      <c r="H24" s="6">
        <f>-H6*0.05</f>
        <v>-1050</v>
      </c>
      <c r="I24" s="2"/>
      <c r="J24" s="5" t="s">
        <v>17</v>
      </c>
      <c r="K24" s="5" t="s">
        <v>20</v>
      </c>
      <c r="L24" s="2">
        <f>D26</f>
        <v>0</v>
      </c>
      <c r="M24" s="2">
        <f t="shared" ref="M24:P24" si="2">E26</f>
        <v>0</v>
      </c>
      <c r="N24" s="2">
        <f t="shared" si="2"/>
        <v>0</v>
      </c>
      <c r="O24" s="2">
        <f t="shared" si="2"/>
        <v>0</v>
      </c>
      <c r="P24" s="2">
        <f t="shared" si="2"/>
        <v>-10000</v>
      </c>
      <c r="Q24" s="2"/>
      <c r="R24" s="4"/>
    </row>
    <row r="25" spans="2:18" ht="14" customHeight="1" x14ac:dyDescent="0.35">
      <c r="B25" s="10" t="s">
        <v>19</v>
      </c>
      <c r="C25" s="1"/>
      <c r="D25" s="12">
        <f>SUM(D21:D24)</f>
        <v>1450</v>
      </c>
      <c r="E25" s="12">
        <f>SUM(E21:E24)</f>
        <v>-7280</v>
      </c>
      <c r="F25" s="12">
        <f>SUM(F21:F24)</f>
        <v>3162.5</v>
      </c>
      <c r="G25" s="12">
        <f>SUM(G21:G24)</f>
        <v>3605</v>
      </c>
      <c r="H25" s="12">
        <f>SUM(H21:H24)</f>
        <v>4047.5</v>
      </c>
      <c r="I25" s="1"/>
      <c r="J25" s="9" t="s">
        <v>14</v>
      </c>
      <c r="K25" s="5" t="s">
        <v>21</v>
      </c>
      <c r="L25" s="6">
        <f t="shared" ref="L25:P25" si="3">D27</f>
        <v>0</v>
      </c>
      <c r="M25" s="6">
        <f t="shared" si="3"/>
        <v>10000</v>
      </c>
      <c r="N25" s="6">
        <f t="shared" si="3"/>
        <v>2500</v>
      </c>
      <c r="O25" s="6">
        <f t="shared" si="3"/>
        <v>2500</v>
      </c>
      <c r="P25" s="6">
        <f t="shared" si="3"/>
        <v>12500</v>
      </c>
      <c r="Q25" s="19"/>
      <c r="R25" s="4"/>
    </row>
    <row r="26" spans="2:18" ht="14" customHeight="1" x14ac:dyDescent="0.35">
      <c r="B26" s="5" t="s">
        <v>17</v>
      </c>
      <c r="C26" s="5" t="s">
        <v>20</v>
      </c>
      <c r="D26" s="50">
        <v>0</v>
      </c>
      <c r="E26" s="50">
        <v>0</v>
      </c>
      <c r="F26" s="50">
        <v>0</v>
      </c>
      <c r="G26" s="50">
        <v>0</v>
      </c>
      <c r="H26" s="50">
        <f>-E27</f>
        <v>-10000</v>
      </c>
      <c r="I26" s="2"/>
      <c r="J26" s="10" t="s">
        <v>30</v>
      </c>
      <c r="L26" s="21">
        <f>SUM(L21:L25)</f>
        <v>1450</v>
      </c>
      <c r="M26" s="21">
        <f>SUM(M21:M25)</f>
        <v>2720</v>
      </c>
      <c r="N26" s="21">
        <f>SUM(N21:N25)</f>
        <v>5662.5</v>
      </c>
      <c r="O26" s="21">
        <f>SUM(O21:O25)</f>
        <v>6105</v>
      </c>
      <c r="P26" s="21">
        <f>SUM(P21:P25)</f>
        <v>6547.5</v>
      </c>
      <c r="Q26" s="21"/>
      <c r="R26" s="2"/>
    </row>
    <row r="27" spans="2:18" ht="14" customHeight="1" x14ac:dyDescent="0.35">
      <c r="B27" s="9" t="s">
        <v>14</v>
      </c>
      <c r="C27" s="5" t="s">
        <v>21</v>
      </c>
      <c r="D27" s="50">
        <f>-D26</f>
        <v>0</v>
      </c>
      <c r="E27" s="50">
        <v>10000</v>
      </c>
      <c r="F27" s="50">
        <v>2500</v>
      </c>
      <c r="G27" s="50">
        <v>2500</v>
      </c>
      <c r="H27" s="50">
        <f>+E27+2500</f>
        <v>12500</v>
      </c>
      <c r="I27" s="2"/>
      <c r="J27" s="72"/>
      <c r="K27" s="22"/>
      <c r="L27" s="19"/>
      <c r="M27" s="19"/>
      <c r="N27" s="19"/>
      <c r="O27" s="19"/>
      <c r="P27" s="19"/>
      <c r="Q27" s="19"/>
      <c r="R27" s="2"/>
    </row>
    <row r="28" spans="2:18" ht="14" customHeight="1" x14ac:dyDescent="0.35">
      <c r="B28" s="5" t="s">
        <v>17</v>
      </c>
      <c r="C28" s="5" t="s">
        <v>105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/>
      <c r="R28" s="2"/>
    </row>
    <row r="29" spans="2:18" ht="14" customHeight="1" x14ac:dyDescent="0.35">
      <c r="B29" s="9" t="s">
        <v>14</v>
      </c>
      <c r="C29" s="5" t="s">
        <v>22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2"/>
      <c r="J29" s="22"/>
      <c r="K29" s="22"/>
      <c r="L29" s="22"/>
      <c r="M29" s="22"/>
      <c r="N29" s="22"/>
      <c r="O29" s="22"/>
      <c r="P29" s="22"/>
      <c r="Q29" s="22"/>
      <c r="R29" s="2"/>
    </row>
    <row r="30" spans="2:18" ht="14" customHeight="1" x14ac:dyDescent="0.4">
      <c r="B30" s="10" t="s">
        <v>23</v>
      </c>
      <c r="D30" s="13">
        <f>SUM(D26:D29)</f>
        <v>0</v>
      </c>
      <c r="E30" s="13">
        <f>SUM(E26:E29)</f>
        <v>10000</v>
      </c>
      <c r="F30" s="13">
        <f>SUM(F26:F29)</f>
        <v>2500</v>
      </c>
      <c r="G30" s="13">
        <f>SUM(G26:G29)</f>
        <v>2500</v>
      </c>
      <c r="H30" s="13">
        <f>SUM(H26:H29)</f>
        <v>2500</v>
      </c>
      <c r="I30" s="2"/>
      <c r="J30" s="35" t="s">
        <v>31</v>
      </c>
      <c r="K30" s="22"/>
      <c r="L30" s="89" t="s">
        <v>91</v>
      </c>
      <c r="M30" s="90" t="s">
        <v>92</v>
      </c>
      <c r="N30" s="90" t="s">
        <v>93</v>
      </c>
      <c r="O30" s="90" t="s">
        <v>94</v>
      </c>
      <c r="P30" s="90" t="s">
        <v>95</v>
      </c>
      <c r="Q30" s="73"/>
      <c r="R30" s="2"/>
    </row>
    <row r="31" spans="2:18" ht="14" customHeight="1" x14ac:dyDescent="0.4">
      <c r="B31" s="10" t="s">
        <v>24</v>
      </c>
      <c r="C31" s="1"/>
      <c r="D31" s="12">
        <f>D25+D30</f>
        <v>1450</v>
      </c>
      <c r="E31" s="12">
        <f>E25+E30</f>
        <v>2720</v>
      </c>
      <c r="F31" s="12">
        <f>F25+F30</f>
        <v>5662.5</v>
      </c>
      <c r="G31" s="12">
        <f>G25+G30</f>
        <v>6105</v>
      </c>
      <c r="H31" s="12">
        <f>H25+H30</f>
        <v>6547.5</v>
      </c>
      <c r="I31" s="2"/>
      <c r="J31" s="35" t="s">
        <v>46</v>
      </c>
      <c r="K31" s="24"/>
      <c r="L31" s="23"/>
      <c r="M31" s="23"/>
      <c r="N31" s="23"/>
      <c r="O31" s="23"/>
      <c r="P31" s="23"/>
      <c r="Q31" s="23"/>
      <c r="R31" s="2"/>
    </row>
    <row r="32" spans="2:18" ht="14" customHeight="1" x14ac:dyDescent="0.35">
      <c r="B32" s="5" t="s">
        <v>49</v>
      </c>
      <c r="C32" s="1"/>
      <c r="D32" s="2">
        <v>0</v>
      </c>
      <c r="E32" s="2">
        <f>D33</f>
        <v>1450</v>
      </c>
      <c r="F32" s="2">
        <f>E33</f>
        <v>4170</v>
      </c>
      <c r="G32" s="2">
        <f>F33</f>
        <v>9832.5</v>
      </c>
      <c r="H32" s="2">
        <f>G33</f>
        <v>15937.5</v>
      </c>
      <c r="I32" s="2"/>
      <c r="J32" s="5" t="s">
        <v>36</v>
      </c>
      <c r="K32" s="1"/>
      <c r="L32" s="2"/>
      <c r="M32" s="2">
        <f>M11</f>
        <v>-5600</v>
      </c>
      <c r="N32" s="2">
        <f>N11</f>
        <v>5000</v>
      </c>
      <c r="O32" s="2">
        <f>O11</f>
        <v>5600</v>
      </c>
      <c r="P32" s="2">
        <f>P11</f>
        <v>6200</v>
      </c>
      <c r="Q32" s="2"/>
      <c r="R32" s="2"/>
    </row>
    <row r="33" spans="2:19" ht="14" customHeight="1" x14ac:dyDescent="0.35">
      <c r="B33" s="5" t="s">
        <v>50</v>
      </c>
      <c r="D33" s="2">
        <f>D31+D32</f>
        <v>1450</v>
      </c>
      <c r="E33" s="2">
        <f>E31+E32</f>
        <v>4170</v>
      </c>
      <c r="F33" s="2">
        <f>F31+F32</f>
        <v>9832.5</v>
      </c>
      <c r="G33" s="2">
        <f>G31+G32</f>
        <v>15937.5</v>
      </c>
      <c r="H33" s="2">
        <f>H31+H32</f>
        <v>22485</v>
      </c>
      <c r="I33" s="4"/>
      <c r="J33" s="5" t="s">
        <v>47</v>
      </c>
      <c r="K33" s="25"/>
      <c r="L33" s="26"/>
      <c r="M33" s="26"/>
      <c r="N33" s="26"/>
      <c r="O33" s="26"/>
      <c r="P33" s="2">
        <f>P32*(1+0.03)/(E49-0.03)</f>
        <v>73830.200852376278</v>
      </c>
      <c r="Q33" s="2"/>
      <c r="R33" s="4"/>
    </row>
    <row r="34" spans="2:19" ht="14" customHeight="1" x14ac:dyDescent="0.35">
      <c r="I34" s="4"/>
      <c r="J34" s="22"/>
      <c r="K34" s="25"/>
      <c r="L34" s="26"/>
      <c r="M34" s="26"/>
      <c r="N34" s="26"/>
      <c r="O34" s="26"/>
      <c r="P34" s="26"/>
      <c r="Q34" s="26"/>
      <c r="R34" s="4"/>
    </row>
    <row r="35" spans="2:19" ht="14" customHeight="1" x14ac:dyDescent="0.4">
      <c r="B35" s="28" t="s">
        <v>32</v>
      </c>
      <c r="D35" s="89" t="s">
        <v>91</v>
      </c>
      <c r="E35" s="90" t="s">
        <v>92</v>
      </c>
      <c r="F35" s="90" t="s">
        <v>93</v>
      </c>
      <c r="G35" s="90" t="s">
        <v>94</v>
      </c>
      <c r="H35" s="90" t="s">
        <v>95</v>
      </c>
      <c r="I35" s="4"/>
      <c r="J35" s="5" t="s">
        <v>33</v>
      </c>
      <c r="K35" s="1"/>
      <c r="L35" s="26"/>
      <c r="M35" s="65">
        <v>1</v>
      </c>
      <c r="N35" s="65">
        <f>+M35+1</f>
        <v>2</v>
      </c>
      <c r="O35" s="65">
        <f>+N35+1</f>
        <v>3</v>
      </c>
      <c r="P35" s="65">
        <f>+O35+1</f>
        <v>4</v>
      </c>
      <c r="R35" s="4"/>
    </row>
    <row r="36" spans="2:19" ht="14" customHeight="1" x14ac:dyDescent="0.35">
      <c r="B36" s="5" t="s">
        <v>35</v>
      </c>
      <c r="C36" s="4"/>
      <c r="D36" s="126">
        <f>+'Caso A'!D36</f>
        <v>0.5</v>
      </c>
      <c r="E36" s="7">
        <f>E16/E15</f>
        <v>0.56854523488025011</v>
      </c>
      <c r="F36" s="7">
        <f>F16/F15</f>
        <v>0.54501004375652062</v>
      </c>
      <c r="G36" s="7">
        <f>G16/G15</f>
        <v>0.52194217430121559</v>
      </c>
      <c r="H36" s="7">
        <f>H16/H15</f>
        <v>0.49974403354379465</v>
      </c>
      <c r="I36" s="4"/>
      <c r="J36" s="33" t="str">
        <f>"Discount Factor @ "&amp;TEXT($E$49,"#,0%")&amp;" WACC"</f>
        <v>Discount Factor @ 11,6% WACC</v>
      </c>
      <c r="K36" s="25"/>
      <c r="L36" s="32"/>
      <c r="M36" s="32">
        <f>1/((1+$E$49)^M35)</f>
        <v>0.89565946216995118</v>
      </c>
      <c r="N36" s="32">
        <f>1/((1+$E$49)^N35)</f>
        <v>0.80220587217456607</v>
      </c>
      <c r="O36" s="32">
        <f>1/((1+$E$49)^O35)</f>
        <v>0.71850328002144848</v>
      </c>
      <c r="P36" s="32">
        <f>1/((1+$E$49)^P35)</f>
        <v>0.64353426135135638</v>
      </c>
      <c r="Q36" s="32"/>
      <c r="R36" s="4"/>
    </row>
    <row r="37" spans="2:19" ht="14" customHeight="1" x14ac:dyDescent="0.35">
      <c r="B37" s="5" t="s">
        <v>10</v>
      </c>
      <c r="C37" s="4"/>
      <c r="D37" s="126">
        <f>+'Caso A'!D37</f>
        <v>0.09</v>
      </c>
      <c r="E37" s="7">
        <f t="shared" ref="E37:H37" si="4">D37</f>
        <v>0.09</v>
      </c>
      <c r="F37" s="7">
        <f t="shared" si="4"/>
        <v>0.09</v>
      </c>
      <c r="G37" s="7">
        <f t="shared" si="4"/>
        <v>0.09</v>
      </c>
      <c r="H37" s="7">
        <f t="shared" si="4"/>
        <v>0.09</v>
      </c>
      <c r="I37" s="4"/>
      <c r="J37" s="22" t="s">
        <v>55</v>
      </c>
      <c r="K37" s="25"/>
      <c r="L37" s="2"/>
      <c r="M37" s="2">
        <f>(M32+M33)*M36</f>
        <v>-5015.6929881517262</v>
      </c>
      <c r="N37" s="2">
        <f>(N32+N33)*N36</f>
        <v>4011.0293608728302</v>
      </c>
      <c r="O37" s="2">
        <f>(O32+O33)*O36</f>
        <v>4023.6183681201114</v>
      </c>
      <c r="P37" s="2">
        <f>(P32+P33)*P36</f>
        <v>51502.176191334664</v>
      </c>
      <c r="Q37" s="2"/>
      <c r="R37" s="4"/>
    </row>
    <row r="38" spans="2:19" ht="14" customHeight="1" x14ac:dyDescent="0.65">
      <c r="B38" s="5" t="s">
        <v>74</v>
      </c>
      <c r="C38" s="4"/>
      <c r="D38" s="126">
        <f>+'Caso A'!D38</f>
        <v>0.15</v>
      </c>
      <c r="E38" s="7">
        <f>E8/E15</f>
        <v>0.15990334731007036</v>
      </c>
      <c r="F38" s="7">
        <f>F8/F15</f>
        <v>0.15883149846618602</v>
      </c>
      <c r="G38" s="7">
        <f>G8/G15</f>
        <v>0.15658265229036467</v>
      </c>
      <c r="H38" s="7">
        <f>H8/H15</f>
        <v>0.15357987372321491</v>
      </c>
      <c r="I38" s="4"/>
      <c r="Q38" s="121" t="s">
        <v>110</v>
      </c>
      <c r="R38" s="4"/>
    </row>
    <row r="39" spans="2:19" ht="14" customHeight="1" x14ac:dyDescent="0.35">
      <c r="B39" s="5" t="s">
        <v>75</v>
      </c>
      <c r="C39" s="4"/>
      <c r="D39" s="7">
        <f>D12/D17</f>
        <v>0.14699999999999999</v>
      </c>
      <c r="E39" s="7">
        <f>E12/E17</f>
        <v>0.17641245264371602</v>
      </c>
      <c r="F39" s="7">
        <f>F12/F17</f>
        <v>0.16889695061432627</v>
      </c>
      <c r="G39" s="7">
        <f>G12/G17</f>
        <v>0.16049418187042092</v>
      </c>
      <c r="H39" s="7">
        <f>H12/H17</f>
        <v>0.15196627844646945</v>
      </c>
      <c r="I39" s="4"/>
      <c r="J39" s="41" t="s">
        <v>34</v>
      </c>
      <c r="K39" s="42"/>
      <c r="L39" s="43">
        <f>SUM(M37:P37)</f>
        <v>54521.130932175882</v>
      </c>
      <c r="M39" s="27"/>
      <c r="N39" s="27"/>
      <c r="O39" s="27"/>
      <c r="P39" s="96"/>
      <c r="Q39" s="120">
        <f>+P33*P36/L39</f>
        <v>0.87144677593099373</v>
      </c>
      <c r="R39" s="4"/>
    </row>
    <row r="40" spans="2:19" ht="14" customHeight="1" x14ac:dyDescent="0.35">
      <c r="B40" s="5" t="s">
        <v>13</v>
      </c>
      <c r="C40" s="4"/>
      <c r="D40" s="8">
        <f>D16/(D8+D22)</f>
        <v>2.7777777777777781</v>
      </c>
      <c r="E40" s="8">
        <f>E16/(E8+E22)</f>
        <v>2.9629629629629632</v>
      </c>
      <c r="F40" s="8">
        <f>F16/(F8+F22)</f>
        <v>2.8594771241830066</v>
      </c>
      <c r="G40" s="8">
        <f>G16/(G8+G22)</f>
        <v>2.7777777777777777</v>
      </c>
      <c r="H40" s="8">
        <f>H16/(H8+H22)</f>
        <v>2.7116402116402121</v>
      </c>
      <c r="I40" s="4"/>
      <c r="J40" s="44" t="s">
        <v>17</v>
      </c>
      <c r="K40" s="44" t="s">
        <v>96</v>
      </c>
      <c r="L40" s="45">
        <f>-D16+D33+R40</f>
        <v>-15929.166666666668</v>
      </c>
      <c r="M40" s="98" t="str">
        <f>"[Excludes "&amp;TEXT($R$41,"#0")&amp;"-month Cash Reserve]"</f>
        <v>[Excludes 1-month Cash Reserve]</v>
      </c>
      <c r="R40" s="76">
        <f>(D7+D9+D11+D22+D23+D24)/12*R41</f>
        <v>-712.5</v>
      </c>
      <c r="S40" s="77"/>
    </row>
    <row r="41" spans="2:19" ht="14" customHeight="1" x14ac:dyDescent="0.35">
      <c r="B41" s="5" t="s">
        <v>11</v>
      </c>
      <c r="C41" s="4"/>
      <c r="D41" s="8">
        <f>(D8+D22)/-D9</f>
        <v>4</v>
      </c>
      <c r="E41" s="8">
        <f>(E8+E22)/-E9</f>
        <v>3.75</v>
      </c>
      <c r="F41" s="8">
        <f>(F8+F22)/-F9</f>
        <v>3.8857142857142857</v>
      </c>
      <c r="G41" s="8">
        <f>(G8+G22)/-G9</f>
        <v>4</v>
      </c>
      <c r="H41" s="8">
        <f>(H8+H22)/-H9</f>
        <v>4.0975609756097553</v>
      </c>
      <c r="I41" s="4"/>
      <c r="J41" s="48" t="s">
        <v>37</v>
      </c>
      <c r="K41" s="46"/>
      <c r="L41" s="47">
        <f>L39+L40</f>
        <v>38591.964265509218</v>
      </c>
      <c r="M41" s="99" t="s">
        <v>102</v>
      </c>
      <c r="N41" s="4"/>
      <c r="O41" s="4"/>
      <c r="P41" s="4"/>
      <c r="Q41" s="4"/>
      <c r="R41" s="77">
        <v>1</v>
      </c>
      <c r="S41" s="77" t="s">
        <v>117</v>
      </c>
    </row>
    <row r="42" spans="2:19" ht="14" customHeight="1" x14ac:dyDescent="0.35">
      <c r="B42" s="5" t="s">
        <v>12</v>
      </c>
      <c r="C42" s="4"/>
      <c r="D42" s="8">
        <f>L11/-D9</f>
        <v>1.6666666666666667</v>
      </c>
      <c r="E42" s="8">
        <f>M11/-E9</f>
        <v>-2.3333333333333335</v>
      </c>
      <c r="F42" s="8">
        <f>N11/-F9</f>
        <v>1.9047619047619047</v>
      </c>
      <c r="G42" s="8">
        <f>O11/-G9</f>
        <v>1.9649122807017543</v>
      </c>
      <c r="H42" s="8">
        <f>P11/-H9</f>
        <v>2.0162601626016259</v>
      </c>
      <c r="I42" s="4"/>
      <c r="K42" s="4"/>
      <c r="L42" s="4"/>
      <c r="M42" s="4"/>
      <c r="N42" s="4"/>
      <c r="O42" s="4"/>
      <c r="P42" s="4"/>
      <c r="Q42" s="4"/>
      <c r="R42" s="4"/>
    </row>
    <row r="43" spans="2:19" ht="14" customHeight="1" x14ac:dyDescent="0.4">
      <c r="C43" s="4"/>
      <c r="D43" s="4"/>
      <c r="E43" s="4"/>
      <c r="F43" s="4"/>
      <c r="G43" s="4"/>
      <c r="H43" s="4"/>
      <c r="I43" s="4"/>
      <c r="J43" s="35" t="s">
        <v>45</v>
      </c>
      <c r="K43" s="24"/>
      <c r="L43" s="23"/>
      <c r="M43" s="23"/>
      <c r="N43" s="23"/>
      <c r="O43" s="23"/>
      <c r="P43" s="23"/>
      <c r="Q43" s="23"/>
      <c r="R43" s="4"/>
    </row>
    <row r="44" spans="2:19" ht="14" customHeight="1" x14ac:dyDescent="0.35">
      <c r="I44" s="4"/>
      <c r="J44" s="5" t="s">
        <v>41</v>
      </c>
      <c r="K44" s="1"/>
      <c r="L44" s="2"/>
      <c r="M44" s="2">
        <f>M26</f>
        <v>2720</v>
      </c>
      <c r="N44" s="2">
        <f>N26</f>
        <v>5662.5</v>
      </c>
      <c r="O44" s="2">
        <f>O26</f>
        <v>6105</v>
      </c>
      <c r="P44" s="2">
        <f>P26</f>
        <v>6547.5</v>
      </c>
      <c r="Q44" s="2"/>
      <c r="R44" s="4"/>
    </row>
    <row r="45" spans="2:19" ht="14" customHeight="1" x14ac:dyDescent="0.4">
      <c r="B45" s="28" t="s">
        <v>56</v>
      </c>
      <c r="C45" s="4"/>
      <c r="D45" s="105" t="s">
        <v>124</v>
      </c>
      <c r="E45" s="104" t="s">
        <v>69</v>
      </c>
      <c r="F45" s="65" t="s">
        <v>114</v>
      </c>
      <c r="G45" s="65"/>
      <c r="H45" s="65"/>
      <c r="I45" s="66"/>
      <c r="J45" s="22" t="s">
        <v>119</v>
      </c>
      <c r="P45" s="20">
        <f>+P44*(1+0.03)/(E47-0.03)</f>
        <v>48192.65060450125</v>
      </c>
      <c r="Q45" s="20"/>
      <c r="R45" s="4"/>
    </row>
    <row r="46" spans="2:19" ht="14" customHeight="1" x14ac:dyDescent="0.35">
      <c r="B46" s="5" t="s">
        <v>86</v>
      </c>
      <c r="C46" s="4"/>
      <c r="D46" s="106">
        <f>D37*(1-0.3)</f>
        <v>6.3E-2</v>
      </c>
      <c r="E46" s="82">
        <f>E37*(1-0.3)</f>
        <v>6.3E-2</v>
      </c>
      <c r="F46" s="92" t="str">
        <f>"Kd of "&amp;TEXT(E37,"#0,0%")&amp;", after income tax of 30%"</f>
        <v>Kd of 9,0%, after income tax of 30%</v>
      </c>
      <c r="I46" s="4"/>
    </row>
    <row r="47" spans="2:19" ht="14" customHeight="1" x14ac:dyDescent="0.35">
      <c r="B47" s="5" t="s">
        <v>38</v>
      </c>
      <c r="C47" s="4"/>
      <c r="D47" s="107">
        <f>0.02+D55*(0.07+0.05)</f>
        <v>0.15509774167633672</v>
      </c>
      <c r="E47" s="85">
        <f>0.02+E55*(0.07+0.05)</f>
        <v>0.16993679358591057</v>
      </c>
      <c r="F47" s="92" t="str">
        <f>"Risk-free rate 2% + Beta "&amp;TEXT(E55,"#0,00")&amp;" * ¨Private¨ ERP 12%"</f>
        <v>Risk-free rate 2% + Beta 1,25 * ¨Private¨ ERP 12%</v>
      </c>
      <c r="I47" s="4"/>
      <c r="J47" s="5" t="s">
        <v>33</v>
      </c>
      <c r="K47" s="1"/>
      <c r="L47" s="26"/>
      <c r="M47" s="65">
        <v>1</v>
      </c>
      <c r="N47" s="65">
        <f>+M47+1</f>
        <v>2</v>
      </c>
      <c r="O47" s="65">
        <f>+N47+1</f>
        <v>3</v>
      </c>
      <c r="P47" s="65">
        <f>+O47+1</f>
        <v>4</v>
      </c>
      <c r="R47" s="8"/>
    </row>
    <row r="48" spans="2:19" ht="14" customHeight="1" x14ac:dyDescent="0.35">
      <c r="B48" s="5" t="s">
        <v>39</v>
      </c>
      <c r="D48" s="108">
        <f>+'Caso B +Debt Yr 2'!D48</f>
        <v>0.43140638481449528</v>
      </c>
      <c r="E48" s="100">
        <f>+H36</f>
        <v>0.49974403354379465</v>
      </c>
      <c r="F48" s="92" t="s">
        <v>67</v>
      </c>
      <c r="I48" s="4"/>
      <c r="J48" s="33" t="str">
        <f>"Discount Factor @ "&amp;TEXT($E$47,"#,0%")&amp;" Ke"</f>
        <v>Discount Factor @ 17,0% Ke</v>
      </c>
      <c r="K48" s="25"/>
      <c r="L48" s="32"/>
      <c r="M48" s="32">
        <f>1/((1+$E$47)^M47)</f>
        <v>0.85474703033738564</v>
      </c>
      <c r="N48" s="32">
        <f>1/((1+$E$47)^N47)</f>
        <v>0.73059248587057957</v>
      </c>
      <c r="O48" s="32">
        <f>1/((1+$E$47)^O47)</f>
        <v>0.62447175768468621</v>
      </c>
      <c r="P48" s="32">
        <f>1/((1+$E$47)^P47)</f>
        <v>0.53376538041055299</v>
      </c>
      <c r="Q48" s="32"/>
      <c r="R48" s="4"/>
      <c r="S48" s="68" t="s">
        <v>118</v>
      </c>
    </row>
    <row r="49" spans="2:30" ht="14" customHeight="1" x14ac:dyDescent="0.35">
      <c r="B49" s="10" t="s">
        <v>40</v>
      </c>
      <c r="C49" s="4"/>
      <c r="D49" s="109">
        <f>D46*D48+D47*(1-D48)</f>
        <v>0.115366187890169</v>
      </c>
      <c r="E49" s="75">
        <f>E46*E48+E47*(1-E48)</f>
        <v>0.11649576902504745</v>
      </c>
      <c r="F49" s="93" t="s">
        <v>68</v>
      </c>
      <c r="G49" s="4"/>
      <c r="H49" s="4"/>
      <c r="I49" s="4"/>
      <c r="J49" s="22" t="s">
        <v>54</v>
      </c>
      <c r="K49" s="25"/>
      <c r="L49" s="2"/>
      <c r="M49" s="2">
        <f>(M44+M45)*M48</f>
        <v>2324.9119225176892</v>
      </c>
      <c r="N49" s="2">
        <f>(N44+N45)*N48</f>
        <v>4136.9799512421569</v>
      </c>
      <c r="O49" s="2">
        <f>(O44+O45)*O48</f>
        <v>3812.4000806650092</v>
      </c>
      <c r="P49" s="19">
        <f>(P44+P45)*P48</f>
        <v>29218.397311142573</v>
      </c>
      <c r="Q49" s="2"/>
      <c r="R49" s="4"/>
      <c r="S49" s="5" t="s">
        <v>47</v>
      </c>
      <c r="Z49" s="2">
        <f>P33</f>
        <v>73830.200852376278</v>
      </c>
    </row>
    <row r="50" spans="2:30" ht="14" customHeight="1" x14ac:dyDescent="0.65">
      <c r="D50" s="60"/>
      <c r="E50" s="91"/>
      <c r="I50" s="4"/>
      <c r="M50" s="27"/>
      <c r="N50" s="27"/>
      <c r="O50" s="27"/>
      <c r="P50" s="27"/>
      <c r="Q50" s="121" t="s">
        <v>110</v>
      </c>
      <c r="R50" s="4"/>
      <c r="S50" s="22" t="s">
        <v>120</v>
      </c>
      <c r="Z50" s="40">
        <f>-H16+H33+AA50</f>
        <v>-13094.375000000005</v>
      </c>
      <c r="AA50" s="76">
        <f>+(H7+H9+H11+H22+H23+H24)/12*AA51</f>
        <v>-1412.7083333333333</v>
      </c>
      <c r="AB50" s="77"/>
    </row>
    <row r="51" spans="2:30" ht="14" customHeight="1" x14ac:dyDescent="0.35">
      <c r="B51" s="68" t="s">
        <v>70</v>
      </c>
      <c r="C51" s="4"/>
      <c r="D51" s="110"/>
      <c r="E51" s="4"/>
      <c r="F51" s="4"/>
      <c r="G51" s="4"/>
      <c r="H51" s="4"/>
      <c r="I51" s="4"/>
      <c r="J51" s="48" t="s">
        <v>37</v>
      </c>
      <c r="K51" s="49"/>
      <c r="L51" s="43">
        <f>SUM(M49:P49)</f>
        <v>39492.689265567431</v>
      </c>
      <c r="M51" s="99" t="s">
        <v>103</v>
      </c>
      <c r="P51" s="22"/>
      <c r="Q51" s="120">
        <f>+P45*P48/L51</f>
        <v>0.65135013495604455</v>
      </c>
      <c r="R51" s="4"/>
      <c r="S51" s="22" t="s">
        <v>48</v>
      </c>
      <c r="Z51" s="20">
        <f>Z49+Z50</f>
        <v>60735.825852376271</v>
      </c>
      <c r="AA51" s="5">
        <f>+R41</f>
        <v>1</v>
      </c>
      <c r="AB51" s="5" t="s">
        <v>117</v>
      </c>
    </row>
    <row r="52" spans="2:30" ht="14" customHeight="1" x14ac:dyDescent="0.35">
      <c r="B52" s="70" t="s">
        <v>73</v>
      </c>
      <c r="C52" s="4"/>
      <c r="D52" s="118">
        <f>+'Caso B +Debt Yr 2'!D52</f>
        <v>1.25</v>
      </c>
      <c r="E52" s="103">
        <f>+D52</f>
        <v>1.25</v>
      </c>
      <c r="F52" s="92" t="s">
        <v>85</v>
      </c>
      <c r="G52" s="4"/>
      <c r="H52" s="4"/>
      <c r="I52" s="4"/>
      <c r="P52" s="4"/>
      <c r="Q52" s="4"/>
      <c r="R52" s="4"/>
    </row>
    <row r="53" spans="2:30" ht="14" customHeight="1" x14ac:dyDescent="0.35">
      <c r="B53" s="67" t="s">
        <v>71</v>
      </c>
      <c r="C53" s="4"/>
      <c r="D53" s="111">
        <f>+'Caso B +Debt Yr 2'!D53</f>
        <v>0.73529411764705888</v>
      </c>
      <c r="E53" s="84">
        <f>E52/(1+((D36/(1-D36))*(1-0.3)))</f>
        <v>0.73529411764705888</v>
      </c>
      <c r="F53" s="94" t="s">
        <v>97</v>
      </c>
      <c r="G53" s="4"/>
      <c r="H53" s="4"/>
      <c r="I53" s="4"/>
      <c r="L53" s="59">
        <f>L51/L41</f>
        <v>1.0233397034123817</v>
      </c>
      <c r="M53" s="60" t="s">
        <v>104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2:30" x14ac:dyDescent="0.35">
      <c r="B54" s="67" t="s">
        <v>72</v>
      </c>
      <c r="C54" s="4"/>
      <c r="D54" s="112">
        <f>D48/(1-D48)</f>
        <v>0.7587253414264038</v>
      </c>
      <c r="E54" s="7">
        <f>E48/(1-E48)</f>
        <v>0.9989766580575995</v>
      </c>
      <c r="F54" s="93" t="s">
        <v>99</v>
      </c>
      <c r="G54" s="4"/>
      <c r="H54" s="4"/>
      <c r="I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2:30" ht="17" x14ac:dyDescent="0.4">
      <c r="B55" s="67" t="s">
        <v>79</v>
      </c>
      <c r="D55" s="111">
        <f>D53*(1+((1-0.3)*D54))</f>
        <v>1.1258145139694726</v>
      </c>
      <c r="E55" s="84">
        <f>E53*(1+((1-0.3)*E54))</f>
        <v>1.2494732798825881</v>
      </c>
      <c r="F55" s="94" t="s">
        <v>98</v>
      </c>
      <c r="G55" s="4"/>
      <c r="H55" s="4"/>
      <c r="I55" s="4"/>
      <c r="J55" s="28" t="s">
        <v>78</v>
      </c>
      <c r="K55" s="4"/>
      <c r="L55" s="89" t="s">
        <v>91</v>
      </c>
      <c r="M55" s="90" t="s">
        <v>92</v>
      </c>
      <c r="N55" s="90" t="s">
        <v>93</v>
      </c>
      <c r="O55" s="90" t="s">
        <v>94</v>
      </c>
      <c r="P55" s="90" t="s">
        <v>95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2:30" x14ac:dyDescent="0.35">
      <c r="C56" s="4"/>
      <c r="D56" s="4"/>
      <c r="E56" s="4"/>
      <c r="F56" s="4"/>
      <c r="G56" s="4"/>
      <c r="H56" s="4"/>
      <c r="I56" s="4"/>
      <c r="J56" s="3" t="s">
        <v>115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2:30" x14ac:dyDescent="0.35">
      <c r="B57" s="3" t="s">
        <v>130</v>
      </c>
      <c r="D57" s="105" t="s">
        <v>131</v>
      </c>
      <c r="E57" s="104" t="s">
        <v>69</v>
      </c>
      <c r="H57" s="4"/>
      <c r="I57" s="4"/>
      <c r="J57" s="5" t="s">
        <v>101</v>
      </c>
      <c r="K57" s="1"/>
      <c r="L57" s="2"/>
      <c r="M57" s="2">
        <f>M32</f>
        <v>-5600</v>
      </c>
      <c r="N57" s="2">
        <f>N32</f>
        <v>5000</v>
      </c>
      <c r="O57" s="2">
        <f>O32</f>
        <v>5600</v>
      </c>
      <c r="P57" s="2">
        <f>P32</f>
        <v>6200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2:30" x14ac:dyDescent="0.35">
      <c r="B58" s="67" t="s">
        <v>79</v>
      </c>
      <c r="D58" s="113">
        <f>D52</f>
        <v>1.25</v>
      </c>
      <c r="E58" s="88">
        <f>E52</f>
        <v>1.25</v>
      </c>
      <c r="F58" s="92" t="s">
        <v>85</v>
      </c>
      <c r="H58" s="4"/>
      <c r="I58" s="4"/>
      <c r="J58" s="5" t="s">
        <v>47</v>
      </c>
      <c r="K58" s="25"/>
      <c r="L58" s="26"/>
      <c r="M58" s="26"/>
      <c r="N58" s="26"/>
      <c r="O58" s="26"/>
      <c r="P58" s="2">
        <f>P57*(1+0.03)/(E63-0.03)</f>
        <v>64629.427063533018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2:30" x14ac:dyDescent="0.35">
      <c r="B59" s="67" t="s">
        <v>71</v>
      </c>
      <c r="C59" s="4"/>
      <c r="D59" s="114">
        <f>D58/(1+((D36/(1-D36))*(1-0.3)))</f>
        <v>0.73529411764705888</v>
      </c>
      <c r="E59" s="83">
        <f>+D59</f>
        <v>0.73529411764705888</v>
      </c>
      <c r="F59" s="94" t="s">
        <v>97</v>
      </c>
      <c r="H59" s="4"/>
      <c r="I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2:30" x14ac:dyDescent="0.35">
      <c r="B60" s="67" t="s">
        <v>129</v>
      </c>
      <c r="C60" s="4"/>
      <c r="D60" s="116">
        <v>0</v>
      </c>
      <c r="E60" s="127">
        <f>+E64</f>
        <v>0.24987201677189733</v>
      </c>
      <c r="F60" s="92" t="str">
        <f>"Assumes "&amp;TEXT(E65,"#0%")&amp;" of Target "&amp;TEXT(E48,"#0%")&amp;" % Debt in case C"</f>
        <v>Assumes 50% of Target 50% % Debt in case C</v>
      </c>
      <c r="J60" s="5" t="s">
        <v>33</v>
      </c>
      <c r="K60" s="1"/>
      <c r="L60" s="26"/>
      <c r="M60" s="65">
        <v>1</v>
      </c>
      <c r="N60" s="65">
        <f>+M60+1</f>
        <v>2</v>
      </c>
      <c r="O60" s="65">
        <f>+N60+1</f>
        <v>3</v>
      </c>
      <c r="P60" s="65">
        <f>+O60+1</f>
        <v>4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2:30" x14ac:dyDescent="0.35">
      <c r="B61" s="67" t="s">
        <v>72</v>
      </c>
      <c r="C61" s="4"/>
      <c r="D61" s="116">
        <v>0</v>
      </c>
      <c r="E61" s="86">
        <f>E64/(1-E64)</f>
        <v>0.33310584641383117</v>
      </c>
      <c r="F61" s="92" t="str">
        <f>"Assumes "&amp;TEXT(E64,"#0%")&amp;" % Debt for adjusted APV analysis"</f>
        <v>Assumes 25% % Debt for adjusted APV analysis</v>
      </c>
      <c r="G61" s="4"/>
      <c r="H61" s="4"/>
      <c r="I61" s="4"/>
      <c r="J61" s="33" t="str">
        <f>"Discount Factor @ "&amp;TEXT(E63,"#,0%")&amp;" Ke"</f>
        <v>Discount Factor @ 12,9% Ke</v>
      </c>
      <c r="K61" s="25"/>
      <c r="L61" s="71"/>
      <c r="M61" s="97">
        <f>1/((1+$E$63)^M60)</f>
        <v>0.88588908830582092</v>
      </c>
      <c r="N61" s="97">
        <f>1/((1+$E$63)^N60)</f>
        <v>0.78479947677931872</v>
      </c>
      <c r="O61" s="97">
        <f>1/((1+$E$63)^O60)</f>
        <v>0.69524529298691595</v>
      </c>
      <c r="P61" s="97">
        <f>1/((1+$E$63)^P60)</f>
        <v>0.61591021875309226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2:30" x14ac:dyDescent="0.35">
      <c r="B62" s="67" t="s">
        <v>79</v>
      </c>
      <c r="D62" s="111">
        <f>D59*(1+((1-0.3)*D61))</f>
        <v>0.73529411764705888</v>
      </c>
      <c r="E62" s="84">
        <f>E59*(1+((1-0.3)*E61))</f>
        <v>0.9067456562424131</v>
      </c>
      <c r="F62" s="94" t="s">
        <v>98</v>
      </c>
      <c r="G62" s="4"/>
      <c r="H62" s="4"/>
      <c r="I62" s="4"/>
      <c r="J62" s="78" t="s">
        <v>55</v>
      </c>
      <c r="K62" s="79"/>
      <c r="L62" s="12"/>
      <c r="M62" s="12">
        <f>(M57+M58)*M61</f>
        <v>-4960.9788945125974</v>
      </c>
      <c r="N62" s="12">
        <f>(N57+N58)*N61</f>
        <v>3923.9973838965934</v>
      </c>
      <c r="O62" s="12">
        <f>(O57+O58)*O61</f>
        <v>3893.3736407267293</v>
      </c>
      <c r="P62" s="12">
        <f>(P57+P58)*P61</f>
        <v>43624.567916856817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2:30" x14ac:dyDescent="0.35">
      <c r="B63" s="10" t="s">
        <v>38</v>
      </c>
      <c r="C63" s="4"/>
      <c r="D63" s="115">
        <f>0.02+D62*(0.07+0.05)</f>
        <v>0.10823529411764708</v>
      </c>
      <c r="E63" s="95">
        <f>0.02+E62*(0.07+0.05)</f>
        <v>0.12880947874908957</v>
      </c>
      <c r="F63" s="93" t="s">
        <v>121</v>
      </c>
      <c r="G63" s="4"/>
      <c r="H63" s="4"/>
      <c r="I63" s="4"/>
      <c r="J63" s="41" t="s">
        <v>88</v>
      </c>
      <c r="K63" s="42"/>
      <c r="L63" s="43">
        <f>SUM(M62:P62)</f>
        <v>46480.960046967542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2:30" x14ac:dyDescent="0.35">
      <c r="C64" s="4"/>
      <c r="D64" s="4"/>
      <c r="E64" s="86">
        <f>+E48*E65</f>
        <v>0.24987201677189733</v>
      </c>
      <c r="F64" s="124" t="s">
        <v>116</v>
      </c>
      <c r="G64" s="4"/>
      <c r="H64" s="4"/>
      <c r="I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3:30" x14ac:dyDescent="0.35">
      <c r="C65" s="4"/>
      <c r="D65" s="4"/>
      <c r="E65" s="51">
        <v>0.5</v>
      </c>
      <c r="F65" s="124" t="s">
        <v>123</v>
      </c>
      <c r="G65" s="4"/>
      <c r="H65" s="4"/>
      <c r="I65" s="4"/>
      <c r="J65" s="3" t="s">
        <v>82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3:30" x14ac:dyDescent="0.35">
      <c r="C66" s="4"/>
      <c r="D66" s="4"/>
      <c r="E66" s="4"/>
      <c r="F66" s="4"/>
      <c r="G66" s="4"/>
      <c r="H66" s="4"/>
      <c r="I66" s="4"/>
      <c r="J66" s="5" t="s">
        <v>100</v>
      </c>
      <c r="K66" s="1"/>
      <c r="L66" s="2"/>
      <c r="M66" s="2">
        <f>M16</f>
        <v>720</v>
      </c>
      <c r="N66" s="2">
        <f>N16</f>
        <v>787.5</v>
      </c>
      <c r="O66" s="2">
        <f>O16</f>
        <v>855</v>
      </c>
      <c r="P66" s="2">
        <f>P16</f>
        <v>922.50000000000011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3:30" x14ac:dyDescent="0.35">
      <c r="C67" s="4"/>
      <c r="D67" s="4"/>
      <c r="E67" s="4"/>
      <c r="F67" s="4"/>
      <c r="G67" s="4"/>
      <c r="H67" s="4"/>
      <c r="I67" s="4"/>
      <c r="J67" s="5" t="s">
        <v>76</v>
      </c>
      <c r="K67" s="25"/>
      <c r="L67" s="26"/>
      <c r="M67" s="26"/>
      <c r="N67" s="26"/>
      <c r="O67" s="26"/>
      <c r="P67" s="2">
        <f>P66*(1+0.03)/(E37-0.03)</f>
        <v>15836.250000000004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3:30" x14ac:dyDescent="0.35">
      <c r="C68" s="4"/>
      <c r="D68" s="4"/>
      <c r="E68" s="4"/>
      <c r="F68" s="4"/>
      <c r="G68" s="4"/>
      <c r="H68" s="4"/>
      <c r="I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3:30" x14ac:dyDescent="0.35">
      <c r="C69" s="4"/>
      <c r="D69" s="4"/>
      <c r="E69" s="4"/>
      <c r="F69" s="4"/>
      <c r="G69" s="4"/>
      <c r="H69" s="4"/>
      <c r="I69" s="4"/>
      <c r="J69" s="5" t="s">
        <v>33</v>
      </c>
      <c r="K69" s="1"/>
      <c r="L69" s="26"/>
      <c r="M69" s="65">
        <v>1</v>
      </c>
      <c r="N69" s="65">
        <f>+M69+1</f>
        <v>2</v>
      </c>
      <c r="O69" s="65">
        <f>+N69+1</f>
        <v>3</v>
      </c>
      <c r="P69" s="65">
        <f>+O69+1</f>
        <v>4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3:30" x14ac:dyDescent="0.35">
      <c r="C70" s="4"/>
      <c r="D70" s="4"/>
      <c r="E70" s="4"/>
      <c r="F70" s="4"/>
      <c r="G70" s="4"/>
      <c r="H70" s="4"/>
      <c r="I70" s="4"/>
      <c r="J70" s="33" t="str">
        <f>"Discount Fact.@ "&amp;TEXT(E37,"#,0%")&amp;" Kd (Pre-tax)"</f>
        <v>Discount Fact.@ 9,0% Kd (Pre-tax)</v>
      </c>
      <c r="K70" s="25"/>
      <c r="L70" s="71"/>
      <c r="M70" s="97">
        <f>1/((1+$E$37)^M69)</f>
        <v>0.9174311926605504</v>
      </c>
      <c r="N70" s="97">
        <f>1/((1+$E$37)^N69)</f>
        <v>0.84167999326655996</v>
      </c>
      <c r="O70" s="97">
        <f>1/((1+$E$37)^O69)</f>
        <v>0.77218348006106419</v>
      </c>
      <c r="P70" s="97">
        <f>1/((1+$E$37)^P69)</f>
        <v>0.7084252110651964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3:30" x14ac:dyDescent="0.35">
      <c r="C71" s="4"/>
      <c r="D71" s="4"/>
      <c r="E71" s="4"/>
      <c r="F71" s="4"/>
      <c r="G71" s="4"/>
      <c r="H71" s="4"/>
      <c r="I71" s="4"/>
      <c r="J71" s="78" t="s">
        <v>77</v>
      </c>
      <c r="K71" s="79"/>
      <c r="L71" s="12"/>
      <c r="M71" s="12">
        <f>(M66+M67)*M70</f>
        <v>660.55045871559628</v>
      </c>
      <c r="N71" s="12">
        <f>(N66+N67)*N70</f>
        <v>662.82299469741599</v>
      </c>
      <c r="O71" s="12">
        <f>(O66+O67)*O70</f>
        <v>660.21687545220993</v>
      </c>
      <c r="P71" s="12">
        <f>(P66+P67)*P70</f>
        <v>11872.321005938862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3:30" x14ac:dyDescent="0.35">
      <c r="C72" s="4"/>
      <c r="D72" s="4"/>
      <c r="E72" s="4"/>
      <c r="F72" s="4"/>
      <c r="G72" s="4"/>
      <c r="H72" s="4"/>
      <c r="I72" s="4"/>
      <c r="J72" s="41" t="s">
        <v>87</v>
      </c>
      <c r="K72" s="42"/>
      <c r="L72" s="43">
        <f>SUM(M71:P71)</f>
        <v>13855.911334804085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3:30" ht="18.5" x14ac:dyDescent="0.65">
      <c r="C73" s="4"/>
      <c r="D73" s="4"/>
      <c r="E73" s="4"/>
      <c r="F73" s="4"/>
      <c r="G73" s="4"/>
      <c r="H73" s="4"/>
      <c r="I73" s="4"/>
      <c r="M73" s="4"/>
      <c r="N73" s="4"/>
      <c r="O73" s="4"/>
      <c r="P73" s="4"/>
      <c r="Q73" s="121" t="s">
        <v>110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3:30" x14ac:dyDescent="0.35">
      <c r="C74" s="4"/>
      <c r="D74" s="4"/>
      <c r="E74" s="4"/>
      <c r="F74" s="4"/>
      <c r="G74" s="4"/>
      <c r="H74" s="4"/>
      <c r="I74" s="4"/>
      <c r="J74" s="41" t="s">
        <v>89</v>
      </c>
      <c r="K74" s="42"/>
      <c r="L74" s="43">
        <f>L63+L72</f>
        <v>60336.871381771627</v>
      </c>
      <c r="M74" s="80" t="s">
        <v>111</v>
      </c>
      <c r="N74" s="4"/>
      <c r="O74" s="4"/>
      <c r="P74" s="4"/>
      <c r="Q74" s="120">
        <f>+(P58*P61+P67*P70)/L74</f>
        <v>0.84566405484414864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3:30" x14ac:dyDescent="0.35">
      <c r="C75" s="4"/>
      <c r="D75" s="4"/>
      <c r="E75" s="4"/>
      <c r="F75" s="4"/>
      <c r="G75" s="4"/>
      <c r="H75" s="4"/>
      <c r="I75" s="4"/>
      <c r="J75" s="44" t="s">
        <v>17</v>
      </c>
      <c r="K75" s="44" t="s">
        <v>96</v>
      </c>
      <c r="L75" s="45">
        <f>+L40</f>
        <v>-15929.166666666668</v>
      </c>
      <c r="M75" s="98" t="str">
        <f>"[Excludes "&amp;TEXT($R$41,"#0")&amp;"-month Cash Reserve]"</f>
        <v>[Excludes 1-month Cash Reserve]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3:30" x14ac:dyDescent="0.35">
      <c r="C76" s="4"/>
      <c r="D76" s="4"/>
      <c r="E76" s="4"/>
      <c r="F76" s="4"/>
      <c r="G76" s="4"/>
      <c r="H76" s="4"/>
      <c r="I76" s="4"/>
      <c r="J76" s="41" t="s">
        <v>90</v>
      </c>
      <c r="K76" s="46"/>
      <c r="L76" s="47">
        <f>L74+L75</f>
        <v>44407.704715104963</v>
      </c>
      <c r="M76" s="98" t="str">
        <f>"[vs. FCFF = "&amp;TEXT(L41,"#.#0")&amp;" and FCFE = "&amp;TEXT(L51,"$#.#0")&amp;"]"</f>
        <v>[vs. FCFF = 38.592 and FCFE = $39.493]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3:30" x14ac:dyDescent="0.35">
      <c r="C77" s="4"/>
      <c r="D77" s="4"/>
      <c r="E77" s="4"/>
      <c r="F77" s="4"/>
      <c r="G77" s="4"/>
      <c r="H77" s="4"/>
      <c r="I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3:30" x14ac:dyDescent="0.35">
      <c r="C78" s="4"/>
      <c r="D78" s="4"/>
      <c r="E78" s="4"/>
      <c r="F78" s="4"/>
      <c r="G78" s="4"/>
      <c r="H78" s="4"/>
      <c r="I78" s="4"/>
      <c r="K78" s="4"/>
      <c r="L78" s="59">
        <f>+L76/L41</f>
        <v>1.1506982233291878</v>
      </c>
      <c r="M78" s="110" t="s">
        <v>107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3:30" x14ac:dyDescent="0.35">
      <c r="C79" s="4"/>
      <c r="D79" s="4"/>
      <c r="E79" s="4"/>
      <c r="F79" s="4"/>
      <c r="G79" s="4"/>
      <c r="H79" s="4"/>
      <c r="I79" s="4"/>
      <c r="K79" s="4"/>
      <c r="L79" s="59">
        <f>+L76/L51</f>
        <v>1.1244538050191177</v>
      </c>
      <c r="M79" s="110" t="s">
        <v>108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3:30" x14ac:dyDescent="0.35">
      <c r="C80" s="4"/>
      <c r="D80" s="4"/>
      <c r="E80" s="4"/>
      <c r="F80" s="4"/>
      <c r="G80" s="4"/>
      <c r="H80" s="4"/>
      <c r="I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3:30" x14ac:dyDescent="0.35">
      <c r="C81" s="4"/>
      <c r="D81" s="4"/>
      <c r="E81" s="4"/>
      <c r="F81" s="4"/>
      <c r="G81" s="4"/>
      <c r="H81" s="4"/>
      <c r="I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3:30" x14ac:dyDescent="0.35">
      <c r="C82" s="4"/>
      <c r="D82" s="4"/>
      <c r="E82" s="4"/>
      <c r="F82" s="4"/>
      <c r="G82" s="4"/>
      <c r="H82" s="4"/>
      <c r="I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3:30" x14ac:dyDescent="0.35">
      <c r="C83" s="4"/>
      <c r="D83" s="4"/>
      <c r="E83" s="4"/>
      <c r="F83" s="4"/>
      <c r="G83" s="4"/>
      <c r="H83" s="4"/>
      <c r="I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3:30" x14ac:dyDescent="0.35">
      <c r="C84" s="4"/>
      <c r="D84" s="4"/>
      <c r="E84" s="4"/>
      <c r="F84" s="4"/>
      <c r="G84" s="4"/>
      <c r="H84" s="4"/>
      <c r="I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3:30" x14ac:dyDescent="0.35">
      <c r="C85" s="4"/>
      <c r="D85" s="4"/>
      <c r="E85" s="4"/>
      <c r="F85" s="4"/>
      <c r="G85" s="4"/>
      <c r="H85" s="4"/>
      <c r="I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3:30" x14ac:dyDescent="0.35">
      <c r="C86" s="4"/>
      <c r="D86" s="4"/>
      <c r="E86" s="4"/>
      <c r="F86" s="4"/>
      <c r="G86" s="4"/>
      <c r="H86" s="4"/>
      <c r="I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3:30" x14ac:dyDescent="0.35">
      <c r="C87" s="4"/>
      <c r="D87" s="4"/>
      <c r="E87" s="4"/>
      <c r="F87" s="4"/>
      <c r="G87" s="4"/>
      <c r="H87" s="4"/>
      <c r="I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3:30" x14ac:dyDescent="0.35">
      <c r="C88" s="4"/>
      <c r="D88" s="4"/>
      <c r="E88" s="4"/>
      <c r="F88" s="4"/>
      <c r="G88" s="4"/>
      <c r="H88" s="4"/>
      <c r="I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3:30" x14ac:dyDescent="0.35">
      <c r="C89" s="4"/>
      <c r="D89" s="4"/>
      <c r="E89" s="4"/>
      <c r="F89" s="4"/>
      <c r="G89" s="4"/>
      <c r="H89" s="4"/>
      <c r="I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3:30" x14ac:dyDescent="0.35">
      <c r="C90" s="4"/>
      <c r="D90" s="4"/>
      <c r="E90" s="4"/>
      <c r="F90" s="4"/>
      <c r="G90" s="4"/>
      <c r="H90" s="4"/>
      <c r="I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3:30" x14ac:dyDescent="0.35">
      <c r="C91" s="4"/>
      <c r="D91" s="4"/>
      <c r="E91" s="4"/>
      <c r="F91" s="4"/>
      <c r="G91" s="4"/>
      <c r="H91" s="4"/>
      <c r="I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3:30" x14ac:dyDescent="0.35">
      <c r="C92" s="4"/>
      <c r="D92" s="4"/>
      <c r="E92" s="4"/>
      <c r="F92" s="4"/>
      <c r="G92" s="4"/>
      <c r="H92" s="4"/>
      <c r="I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3:30" x14ac:dyDescent="0.35">
      <c r="C93" s="4"/>
      <c r="D93" s="4"/>
      <c r="E93" s="4"/>
      <c r="F93" s="4"/>
      <c r="G93" s="4"/>
      <c r="H93" s="4"/>
      <c r="I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3:30" x14ac:dyDescent="0.35">
      <c r="C94" s="4"/>
      <c r="D94" s="4"/>
      <c r="E94" s="4"/>
      <c r="F94" s="4"/>
      <c r="G94" s="4"/>
      <c r="H94" s="4"/>
      <c r="I94" s="4"/>
      <c r="K94" s="4"/>
      <c r="L94" s="4"/>
      <c r="M94" s="4"/>
      <c r="N94" s="4"/>
      <c r="O94" s="4"/>
      <c r="P94" s="4"/>
      <c r="Q94" s="4"/>
      <c r="R94" s="4"/>
    </row>
    <row r="95" spans="3:30" x14ac:dyDescent="0.35">
      <c r="C95" s="4"/>
      <c r="D95" s="4"/>
      <c r="E95" s="4"/>
      <c r="F95" s="4"/>
      <c r="G95" s="4"/>
      <c r="H95" s="4"/>
      <c r="I95" s="4"/>
      <c r="K95" s="4"/>
      <c r="L95" s="4"/>
      <c r="M95" s="4"/>
      <c r="N95" s="4"/>
      <c r="O95" s="4"/>
      <c r="P95" s="4"/>
      <c r="Q95" s="4"/>
      <c r="R95" s="4"/>
    </row>
    <row r="96" spans="3:30" x14ac:dyDescent="0.35">
      <c r="C96" s="4"/>
      <c r="D96" s="4"/>
      <c r="E96" s="4"/>
      <c r="F96" s="4"/>
      <c r="G96" s="4"/>
      <c r="H96" s="4"/>
      <c r="I96" s="4"/>
      <c r="K96" s="4"/>
      <c r="L96" s="4"/>
      <c r="M96" s="4"/>
      <c r="N96" s="4"/>
      <c r="O96" s="4"/>
      <c r="P96" s="4"/>
      <c r="Q96" s="4"/>
      <c r="R96" s="4"/>
    </row>
    <row r="97" spans="3:18" x14ac:dyDescent="0.35">
      <c r="C97" s="4"/>
      <c r="D97" s="4"/>
      <c r="E97" s="4"/>
      <c r="F97" s="4"/>
      <c r="G97" s="4"/>
      <c r="H97" s="4"/>
      <c r="I97" s="4"/>
      <c r="K97" s="4"/>
      <c r="L97" s="4"/>
      <c r="M97" s="4"/>
      <c r="N97" s="4"/>
      <c r="O97" s="4"/>
      <c r="P97" s="4"/>
      <c r="Q97" s="4"/>
      <c r="R97" s="4"/>
    </row>
    <row r="98" spans="3:18" x14ac:dyDescent="0.35">
      <c r="C98" s="4"/>
      <c r="D98" s="4"/>
      <c r="E98" s="4"/>
      <c r="F98" s="4"/>
      <c r="G98" s="4"/>
      <c r="H98" s="4"/>
      <c r="I98" s="4"/>
      <c r="K98" s="4"/>
      <c r="L98" s="4"/>
      <c r="M98" s="4"/>
      <c r="N98" s="4"/>
      <c r="O98" s="4"/>
      <c r="P98" s="4"/>
      <c r="Q98" s="4"/>
      <c r="R98" s="4"/>
    </row>
    <row r="99" spans="3:18" x14ac:dyDescent="0.35">
      <c r="C99" s="4"/>
      <c r="D99" s="4"/>
      <c r="E99" s="4"/>
      <c r="F99" s="4"/>
      <c r="G99" s="4"/>
      <c r="H99" s="4"/>
      <c r="I99" s="4"/>
      <c r="K99" s="4"/>
      <c r="L99" s="4"/>
      <c r="M99" s="4"/>
      <c r="N99" s="4"/>
      <c r="O99" s="4"/>
      <c r="P99" s="4"/>
      <c r="Q99" s="4"/>
      <c r="R99" s="4"/>
    </row>
    <row r="100" spans="3:18" x14ac:dyDescent="0.35">
      <c r="C100" s="4"/>
      <c r="D100" s="4"/>
      <c r="E100" s="4"/>
      <c r="F100" s="4"/>
      <c r="G100" s="4"/>
      <c r="H100" s="4"/>
      <c r="I100" s="4"/>
      <c r="K100" s="4"/>
      <c r="L100" s="4"/>
      <c r="M100" s="4"/>
      <c r="N100" s="4"/>
      <c r="O100" s="4"/>
      <c r="P100" s="4"/>
      <c r="Q100" s="4"/>
      <c r="R100" s="4"/>
    </row>
    <row r="101" spans="3:18" x14ac:dyDescent="0.35">
      <c r="C101" s="4"/>
      <c r="D101" s="4"/>
      <c r="E101" s="4"/>
      <c r="F101" s="4"/>
      <c r="G101" s="4"/>
      <c r="H101" s="4"/>
      <c r="I101" s="4"/>
      <c r="K101" s="4"/>
      <c r="L101" s="4"/>
      <c r="M101" s="4"/>
      <c r="N101" s="4"/>
      <c r="O101" s="4"/>
      <c r="P101" s="4"/>
      <c r="Q101" s="4"/>
      <c r="R101" s="4"/>
    </row>
    <row r="102" spans="3:18" x14ac:dyDescent="0.35">
      <c r="C102" s="4"/>
      <c r="D102" s="4"/>
      <c r="E102" s="4"/>
      <c r="F102" s="4"/>
      <c r="G102" s="4"/>
      <c r="H102" s="4"/>
      <c r="I102" s="4"/>
      <c r="K102" s="4"/>
      <c r="L102" s="4"/>
      <c r="M102" s="4"/>
      <c r="N102" s="4"/>
      <c r="O102" s="4"/>
      <c r="P102" s="4"/>
      <c r="Q102" s="4"/>
      <c r="R102" s="4"/>
    </row>
    <row r="103" spans="3:18" x14ac:dyDescent="0.35">
      <c r="C103" s="4"/>
      <c r="D103" s="4"/>
      <c r="E103" s="4"/>
      <c r="F103" s="4"/>
      <c r="G103" s="4"/>
      <c r="H103" s="4"/>
      <c r="I103" s="4"/>
      <c r="K103" s="4"/>
      <c r="L103" s="4"/>
      <c r="M103" s="4"/>
      <c r="N103" s="4"/>
      <c r="O103" s="4"/>
      <c r="P103" s="4"/>
      <c r="Q103" s="4"/>
      <c r="R103" s="4"/>
    </row>
    <row r="104" spans="3:18" x14ac:dyDescent="0.35">
      <c r="C104" s="4"/>
      <c r="D104" s="4"/>
      <c r="E104" s="4"/>
      <c r="F104" s="4"/>
      <c r="G104" s="4"/>
      <c r="H104" s="4"/>
      <c r="I104" s="4"/>
      <c r="K104" s="4"/>
      <c r="L104" s="4"/>
      <c r="M104" s="4"/>
      <c r="N104" s="4"/>
      <c r="O104" s="4"/>
      <c r="P104" s="4"/>
      <c r="Q104" s="4"/>
      <c r="R104" s="4"/>
    </row>
    <row r="105" spans="3:18" x14ac:dyDescent="0.35">
      <c r="C105" s="4"/>
      <c r="D105" s="4"/>
      <c r="E105" s="4"/>
      <c r="F105" s="4"/>
      <c r="G105" s="4"/>
      <c r="H105" s="4"/>
      <c r="I105" s="4"/>
      <c r="K105" s="4"/>
      <c r="L105" s="4"/>
      <c r="M105" s="4"/>
      <c r="N105" s="4"/>
      <c r="O105" s="4"/>
      <c r="P105" s="4"/>
      <c r="Q105" s="4"/>
      <c r="R105" s="4"/>
    </row>
    <row r="106" spans="3:18" x14ac:dyDescent="0.35">
      <c r="C106" s="4"/>
      <c r="D106" s="4"/>
      <c r="E106" s="4"/>
      <c r="F106" s="4"/>
      <c r="G106" s="4"/>
      <c r="H106" s="4"/>
      <c r="I106" s="4"/>
      <c r="K106" s="4"/>
      <c r="L106" s="4"/>
      <c r="M106" s="4"/>
      <c r="N106" s="4"/>
      <c r="O106" s="4"/>
      <c r="P106" s="4"/>
      <c r="Q106" s="4"/>
      <c r="R106" s="4"/>
    </row>
    <row r="107" spans="3:18" x14ac:dyDescent="0.35">
      <c r="C107" s="4"/>
      <c r="D107" s="4"/>
      <c r="E107" s="4"/>
      <c r="F107" s="4"/>
      <c r="G107" s="4"/>
      <c r="H107" s="4"/>
      <c r="I107" s="4"/>
      <c r="K107" s="4"/>
      <c r="L107" s="4"/>
      <c r="M107" s="4"/>
      <c r="N107" s="4"/>
      <c r="O107" s="4"/>
      <c r="P107" s="4"/>
      <c r="Q107" s="4"/>
      <c r="R107" s="4"/>
    </row>
    <row r="108" spans="3:18" x14ac:dyDescent="0.35">
      <c r="C108" s="4"/>
      <c r="D108" s="4"/>
      <c r="E108" s="4"/>
      <c r="F108" s="4"/>
      <c r="G108" s="4"/>
      <c r="H108" s="4"/>
      <c r="I108" s="4"/>
      <c r="K108" s="4"/>
      <c r="L108" s="4"/>
      <c r="M108" s="4"/>
      <c r="N108" s="4"/>
      <c r="O108" s="4"/>
      <c r="P108" s="4"/>
      <c r="Q108" s="4"/>
      <c r="R108" s="4"/>
    </row>
    <row r="109" spans="3:18" x14ac:dyDescent="0.35">
      <c r="C109" s="4"/>
      <c r="D109" s="4"/>
      <c r="E109" s="4"/>
      <c r="F109" s="4"/>
      <c r="G109" s="4"/>
      <c r="H109" s="4"/>
      <c r="I109" s="4"/>
      <c r="K109" s="4"/>
      <c r="L109" s="4"/>
      <c r="M109" s="4"/>
      <c r="N109" s="4"/>
      <c r="O109" s="4"/>
      <c r="P109" s="4"/>
      <c r="Q109" s="4"/>
      <c r="R109" s="4"/>
    </row>
    <row r="110" spans="3:18" x14ac:dyDescent="0.35">
      <c r="C110" s="4"/>
      <c r="D110" s="4"/>
      <c r="E110" s="4"/>
      <c r="F110" s="4"/>
      <c r="G110" s="4"/>
      <c r="H110" s="4"/>
      <c r="I110" s="4"/>
      <c r="K110" s="4"/>
      <c r="L110" s="4"/>
      <c r="M110" s="4"/>
      <c r="N110" s="4"/>
      <c r="O110" s="4"/>
      <c r="P110" s="4"/>
      <c r="Q110" s="4"/>
      <c r="R110" s="4"/>
    </row>
    <row r="111" spans="3:18" x14ac:dyDescent="0.35">
      <c r="C111" s="4"/>
      <c r="D111" s="4"/>
      <c r="E111" s="4"/>
      <c r="F111" s="4"/>
      <c r="G111" s="4"/>
      <c r="H111" s="4"/>
      <c r="I111" s="4"/>
      <c r="K111" s="4"/>
      <c r="L111" s="4"/>
      <c r="M111" s="4"/>
      <c r="N111" s="4"/>
      <c r="O111" s="4"/>
      <c r="P111" s="4"/>
      <c r="Q111" s="4"/>
      <c r="R111" s="4"/>
    </row>
    <row r="112" spans="3:18" x14ac:dyDescent="0.35">
      <c r="C112" s="4"/>
      <c r="D112" s="4"/>
      <c r="E112" s="4"/>
      <c r="F112" s="4"/>
      <c r="G112" s="4"/>
      <c r="H112" s="4"/>
      <c r="I112" s="4"/>
      <c r="K112" s="4"/>
      <c r="L112" s="4"/>
      <c r="M112" s="4"/>
      <c r="N112" s="4"/>
      <c r="O112" s="4"/>
      <c r="P112" s="4"/>
      <c r="Q112" s="4"/>
      <c r="R112" s="4"/>
    </row>
    <row r="113" spans="3:18" x14ac:dyDescent="0.35">
      <c r="C113" s="4"/>
      <c r="D113" s="4"/>
      <c r="E113" s="4"/>
      <c r="F113" s="4"/>
      <c r="G113" s="4"/>
      <c r="H113" s="4"/>
      <c r="I113" s="4"/>
      <c r="K113" s="4"/>
      <c r="L113" s="4"/>
      <c r="M113" s="4"/>
      <c r="N113" s="4"/>
      <c r="O113" s="4"/>
      <c r="P113" s="4"/>
      <c r="Q113" s="4"/>
      <c r="R113" s="4"/>
    </row>
    <row r="114" spans="3:18" x14ac:dyDescent="0.35">
      <c r="C114" s="4"/>
      <c r="D114" s="4"/>
      <c r="E114" s="4"/>
      <c r="F114" s="4"/>
      <c r="G114" s="4"/>
      <c r="H114" s="4"/>
      <c r="I114" s="4"/>
      <c r="K114" s="4"/>
      <c r="L114" s="4"/>
      <c r="M114" s="4"/>
      <c r="N114" s="4"/>
      <c r="O114" s="4"/>
      <c r="P114" s="4"/>
      <c r="Q114" s="4"/>
      <c r="R114" s="4"/>
    </row>
    <row r="115" spans="3:18" x14ac:dyDescent="0.35">
      <c r="C115" s="4"/>
      <c r="D115" s="4"/>
      <c r="E115" s="4"/>
      <c r="F115" s="4"/>
      <c r="G115" s="4"/>
      <c r="H115" s="4"/>
      <c r="I115" s="4"/>
      <c r="K115" s="4"/>
      <c r="L115" s="4"/>
      <c r="M115" s="4"/>
      <c r="N115" s="4"/>
      <c r="O115" s="4"/>
      <c r="P115" s="4"/>
      <c r="Q115" s="4"/>
      <c r="R115" s="4"/>
    </row>
    <row r="116" spans="3:18" x14ac:dyDescent="0.35">
      <c r="C116" s="4"/>
      <c r="D116" s="4"/>
      <c r="E116" s="4"/>
      <c r="F116" s="4"/>
      <c r="G116" s="4"/>
      <c r="H116" s="4"/>
      <c r="I116" s="4"/>
      <c r="K116" s="4"/>
      <c r="L116" s="4"/>
      <c r="M116" s="4"/>
      <c r="N116" s="4"/>
      <c r="O116" s="4"/>
      <c r="P116" s="4"/>
      <c r="Q116" s="4"/>
      <c r="R116" s="4"/>
    </row>
    <row r="117" spans="3:18" x14ac:dyDescent="0.35">
      <c r="C117" s="4"/>
      <c r="D117" s="4"/>
      <c r="E117" s="4"/>
      <c r="F117" s="4"/>
      <c r="G117" s="4"/>
      <c r="H117" s="4"/>
      <c r="I117" s="4"/>
      <c r="K117" s="4"/>
      <c r="L117" s="4"/>
      <c r="M117" s="4"/>
      <c r="N117" s="4"/>
      <c r="O117" s="4"/>
      <c r="P117" s="4"/>
      <c r="Q117" s="4"/>
      <c r="R117" s="4"/>
    </row>
    <row r="118" spans="3:18" x14ac:dyDescent="0.35">
      <c r="C118" s="4"/>
      <c r="D118" s="4"/>
      <c r="E118" s="4"/>
      <c r="F118" s="4"/>
      <c r="G118" s="4"/>
      <c r="H118" s="4"/>
      <c r="I118" s="4"/>
      <c r="K118" s="4"/>
      <c r="L118" s="4"/>
      <c r="M118" s="4"/>
      <c r="N118" s="4"/>
      <c r="O118" s="4"/>
      <c r="P118" s="4"/>
      <c r="Q118" s="4"/>
      <c r="R118" s="4"/>
    </row>
    <row r="119" spans="3:18" x14ac:dyDescent="0.35">
      <c r="C119" s="4"/>
      <c r="D119" s="4"/>
      <c r="E119" s="4"/>
      <c r="F119" s="4"/>
      <c r="G119" s="4"/>
      <c r="H119" s="4"/>
      <c r="I119" s="4"/>
      <c r="K119" s="4"/>
      <c r="L119" s="4"/>
      <c r="M119" s="4"/>
      <c r="N119" s="4"/>
      <c r="O119" s="4"/>
      <c r="P119" s="4"/>
      <c r="Q119" s="4"/>
      <c r="R119" s="4"/>
    </row>
    <row r="120" spans="3:18" x14ac:dyDescent="0.35">
      <c r="C120" s="4"/>
      <c r="D120" s="4"/>
      <c r="E120" s="4"/>
      <c r="F120" s="4"/>
      <c r="G120" s="4"/>
      <c r="H120" s="4"/>
      <c r="I120" s="4"/>
      <c r="K120" s="4"/>
      <c r="L120" s="4"/>
      <c r="M120" s="4"/>
      <c r="N120" s="4"/>
      <c r="O120" s="4"/>
      <c r="P120" s="4"/>
      <c r="Q120" s="4"/>
      <c r="R120" s="4"/>
    </row>
    <row r="121" spans="3:18" x14ac:dyDescent="0.35">
      <c r="C121" s="4"/>
      <c r="D121" s="4"/>
      <c r="E121" s="4"/>
      <c r="F121" s="4"/>
      <c r="G121" s="4"/>
      <c r="H121" s="4"/>
      <c r="I121" s="4"/>
      <c r="K121" s="4"/>
      <c r="L121" s="4"/>
      <c r="M121" s="4"/>
      <c r="N121" s="4"/>
      <c r="O121" s="4"/>
      <c r="P121" s="4"/>
      <c r="Q121" s="4"/>
      <c r="R1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Caso A</vt:lpstr>
      <vt:lpstr>Caso B +Debt Yr 2</vt:lpstr>
      <vt:lpstr>Caso C +Debt All Yrs</vt:lpstr>
      <vt:lpstr>Caso C +Debt All Yrs Adj APV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</cp:lastModifiedBy>
  <dcterms:created xsi:type="dcterms:W3CDTF">2020-06-03T00:36:42Z</dcterms:created>
  <dcterms:modified xsi:type="dcterms:W3CDTF">2021-03-11T19:58:13Z</dcterms:modified>
</cp:coreProperties>
</file>